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T:\Holstad_Jennifer.JH\Publication Support Team\jh_CURRENT PROJECTS\Lyle_Laura\#9869 Excel only c-r1-06\"/>
    </mc:Choice>
  </mc:AlternateContent>
  <xr:revisionPtr revIDLastSave="0" documentId="14_{32BCD06A-1650-4EB6-AB18-97B6401DCFD6}" xr6:coauthVersionLast="47" xr6:coauthVersionMax="47" xr10:uidLastSave="{00000000-0000-0000-0000-000000000000}"/>
  <bookViews>
    <workbookView xWindow="-57720" yWindow="15" windowWidth="29040" windowHeight="15720" tabRatio="798" xr2:uid="{00000000-000D-0000-FFFF-FFFF00000000}"/>
  </bookViews>
  <sheets>
    <sheet name="Overview" sheetId="1" r:id="rId1"/>
    <sheet name="Chemical Info" sheetId="2" r:id="rId2"/>
    <sheet name="Res-Rec Equations" sheetId="3" r:id="rId3"/>
    <sheet name="Res-Rec Calculations" sheetId="4" r:id="rId4"/>
    <sheet name="Res-Rec Worksheet" sheetId="5" r:id="rId5"/>
    <sheet name="Com-Ind Equations" sheetId="6" r:id="rId6"/>
    <sheet name="Com-Ind Calculations" sheetId="7" r:id="rId7"/>
    <sheet name="Com-Ind Worksheet" sheetId="8" r:id="rId8"/>
    <sheet name="BaP Equivalents" sheetId="10" r:id="rId9"/>
    <sheet name="TCDD Equivalents" sheetId="11" r:id="rId10"/>
  </sheets>
  <definedNames>
    <definedName name="_xlnm.Print_Area" localSheetId="8">'BaP Equivalents'!$A$1:$G$45</definedName>
    <definedName name="_xlnm.Print_Area" localSheetId="1">'Chemical Info'!$A$1:$BB$334</definedName>
    <definedName name="_xlnm.Print_Area" localSheetId="6">'Com-Ind Calculations'!$A$1:$Y$218</definedName>
    <definedName name="_xlnm.Print_Area" localSheetId="7">'Com-Ind Worksheet'!$A$2:$H$213</definedName>
    <definedName name="_xlnm.Print_Area" localSheetId="0">Overview!$A$1:$P$118</definedName>
    <definedName name="_xlnm.Print_Area" localSheetId="3">'Res-Rec Calculations'!$A$1:$AA$218</definedName>
    <definedName name="_xlnm.Print_Area" localSheetId="4">'Res-Rec Worksheet'!$A$2:$J$213</definedName>
    <definedName name="_xlnm.Print_Titles" localSheetId="1">'Chemical Info'!$A:$B,'Chemical Info'!$1:$3</definedName>
    <definedName name="_xlnm.Print_Titles" localSheetId="6">'Com-Ind Calculations'!$A:$A,'Com-Ind Calculations'!$1:$2</definedName>
    <definedName name="_xlnm.Print_Titles" localSheetId="7">'Com-Ind Worksheet'!$A:$A,'Com-Ind Worksheet'!$2:$2</definedName>
    <definedName name="_xlnm.Print_Titles" localSheetId="3">'Res-Rec Calculations'!$A:$A,'Res-Rec Calculations'!$1:$2</definedName>
    <definedName name="_xlnm.Print_Titles" localSheetId="4">'Res-Rec Worksheet'!$A:$A,'Res-Rec Worksheet'!$2:$2</definedName>
    <definedName name="Z_23DC26AF_9753_4BD2_80DE_415E6324C52C_.wvu.PrintArea" localSheetId="8" hidden="1">'BaP Equivalents'!$A$1:$G$45</definedName>
    <definedName name="Z_23DC26AF_9753_4BD2_80DE_415E6324C52C_.wvu.PrintArea" localSheetId="1" hidden="1">'Chemical Info'!$A$1:$BB$334</definedName>
    <definedName name="Z_23DC26AF_9753_4BD2_80DE_415E6324C52C_.wvu.PrintArea" localSheetId="6" hidden="1">'Com-Ind Calculations'!$A$1:$Y$218</definedName>
    <definedName name="Z_23DC26AF_9753_4BD2_80DE_415E6324C52C_.wvu.PrintArea" localSheetId="7" hidden="1">'Com-Ind Worksheet'!$A$2:$H$213</definedName>
    <definedName name="Z_23DC26AF_9753_4BD2_80DE_415E6324C52C_.wvu.PrintArea" localSheetId="0" hidden="1">Overview!$A$1:$P$118</definedName>
    <definedName name="Z_23DC26AF_9753_4BD2_80DE_415E6324C52C_.wvu.PrintArea" localSheetId="3" hidden="1">'Res-Rec Calculations'!$A$1:$AA$218</definedName>
    <definedName name="Z_23DC26AF_9753_4BD2_80DE_415E6324C52C_.wvu.PrintArea" localSheetId="4" hidden="1">'Res-Rec Worksheet'!$A$2:$J$213</definedName>
    <definedName name="Z_23DC26AF_9753_4BD2_80DE_415E6324C52C_.wvu.PrintTitles" localSheetId="1" hidden="1">'Chemical Info'!$A:$B,'Chemical Info'!$1:$3</definedName>
    <definedName name="Z_23DC26AF_9753_4BD2_80DE_415E6324C52C_.wvu.PrintTitles" localSheetId="6" hidden="1">'Com-Ind Calculations'!$A:$A,'Com-Ind Calculations'!$1:$2</definedName>
    <definedName name="Z_23DC26AF_9753_4BD2_80DE_415E6324C52C_.wvu.PrintTitles" localSheetId="7" hidden="1">'Com-Ind Worksheet'!$A:$A,'Com-Ind Worksheet'!$2:$2</definedName>
    <definedName name="Z_23DC26AF_9753_4BD2_80DE_415E6324C52C_.wvu.PrintTitles" localSheetId="3" hidden="1">'Res-Rec Calculations'!$A:$A,'Res-Rec Calculations'!$1:$2</definedName>
    <definedName name="Z_23DC26AF_9753_4BD2_80DE_415E6324C52C_.wvu.PrintTitles" localSheetId="4" hidden="1">'Res-Rec Worksheet'!$A:$A,'Res-Rec Worksheet'!$2:$2</definedName>
    <definedName name="Z_4E720B7F_6A3C_4034_90A5_B2BF7A394FC0_.wvu.PrintArea" localSheetId="8" hidden="1">'BaP Equivalents'!$A$1:$G$45</definedName>
    <definedName name="Z_4E720B7F_6A3C_4034_90A5_B2BF7A394FC0_.wvu.PrintArea" localSheetId="1" hidden="1">'Chemical Info'!$A$1:$BB$334</definedName>
    <definedName name="Z_4E720B7F_6A3C_4034_90A5_B2BF7A394FC0_.wvu.PrintArea" localSheetId="6" hidden="1">'Com-Ind Calculations'!$A$1:$Y$218</definedName>
    <definedName name="Z_4E720B7F_6A3C_4034_90A5_B2BF7A394FC0_.wvu.PrintArea" localSheetId="7" hidden="1">'Com-Ind Worksheet'!$A$2:$H$213</definedName>
    <definedName name="Z_4E720B7F_6A3C_4034_90A5_B2BF7A394FC0_.wvu.PrintArea" localSheetId="0" hidden="1">Overview!$A$1:$P$118</definedName>
    <definedName name="Z_4E720B7F_6A3C_4034_90A5_B2BF7A394FC0_.wvu.PrintArea" localSheetId="3" hidden="1">'Res-Rec Calculations'!$A$1:$AA$218</definedName>
    <definedName name="Z_4E720B7F_6A3C_4034_90A5_B2BF7A394FC0_.wvu.PrintArea" localSheetId="4" hidden="1">'Res-Rec Worksheet'!$A$2:$J$213</definedName>
    <definedName name="Z_4E720B7F_6A3C_4034_90A5_B2BF7A394FC0_.wvu.PrintTitles" localSheetId="1" hidden="1">'Chemical Info'!$A:$B,'Chemical Info'!$1:$3</definedName>
    <definedName name="Z_4E720B7F_6A3C_4034_90A5_B2BF7A394FC0_.wvu.PrintTitles" localSheetId="6" hidden="1">'Com-Ind Calculations'!$A:$A,'Com-Ind Calculations'!$1:$2</definedName>
    <definedName name="Z_4E720B7F_6A3C_4034_90A5_B2BF7A394FC0_.wvu.PrintTitles" localSheetId="7" hidden="1">'Com-Ind Worksheet'!$A:$A,'Com-Ind Worksheet'!$2:$2</definedName>
    <definedName name="Z_4E720B7F_6A3C_4034_90A5_B2BF7A394FC0_.wvu.PrintTitles" localSheetId="3" hidden="1">'Res-Rec Calculations'!$A:$A,'Res-Rec Calculations'!$1:$2</definedName>
    <definedName name="Z_4E720B7F_6A3C_4034_90A5_B2BF7A394FC0_.wvu.PrintTitles" localSheetId="4" hidden="1">'Res-Rec Worksheet'!$A:$A,'Res-Rec Worksheet'!$2:$2</definedName>
  </definedNames>
  <calcPr calcId="191029"/>
  <customWorkbookViews>
    <customWorkbookView name="Hadiaris, Amy - Personal View" guid="{4E720B7F-6A3C-4034-90A5-B2BF7A394FC0}" mergeInterval="0" personalView="1" maximized="1" xWindow="-8" yWindow="-8" windowWidth="1936" windowHeight="1056" tabRatio="832" activeSheetId="5"/>
    <customWorkbookView name="Psarska, Sona - Personal View" guid="{23DC26AF-9753-4BD2-80DE-415E6324C52C}" mergeInterval="0" personalView="1" maximized="1" xWindow="-8" yWindow="-8" windowWidth="1696" windowHeight="1026" tabRatio="83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59" i="8" l="1"/>
  <c r="S160" i="8"/>
  <c r="I159" i="8"/>
  <c r="J159" i="8"/>
  <c r="K159" i="8"/>
  <c r="L159" i="8"/>
  <c r="M159" i="8"/>
  <c r="N159" i="8"/>
  <c r="O159" i="8"/>
  <c r="P159" i="8"/>
  <c r="Q159" i="8"/>
  <c r="R159" i="8"/>
  <c r="I160" i="8"/>
  <c r="J160" i="8"/>
  <c r="K160" i="8"/>
  <c r="L160" i="8"/>
  <c r="M160" i="8"/>
  <c r="N160" i="8"/>
  <c r="O160" i="8"/>
  <c r="P160" i="8"/>
  <c r="Q160" i="8"/>
  <c r="R160" i="8"/>
  <c r="G160" i="8"/>
  <c r="H160" i="8"/>
  <c r="E160" i="8"/>
  <c r="D160" i="8"/>
  <c r="O160" i="7"/>
  <c r="S160" i="7" s="1"/>
  <c r="P160" i="7"/>
  <c r="Q160" i="7"/>
  <c r="R160" i="7"/>
  <c r="H160" i="7"/>
  <c r="I160" i="7"/>
  <c r="G160" i="7"/>
  <c r="E160" i="7"/>
  <c r="F160" i="7"/>
  <c r="D160" i="7"/>
  <c r="C160" i="7"/>
  <c r="J160" i="7"/>
  <c r="K160" i="7"/>
  <c r="K160" i="5"/>
  <c r="L160" i="5"/>
  <c r="M160" i="5"/>
  <c r="N160" i="5"/>
  <c r="O160" i="5"/>
  <c r="P160" i="5"/>
  <c r="Q160" i="5"/>
  <c r="R160" i="5"/>
  <c r="S160" i="5"/>
  <c r="T160" i="5"/>
  <c r="K159" i="5"/>
  <c r="L159" i="5"/>
  <c r="M159" i="5"/>
  <c r="N159" i="5"/>
  <c r="O159" i="5"/>
  <c r="P159" i="5"/>
  <c r="Q159" i="5"/>
  <c r="R159" i="5"/>
  <c r="S159" i="5"/>
  <c r="T159" i="5"/>
  <c r="J160" i="5"/>
  <c r="I160" i="5"/>
  <c r="G160" i="5"/>
  <c r="F160" i="5"/>
  <c r="D160" i="5"/>
  <c r="Z160" i="4"/>
  <c r="Y160" i="4"/>
  <c r="X160" i="4"/>
  <c r="W160" i="4"/>
  <c r="V160" i="4"/>
  <c r="U160" i="4"/>
  <c r="T160" i="4"/>
  <c r="S160" i="4"/>
  <c r="R160" i="4"/>
  <c r="Q160" i="4"/>
  <c r="P160" i="4"/>
  <c r="O160" i="4"/>
  <c r="N160" i="4"/>
  <c r="M160" i="4"/>
  <c r="L160" i="4"/>
  <c r="K160" i="4"/>
  <c r="J160" i="4"/>
  <c r="I160" i="4"/>
  <c r="H160" i="4"/>
  <c r="G160" i="4"/>
  <c r="F160" i="4"/>
  <c r="E160" i="4"/>
  <c r="D160" i="4"/>
  <c r="C160" i="4"/>
  <c r="I184" i="8"/>
  <c r="K184" i="5"/>
  <c r="O159" i="7"/>
  <c r="P159" i="7"/>
  <c r="Q159" i="7"/>
  <c r="R159" i="7"/>
  <c r="H159" i="7"/>
  <c r="I159" i="7"/>
  <c r="J159" i="7"/>
  <c r="K159" i="7"/>
  <c r="G159" i="7"/>
  <c r="C159" i="7"/>
  <c r="D159" i="7"/>
  <c r="E159" i="7" s="1"/>
  <c r="O159" i="4"/>
  <c r="P159" i="4"/>
  <c r="Q159" i="4"/>
  <c r="R159" i="4"/>
  <c r="V159" i="4"/>
  <c r="D159" i="5" s="1"/>
  <c r="H159" i="4"/>
  <c r="I159" i="4"/>
  <c r="J159" i="4"/>
  <c r="K159" i="4"/>
  <c r="G159" i="4"/>
  <c r="C159" i="4"/>
  <c r="D159" i="4"/>
  <c r="F159" i="4" s="1"/>
  <c r="D70" i="2"/>
  <c r="J178" i="8"/>
  <c r="K178" i="8"/>
  <c r="L178" i="8"/>
  <c r="M178" i="8"/>
  <c r="O178" i="8"/>
  <c r="P178" i="8"/>
  <c r="Q178" i="8"/>
  <c r="R178" i="8"/>
  <c r="I179" i="8"/>
  <c r="J179" i="8"/>
  <c r="K179" i="8"/>
  <c r="M179" i="8"/>
  <c r="N179" i="8"/>
  <c r="O179" i="8"/>
  <c r="P179" i="8"/>
  <c r="Q179" i="8"/>
  <c r="R179" i="8"/>
  <c r="H178" i="7"/>
  <c r="I178" i="7"/>
  <c r="J178" i="7"/>
  <c r="K178" i="7"/>
  <c r="C177" i="7"/>
  <c r="D177" i="7"/>
  <c r="E177" i="7" s="1"/>
  <c r="C178" i="7"/>
  <c r="D178" i="7"/>
  <c r="F178" i="7" s="1"/>
  <c r="L178" i="5"/>
  <c r="M178" i="5"/>
  <c r="N178" i="5"/>
  <c r="O178" i="5"/>
  <c r="Q178" i="5"/>
  <c r="R178" i="5"/>
  <c r="S178" i="5"/>
  <c r="T178" i="5"/>
  <c r="K179" i="5"/>
  <c r="L179" i="5"/>
  <c r="M179" i="5"/>
  <c r="O179" i="5"/>
  <c r="P179" i="5"/>
  <c r="Q179" i="5"/>
  <c r="R179" i="5"/>
  <c r="S179" i="5"/>
  <c r="T179" i="5"/>
  <c r="V178" i="4"/>
  <c r="W178" i="4" s="1"/>
  <c r="Q179" i="4"/>
  <c r="R179" i="4"/>
  <c r="V179" i="4"/>
  <c r="W179" i="4" s="1"/>
  <c r="H178" i="4"/>
  <c r="I178" i="4"/>
  <c r="J178" i="4"/>
  <c r="K178" i="4"/>
  <c r="C177" i="4"/>
  <c r="D177" i="4"/>
  <c r="E177" i="4" s="1"/>
  <c r="C178" i="4"/>
  <c r="D178" i="4"/>
  <c r="E178" i="4" s="1"/>
  <c r="E179" i="2"/>
  <c r="G178" i="4" s="1"/>
  <c r="E162" i="2"/>
  <c r="I161" i="8"/>
  <c r="J161" i="8"/>
  <c r="K161" i="8"/>
  <c r="L161" i="8"/>
  <c r="N161" i="8"/>
  <c r="O161" i="8"/>
  <c r="P161" i="8"/>
  <c r="Q161" i="8"/>
  <c r="R161" i="8"/>
  <c r="K161" i="5"/>
  <c r="L161" i="5"/>
  <c r="M161" i="5"/>
  <c r="N161" i="5"/>
  <c r="P161" i="5"/>
  <c r="Q161" i="5"/>
  <c r="R161" i="5"/>
  <c r="S161" i="5"/>
  <c r="T161" i="5"/>
  <c r="Q161" i="7"/>
  <c r="R161" i="7"/>
  <c r="C161" i="7"/>
  <c r="D161" i="7"/>
  <c r="E161" i="7" s="1"/>
  <c r="H161" i="7"/>
  <c r="I161" i="7"/>
  <c r="J161" i="7"/>
  <c r="K161" i="7"/>
  <c r="V161" i="4"/>
  <c r="W161" i="4" s="1"/>
  <c r="Q161" i="4"/>
  <c r="R161" i="4"/>
  <c r="H161" i="4"/>
  <c r="I161" i="4"/>
  <c r="J161" i="4"/>
  <c r="K161" i="4"/>
  <c r="H162" i="4"/>
  <c r="I162" i="4"/>
  <c r="J162" i="4"/>
  <c r="K162" i="4"/>
  <c r="C162" i="4"/>
  <c r="D162" i="4"/>
  <c r="F162" i="4" s="1"/>
  <c r="C161" i="4"/>
  <c r="D161" i="4"/>
  <c r="F161" i="4" s="1"/>
  <c r="T160" i="7" l="1"/>
  <c r="U160" i="7" s="1"/>
  <c r="V160" i="7" s="1"/>
  <c r="W160" i="7" s="1"/>
  <c r="X160" i="7" s="1"/>
  <c r="M160" i="7"/>
  <c r="L160" i="7"/>
  <c r="N160" i="7"/>
  <c r="O178" i="4"/>
  <c r="M159" i="7"/>
  <c r="W159" i="4"/>
  <c r="L159" i="7"/>
  <c r="E159" i="4"/>
  <c r="T159" i="4"/>
  <c r="F159" i="7"/>
  <c r="M178" i="4"/>
  <c r="P178" i="7"/>
  <c r="S159" i="4"/>
  <c r="U159" i="4" s="1"/>
  <c r="T159" i="7"/>
  <c r="S159" i="7"/>
  <c r="L159" i="4"/>
  <c r="M159" i="4"/>
  <c r="D179" i="5"/>
  <c r="Q178" i="4"/>
  <c r="D178" i="5"/>
  <c r="G178" i="7"/>
  <c r="R178" i="7"/>
  <c r="L178" i="4"/>
  <c r="O178" i="7"/>
  <c r="P178" i="4"/>
  <c r="F178" i="4"/>
  <c r="R178" i="4" s="1"/>
  <c r="L178" i="7"/>
  <c r="M178" i="7"/>
  <c r="N178" i="7" s="1"/>
  <c r="F177" i="7"/>
  <c r="E178" i="7"/>
  <c r="Q178" i="7" s="1"/>
  <c r="F177" i="4"/>
  <c r="D161" i="5"/>
  <c r="M162" i="4"/>
  <c r="E162" i="4"/>
  <c r="L161" i="7"/>
  <c r="L162" i="4"/>
  <c r="L161" i="4"/>
  <c r="M161" i="7"/>
  <c r="F161" i="7"/>
  <c r="M161" i="4"/>
  <c r="E161" i="4"/>
  <c r="N159" i="7" l="1"/>
  <c r="U159" i="7"/>
  <c r="V159" i="7" s="1"/>
  <c r="W159" i="7" s="1"/>
  <c r="T178" i="4"/>
  <c r="T178" i="7"/>
  <c r="N178" i="4"/>
  <c r="S178" i="4"/>
  <c r="S178" i="7"/>
  <c r="U178" i="7" s="1"/>
  <c r="V178" i="7" s="1"/>
  <c r="W178" i="7" s="1"/>
  <c r="N159" i="4"/>
  <c r="X159" i="4" s="1"/>
  <c r="Y159" i="4" s="1"/>
  <c r="F159" i="5" s="1"/>
  <c r="N162" i="4"/>
  <c r="N161" i="7"/>
  <c r="N161" i="4"/>
  <c r="U178" i="4" l="1"/>
  <c r="X178" i="4" s="1"/>
  <c r="Y178" i="4" s="1"/>
  <c r="F178" i="5" s="1"/>
  <c r="X159" i="7"/>
  <c r="E159" i="8" s="1"/>
  <c r="D159" i="8"/>
  <c r="Z159" i="4"/>
  <c r="G159" i="5" s="1"/>
  <c r="I159" i="5" s="1"/>
  <c r="J159" i="5"/>
  <c r="Z178" i="4"/>
  <c r="G178" i="5" s="1"/>
  <c r="U178" i="5" s="1"/>
  <c r="X178" i="7"/>
  <c r="E178" i="8" s="1"/>
  <c r="D178" i="8"/>
  <c r="P161" i="7"/>
  <c r="P161" i="4"/>
  <c r="O161" i="7"/>
  <c r="O161" i="4"/>
  <c r="I106" i="8"/>
  <c r="J106" i="8"/>
  <c r="K106" i="8"/>
  <c r="L106" i="8"/>
  <c r="N106" i="8"/>
  <c r="O106" i="8"/>
  <c r="P106" i="8"/>
  <c r="Q106" i="8"/>
  <c r="R106" i="8"/>
  <c r="I107" i="8"/>
  <c r="J107" i="8"/>
  <c r="K107" i="8"/>
  <c r="L107" i="8"/>
  <c r="M107" i="8"/>
  <c r="O107" i="8"/>
  <c r="P107" i="8"/>
  <c r="Q107" i="8"/>
  <c r="I108" i="8"/>
  <c r="J108" i="8"/>
  <c r="K108" i="8"/>
  <c r="L108" i="8"/>
  <c r="M108" i="8"/>
  <c r="P108" i="8"/>
  <c r="Q108" i="8"/>
  <c r="R108" i="8"/>
  <c r="I109" i="8"/>
  <c r="K109" i="8"/>
  <c r="L109" i="8"/>
  <c r="M109" i="8"/>
  <c r="N109" i="8"/>
  <c r="O109" i="8"/>
  <c r="P109" i="8"/>
  <c r="Q109" i="8"/>
  <c r="R109" i="8"/>
  <c r="I110" i="8"/>
  <c r="J110" i="8"/>
  <c r="K110" i="8"/>
  <c r="L110" i="8"/>
  <c r="M110" i="8"/>
  <c r="O110" i="8"/>
  <c r="P110" i="8"/>
  <c r="Q110" i="8"/>
  <c r="R110" i="8"/>
  <c r="I111" i="8"/>
  <c r="J111" i="8"/>
  <c r="K111" i="8"/>
  <c r="L111" i="8"/>
  <c r="M111" i="8"/>
  <c r="N111" i="8"/>
  <c r="O111" i="8"/>
  <c r="P111" i="8"/>
  <c r="Q111" i="8"/>
  <c r="R111" i="8"/>
  <c r="I112" i="8"/>
  <c r="J112" i="8"/>
  <c r="K112" i="8"/>
  <c r="L112" i="8"/>
  <c r="N112" i="8"/>
  <c r="O112" i="8"/>
  <c r="P112" i="8"/>
  <c r="Q112" i="8"/>
  <c r="R112" i="8"/>
  <c r="I113" i="8"/>
  <c r="J113" i="8"/>
  <c r="K113" i="8"/>
  <c r="L113" i="8"/>
  <c r="N113" i="8"/>
  <c r="O113" i="8"/>
  <c r="P113" i="8"/>
  <c r="Q113" i="8"/>
  <c r="I114" i="8"/>
  <c r="J114" i="8"/>
  <c r="K114" i="8"/>
  <c r="L114" i="8"/>
  <c r="M114" i="8"/>
  <c r="O114" i="8"/>
  <c r="P114" i="8"/>
  <c r="Q114" i="8"/>
  <c r="R114" i="8"/>
  <c r="I115" i="8"/>
  <c r="J115" i="8"/>
  <c r="K115" i="8"/>
  <c r="L115" i="8"/>
  <c r="M115" i="8"/>
  <c r="N115" i="8"/>
  <c r="O115" i="8"/>
  <c r="P115" i="8"/>
  <c r="Q115" i="8"/>
  <c r="R115" i="8"/>
  <c r="I116" i="8"/>
  <c r="J116" i="8"/>
  <c r="K116" i="8"/>
  <c r="L116" i="8"/>
  <c r="M116" i="8"/>
  <c r="N116" i="8"/>
  <c r="O116" i="8"/>
  <c r="P116" i="8"/>
  <c r="Q116" i="8"/>
  <c r="R116" i="8"/>
  <c r="P117" i="8"/>
  <c r="Q117" i="8"/>
  <c r="I118" i="8"/>
  <c r="J118" i="8"/>
  <c r="K118" i="8"/>
  <c r="L118" i="8"/>
  <c r="M118" i="8"/>
  <c r="N118" i="8"/>
  <c r="O118" i="8"/>
  <c r="P118" i="8"/>
  <c r="Q118" i="8"/>
  <c r="R118" i="8"/>
  <c r="I119" i="8"/>
  <c r="J119" i="8"/>
  <c r="L119" i="8"/>
  <c r="M119" i="8"/>
  <c r="N119" i="8"/>
  <c r="O119" i="8"/>
  <c r="P119" i="8"/>
  <c r="Q119" i="8"/>
  <c r="R119" i="8"/>
  <c r="I120" i="8"/>
  <c r="J120" i="8"/>
  <c r="K120" i="8"/>
  <c r="L120" i="8"/>
  <c r="M120" i="8"/>
  <c r="N120" i="8"/>
  <c r="O120" i="8"/>
  <c r="P120" i="8"/>
  <c r="Q120" i="8"/>
  <c r="R120" i="8"/>
  <c r="I121" i="8"/>
  <c r="J121" i="8"/>
  <c r="L121" i="8"/>
  <c r="M121" i="8"/>
  <c r="N121" i="8"/>
  <c r="O121" i="8"/>
  <c r="P121" i="8"/>
  <c r="Q121" i="8"/>
  <c r="R121" i="8"/>
  <c r="I122" i="8"/>
  <c r="J122" i="8"/>
  <c r="L122" i="8"/>
  <c r="M122" i="8"/>
  <c r="N122" i="8"/>
  <c r="O122" i="8"/>
  <c r="P122" i="8"/>
  <c r="Q122" i="8"/>
  <c r="R122" i="8"/>
  <c r="I123" i="8"/>
  <c r="J123" i="8"/>
  <c r="K123" i="8"/>
  <c r="L123" i="8"/>
  <c r="M123" i="8"/>
  <c r="N123" i="8"/>
  <c r="O123" i="8"/>
  <c r="P123" i="8"/>
  <c r="Q123" i="8"/>
  <c r="R123" i="8"/>
  <c r="I124" i="8"/>
  <c r="J124" i="8"/>
  <c r="K124" i="8"/>
  <c r="N124" i="8"/>
  <c r="O124" i="8"/>
  <c r="P124" i="8"/>
  <c r="Q124" i="8"/>
  <c r="R124" i="8"/>
  <c r="I125" i="8"/>
  <c r="J125" i="8"/>
  <c r="K125" i="8"/>
  <c r="L125" i="8"/>
  <c r="M125" i="8"/>
  <c r="O125" i="8"/>
  <c r="P125" i="8"/>
  <c r="Q125" i="8"/>
  <c r="R125" i="8"/>
  <c r="K126" i="8"/>
  <c r="L126" i="8"/>
  <c r="M126" i="8"/>
  <c r="N126" i="8"/>
  <c r="O126" i="8"/>
  <c r="P126" i="8"/>
  <c r="Q126" i="8"/>
  <c r="R126" i="8"/>
  <c r="I127" i="8"/>
  <c r="J127" i="8"/>
  <c r="K127" i="8"/>
  <c r="L127" i="8"/>
  <c r="N127" i="8"/>
  <c r="O127" i="8"/>
  <c r="P127" i="8"/>
  <c r="Q127" i="8"/>
  <c r="R127" i="8"/>
  <c r="I128" i="8"/>
  <c r="J128" i="8"/>
  <c r="K128" i="8"/>
  <c r="P128" i="8"/>
  <c r="Q128" i="8"/>
  <c r="R128" i="8"/>
  <c r="I129" i="8"/>
  <c r="J129" i="8"/>
  <c r="K129" i="8"/>
  <c r="M129" i="8"/>
  <c r="P129" i="8"/>
  <c r="Q129" i="8"/>
  <c r="R129" i="8"/>
  <c r="I130" i="8"/>
  <c r="J130" i="8"/>
  <c r="K130" i="8"/>
  <c r="L130" i="8"/>
  <c r="N130" i="8"/>
  <c r="P130" i="8"/>
  <c r="Q130" i="8"/>
  <c r="R130" i="8"/>
  <c r="I131" i="8"/>
  <c r="J131" i="8"/>
  <c r="K131" i="8"/>
  <c r="L131" i="8"/>
  <c r="N131" i="8"/>
  <c r="O131" i="8"/>
  <c r="P131" i="8"/>
  <c r="Q131" i="8"/>
  <c r="R131" i="8"/>
  <c r="I132" i="8"/>
  <c r="J132" i="8"/>
  <c r="K132" i="8"/>
  <c r="L132" i="8"/>
  <c r="M132" i="8"/>
  <c r="O132" i="8"/>
  <c r="P132" i="8"/>
  <c r="Q132" i="8"/>
  <c r="R132" i="8"/>
  <c r="I133" i="8"/>
  <c r="J133" i="8"/>
  <c r="K133" i="8"/>
  <c r="M133" i="8"/>
  <c r="N133" i="8"/>
  <c r="O133" i="8"/>
  <c r="P133" i="8"/>
  <c r="Q133" i="8"/>
  <c r="R133" i="8"/>
  <c r="I134" i="8"/>
  <c r="J134" i="8"/>
  <c r="K134" i="8"/>
  <c r="L134" i="8"/>
  <c r="M134" i="8"/>
  <c r="N134" i="8"/>
  <c r="P134" i="8"/>
  <c r="Q134" i="8"/>
  <c r="R134" i="8"/>
  <c r="J135" i="8"/>
  <c r="K135" i="8"/>
  <c r="M135" i="8"/>
  <c r="N135" i="8"/>
  <c r="O135" i="8"/>
  <c r="P135" i="8"/>
  <c r="Q135" i="8"/>
  <c r="R135" i="8"/>
  <c r="I136" i="8"/>
  <c r="J136" i="8"/>
  <c r="K136" i="8"/>
  <c r="L136" i="8"/>
  <c r="M136" i="8"/>
  <c r="N136" i="8"/>
  <c r="P136" i="8"/>
  <c r="Q136" i="8"/>
  <c r="R136" i="8"/>
  <c r="I137" i="8"/>
  <c r="J137" i="8"/>
  <c r="K137" i="8"/>
  <c r="O137" i="8"/>
  <c r="P137" i="8"/>
  <c r="Q137" i="8"/>
  <c r="R137" i="8"/>
  <c r="I138" i="8"/>
  <c r="J138" i="8"/>
  <c r="K138" i="8"/>
  <c r="M138" i="8"/>
  <c r="N138" i="8"/>
  <c r="P138" i="8"/>
  <c r="Q138" i="8"/>
  <c r="R138" i="8"/>
  <c r="I139" i="8"/>
  <c r="J139" i="8"/>
  <c r="K139" i="8"/>
  <c r="L139" i="8"/>
  <c r="N139" i="8"/>
  <c r="O139" i="8"/>
  <c r="P139" i="8"/>
  <c r="Q139" i="8"/>
  <c r="R139" i="8"/>
  <c r="J140" i="8"/>
  <c r="K140" i="8"/>
  <c r="L140" i="8"/>
  <c r="M140" i="8"/>
  <c r="O140" i="8"/>
  <c r="P140" i="8"/>
  <c r="Q140" i="8"/>
  <c r="R140" i="8"/>
  <c r="I141" i="8"/>
  <c r="J141" i="8"/>
  <c r="K141" i="8"/>
  <c r="L141" i="8"/>
  <c r="N141" i="8"/>
  <c r="O141" i="8"/>
  <c r="P141" i="8"/>
  <c r="Q141" i="8"/>
  <c r="R141" i="8"/>
  <c r="J142" i="8"/>
  <c r="K142" i="8"/>
  <c r="L142" i="8"/>
  <c r="M142" i="8"/>
  <c r="N142" i="8"/>
  <c r="O142" i="8"/>
  <c r="P142" i="8"/>
  <c r="Q142" i="8"/>
  <c r="R142" i="8"/>
  <c r="J143" i="8"/>
  <c r="K143" i="8"/>
  <c r="L143" i="8"/>
  <c r="M143" i="8"/>
  <c r="N143" i="8"/>
  <c r="O143" i="8"/>
  <c r="P143" i="8"/>
  <c r="Q143" i="8"/>
  <c r="R143" i="8"/>
  <c r="J144" i="8"/>
  <c r="K144" i="8"/>
  <c r="L144" i="8"/>
  <c r="M144" i="8"/>
  <c r="P144" i="8"/>
  <c r="Q144" i="8"/>
  <c r="R144" i="8"/>
  <c r="K145" i="8"/>
  <c r="L145" i="8"/>
  <c r="M145" i="8"/>
  <c r="N145" i="8"/>
  <c r="P145" i="8"/>
  <c r="Q145" i="8"/>
  <c r="R145" i="8"/>
  <c r="I146" i="8"/>
  <c r="J146" i="8"/>
  <c r="K146" i="8"/>
  <c r="L146" i="8"/>
  <c r="M146" i="8"/>
  <c r="N146" i="8"/>
  <c r="O146" i="8"/>
  <c r="P146" i="8"/>
  <c r="Q146" i="8"/>
  <c r="R146" i="8"/>
  <c r="I147" i="8"/>
  <c r="J147" i="8"/>
  <c r="K147" i="8"/>
  <c r="L147" i="8"/>
  <c r="M147" i="8"/>
  <c r="N147" i="8"/>
  <c r="O147" i="8"/>
  <c r="P147" i="8"/>
  <c r="Q147" i="8"/>
  <c r="R147" i="8"/>
  <c r="I148" i="8"/>
  <c r="J148" i="8"/>
  <c r="K148" i="8"/>
  <c r="L148" i="8"/>
  <c r="M148" i="8"/>
  <c r="N148" i="8"/>
  <c r="O148" i="8"/>
  <c r="P148" i="8"/>
  <c r="Q148" i="8"/>
  <c r="R148" i="8"/>
  <c r="I149" i="8"/>
  <c r="J149" i="8"/>
  <c r="K149" i="8"/>
  <c r="L149" i="8"/>
  <c r="O149" i="8"/>
  <c r="P149" i="8"/>
  <c r="Q149" i="8"/>
  <c r="R149" i="8"/>
  <c r="I150" i="8"/>
  <c r="J150" i="8"/>
  <c r="K150" i="8"/>
  <c r="L150" i="8"/>
  <c r="M150" i="8"/>
  <c r="N150" i="8"/>
  <c r="O150" i="8"/>
  <c r="P150" i="8"/>
  <c r="Q150" i="8"/>
  <c r="R150" i="8"/>
  <c r="I151" i="8"/>
  <c r="J151" i="8"/>
  <c r="K151" i="8"/>
  <c r="N151" i="8"/>
  <c r="O151" i="8"/>
  <c r="P151" i="8"/>
  <c r="Q151" i="8"/>
  <c r="R151" i="8"/>
  <c r="I152" i="8"/>
  <c r="J152" i="8"/>
  <c r="L152" i="8"/>
  <c r="O152" i="8"/>
  <c r="P152" i="8"/>
  <c r="Q152" i="8"/>
  <c r="I153" i="8"/>
  <c r="J153" i="8"/>
  <c r="K153" i="8"/>
  <c r="M153" i="8"/>
  <c r="N153" i="8"/>
  <c r="O153" i="8"/>
  <c r="P153" i="8"/>
  <c r="Q153" i="8"/>
  <c r="I154" i="8"/>
  <c r="K154" i="8"/>
  <c r="L154" i="8"/>
  <c r="O154" i="8"/>
  <c r="P154" i="8"/>
  <c r="Q154" i="8"/>
  <c r="I155" i="8"/>
  <c r="J155" i="8"/>
  <c r="O155" i="8"/>
  <c r="P155" i="8"/>
  <c r="Q155" i="8"/>
  <c r="J95" i="8"/>
  <c r="K95" i="8"/>
  <c r="L95" i="8"/>
  <c r="M95" i="8"/>
  <c r="N95" i="8"/>
  <c r="O95" i="8"/>
  <c r="P95" i="8"/>
  <c r="Q95" i="8"/>
  <c r="R95" i="8"/>
  <c r="J96" i="8"/>
  <c r="K96" i="8"/>
  <c r="L96" i="8"/>
  <c r="M96" i="8"/>
  <c r="N96" i="8"/>
  <c r="O96" i="8"/>
  <c r="P96" i="8"/>
  <c r="Q96" i="8"/>
  <c r="R96" i="8"/>
  <c r="I97" i="8"/>
  <c r="J97" i="8"/>
  <c r="K97" i="8"/>
  <c r="L97" i="8"/>
  <c r="N97" i="8"/>
  <c r="O97" i="8"/>
  <c r="P97" i="8"/>
  <c r="Q97" i="8"/>
  <c r="R97" i="8"/>
  <c r="J98" i="8"/>
  <c r="K98" i="8"/>
  <c r="M98" i="8"/>
  <c r="O98" i="8"/>
  <c r="P98" i="8"/>
  <c r="Q98" i="8"/>
  <c r="R98" i="8"/>
  <c r="I59" i="8"/>
  <c r="J59" i="8"/>
  <c r="K59" i="8"/>
  <c r="L59" i="8"/>
  <c r="M59" i="8"/>
  <c r="N59" i="8"/>
  <c r="O59" i="8"/>
  <c r="P59" i="8"/>
  <c r="Q59" i="8"/>
  <c r="R59" i="8"/>
  <c r="J60" i="8"/>
  <c r="K60" i="8"/>
  <c r="L60" i="8"/>
  <c r="M60" i="8"/>
  <c r="N60" i="8"/>
  <c r="O60" i="8"/>
  <c r="P60" i="8"/>
  <c r="Q60" i="8"/>
  <c r="R60" i="8"/>
  <c r="J61" i="8"/>
  <c r="K61" i="8"/>
  <c r="N61" i="8"/>
  <c r="O61" i="8"/>
  <c r="P61" i="8"/>
  <c r="Q61" i="8"/>
  <c r="R61" i="8"/>
  <c r="I62" i="8"/>
  <c r="J62" i="8"/>
  <c r="K62" i="8"/>
  <c r="L62" i="8"/>
  <c r="N62" i="8"/>
  <c r="O62" i="8"/>
  <c r="P62" i="8"/>
  <c r="Q62" i="8"/>
  <c r="R62" i="8"/>
  <c r="I63" i="8"/>
  <c r="J63" i="8"/>
  <c r="M63" i="8"/>
  <c r="N63" i="8"/>
  <c r="O63" i="8"/>
  <c r="P63" i="8"/>
  <c r="Q63" i="8"/>
  <c r="R63" i="8"/>
  <c r="I64" i="8"/>
  <c r="J64" i="8"/>
  <c r="L64" i="8"/>
  <c r="M64" i="8"/>
  <c r="N64" i="8"/>
  <c r="O64" i="8"/>
  <c r="P64" i="8"/>
  <c r="Q64" i="8"/>
  <c r="R64" i="8"/>
  <c r="I65" i="8"/>
  <c r="J65" i="8"/>
  <c r="K65" i="8"/>
  <c r="L65" i="8"/>
  <c r="N65" i="8"/>
  <c r="O65" i="8"/>
  <c r="P65" i="8"/>
  <c r="Q65" i="8"/>
  <c r="R65" i="8"/>
  <c r="I66" i="8"/>
  <c r="J66" i="8"/>
  <c r="K66" i="8"/>
  <c r="L66" i="8"/>
  <c r="N66" i="8"/>
  <c r="O66" i="8"/>
  <c r="P66" i="8"/>
  <c r="Q66" i="8"/>
  <c r="R66" i="8"/>
  <c r="K67" i="8"/>
  <c r="L67" i="8"/>
  <c r="Q67" i="8"/>
  <c r="R67" i="8"/>
  <c r="I68" i="8"/>
  <c r="J68" i="8"/>
  <c r="K68" i="8"/>
  <c r="N68" i="8"/>
  <c r="O68" i="8"/>
  <c r="P68" i="8"/>
  <c r="Q68" i="8"/>
  <c r="R68" i="8"/>
  <c r="I69" i="8"/>
  <c r="J69" i="8"/>
  <c r="K69" i="8"/>
  <c r="O69" i="8"/>
  <c r="P69" i="8"/>
  <c r="Q69" i="8"/>
  <c r="R69" i="8"/>
  <c r="J70" i="8"/>
  <c r="K70" i="8"/>
  <c r="L70" i="8"/>
  <c r="N70" i="8"/>
  <c r="O70" i="8"/>
  <c r="P70" i="8"/>
  <c r="Q70" i="8"/>
  <c r="R70" i="8"/>
  <c r="I71" i="8"/>
  <c r="J71" i="8"/>
  <c r="K71" i="8"/>
  <c r="M71" i="8"/>
  <c r="N71" i="8"/>
  <c r="O71" i="8"/>
  <c r="P71" i="8"/>
  <c r="Q71" i="8"/>
  <c r="R71" i="8"/>
  <c r="I72" i="8"/>
  <c r="J72" i="8"/>
  <c r="K72" i="8"/>
  <c r="L72" i="8"/>
  <c r="M72" i="8"/>
  <c r="P72" i="8"/>
  <c r="Q72" i="8"/>
  <c r="R72" i="8"/>
  <c r="I73" i="8"/>
  <c r="J73" i="8"/>
  <c r="K73" i="8"/>
  <c r="L73" i="8"/>
  <c r="N73" i="8"/>
  <c r="O73" i="8"/>
  <c r="P73" i="8"/>
  <c r="Q73" i="8"/>
  <c r="R73" i="8"/>
  <c r="J74" i="8"/>
  <c r="K74" i="8"/>
  <c r="L74" i="8"/>
  <c r="M74" i="8"/>
  <c r="N74" i="8"/>
  <c r="O74" i="8"/>
  <c r="P74" i="8"/>
  <c r="Q74" i="8"/>
  <c r="R74" i="8"/>
  <c r="I75" i="8"/>
  <c r="J75" i="8"/>
  <c r="K75" i="8"/>
  <c r="L75" i="8"/>
  <c r="N75" i="8"/>
  <c r="O75" i="8"/>
  <c r="P75" i="8"/>
  <c r="Q75" i="8"/>
  <c r="R75" i="8"/>
  <c r="I76" i="8"/>
  <c r="J76" i="8"/>
  <c r="K76" i="8"/>
  <c r="L76" i="8"/>
  <c r="M76" i="8"/>
  <c r="O76" i="8"/>
  <c r="Q76" i="8"/>
  <c r="R76" i="8"/>
  <c r="J77" i="8"/>
  <c r="K77" i="8"/>
  <c r="L77" i="8"/>
  <c r="M77" i="8"/>
  <c r="N77" i="8"/>
  <c r="P77" i="8"/>
  <c r="Q77" i="8"/>
  <c r="R77" i="8"/>
  <c r="I78" i="8"/>
  <c r="J78" i="8"/>
  <c r="K78" i="8"/>
  <c r="L78" i="8"/>
  <c r="O78" i="8"/>
  <c r="Q78" i="8"/>
  <c r="R78" i="8"/>
  <c r="I79" i="8"/>
  <c r="J79" i="8"/>
  <c r="K79" i="8"/>
  <c r="N79" i="8"/>
  <c r="O79" i="8"/>
  <c r="P79" i="8"/>
  <c r="Q79" i="8"/>
  <c r="R79" i="8"/>
  <c r="L80" i="8"/>
  <c r="M80" i="8"/>
  <c r="N80" i="8"/>
  <c r="P80" i="8"/>
  <c r="Q80" i="8"/>
  <c r="R80" i="8"/>
  <c r="I81" i="8"/>
  <c r="J81" i="8"/>
  <c r="K81" i="8"/>
  <c r="O81" i="8"/>
  <c r="P81" i="8"/>
  <c r="Q81" i="8"/>
  <c r="R81" i="8"/>
  <c r="K82" i="8"/>
  <c r="L82" i="8"/>
  <c r="N82" i="8"/>
  <c r="O82" i="8"/>
  <c r="P82" i="8"/>
  <c r="Q82" i="8"/>
  <c r="R82" i="8"/>
  <c r="I83" i="8"/>
  <c r="J83" i="8"/>
  <c r="K83" i="8"/>
  <c r="N83" i="8"/>
  <c r="O83" i="8"/>
  <c r="P83" i="8"/>
  <c r="Q83" i="8"/>
  <c r="R83" i="8"/>
  <c r="I84" i="8"/>
  <c r="J84" i="8"/>
  <c r="K84" i="8"/>
  <c r="L84" i="8"/>
  <c r="N84" i="8"/>
  <c r="O84" i="8"/>
  <c r="P84" i="8"/>
  <c r="Q84" i="8"/>
  <c r="R84" i="8"/>
  <c r="J85" i="8"/>
  <c r="K85" i="8"/>
  <c r="L85" i="8"/>
  <c r="M85" i="8"/>
  <c r="N85" i="8"/>
  <c r="O85" i="8"/>
  <c r="P85" i="8"/>
  <c r="Q85" i="8"/>
  <c r="R85" i="8"/>
  <c r="J86" i="8"/>
  <c r="N86" i="8"/>
  <c r="O86" i="8"/>
  <c r="P86" i="8"/>
  <c r="Q86" i="8"/>
  <c r="R86" i="8"/>
  <c r="I87" i="8"/>
  <c r="J87" i="8"/>
  <c r="K87" i="8"/>
  <c r="N87" i="8"/>
  <c r="O87" i="8"/>
  <c r="P87" i="8"/>
  <c r="Q87" i="8"/>
  <c r="R87" i="8"/>
  <c r="I88" i="8"/>
  <c r="J88" i="8"/>
  <c r="K88" i="8"/>
  <c r="L88" i="8"/>
  <c r="O88" i="8"/>
  <c r="P88" i="8"/>
  <c r="Q88" i="8"/>
  <c r="R88" i="8"/>
  <c r="I40" i="8"/>
  <c r="J40" i="8"/>
  <c r="K40" i="8"/>
  <c r="L40" i="8"/>
  <c r="O40" i="8"/>
  <c r="P40" i="8"/>
  <c r="Q40" i="8"/>
  <c r="R40" i="8"/>
  <c r="I41" i="8"/>
  <c r="J41" i="8"/>
  <c r="K41" i="8"/>
  <c r="L41" i="8"/>
  <c r="N41" i="8"/>
  <c r="P41" i="8"/>
  <c r="Q41" i="8"/>
  <c r="R41" i="8"/>
  <c r="J42" i="8"/>
  <c r="K42" i="8"/>
  <c r="L42" i="8"/>
  <c r="M42" i="8"/>
  <c r="N42" i="8"/>
  <c r="O42" i="8"/>
  <c r="P42" i="8"/>
  <c r="Q42" i="8"/>
  <c r="R42" i="8"/>
  <c r="I43" i="8"/>
  <c r="J43" i="8"/>
  <c r="K43" i="8"/>
  <c r="M43" i="8"/>
  <c r="N43" i="8"/>
  <c r="O43" i="8"/>
  <c r="P43" i="8"/>
  <c r="Q43" i="8"/>
  <c r="R43" i="8"/>
  <c r="I44" i="8"/>
  <c r="J44" i="8"/>
  <c r="K44" i="8"/>
  <c r="L44" i="8"/>
  <c r="N44" i="8"/>
  <c r="O44" i="8"/>
  <c r="P44" i="8"/>
  <c r="Q44" i="8"/>
  <c r="R44" i="8"/>
  <c r="I45" i="8"/>
  <c r="J45" i="8"/>
  <c r="K45" i="8"/>
  <c r="M45" i="8"/>
  <c r="N45" i="8"/>
  <c r="O45" i="8"/>
  <c r="P45" i="8"/>
  <c r="Q45" i="8"/>
  <c r="R45" i="8"/>
  <c r="I46" i="8"/>
  <c r="J46" i="8"/>
  <c r="K46" i="8"/>
  <c r="M46" i="8"/>
  <c r="N46" i="8"/>
  <c r="O46" i="8"/>
  <c r="P46" i="8"/>
  <c r="Q46" i="8"/>
  <c r="R46" i="8"/>
  <c r="J47" i="8"/>
  <c r="K47" i="8"/>
  <c r="L47" i="8"/>
  <c r="M47" i="8"/>
  <c r="O47" i="8"/>
  <c r="P47" i="8"/>
  <c r="Q47" i="8"/>
  <c r="R47" i="8"/>
  <c r="I48" i="8"/>
  <c r="J48" i="8"/>
  <c r="L48" i="8"/>
  <c r="N48" i="8"/>
  <c r="O48" i="8"/>
  <c r="P48" i="8"/>
  <c r="Q48" i="8"/>
  <c r="R48" i="8"/>
  <c r="I49" i="8"/>
  <c r="J49" i="8"/>
  <c r="K49" i="8"/>
  <c r="N49" i="8"/>
  <c r="O49" i="8"/>
  <c r="P49" i="8"/>
  <c r="Q49" i="8"/>
  <c r="R49" i="8"/>
  <c r="I50" i="8"/>
  <c r="J50" i="8"/>
  <c r="K50" i="8"/>
  <c r="L50" i="8"/>
  <c r="M50" i="8"/>
  <c r="O50" i="8"/>
  <c r="P50" i="8"/>
  <c r="Q50" i="8"/>
  <c r="R50" i="8"/>
  <c r="I51" i="8"/>
  <c r="J51" i="8"/>
  <c r="K51" i="8"/>
  <c r="L51" i="8"/>
  <c r="N51" i="8"/>
  <c r="P51" i="8"/>
  <c r="Q51" i="8"/>
  <c r="R51" i="8"/>
  <c r="J52" i="8"/>
  <c r="K52" i="8"/>
  <c r="L52" i="8"/>
  <c r="M52" i="8"/>
  <c r="N52" i="8"/>
  <c r="O52" i="8"/>
  <c r="P52" i="8"/>
  <c r="Q52" i="8"/>
  <c r="R52" i="8"/>
  <c r="K35" i="8"/>
  <c r="N35" i="8"/>
  <c r="O35" i="8"/>
  <c r="P35" i="8"/>
  <c r="Q35" i="8"/>
  <c r="R35" i="8"/>
  <c r="I11" i="8"/>
  <c r="J11" i="8"/>
  <c r="K11" i="8"/>
  <c r="L11" i="8"/>
  <c r="M11" i="8"/>
  <c r="N11" i="8"/>
  <c r="O11" i="8"/>
  <c r="P11" i="8"/>
  <c r="Q11" i="8"/>
  <c r="R11" i="8"/>
  <c r="I12" i="8"/>
  <c r="J12" i="8"/>
  <c r="K12" i="8"/>
  <c r="L12" i="8"/>
  <c r="N12" i="8"/>
  <c r="P12" i="8"/>
  <c r="Q12" i="8"/>
  <c r="R12" i="8"/>
  <c r="I13" i="8"/>
  <c r="K13" i="8"/>
  <c r="L13" i="8"/>
  <c r="M13" i="8"/>
  <c r="N13" i="8"/>
  <c r="P13" i="8"/>
  <c r="Q13" i="8"/>
  <c r="I14" i="8"/>
  <c r="J14" i="8"/>
  <c r="K14" i="8"/>
  <c r="L14" i="8"/>
  <c r="N14" i="8"/>
  <c r="O14" i="8"/>
  <c r="P14" i="8"/>
  <c r="Q14" i="8"/>
  <c r="R14" i="8"/>
  <c r="I15" i="8"/>
  <c r="J15" i="8"/>
  <c r="K15" i="8"/>
  <c r="N15" i="8"/>
  <c r="O15" i="8"/>
  <c r="P15" i="8"/>
  <c r="Q15" i="8"/>
  <c r="R15" i="8"/>
  <c r="I16" i="8"/>
  <c r="J16" i="8"/>
  <c r="K16" i="8"/>
  <c r="L16" i="8"/>
  <c r="M16" i="8"/>
  <c r="O16" i="8"/>
  <c r="P16" i="8"/>
  <c r="Q16" i="8"/>
  <c r="R16" i="8"/>
  <c r="I17" i="8"/>
  <c r="J17" i="8"/>
  <c r="K17" i="8"/>
  <c r="L17" i="8"/>
  <c r="N17" i="8"/>
  <c r="Q17" i="8"/>
  <c r="R17" i="8"/>
  <c r="I18" i="8"/>
  <c r="J18" i="8"/>
  <c r="K18" i="8"/>
  <c r="L18" i="8"/>
  <c r="N18" i="8"/>
  <c r="O18" i="8"/>
  <c r="P18" i="8"/>
  <c r="Q18" i="8"/>
  <c r="R18" i="8"/>
  <c r="I19" i="8"/>
  <c r="J19" i="8"/>
  <c r="K19" i="8"/>
  <c r="L19" i="8"/>
  <c r="M19" i="8"/>
  <c r="N19" i="8"/>
  <c r="O19" i="8"/>
  <c r="P19" i="8"/>
  <c r="Q19" i="8"/>
  <c r="R19" i="8"/>
  <c r="K20" i="8"/>
  <c r="M20" i="8"/>
  <c r="O20" i="8"/>
  <c r="P20" i="8"/>
  <c r="Q20" i="8"/>
  <c r="R20" i="8"/>
  <c r="J21" i="8"/>
  <c r="K21" i="8"/>
  <c r="L21" i="8"/>
  <c r="M21" i="8"/>
  <c r="N21" i="8"/>
  <c r="O21" i="8"/>
  <c r="P21" i="8"/>
  <c r="Q21" i="8"/>
  <c r="R21" i="8"/>
  <c r="J22" i="8"/>
  <c r="M22" i="8"/>
  <c r="N22" i="8"/>
  <c r="O22" i="8"/>
  <c r="P22" i="8"/>
  <c r="Q22" i="8"/>
  <c r="R22" i="8"/>
  <c r="J23" i="8"/>
  <c r="K23" i="8"/>
  <c r="L23" i="8"/>
  <c r="M23" i="8"/>
  <c r="O23" i="8"/>
  <c r="P23" i="8"/>
  <c r="Q23" i="8"/>
  <c r="R23" i="8"/>
  <c r="I24" i="8"/>
  <c r="J24" i="8"/>
  <c r="K24" i="8"/>
  <c r="M24" i="8"/>
  <c r="N24" i="8"/>
  <c r="P24" i="8"/>
  <c r="Q24" i="8"/>
  <c r="R24" i="8"/>
  <c r="I25" i="8"/>
  <c r="L25" i="8"/>
  <c r="P25" i="8"/>
  <c r="Q25" i="8"/>
  <c r="R25" i="8"/>
  <c r="K26" i="8"/>
  <c r="L26" i="8"/>
  <c r="N26" i="8"/>
  <c r="O26" i="8"/>
  <c r="P26" i="8"/>
  <c r="R26" i="8"/>
  <c r="I27" i="8"/>
  <c r="J27" i="8"/>
  <c r="K27" i="8"/>
  <c r="L27" i="8"/>
  <c r="M27" i="8"/>
  <c r="N27" i="8"/>
  <c r="O27" i="8"/>
  <c r="P27" i="8"/>
  <c r="R27" i="8"/>
  <c r="I28" i="8"/>
  <c r="J28" i="8"/>
  <c r="K28" i="8"/>
  <c r="L28" i="8"/>
  <c r="M28" i="8"/>
  <c r="O28" i="8"/>
  <c r="Q28" i="8"/>
  <c r="R28" i="8"/>
  <c r="J4" i="8"/>
  <c r="K4" i="8"/>
  <c r="L4" i="8"/>
  <c r="M4" i="8"/>
  <c r="N4" i="8"/>
  <c r="O4" i="8"/>
  <c r="P4" i="8"/>
  <c r="Q4" i="8"/>
  <c r="R4" i="8"/>
  <c r="K115" i="5"/>
  <c r="L115" i="5"/>
  <c r="M115" i="5"/>
  <c r="N115" i="5"/>
  <c r="O115" i="5"/>
  <c r="P115" i="5"/>
  <c r="Q115" i="5"/>
  <c r="R115" i="5"/>
  <c r="S115" i="5"/>
  <c r="T115" i="5"/>
  <c r="K116" i="5"/>
  <c r="L116" i="5"/>
  <c r="M116" i="5"/>
  <c r="N116" i="5"/>
  <c r="O116" i="5"/>
  <c r="P116" i="5"/>
  <c r="Q116" i="5"/>
  <c r="R116" i="5"/>
  <c r="S116" i="5"/>
  <c r="T116" i="5"/>
  <c r="R117" i="5"/>
  <c r="S117" i="5"/>
  <c r="K118" i="5"/>
  <c r="L118" i="5"/>
  <c r="M118" i="5"/>
  <c r="N118" i="5"/>
  <c r="O118" i="5"/>
  <c r="P118" i="5"/>
  <c r="Q118" i="5"/>
  <c r="R118" i="5"/>
  <c r="S118" i="5"/>
  <c r="T118" i="5"/>
  <c r="K119" i="5"/>
  <c r="L119" i="5"/>
  <c r="N119" i="5"/>
  <c r="O119" i="5"/>
  <c r="P119" i="5"/>
  <c r="Q119" i="5"/>
  <c r="R119" i="5"/>
  <c r="S119" i="5"/>
  <c r="T119" i="5"/>
  <c r="K120" i="5"/>
  <c r="L120" i="5"/>
  <c r="M120" i="5"/>
  <c r="N120" i="5"/>
  <c r="O120" i="5"/>
  <c r="P120" i="5"/>
  <c r="Q120" i="5"/>
  <c r="R120" i="5"/>
  <c r="S120" i="5"/>
  <c r="T120" i="5"/>
  <c r="K121" i="5"/>
  <c r="L121" i="5"/>
  <c r="N121" i="5"/>
  <c r="O121" i="5"/>
  <c r="P121" i="5"/>
  <c r="Q121" i="5"/>
  <c r="R121" i="5"/>
  <c r="S121" i="5"/>
  <c r="T121" i="5"/>
  <c r="K122" i="5"/>
  <c r="L122" i="5"/>
  <c r="N122" i="5"/>
  <c r="O122" i="5"/>
  <c r="P122" i="5"/>
  <c r="Q122" i="5"/>
  <c r="R122" i="5"/>
  <c r="S122" i="5"/>
  <c r="T122" i="5"/>
  <c r="K123" i="5"/>
  <c r="L123" i="5"/>
  <c r="M123" i="5"/>
  <c r="N123" i="5"/>
  <c r="O123" i="5"/>
  <c r="P123" i="5"/>
  <c r="Q123" i="5"/>
  <c r="R123" i="5"/>
  <c r="S123" i="5"/>
  <c r="T123" i="5"/>
  <c r="K124" i="5"/>
  <c r="L124" i="5"/>
  <c r="M124" i="5"/>
  <c r="P124" i="5"/>
  <c r="Q124" i="5"/>
  <c r="R124" i="5"/>
  <c r="S124" i="5"/>
  <c r="T124" i="5"/>
  <c r="K125" i="5"/>
  <c r="L125" i="5"/>
  <c r="M125" i="5"/>
  <c r="N125" i="5"/>
  <c r="O125" i="5"/>
  <c r="Q125" i="5"/>
  <c r="R125" i="5"/>
  <c r="S125" i="5"/>
  <c r="T125" i="5"/>
  <c r="M126" i="5"/>
  <c r="N126" i="5"/>
  <c r="O126" i="5"/>
  <c r="P126" i="5"/>
  <c r="Q126" i="5"/>
  <c r="R126" i="5"/>
  <c r="S126" i="5"/>
  <c r="T126" i="5"/>
  <c r="K127" i="5"/>
  <c r="L127" i="5"/>
  <c r="M127" i="5"/>
  <c r="N127" i="5"/>
  <c r="P127" i="5"/>
  <c r="Q127" i="5"/>
  <c r="R127" i="5"/>
  <c r="S127" i="5"/>
  <c r="T127" i="5"/>
  <c r="K128" i="5"/>
  <c r="L128" i="5"/>
  <c r="M128" i="5"/>
  <c r="R128" i="5"/>
  <c r="S128" i="5"/>
  <c r="T128" i="5"/>
  <c r="K129" i="5"/>
  <c r="L129" i="5"/>
  <c r="M129" i="5"/>
  <c r="O129" i="5"/>
  <c r="R129" i="5"/>
  <c r="S129" i="5"/>
  <c r="T129" i="5"/>
  <c r="K130" i="5"/>
  <c r="L130" i="5"/>
  <c r="M130" i="5"/>
  <c r="N130" i="5"/>
  <c r="P130" i="5"/>
  <c r="R130" i="5"/>
  <c r="S130" i="5"/>
  <c r="T130" i="5"/>
  <c r="K131" i="5"/>
  <c r="L131" i="5"/>
  <c r="M131" i="5"/>
  <c r="N131" i="5"/>
  <c r="P131" i="5"/>
  <c r="Q131" i="5"/>
  <c r="R131" i="5"/>
  <c r="S131" i="5"/>
  <c r="T131" i="5"/>
  <c r="K132" i="5"/>
  <c r="L132" i="5"/>
  <c r="M132" i="5"/>
  <c r="N132" i="5"/>
  <c r="O132" i="5"/>
  <c r="Q132" i="5"/>
  <c r="R132" i="5"/>
  <c r="S132" i="5"/>
  <c r="T132" i="5"/>
  <c r="K133" i="5"/>
  <c r="L133" i="5"/>
  <c r="M133" i="5"/>
  <c r="O133" i="5"/>
  <c r="P133" i="5"/>
  <c r="Q133" i="5"/>
  <c r="R133" i="5"/>
  <c r="S133" i="5"/>
  <c r="T133" i="5"/>
  <c r="L91" i="5"/>
  <c r="M91" i="5"/>
  <c r="N91" i="5"/>
  <c r="O91" i="5"/>
  <c r="P91" i="5"/>
  <c r="Q91" i="5"/>
  <c r="R91" i="5"/>
  <c r="S91" i="5"/>
  <c r="T91" i="5"/>
  <c r="L92" i="5"/>
  <c r="M92" i="5"/>
  <c r="N92" i="5"/>
  <c r="O92" i="5"/>
  <c r="P92" i="5"/>
  <c r="Q92" i="5"/>
  <c r="R92" i="5"/>
  <c r="S92" i="5"/>
  <c r="T92" i="5"/>
  <c r="K93" i="5"/>
  <c r="L93" i="5"/>
  <c r="M93" i="5"/>
  <c r="R93" i="5"/>
  <c r="S93" i="5"/>
  <c r="T93" i="5"/>
  <c r="L94" i="5"/>
  <c r="M94" i="5"/>
  <c r="N94" i="5"/>
  <c r="O94" i="5"/>
  <c r="P94" i="5"/>
  <c r="Q94" i="5"/>
  <c r="R94" i="5"/>
  <c r="S94" i="5"/>
  <c r="T94" i="5"/>
  <c r="L95" i="5"/>
  <c r="M95" i="5"/>
  <c r="N95" i="5"/>
  <c r="O95" i="5"/>
  <c r="P95" i="5"/>
  <c r="Q95" i="5"/>
  <c r="R95" i="5"/>
  <c r="S95" i="5"/>
  <c r="T95" i="5"/>
  <c r="L96" i="5"/>
  <c r="M96" i="5"/>
  <c r="N96" i="5"/>
  <c r="O96" i="5"/>
  <c r="P96" i="5"/>
  <c r="Q96" i="5"/>
  <c r="R96" i="5"/>
  <c r="S96" i="5"/>
  <c r="T96" i="5"/>
  <c r="K97" i="5"/>
  <c r="L97" i="5"/>
  <c r="M97" i="5"/>
  <c r="N97" i="5"/>
  <c r="P97" i="5"/>
  <c r="Q97" i="5"/>
  <c r="R97" i="5"/>
  <c r="S97" i="5"/>
  <c r="T97" i="5"/>
  <c r="L98" i="5"/>
  <c r="M98" i="5"/>
  <c r="O98" i="5"/>
  <c r="Q98" i="5"/>
  <c r="R98" i="5"/>
  <c r="S98" i="5"/>
  <c r="T98" i="5"/>
  <c r="L86" i="5"/>
  <c r="P86" i="5"/>
  <c r="Q86" i="5"/>
  <c r="R86" i="5"/>
  <c r="S86" i="5"/>
  <c r="T86" i="5"/>
  <c r="K87" i="5"/>
  <c r="L87" i="5"/>
  <c r="M87" i="5"/>
  <c r="P87" i="5"/>
  <c r="Q87" i="5"/>
  <c r="R87" i="5"/>
  <c r="S87" i="5"/>
  <c r="T87" i="5"/>
  <c r="K88" i="5"/>
  <c r="L88" i="5"/>
  <c r="M88" i="5"/>
  <c r="N88" i="5"/>
  <c r="Q88" i="5"/>
  <c r="R88" i="5"/>
  <c r="S88" i="5"/>
  <c r="T88" i="5"/>
  <c r="K81" i="5"/>
  <c r="L81" i="5"/>
  <c r="M81" i="5"/>
  <c r="Q81" i="5"/>
  <c r="R81" i="5"/>
  <c r="S81" i="5"/>
  <c r="T81" i="5"/>
  <c r="M82" i="5"/>
  <c r="N82" i="5"/>
  <c r="P82" i="5"/>
  <c r="Q82" i="5"/>
  <c r="R82" i="5"/>
  <c r="S82" i="5"/>
  <c r="T82" i="5"/>
  <c r="L74" i="5"/>
  <c r="M74" i="5"/>
  <c r="N74" i="5"/>
  <c r="O74" i="5"/>
  <c r="P74" i="5"/>
  <c r="Q74" i="5"/>
  <c r="R74" i="5"/>
  <c r="S74" i="5"/>
  <c r="T74" i="5"/>
  <c r="K50" i="5"/>
  <c r="L50" i="5"/>
  <c r="M50" i="5"/>
  <c r="N50" i="5"/>
  <c r="O50" i="5"/>
  <c r="Q50" i="5"/>
  <c r="R50" i="5"/>
  <c r="S50" i="5"/>
  <c r="T50" i="5"/>
  <c r="K51" i="5"/>
  <c r="L51" i="5"/>
  <c r="M51" i="5"/>
  <c r="N51" i="5"/>
  <c r="P51" i="5"/>
  <c r="R51" i="5"/>
  <c r="S51" i="5"/>
  <c r="T51" i="5"/>
  <c r="L52" i="5"/>
  <c r="M52" i="5"/>
  <c r="N52" i="5"/>
  <c r="O52" i="5"/>
  <c r="P52" i="5"/>
  <c r="Q52" i="5"/>
  <c r="R52" i="5"/>
  <c r="S52" i="5"/>
  <c r="T52" i="5"/>
  <c r="L53" i="5"/>
  <c r="N53" i="5"/>
  <c r="O53" i="5"/>
  <c r="P53" i="5"/>
  <c r="R53" i="5"/>
  <c r="S53" i="5"/>
  <c r="T53" i="5"/>
  <c r="K54" i="5"/>
  <c r="L54" i="5"/>
  <c r="M54" i="5"/>
  <c r="N54" i="5"/>
  <c r="O54" i="5"/>
  <c r="P54" i="5"/>
  <c r="Q54" i="5"/>
  <c r="R54" i="5"/>
  <c r="S54" i="5"/>
  <c r="T54" i="5"/>
  <c r="K55" i="5"/>
  <c r="L55" i="5"/>
  <c r="M55" i="5"/>
  <c r="N55" i="5"/>
  <c r="P55" i="5"/>
  <c r="Q55" i="5"/>
  <c r="R55" i="5"/>
  <c r="S55" i="5"/>
  <c r="T55" i="5"/>
  <c r="K56" i="5"/>
  <c r="L56" i="5"/>
  <c r="M56" i="5"/>
  <c r="O56" i="5"/>
  <c r="P56" i="5"/>
  <c r="Q56" i="5"/>
  <c r="R56" i="5"/>
  <c r="S56" i="5"/>
  <c r="T56" i="5"/>
  <c r="K57" i="5"/>
  <c r="L57" i="5"/>
  <c r="N57" i="5"/>
  <c r="R57" i="5"/>
  <c r="S57" i="5"/>
  <c r="T57" i="5"/>
  <c r="K58" i="5"/>
  <c r="M58" i="5"/>
  <c r="N58" i="5"/>
  <c r="O58" i="5"/>
  <c r="P58" i="5"/>
  <c r="Q58" i="5"/>
  <c r="R58" i="5"/>
  <c r="S58" i="5"/>
  <c r="T58" i="5"/>
  <c r="K59" i="5"/>
  <c r="L59" i="5"/>
  <c r="M59" i="5"/>
  <c r="N59" i="5"/>
  <c r="O59" i="5"/>
  <c r="P59" i="5"/>
  <c r="Q59" i="5"/>
  <c r="R59" i="5"/>
  <c r="S59" i="5"/>
  <c r="T59" i="5"/>
  <c r="K44" i="5"/>
  <c r="L44" i="5"/>
  <c r="M44" i="5"/>
  <c r="N44" i="5"/>
  <c r="P44" i="5"/>
  <c r="Q44" i="5"/>
  <c r="R44" i="5"/>
  <c r="S44" i="5"/>
  <c r="T44" i="5"/>
  <c r="K45" i="5"/>
  <c r="L45" i="5"/>
  <c r="M45" i="5"/>
  <c r="O45" i="5"/>
  <c r="P45" i="5"/>
  <c r="Q45" i="5"/>
  <c r="R45" i="5"/>
  <c r="S45" i="5"/>
  <c r="T45" i="5"/>
  <c r="K46" i="5"/>
  <c r="L46" i="5"/>
  <c r="M46" i="5"/>
  <c r="O46" i="5"/>
  <c r="P46" i="5"/>
  <c r="Q46" i="5"/>
  <c r="R46" i="5"/>
  <c r="S46" i="5"/>
  <c r="T46" i="5"/>
  <c r="L47" i="5"/>
  <c r="M47" i="5"/>
  <c r="N47" i="5"/>
  <c r="O47" i="5"/>
  <c r="Q47" i="5"/>
  <c r="R47" i="5"/>
  <c r="S47" i="5"/>
  <c r="T47" i="5"/>
  <c r="S6" i="8"/>
  <c r="S32" i="8"/>
  <c r="U29" i="5"/>
  <c r="U32" i="5"/>
  <c r="U172" i="5"/>
  <c r="U204" i="5"/>
  <c r="U6" i="5"/>
  <c r="U13" i="5"/>
  <c r="U18" i="5"/>
  <c r="U4" i="5"/>
  <c r="K19" i="5"/>
  <c r="L19" i="5"/>
  <c r="M19" i="5"/>
  <c r="N19" i="5"/>
  <c r="O19" i="5"/>
  <c r="P19" i="5"/>
  <c r="Q19" i="5"/>
  <c r="R19" i="5"/>
  <c r="S19" i="5"/>
  <c r="T19" i="5"/>
  <c r="M20" i="5"/>
  <c r="O20" i="5"/>
  <c r="Q20" i="5"/>
  <c r="R20" i="5"/>
  <c r="S20" i="5"/>
  <c r="T20" i="5"/>
  <c r="J178" i="5" l="1"/>
  <c r="I178" i="5"/>
  <c r="K178" i="5" s="1"/>
  <c r="G159" i="8"/>
  <c r="H159" i="8"/>
  <c r="G178" i="8"/>
  <c r="H178" i="8"/>
  <c r="S161" i="7"/>
  <c r="T161" i="7"/>
  <c r="S161" i="4"/>
  <c r="T161" i="4"/>
  <c r="C109" i="7"/>
  <c r="J109" i="7"/>
  <c r="K109" i="7"/>
  <c r="Q109" i="7"/>
  <c r="R109" i="7"/>
  <c r="K109" i="5"/>
  <c r="M109" i="5"/>
  <c r="N109" i="5"/>
  <c r="O109" i="5"/>
  <c r="P109" i="5"/>
  <c r="Q109" i="5"/>
  <c r="R109" i="5"/>
  <c r="S109" i="5"/>
  <c r="T109" i="5"/>
  <c r="C109" i="4"/>
  <c r="J109" i="4"/>
  <c r="K109" i="4"/>
  <c r="Q109" i="4"/>
  <c r="R109" i="4"/>
  <c r="V109" i="4"/>
  <c r="W109" i="4" s="1"/>
  <c r="E110" i="2"/>
  <c r="H109" i="7" s="1"/>
  <c r="C43" i="7"/>
  <c r="J43" i="7"/>
  <c r="K43" i="7"/>
  <c r="K43" i="5"/>
  <c r="L43" i="5"/>
  <c r="M43" i="5"/>
  <c r="O43" i="5"/>
  <c r="P43" i="5"/>
  <c r="Q43" i="5"/>
  <c r="R43" i="5"/>
  <c r="S43" i="5"/>
  <c r="T43" i="5"/>
  <c r="C43" i="4"/>
  <c r="J43" i="4"/>
  <c r="K43" i="4"/>
  <c r="V43" i="4"/>
  <c r="W43" i="4" s="1"/>
  <c r="E44" i="2"/>
  <c r="H43" i="7" s="1"/>
  <c r="C71" i="7"/>
  <c r="H71" i="7"/>
  <c r="I71" i="7"/>
  <c r="K71" i="5"/>
  <c r="L71" i="5"/>
  <c r="M71" i="5"/>
  <c r="O71" i="5"/>
  <c r="P71" i="5"/>
  <c r="Q71" i="5"/>
  <c r="R71" i="5"/>
  <c r="S71" i="5"/>
  <c r="T71" i="5"/>
  <c r="C71" i="4"/>
  <c r="H71" i="4"/>
  <c r="I71" i="4"/>
  <c r="V71" i="4"/>
  <c r="D71" i="5" s="1"/>
  <c r="E72" i="2"/>
  <c r="G71" i="7" s="1"/>
  <c r="P178" i="5" l="1"/>
  <c r="I178" i="8"/>
  <c r="N178" i="8"/>
  <c r="U161" i="7"/>
  <c r="V161" i="7" s="1"/>
  <c r="W161" i="7" s="1"/>
  <c r="D161" i="8" s="1"/>
  <c r="U161" i="4"/>
  <c r="X161" i="4" s="1"/>
  <c r="Y161" i="4" s="1"/>
  <c r="P71" i="4"/>
  <c r="P71" i="7"/>
  <c r="G109" i="7"/>
  <c r="P43" i="4"/>
  <c r="H109" i="4"/>
  <c r="P43" i="7"/>
  <c r="G71" i="4"/>
  <c r="G109" i="4"/>
  <c r="I43" i="4"/>
  <c r="H43" i="4"/>
  <c r="I43" i="7"/>
  <c r="D109" i="5"/>
  <c r="D43" i="5"/>
  <c r="W71" i="4"/>
  <c r="I163" i="8"/>
  <c r="J163" i="8"/>
  <c r="K163" i="8"/>
  <c r="M163" i="8"/>
  <c r="N163" i="8"/>
  <c r="P163" i="8"/>
  <c r="Q163" i="8"/>
  <c r="R163" i="8"/>
  <c r="C163" i="7"/>
  <c r="H163" i="7"/>
  <c r="I163" i="7"/>
  <c r="J163" i="7"/>
  <c r="K163" i="7"/>
  <c r="K163" i="5"/>
  <c r="L163" i="5"/>
  <c r="M163" i="5"/>
  <c r="O163" i="5"/>
  <c r="P163" i="5"/>
  <c r="R163" i="5"/>
  <c r="S163" i="5"/>
  <c r="T163" i="5"/>
  <c r="C163" i="4"/>
  <c r="H163" i="4"/>
  <c r="I163" i="4"/>
  <c r="J163" i="4"/>
  <c r="K163" i="4"/>
  <c r="V163" i="4"/>
  <c r="W163" i="4" s="1"/>
  <c r="E164" i="2"/>
  <c r="C141" i="7"/>
  <c r="Q141" i="7"/>
  <c r="R141" i="7"/>
  <c r="K141" i="5"/>
  <c r="L141" i="5"/>
  <c r="M141" i="5"/>
  <c r="N141" i="5"/>
  <c r="P141" i="5"/>
  <c r="Q141" i="5"/>
  <c r="R141" i="5"/>
  <c r="S141" i="5"/>
  <c r="T141" i="5"/>
  <c r="C141" i="4"/>
  <c r="Q141" i="4"/>
  <c r="R141" i="4"/>
  <c r="V141" i="4"/>
  <c r="W141" i="4" s="1"/>
  <c r="E142" i="2"/>
  <c r="G141" i="7" s="1"/>
  <c r="C139" i="7"/>
  <c r="H139" i="7"/>
  <c r="I139" i="7"/>
  <c r="J139" i="7"/>
  <c r="K139" i="7"/>
  <c r="Q139" i="7"/>
  <c r="R139" i="7"/>
  <c r="K139" i="5"/>
  <c r="L139" i="5"/>
  <c r="M139" i="5"/>
  <c r="N139" i="5"/>
  <c r="P139" i="5"/>
  <c r="Q139" i="5"/>
  <c r="R139" i="5"/>
  <c r="S139" i="5"/>
  <c r="T139" i="5"/>
  <c r="C139" i="4"/>
  <c r="H139" i="4"/>
  <c r="I139" i="4"/>
  <c r="J139" i="4"/>
  <c r="K139" i="4"/>
  <c r="Q139" i="4"/>
  <c r="R139" i="4"/>
  <c r="V139" i="4"/>
  <c r="D139" i="5" s="1"/>
  <c r="E140" i="2"/>
  <c r="G139" i="4" s="1"/>
  <c r="C138" i="7"/>
  <c r="H138" i="7"/>
  <c r="I138" i="7"/>
  <c r="J138" i="7"/>
  <c r="K138" i="7"/>
  <c r="K138" i="5"/>
  <c r="L138" i="5"/>
  <c r="M138" i="5"/>
  <c r="O138" i="5"/>
  <c r="P138" i="5"/>
  <c r="R138" i="5"/>
  <c r="S138" i="5"/>
  <c r="T138" i="5"/>
  <c r="C138" i="4"/>
  <c r="H138" i="4"/>
  <c r="I138" i="4"/>
  <c r="J138" i="4"/>
  <c r="K138" i="4"/>
  <c r="V138" i="4"/>
  <c r="D138" i="5" s="1"/>
  <c r="E139" i="2"/>
  <c r="C136" i="7"/>
  <c r="H136" i="7"/>
  <c r="I136" i="7"/>
  <c r="J136" i="7"/>
  <c r="K136" i="7"/>
  <c r="Q136" i="7"/>
  <c r="R136" i="7"/>
  <c r="K136" i="5"/>
  <c r="L136" i="5"/>
  <c r="M136" i="5"/>
  <c r="N136" i="5"/>
  <c r="O136" i="5"/>
  <c r="P136" i="5"/>
  <c r="R136" i="5"/>
  <c r="S136" i="5"/>
  <c r="T136" i="5"/>
  <c r="C136" i="4"/>
  <c r="H136" i="4"/>
  <c r="I136" i="4"/>
  <c r="J136" i="4"/>
  <c r="K136" i="4"/>
  <c r="Q136" i="4"/>
  <c r="R136" i="4"/>
  <c r="V136" i="4"/>
  <c r="D136" i="5" s="1"/>
  <c r="E137" i="2"/>
  <c r="C123" i="7"/>
  <c r="H123" i="7"/>
  <c r="I123" i="7"/>
  <c r="J123" i="7"/>
  <c r="K123" i="7"/>
  <c r="Q123" i="7"/>
  <c r="R123" i="7"/>
  <c r="C123" i="4"/>
  <c r="H123" i="4"/>
  <c r="I123" i="4"/>
  <c r="J123" i="4"/>
  <c r="K123" i="4"/>
  <c r="Q123" i="4"/>
  <c r="R123" i="4"/>
  <c r="V123" i="4"/>
  <c r="W123" i="4" s="1"/>
  <c r="E124" i="2"/>
  <c r="C120" i="7"/>
  <c r="H120" i="7"/>
  <c r="I120" i="7"/>
  <c r="J120" i="7"/>
  <c r="K120" i="7"/>
  <c r="Q120" i="7"/>
  <c r="R120" i="7"/>
  <c r="C120" i="4"/>
  <c r="H120" i="4"/>
  <c r="I120" i="4"/>
  <c r="J120" i="4"/>
  <c r="K120" i="4"/>
  <c r="Q120" i="4"/>
  <c r="R120" i="4"/>
  <c r="V120" i="4"/>
  <c r="W120" i="4" s="1"/>
  <c r="E121" i="2"/>
  <c r="E104" i="2"/>
  <c r="I103" i="8"/>
  <c r="J103" i="8"/>
  <c r="K103" i="8"/>
  <c r="L103" i="8"/>
  <c r="N103" i="8"/>
  <c r="O103" i="8"/>
  <c r="P103" i="8"/>
  <c r="Q103" i="8"/>
  <c r="R103" i="8"/>
  <c r="C103" i="7"/>
  <c r="H103" i="7"/>
  <c r="I103" i="7"/>
  <c r="J103" i="7"/>
  <c r="K103" i="7"/>
  <c r="Q103" i="7"/>
  <c r="R103" i="7"/>
  <c r="K103" i="5"/>
  <c r="L103" i="5"/>
  <c r="M103" i="5"/>
  <c r="N103" i="5"/>
  <c r="P103" i="5"/>
  <c r="Q103" i="5"/>
  <c r="R103" i="5"/>
  <c r="S103" i="5"/>
  <c r="T103" i="5"/>
  <c r="C103" i="4"/>
  <c r="H103" i="4"/>
  <c r="I103" i="4"/>
  <c r="J103" i="4"/>
  <c r="K103" i="4"/>
  <c r="Q103" i="4"/>
  <c r="R103" i="4"/>
  <c r="V103" i="4"/>
  <c r="W103" i="4" s="1"/>
  <c r="I165" i="8"/>
  <c r="J165" i="8"/>
  <c r="K165" i="8"/>
  <c r="L165" i="8"/>
  <c r="M165" i="8"/>
  <c r="N165" i="8"/>
  <c r="O165" i="8"/>
  <c r="P165" i="8"/>
  <c r="Q165" i="8"/>
  <c r="C165" i="7"/>
  <c r="H165" i="7"/>
  <c r="I165" i="7"/>
  <c r="J165" i="7"/>
  <c r="K165" i="7"/>
  <c r="Q165" i="7"/>
  <c r="R165" i="7"/>
  <c r="K165" i="5"/>
  <c r="L165" i="5"/>
  <c r="M165" i="5"/>
  <c r="N165" i="5"/>
  <c r="O165" i="5"/>
  <c r="P165" i="5"/>
  <c r="Q165" i="5"/>
  <c r="R165" i="5"/>
  <c r="S165" i="5"/>
  <c r="C165" i="4"/>
  <c r="H165" i="4"/>
  <c r="I165" i="4"/>
  <c r="J165" i="4"/>
  <c r="K165" i="4"/>
  <c r="Q165" i="4"/>
  <c r="R165" i="4"/>
  <c r="V165" i="4"/>
  <c r="W165" i="4" s="1"/>
  <c r="E166" i="2"/>
  <c r="P165" i="4" s="1"/>
  <c r="I164" i="8"/>
  <c r="J164" i="8"/>
  <c r="K164" i="8"/>
  <c r="N164" i="8"/>
  <c r="O164" i="8"/>
  <c r="P164" i="8"/>
  <c r="Q164" i="8"/>
  <c r="R164" i="8"/>
  <c r="C164" i="7"/>
  <c r="H164" i="7"/>
  <c r="I164" i="7"/>
  <c r="J164" i="7"/>
  <c r="K164" i="7"/>
  <c r="Q164" i="7"/>
  <c r="R164" i="7"/>
  <c r="K164" i="5"/>
  <c r="L164" i="5"/>
  <c r="M164" i="5"/>
  <c r="P164" i="5"/>
  <c r="Q164" i="5"/>
  <c r="R164" i="5"/>
  <c r="S164" i="5"/>
  <c r="T164" i="5"/>
  <c r="C164" i="4"/>
  <c r="H164" i="4"/>
  <c r="I164" i="4"/>
  <c r="J164" i="4"/>
  <c r="K164" i="4"/>
  <c r="Q164" i="4"/>
  <c r="R164" i="4"/>
  <c r="V164" i="4"/>
  <c r="W164" i="4" s="1"/>
  <c r="E165" i="2"/>
  <c r="P164" i="4" s="1"/>
  <c r="C151" i="7"/>
  <c r="H151" i="7"/>
  <c r="I151" i="7"/>
  <c r="J151" i="7"/>
  <c r="K151" i="7"/>
  <c r="Q151" i="7"/>
  <c r="R151" i="7"/>
  <c r="K151" i="5"/>
  <c r="L151" i="5"/>
  <c r="M151" i="5"/>
  <c r="P151" i="5"/>
  <c r="Q151" i="5"/>
  <c r="R151" i="5"/>
  <c r="S151" i="5"/>
  <c r="T151" i="5"/>
  <c r="C151" i="4"/>
  <c r="H151" i="4"/>
  <c r="I151" i="4"/>
  <c r="J151" i="4"/>
  <c r="K151" i="4"/>
  <c r="Q151" i="4"/>
  <c r="R151" i="4"/>
  <c r="V151" i="4"/>
  <c r="W151" i="4" s="1"/>
  <c r="E152" i="2"/>
  <c r="P151" i="4" s="1"/>
  <c r="C149" i="7"/>
  <c r="K149" i="5"/>
  <c r="L149" i="5"/>
  <c r="M149" i="5"/>
  <c r="N149" i="5"/>
  <c r="Q149" i="5"/>
  <c r="R149" i="5"/>
  <c r="S149" i="5"/>
  <c r="T149" i="5"/>
  <c r="C149" i="4"/>
  <c r="V149" i="4"/>
  <c r="W149" i="4" s="1"/>
  <c r="E150" i="2"/>
  <c r="P149" i="7" s="1"/>
  <c r="X161" i="7" l="1"/>
  <c r="E161" i="8" s="1"/>
  <c r="S161" i="8" s="1"/>
  <c r="Z161" i="4"/>
  <c r="G161" i="5" s="1"/>
  <c r="F161" i="5"/>
  <c r="P151" i="7"/>
  <c r="P149" i="4"/>
  <c r="I149" i="7"/>
  <c r="G164" i="7"/>
  <c r="G139" i="7"/>
  <c r="I149" i="4"/>
  <c r="H149" i="4"/>
  <c r="G138" i="4"/>
  <c r="H149" i="7"/>
  <c r="G149" i="4"/>
  <c r="G149" i="7"/>
  <c r="P164" i="7"/>
  <c r="P165" i="7"/>
  <c r="G103" i="4"/>
  <c r="G120" i="4"/>
  <c r="G123" i="4"/>
  <c r="G136" i="4"/>
  <c r="G138" i="7"/>
  <c r="G163" i="4"/>
  <c r="G163" i="7"/>
  <c r="G164" i="4"/>
  <c r="G120" i="7"/>
  <c r="G123" i="7"/>
  <c r="H141" i="4"/>
  <c r="G141" i="4"/>
  <c r="G136" i="7"/>
  <c r="H141" i="7"/>
  <c r="L163" i="7"/>
  <c r="L139" i="4"/>
  <c r="L163" i="4"/>
  <c r="D163" i="5"/>
  <c r="M163" i="7"/>
  <c r="M163" i="4"/>
  <c r="D141" i="5"/>
  <c r="W136" i="4"/>
  <c r="L138" i="7"/>
  <c r="W139" i="4"/>
  <c r="L139" i="7"/>
  <c r="M139" i="7"/>
  <c r="M139" i="4"/>
  <c r="L138" i="4"/>
  <c r="W138" i="4"/>
  <c r="M138" i="7"/>
  <c r="M138" i="4"/>
  <c r="L136" i="7"/>
  <c r="L136" i="4"/>
  <c r="M136" i="7"/>
  <c r="M136" i="4"/>
  <c r="M123" i="4"/>
  <c r="L123" i="4"/>
  <c r="M123" i="7"/>
  <c r="D120" i="5"/>
  <c r="L123" i="7"/>
  <c r="D123" i="5"/>
  <c r="M120" i="7"/>
  <c r="L120" i="4"/>
  <c r="L120" i="7"/>
  <c r="M120" i="4"/>
  <c r="L103" i="7"/>
  <c r="D103" i="5"/>
  <c r="L103" i="4"/>
  <c r="G103" i="7"/>
  <c r="M103" i="7"/>
  <c r="M103" i="4"/>
  <c r="M165" i="7"/>
  <c r="D165" i="5"/>
  <c r="L165" i="7"/>
  <c r="L165" i="4"/>
  <c r="M165" i="4"/>
  <c r="D164" i="5"/>
  <c r="L164" i="7"/>
  <c r="L164" i="4"/>
  <c r="M164" i="7"/>
  <c r="M164" i="4"/>
  <c r="L151" i="4"/>
  <c r="D151" i="5"/>
  <c r="L151" i="7"/>
  <c r="M151" i="7"/>
  <c r="M151" i="4"/>
  <c r="D149" i="5"/>
  <c r="H161" i="8" l="1"/>
  <c r="G161" i="8"/>
  <c r="M161" i="8" s="1"/>
  <c r="I161" i="5"/>
  <c r="O161" i="5" s="1"/>
  <c r="J161" i="5"/>
  <c r="U161" i="5"/>
  <c r="N139" i="4"/>
  <c r="N151" i="4"/>
  <c r="N163" i="7"/>
  <c r="N163" i="4"/>
  <c r="N138" i="7"/>
  <c r="N139" i="7"/>
  <c r="N138" i="4"/>
  <c r="N136" i="7"/>
  <c r="N136" i="4"/>
  <c r="N123" i="7"/>
  <c r="N123" i="4"/>
  <c r="N120" i="7"/>
  <c r="N120" i="4"/>
  <c r="N103" i="4"/>
  <c r="N103" i="7"/>
  <c r="N165" i="4"/>
  <c r="N164" i="4"/>
  <c r="N165" i="7"/>
  <c r="N164" i="7"/>
  <c r="N151" i="7"/>
  <c r="C77" i="7" l="1"/>
  <c r="H77" i="7"/>
  <c r="I77" i="7"/>
  <c r="J77" i="7"/>
  <c r="K77" i="7"/>
  <c r="L77" i="5"/>
  <c r="M77" i="5"/>
  <c r="N77" i="5"/>
  <c r="O77" i="5"/>
  <c r="P77" i="5"/>
  <c r="R77" i="5"/>
  <c r="S77" i="5"/>
  <c r="T77" i="5"/>
  <c r="C77" i="4"/>
  <c r="H77" i="4"/>
  <c r="I77" i="4"/>
  <c r="J77" i="4"/>
  <c r="K77" i="4"/>
  <c r="V77" i="4"/>
  <c r="W77" i="4" s="1"/>
  <c r="E78" i="2"/>
  <c r="C75" i="7"/>
  <c r="H75" i="7"/>
  <c r="I75" i="7"/>
  <c r="J75" i="7"/>
  <c r="K75" i="7"/>
  <c r="K75" i="5"/>
  <c r="L75" i="5"/>
  <c r="M75" i="5"/>
  <c r="N75" i="5"/>
  <c r="P75" i="5"/>
  <c r="Q75" i="5"/>
  <c r="R75" i="5"/>
  <c r="S75" i="5"/>
  <c r="T75" i="5"/>
  <c r="C75" i="4"/>
  <c r="H75" i="4"/>
  <c r="I75" i="4"/>
  <c r="J75" i="4"/>
  <c r="K75" i="4"/>
  <c r="V75" i="4"/>
  <c r="D75" i="5" s="1"/>
  <c r="E76" i="2"/>
  <c r="P75" i="7" s="1"/>
  <c r="C135" i="7"/>
  <c r="L135" i="5"/>
  <c r="M135" i="5"/>
  <c r="O135" i="5"/>
  <c r="P135" i="5"/>
  <c r="Q135" i="5"/>
  <c r="R135" i="5"/>
  <c r="S135" i="5"/>
  <c r="T135" i="5"/>
  <c r="C135" i="4"/>
  <c r="V135" i="4"/>
  <c r="W135" i="4" s="1"/>
  <c r="E136" i="2"/>
  <c r="I135" i="7" s="1"/>
  <c r="C72" i="7"/>
  <c r="K72" i="5"/>
  <c r="L72" i="5"/>
  <c r="M72" i="5"/>
  <c r="N72" i="5"/>
  <c r="O72" i="5"/>
  <c r="R72" i="5"/>
  <c r="S72" i="5"/>
  <c r="T72" i="5"/>
  <c r="K73" i="5"/>
  <c r="L73" i="5"/>
  <c r="M73" i="5"/>
  <c r="N73" i="5"/>
  <c r="P73" i="5"/>
  <c r="Q73" i="5"/>
  <c r="R73" i="5"/>
  <c r="S73" i="5"/>
  <c r="T73" i="5"/>
  <c r="C72" i="4"/>
  <c r="V72" i="4"/>
  <c r="W72" i="4" s="1"/>
  <c r="E73" i="2"/>
  <c r="I72" i="7" s="1"/>
  <c r="C68" i="7"/>
  <c r="H68" i="7"/>
  <c r="I68" i="7"/>
  <c r="J68" i="7"/>
  <c r="K68" i="7"/>
  <c r="Q68" i="7"/>
  <c r="R68" i="7"/>
  <c r="K68" i="5"/>
  <c r="L68" i="5"/>
  <c r="M68" i="5"/>
  <c r="P68" i="5"/>
  <c r="Q68" i="5"/>
  <c r="R68" i="5"/>
  <c r="S68" i="5"/>
  <c r="T68" i="5"/>
  <c r="C68" i="4"/>
  <c r="H68" i="4"/>
  <c r="I68" i="4"/>
  <c r="J68" i="4"/>
  <c r="K68" i="4"/>
  <c r="Q68" i="4"/>
  <c r="R68" i="4"/>
  <c r="V68" i="4"/>
  <c r="W68" i="4" s="1"/>
  <c r="E69" i="2"/>
  <c r="G68" i="4" s="1"/>
  <c r="I55" i="8"/>
  <c r="J55" i="8"/>
  <c r="K55" i="8"/>
  <c r="L55" i="8"/>
  <c r="N55" i="8"/>
  <c r="O55" i="8"/>
  <c r="P55" i="8"/>
  <c r="Q55" i="8"/>
  <c r="R55" i="8"/>
  <c r="C55" i="7"/>
  <c r="J55" i="7"/>
  <c r="K55" i="7"/>
  <c r="Q55" i="7"/>
  <c r="R55" i="7"/>
  <c r="C55" i="4"/>
  <c r="J55" i="4"/>
  <c r="K55" i="4"/>
  <c r="Q55" i="4"/>
  <c r="R55" i="4"/>
  <c r="V55" i="4"/>
  <c r="D55" i="5" s="1"/>
  <c r="E56" i="2"/>
  <c r="H55" i="7" s="1"/>
  <c r="J53" i="8"/>
  <c r="L53" i="8"/>
  <c r="M53" i="8"/>
  <c r="N53" i="8"/>
  <c r="P53" i="8"/>
  <c r="Q53" i="8"/>
  <c r="R53" i="8"/>
  <c r="I54" i="8"/>
  <c r="J54" i="8"/>
  <c r="K54" i="8"/>
  <c r="L54" i="8"/>
  <c r="M54" i="8"/>
  <c r="N54" i="8"/>
  <c r="O54" i="8"/>
  <c r="P54" i="8"/>
  <c r="Q54" i="8"/>
  <c r="R54" i="8"/>
  <c r="I56" i="8"/>
  <c r="J56" i="8"/>
  <c r="K56" i="8"/>
  <c r="M56" i="8"/>
  <c r="N56" i="8"/>
  <c r="O56" i="8"/>
  <c r="P56" i="8"/>
  <c r="Q56" i="8"/>
  <c r="R56" i="8"/>
  <c r="C53" i="7"/>
  <c r="H53" i="7"/>
  <c r="I53" i="7"/>
  <c r="C53" i="4"/>
  <c r="H53" i="4"/>
  <c r="I53" i="4"/>
  <c r="V53" i="4"/>
  <c r="D53" i="5" s="1"/>
  <c r="E54" i="2"/>
  <c r="G53" i="4" s="1"/>
  <c r="I173" i="8"/>
  <c r="J173" i="8"/>
  <c r="K173" i="8"/>
  <c r="L173" i="8"/>
  <c r="N173" i="8"/>
  <c r="P173" i="8"/>
  <c r="Q173" i="8"/>
  <c r="R173" i="8"/>
  <c r="C173" i="7"/>
  <c r="H173" i="7"/>
  <c r="I173" i="7"/>
  <c r="J173" i="7"/>
  <c r="K173" i="7"/>
  <c r="Q173" i="7"/>
  <c r="R173" i="7"/>
  <c r="K173" i="5"/>
  <c r="L173" i="5"/>
  <c r="M173" i="5"/>
  <c r="N173" i="5"/>
  <c r="P173" i="5"/>
  <c r="R173" i="5"/>
  <c r="S173" i="5"/>
  <c r="T173" i="5"/>
  <c r="C173" i="4"/>
  <c r="H173" i="4"/>
  <c r="I173" i="4"/>
  <c r="J173" i="4"/>
  <c r="K173" i="4"/>
  <c r="Q173" i="4"/>
  <c r="R173" i="4"/>
  <c r="V173" i="4"/>
  <c r="D173" i="5" s="1"/>
  <c r="E174" i="2"/>
  <c r="P173" i="4" s="1"/>
  <c r="C42" i="7"/>
  <c r="H42" i="7"/>
  <c r="I42" i="7"/>
  <c r="J42" i="7"/>
  <c r="K42" i="7"/>
  <c r="Q42" i="7"/>
  <c r="R42" i="7"/>
  <c r="L42" i="5"/>
  <c r="M42" i="5"/>
  <c r="N42" i="5"/>
  <c r="O42" i="5"/>
  <c r="P42" i="5"/>
  <c r="Q42" i="5"/>
  <c r="R42" i="5"/>
  <c r="S42" i="5"/>
  <c r="T42" i="5"/>
  <c r="C42" i="4"/>
  <c r="H42" i="4"/>
  <c r="I42" i="4"/>
  <c r="J42" i="4"/>
  <c r="K42" i="4"/>
  <c r="Q42" i="4"/>
  <c r="R42" i="4"/>
  <c r="V42" i="4"/>
  <c r="D42" i="5" s="1"/>
  <c r="E43" i="2"/>
  <c r="P42" i="7" s="1"/>
  <c r="I105" i="8"/>
  <c r="K105" i="8"/>
  <c r="L105" i="8"/>
  <c r="M105" i="8"/>
  <c r="N105" i="8"/>
  <c r="O105" i="8"/>
  <c r="P105" i="8"/>
  <c r="Q105" i="8"/>
  <c r="R105" i="8"/>
  <c r="C105" i="7"/>
  <c r="H105" i="7"/>
  <c r="I105" i="7"/>
  <c r="J105" i="7"/>
  <c r="K105" i="7"/>
  <c r="Q105" i="7"/>
  <c r="R105" i="7"/>
  <c r="K105" i="5"/>
  <c r="M105" i="5"/>
  <c r="N105" i="5"/>
  <c r="O105" i="5"/>
  <c r="P105" i="5"/>
  <c r="Q105" i="5"/>
  <c r="R105" i="5"/>
  <c r="S105" i="5"/>
  <c r="T105" i="5"/>
  <c r="C105" i="4"/>
  <c r="H105" i="4"/>
  <c r="I105" i="4"/>
  <c r="J105" i="4"/>
  <c r="K105" i="4"/>
  <c r="Q105" i="4"/>
  <c r="R105" i="4"/>
  <c r="V105" i="4"/>
  <c r="D105" i="5" s="1"/>
  <c r="E106" i="2"/>
  <c r="P105" i="4" s="1"/>
  <c r="I36" i="8"/>
  <c r="J36" i="8"/>
  <c r="K36" i="8"/>
  <c r="L36" i="8"/>
  <c r="P36" i="8"/>
  <c r="Q36" i="8"/>
  <c r="R36" i="8"/>
  <c r="C36" i="7"/>
  <c r="K36" i="5"/>
  <c r="L36" i="5"/>
  <c r="M36" i="5"/>
  <c r="N36" i="5"/>
  <c r="R36" i="5"/>
  <c r="S36" i="5"/>
  <c r="T36" i="5"/>
  <c r="C36" i="4"/>
  <c r="V36" i="4"/>
  <c r="E37" i="2"/>
  <c r="I36" i="7" s="1"/>
  <c r="I176" i="8"/>
  <c r="J176" i="8"/>
  <c r="K176" i="8"/>
  <c r="L176" i="8"/>
  <c r="M176" i="8"/>
  <c r="N176" i="8"/>
  <c r="P176" i="8"/>
  <c r="Q176" i="8"/>
  <c r="R176" i="8"/>
  <c r="C176" i="7"/>
  <c r="J176" i="7"/>
  <c r="K176" i="7"/>
  <c r="K176" i="5"/>
  <c r="L176" i="5"/>
  <c r="M176" i="5"/>
  <c r="N176" i="5"/>
  <c r="O176" i="5"/>
  <c r="P176" i="5"/>
  <c r="R176" i="5"/>
  <c r="S176" i="5"/>
  <c r="T176" i="5"/>
  <c r="C176" i="4"/>
  <c r="J176" i="4"/>
  <c r="K176" i="4"/>
  <c r="V176" i="4"/>
  <c r="W176" i="4" s="1"/>
  <c r="E177" i="2"/>
  <c r="P176" i="7" s="1"/>
  <c r="C79" i="7"/>
  <c r="K79" i="5"/>
  <c r="L79" i="5"/>
  <c r="M79" i="5"/>
  <c r="P79" i="5"/>
  <c r="Q79" i="5"/>
  <c r="R79" i="5"/>
  <c r="S79" i="5"/>
  <c r="T79" i="5"/>
  <c r="C79" i="4"/>
  <c r="V79" i="4"/>
  <c r="W79" i="4" s="1"/>
  <c r="E80" i="2"/>
  <c r="G79" i="4" s="1"/>
  <c r="C148" i="7"/>
  <c r="O148" i="7"/>
  <c r="P148" i="7"/>
  <c r="Q148" i="7"/>
  <c r="R148" i="7"/>
  <c r="K148" i="5"/>
  <c r="L148" i="5"/>
  <c r="M148" i="5"/>
  <c r="N148" i="5"/>
  <c r="O148" i="5"/>
  <c r="P148" i="5"/>
  <c r="Q148" i="5"/>
  <c r="R148" i="5"/>
  <c r="S148" i="5"/>
  <c r="T148" i="5"/>
  <c r="C148" i="4"/>
  <c r="O148" i="4"/>
  <c r="P148" i="4"/>
  <c r="Q148" i="4"/>
  <c r="R148" i="4"/>
  <c r="V148" i="4"/>
  <c r="W148" i="4" s="1"/>
  <c r="E149" i="2"/>
  <c r="H148" i="4" s="1"/>
  <c r="C145" i="7"/>
  <c r="H145" i="7"/>
  <c r="I145" i="7"/>
  <c r="M145" i="5"/>
  <c r="N145" i="5"/>
  <c r="O145" i="5"/>
  <c r="P145" i="5"/>
  <c r="R145" i="5"/>
  <c r="S145" i="5"/>
  <c r="T145" i="5"/>
  <c r="V145" i="4"/>
  <c r="W145" i="4" s="1"/>
  <c r="C145" i="4"/>
  <c r="H145" i="4"/>
  <c r="I145" i="4"/>
  <c r="E146" i="2"/>
  <c r="P145" i="7" s="1"/>
  <c r="C121" i="7"/>
  <c r="H121" i="7"/>
  <c r="I121" i="7"/>
  <c r="J121" i="7"/>
  <c r="K121" i="7"/>
  <c r="Q121" i="7"/>
  <c r="R121" i="7"/>
  <c r="C122" i="7"/>
  <c r="H122" i="7"/>
  <c r="I122" i="7"/>
  <c r="J122" i="7"/>
  <c r="K122" i="7"/>
  <c r="Q122" i="7"/>
  <c r="R122" i="7"/>
  <c r="C121" i="4"/>
  <c r="H121" i="4"/>
  <c r="I121" i="4"/>
  <c r="J121" i="4"/>
  <c r="K121" i="4"/>
  <c r="Q121" i="4"/>
  <c r="R121" i="4"/>
  <c r="V121" i="4"/>
  <c r="D121" i="5" s="1"/>
  <c r="C122" i="4"/>
  <c r="H122" i="4"/>
  <c r="I122" i="4"/>
  <c r="J122" i="4"/>
  <c r="K122" i="4"/>
  <c r="Q122" i="4"/>
  <c r="R122" i="4"/>
  <c r="V122" i="4"/>
  <c r="D122" i="5" s="1"/>
  <c r="E122" i="2"/>
  <c r="G121" i="7" s="1"/>
  <c r="E123" i="2"/>
  <c r="C108" i="7"/>
  <c r="H108" i="7"/>
  <c r="I108" i="7"/>
  <c r="J108" i="7"/>
  <c r="K108" i="7"/>
  <c r="C110" i="7"/>
  <c r="H110" i="7"/>
  <c r="I110" i="7"/>
  <c r="J110" i="7"/>
  <c r="K110" i="7"/>
  <c r="Q110" i="7"/>
  <c r="R110" i="7"/>
  <c r="K108" i="5"/>
  <c r="L108" i="5"/>
  <c r="M108" i="5"/>
  <c r="N108" i="5"/>
  <c r="O108" i="5"/>
  <c r="R108" i="5"/>
  <c r="S108" i="5"/>
  <c r="T108" i="5"/>
  <c r="K110" i="5"/>
  <c r="L110" i="5"/>
  <c r="M110" i="5"/>
  <c r="N110" i="5"/>
  <c r="O110" i="5"/>
  <c r="Q110" i="5"/>
  <c r="R110" i="5"/>
  <c r="S110" i="5"/>
  <c r="T110" i="5"/>
  <c r="V108" i="4"/>
  <c r="D108" i="5" s="1"/>
  <c r="Q110" i="4"/>
  <c r="R110" i="4"/>
  <c r="V110" i="4"/>
  <c r="W110" i="4" s="1"/>
  <c r="C108" i="4"/>
  <c r="H108" i="4"/>
  <c r="I108" i="4"/>
  <c r="J108" i="4"/>
  <c r="K108" i="4"/>
  <c r="C110" i="4"/>
  <c r="H110" i="4"/>
  <c r="I110" i="4"/>
  <c r="J110" i="4"/>
  <c r="K110" i="4"/>
  <c r="E111" i="2"/>
  <c r="P110" i="7" s="1"/>
  <c r="E109" i="2"/>
  <c r="G108" i="7" s="1"/>
  <c r="I100" i="8"/>
  <c r="L100" i="8"/>
  <c r="M100" i="8"/>
  <c r="N100" i="8"/>
  <c r="O100" i="8"/>
  <c r="P100" i="8"/>
  <c r="Q100" i="8"/>
  <c r="R100" i="8"/>
  <c r="I101" i="8"/>
  <c r="J101" i="8"/>
  <c r="K101" i="8"/>
  <c r="L101" i="8"/>
  <c r="M101" i="8"/>
  <c r="N101" i="8"/>
  <c r="O101" i="8"/>
  <c r="P101" i="8"/>
  <c r="Q101" i="8"/>
  <c r="R101" i="8"/>
  <c r="C100" i="7"/>
  <c r="K100" i="5"/>
  <c r="N100" i="5"/>
  <c r="O100" i="5"/>
  <c r="P100" i="5"/>
  <c r="Q100" i="5"/>
  <c r="R100" i="5"/>
  <c r="S100" i="5"/>
  <c r="T100" i="5"/>
  <c r="V100" i="4"/>
  <c r="W100" i="4" s="1"/>
  <c r="C100" i="4"/>
  <c r="E101" i="2"/>
  <c r="G100" i="7" s="1"/>
  <c r="H55" i="4" l="1"/>
  <c r="G68" i="7"/>
  <c r="P42" i="4"/>
  <c r="I135" i="4"/>
  <c r="H135" i="4"/>
  <c r="G105" i="7"/>
  <c r="P68" i="4"/>
  <c r="P79" i="4"/>
  <c r="G55" i="7"/>
  <c r="G108" i="4"/>
  <c r="I176" i="7"/>
  <c r="P75" i="4"/>
  <c r="H176" i="7"/>
  <c r="H72" i="7"/>
  <c r="G121" i="4"/>
  <c r="I72" i="4"/>
  <c r="H135" i="7"/>
  <c r="P176" i="4"/>
  <c r="G105" i="4"/>
  <c r="H72" i="4"/>
  <c r="G77" i="7"/>
  <c r="H100" i="4"/>
  <c r="P173" i="7"/>
  <c r="P55" i="7"/>
  <c r="G75" i="7"/>
  <c r="P145" i="4"/>
  <c r="G148" i="4"/>
  <c r="G77" i="4"/>
  <c r="H148" i="7"/>
  <c r="P53" i="7"/>
  <c r="G72" i="4"/>
  <c r="G72" i="7"/>
  <c r="P77" i="4"/>
  <c r="G110" i="4"/>
  <c r="G122" i="7"/>
  <c r="G148" i="7"/>
  <c r="P105" i="7"/>
  <c r="P53" i="4"/>
  <c r="I55" i="4"/>
  <c r="P68" i="7"/>
  <c r="G75" i="4"/>
  <c r="P77" i="7"/>
  <c r="G122" i="4"/>
  <c r="G145" i="4"/>
  <c r="G110" i="7"/>
  <c r="G145" i="7"/>
  <c r="G176" i="7"/>
  <c r="G176" i="4"/>
  <c r="I176" i="4"/>
  <c r="G55" i="4"/>
  <c r="P135" i="7"/>
  <c r="G100" i="4"/>
  <c r="H100" i="7"/>
  <c r="H176" i="4"/>
  <c r="G42" i="4"/>
  <c r="G53" i="7"/>
  <c r="I55" i="7"/>
  <c r="P72" i="4"/>
  <c r="P72" i="7"/>
  <c r="P110" i="4"/>
  <c r="P55" i="4"/>
  <c r="P135" i="4"/>
  <c r="D77" i="5"/>
  <c r="L77" i="7"/>
  <c r="W75" i="4"/>
  <c r="L77" i="4"/>
  <c r="M77" i="7"/>
  <c r="M77" i="4"/>
  <c r="M75" i="7"/>
  <c r="L75" i="7"/>
  <c r="L75" i="4"/>
  <c r="M75" i="4"/>
  <c r="D135" i="5"/>
  <c r="L68" i="7"/>
  <c r="D72" i="5"/>
  <c r="D68" i="5"/>
  <c r="M68" i="7"/>
  <c r="L68" i="4"/>
  <c r="M68" i="4"/>
  <c r="W55" i="4"/>
  <c r="W53" i="4"/>
  <c r="L173" i="4"/>
  <c r="L42" i="7"/>
  <c r="M173" i="7"/>
  <c r="W42" i="4"/>
  <c r="W173" i="4"/>
  <c r="L173" i="7"/>
  <c r="M173" i="4"/>
  <c r="M42" i="7"/>
  <c r="G36" i="7"/>
  <c r="M105" i="7"/>
  <c r="L42" i="4"/>
  <c r="G42" i="7"/>
  <c r="W105" i="4"/>
  <c r="M42" i="4"/>
  <c r="L105" i="4"/>
  <c r="L105" i="7"/>
  <c r="M105" i="4"/>
  <c r="P79" i="7"/>
  <c r="W36" i="4"/>
  <c r="D36" i="5" s="1"/>
  <c r="H36" i="7"/>
  <c r="I79" i="7"/>
  <c r="P36" i="4"/>
  <c r="I79" i="4"/>
  <c r="H79" i="7"/>
  <c r="H79" i="4"/>
  <c r="G79" i="7"/>
  <c r="I36" i="4"/>
  <c r="H36" i="4"/>
  <c r="P36" i="7"/>
  <c r="G36" i="4"/>
  <c r="D176" i="5"/>
  <c r="D79" i="5"/>
  <c r="D148" i="5"/>
  <c r="D145" i="5"/>
  <c r="S148" i="4"/>
  <c r="S148" i="7"/>
  <c r="T148" i="7"/>
  <c r="T148" i="4"/>
  <c r="W122" i="4"/>
  <c r="L110" i="4"/>
  <c r="M122" i="7"/>
  <c r="L121" i="4"/>
  <c r="M121" i="4"/>
  <c r="L121" i="7"/>
  <c r="M122" i="4"/>
  <c r="M121" i="7"/>
  <c r="L122" i="7"/>
  <c r="L122" i="4"/>
  <c r="W121" i="4"/>
  <c r="L110" i="7"/>
  <c r="W108" i="4"/>
  <c r="L108" i="7"/>
  <c r="D110" i="5"/>
  <c r="L108" i="4"/>
  <c r="M110" i="7"/>
  <c r="M110" i="4"/>
  <c r="M108" i="7"/>
  <c r="M108" i="4"/>
  <c r="D100" i="5"/>
  <c r="J94" i="8"/>
  <c r="K94" i="8"/>
  <c r="L94" i="8"/>
  <c r="M94" i="8"/>
  <c r="N94" i="8"/>
  <c r="O94" i="8"/>
  <c r="P94" i="8"/>
  <c r="Q94" i="8"/>
  <c r="R94" i="8"/>
  <c r="C94" i="7"/>
  <c r="H94" i="7"/>
  <c r="I94" i="7"/>
  <c r="J94" i="7"/>
  <c r="K94" i="7"/>
  <c r="V94" i="4"/>
  <c r="D94" i="5" s="1"/>
  <c r="C94" i="4"/>
  <c r="H94" i="4"/>
  <c r="I94" i="4"/>
  <c r="J94" i="4"/>
  <c r="K94" i="4"/>
  <c r="E95" i="2"/>
  <c r="G94" i="7" s="1"/>
  <c r="J91" i="8"/>
  <c r="K91" i="8"/>
  <c r="L91" i="8"/>
  <c r="M91" i="8"/>
  <c r="N91" i="8"/>
  <c r="O91" i="8"/>
  <c r="P91" i="8"/>
  <c r="Q91" i="8"/>
  <c r="R91" i="8"/>
  <c r="J92" i="8"/>
  <c r="K92" i="8"/>
  <c r="L92" i="8"/>
  <c r="M92" i="8"/>
  <c r="N92" i="8"/>
  <c r="O92" i="8"/>
  <c r="P92" i="8"/>
  <c r="Q92" i="8"/>
  <c r="R92" i="8"/>
  <c r="I93" i="8"/>
  <c r="J93" i="8"/>
  <c r="K93" i="8"/>
  <c r="P93" i="8"/>
  <c r="Q93" i="8"/>
  <c r="R93" i="8"/>
  <c r="C93" i="7"/>
  <c r="J93" i="7"/>
  <c r="K93" i="7"/>
  <c r="V93" i="4"/>
  <c r="W93" i="4" s="1"/>
  <c r="C93" i="4"/>
  <c r="J93" i="4"/>
  <c r="K93" i="4"/>
  <c r="E94" i="2"/>
  <c r="I93" i="7" s="1"/>
  <c r="Q70" i="7"/>
  <c r="R70" i="7"/>
  <c r="C70" i="7"/>
  <c r="H70" i="7"/>
  <c r="I70" i="7"/>
  <c r="J70" i="7"/>
  <c r="K70" i="7"/>
  <c r="L70" i="5"/>
  <c r="M70" i="5"/>
  <c r="N70" i="5"/>
  <c r="P70" i="5"/>
  <c r="Q70" i="5"/>
  <c r="R70" i="5"/>
  <c r="S70" i="5"/>
  <c r="T70" i="5"/>
  <c r="Q70" i="4"/>
  <c r="R70" i="4"/>
  <c r="V70" i="4"/>
  <c r="W70" i="4" s="1"/>
  <c r="H70" i="4"/>
  <c r="I70" i="4"/>
  <c r="J70" i="4"/>
  <c r="K70" i="4"/>
  <c r="C70" i="4"/>
  <c r="E71" i="2"/>
  <c r="P70" i="7" s="1"/>
  <c r="I39" i="8"/>
  <c r="J39" i="8"/>
  <c r="K39" i="8"/>
  <c r="L39" i="8"/>
  <c r="N39" i="8"/>
  <c r="O39" i="8"/>
  <c r="P39" i="8"/>
  <c r="Q39" i="8"/>
  <c r="R39" i="8"/>
  <c r="H39" i="7"/>
  <c r="I39" i="7"/>
  <c r="J39" i="7"/>
  <c r="K39" i="7"/>
  <c r="C39" i="7"/>
  <c r="K39" i="5"/>
  <c r="L39" i="5"/>
  <c r="M39" i="5"/>
  <c r="N39" i="5"/>
  <c r="P39" i="5"/>
  <c r="Q39" i="5"/>
  <c r="R39" i="5"/>
  <c r="S39" i="5"/>
  <c r="T39" i="5"/>
  <c r="V39" i="4"/>
  <c r="W39" i="4" s="1"/>
  <c r="H39" i="4"/>
  <c r="I39" i="4"/>
  <c r="J39" i="4"/>
  <c r="K39" i="4"/>
  <c r="C39" i="4"/>
  <c r="E40" i="2"/>
  <c r="J37" i="8"/>
  <c r="K37" i="8"/>
  <c r="L37" i="8"/>
  <c r="M37" i="8"/>
  <c r="N37" i="8"/>
  <c r="O37" i="8"/>
  <c r="P37" i="8"/>
  <c r="Q37" i="8"/>
  <c r="R37" i="8"/>
  <c r="C37" i="7"/>
  <c r="L37" i="5"/>
  <c r="M37" i="5"/>
  <c r="N37" i="5"/>
  <c r="O37" i="5"/>
  <c r="P37" i="5"/>
  <c r="Q37" i="5"/>
  <c r="R37" i="5"/>
  <c r="S37" i="5"/>
  <c r="T37" i="5"/>
  <c r="V37" i="4"/>
  <c r="W37" i="4" s="1"/>
  <c r="V38" i="4"/>
  <c r="W38" i="4" s="1"/>
  <c r="C37" i="4"/>
  <c r="E38" i="2"/>
  <c r="H37" i="7" s="1"/>
  <c r="H24" i="7"/>
  <c r="I24" i="7"/>
  <c r="J24" i="7"/>
  <c r="K24" i="7"/>
  <c r="C24" i="7"/>
  <c r="K24" i="5"/>
  <c r="L24" i="5"/>
  <c r="M24" i="5"/>
  <c r="O24" i="5"/>
  <c r="P24" i="5"/>
  <c r="R24" i="5"/>
  <c r="S24" i="5"/>
  <c r="T24" i="5"/>
  <c r="V24" i="4"/>
  <c r="W24" i="4" s="1"/>
  <c r="H24" i="4"/>
  <c r="I24" i="4"/>
  <c r="J24" i="4"/>
  <c r="K24" i="4"/>
  <c r="C24" i="4"/>
  <c r="N75" i="4" l="1"/>
  <c r="N77" i="4"/>
  <c r="N68" i="7"/>
  <c r="N77" i="7"/>
  <c r="N75" i="7"/>
  <c r="N68" i="4"/>
  <c r="N173" i="7"/>
  <c r="N105" i="7"/>
  <c r="N42" i="7"/>
  <c r="N173" i="4"/>
  <c r="N105" i="4"/>
  <c r="N42" i="4"/>
  <c r="P94" i="7"/>
  <c r="G37" i="7"/>
  <c r="H93" i="7"/>
  <c r="P37" i="7"/>
  <c r="H37" i="4"/>
  <c r="I37" i="4"/>
  <c r="G70" i="4"/>
  <c r="G70" i="7"/>
  <c r="P93" i="4"/>
  <c r="G94" i="4"/>
  <c r="P93" i="7"/>
  <c r="G39" i="4"/>
  <c r="P70" i="4"/>
  <c r="I93" i="4"/>
  <c r="H93" i="4"/>
  <c r="G93" i="7"/>
  <c r="P37" i="4"/>
  <c r="I37" i="7"/>
  <c r="P39" i="7"/>
  <c r="G93" i="4"/>
  <c r="P94" i="4"/>
  <c r="P39" i="4"/>
  <c r="G37" i="4"/>
  <c r="G39" i="7"/>
  <c r="N121" i="4"/>
  <c r="U148" i="4"/>
  <c r="N110" i="4"/>
  <c r="U148" i="7"/>
  <c r="N122" i="7"/>
  <c r="N122" i="4"/>
  <c r="N121" i="7"/>
  <c r="N108" i="7"/>
  <c r="N110" i="7"/>
  <c r="N108" i="4"/>
  <c r="M94" i="7"/>
  <c r="L94" i="4"/>
  <c r="L70" i="4"/>
  <c r="L94" i="7"/>
  <c r="W94" i="4"/>
  <c r="M94" i="4"/>
  <c r="D93" i="5"/>
  <c r="L39" i="7"/>
  <c r="M70" i="4"/>
  <c r="L70" i="7"/>
  <c r="D70" i="5"/>
  <c r="M70" i="7"/>
  <c r="D39" i="5"/>
  <c r="L39" i="4"/>
  <c r="M39" i="7"/>
  <c r="M39" i="4"/>
  <c r="L24" i="4"/>
  <c r="D37" i="5"/>
  <c r="L24" i="7"/>
  <c r="D24" i="5"/>
  <c r="M24" i="7"/>
  <c r="M24" i="4"/>
  <c r="N94" i="7" l="1"/>
  <c r="N70" i="7"/>
  <c r="N70" i="4"/>
  <c r="N94" i="4"/>
  <c r="N39" i="7"/>
  <c r="N39" i="4"/>
  <c r="N24" i="4"/>
  <c r="N24" i="7"/>
  <c r="E25" i="2"/>
  <c r="G24" i="4" l="1"/>
  <c r="G24" i="7"/>
  <c r="C158" i="4"/>
  <c r="C158" i="7"/>
  <c r="H158" i="7"/>
  <c r="I158" i="7"/>
  <c r="J158" i="7"/>
  <c r="K158" i="7"/>
  <c r="C162" i="7"/>
  <c r="H162" i="7"/>
  <c r="I162" i="7"/>
  <c r="J162" i="7"/>
  <c r="K162" i="7"/>
  <c r="I158" i="8"/>
  <c r="J158" i="8"/>
  <c r="K158" i="8"/>
  <c r="L158" i="8"/>
  <c r="N158" i="8"/>
  <c r="P158" i="8"/>
  <c r="Q158" i="8"/>
  <c r="R158" i="8"/>
  <c r="K158" i="5"/>
  <c r="L158" i="5"/>
  <c r="M158" i="5"/>
  <c r="N158" i="5"/>
  <c r="P158" i="5"/>
  <c r="R158" i="5"/>
  <c r="S158" i="5"/>
  <c r="T158" i="5"/>
  <c r="M162" i="5"/>
  <c r="Q162" i="5"/>
  <c r="R162" i="5"/>
  <c r="S162" i="5"/>
  <c r="T162" i="5"/>
  <c r="H158" i="4"/>
  <c r="I158" i="4"/>
  <c r="J158" i="4"/>
  <c r="K158" i="4"/>
  <c r="V158" i="4"/>
  <c r="D158" i="5" s="1"/>
  <c r="V162" i="4"/>
  <c r="W162" i="4" s="1"/>
  <c r="E159" i="2"/>
  <c r="G158" i="4" s="1"/>
  <c r="L162" i="7" l="1"/>
  <c r="W158" i="4"/>
  <c r="D162" i="5"/>
  <c r="M162" i="7"/>
  <c r="G158" i="7"/>
  <c r="L158" i="7"/>
  <c r="L158" i="4"/>
  <c r="M158" i="7"/>
  <c r="M158" i="4"/>
  <c r="E155" i="2"/>
  <c r="N162" i="7" l="1"/>
  <c r="N158" i="7"/>
  <c r="N158" i="4"/>
  <c r="F19" i="5" l="1"/>
  <c r="G183" i="7" l="1"/>
  <c r="G6" i="8" l="1"/>
  <c r="O6" i="8" s="1"/>
  <c r="H6" i="8"/>
  <c r="G32" i="8"/>
  <c r="L32" i="8" s="1"/>
  <c r="H32" i="8"/>
  <c r="I5" i="8"/>
  <c r="K5" i="8"/>
  <c r="L5" i="8"/>
  <c r="N5" i="8"/>
  <c r="P5" i="8"/>
  <c r="Q5" i="8"/>
  <c r="R5" i="8"/>
  <c r="K6" i="8"/>
  <c r="L6" i="8"/>
  <c r="P6" i="8"/>
  <c r="R6" i="8"/>
  <c r="I7" i="8"/>
  <c r="J7" i="8"/>
  <c r="K7" i="8"/>
  <c r="O7" i="8"/>
  <c r="P7" i="8"/>
  <c r="Q7" i="8"/>
  <c r="R7" i="8"/>
  <c r="I8" i="8"/>
  <c r="J8" i="8"/>
  <c r="L8" i="8"/>
  <c r="N8" i="8"/>
  <c r="P8" i="8"/>
  <c r="Q8" i="8"/>
  <c r="R8" i="8"/>
  <c r="I9" i="8"/>
  <c r="J9" i="8"/>
  <c r="K9" i="8"/>
  <c r="L9" i="8"/>
  <c r="M9" i="8"/>
  <c r="P9" i="8"/>
  <c r="Q9" i="8"/>
  <c r="R9" i="8"/>
  <c r="I10" i="8"/>
  <c r="J10" i="8"/>
  <c r="K10" i="8"/>
  <c r="N10" i="8"/>
  <c r="Q10" i="8"/>
  <c r="R10" i="8"/>
  <c r="K29" i="8"/>
  <c r="M29" i="8"/>
  <c r="N29" i="8"/>
  <c r="O29" i="8"/>
  <c r="P29" i="8"/>
  <c r="I30" i="8"/>
  <c r="K30" i="8"/>
  <c r="L30" i="8"/>
  <c r="M30" i="8"/>
  <c r="N30" i="8"/>
  <c r="O30" i="8"/>
  <c r="P30" i="8"/>
  <c r="Q30" i="8"/>
  <c r="R30" i="8"/>
  <c r="I31" i="8"/>
  <c r="J31" i="8"/>
  <c r="K31" i="8"/>
  <c r="L31" i="8"/>
  <c r="M31" i="8"/>
  <c r="N31" i="8"/>
  <c r="P31" i="8"/>
  <c r="Q31" i="8"/>
  <c r="R31" i="8"/>
  <c r="I32" i="8"/>
  <c r="J32" i="8"/>
  <c r="K32" i="8"/>
  <c r="M32" i="8"/>
  <c r="N32" i="8"/>
  <c r="O32" i="8"/>
  <c r="P32" i="8"/>
  <c r="Q32" i="8"/>
  <c r="R32" i="8"/>
  <c r="I33" i="8"/>
  <c r="K33" i="8"/>
  <c r="L33" i="8"/>
  <c r="M33" i="8"/>
  <c r="N33" i="8"/>
  <c r="O33" i="8"/>
  <c r="P33" i="8"/>
  <c r="Q33" i="8"/>
  <c r="R33" i="8"/>
  <c r="I38" i="8"/>
  <c r="L38" i="8"/>
  <c r="M38" i="8"/>
  <c r="O38" i="8"/>
  <c r="P38" i="8"/>
  <c r="Q38" i="8"/>
  <c r="R38" i="8"/>
  <c r="I57" i="8"/>
  <c r="J57" i="8"/>
  <c r="L57" i="8"/>
  <c r="P57" i="8"/>
  <c r="Q57" i="8"/>
  <c r="R57" i="8"/>
  <c r="I58" i="8"/>
  <c r="K58" i="8"/>
  <c r="L58" i="8"/>
  <c r="M58" i="8"/>
  <c r="N58" i="8"/>
  <c r="O58" i="8"/>
  <c r="P58" i="8"/>
  <c r="Q58" i="8"/>
  <c r="R58" i="8"/>
  <c r="I89" i="8"/>
  <c r="K89" i="8"/>
  <c r="L89" i="8"/>
  <c r="N89" i="8"/>
  <c r="P89" i="8"/>
  <c r="Q89" i="8"/>
  <c r="R89" i="8"/>
  <c r="I90" i="8"/>
  <c r="J90" i="8"/>
  <c r="L90" i="8"/>
  <c r="M90" i="8"/>
  <c r="O90" i="8"/>
  <c r="P90" i="8"/>
  <c r="Q90" i="8"/>
  <c r="R90" i="8"/>
  <c r="I102" i="8"/>
  <c r="J102" i="8"/>
  <c r="K102" i="8"/>
  <c r="L102" i="8"/>
  <c r="M102" i="8"/>
  <c r="N102" i="8"/>
  <c r="O102" i="8"/>
  <c r="P102" i="8"/>
  <c r="Q102" i="8"/>
  <c r="R102" i="8"/>
  <c r="I104" i="8"/>
  <c r="J104" i="8"/>
  <c r="K104" i="8"/>
  <c r="L104" i="8"/>
  <c r="M104" i="8"/>
  <c r="N104" i="8"/>
  <c r="O104" i="8"/>
  <c r="P104" i="8"/>
  <c r="Q104" i="8"/>
  <c r="R104" i="8"/>
  <c r="I156" i="8"/>
  <c r="J156" i="8"/>
  <c r="O156" i="8"/>
  <c r="P156" i="8"/>
  <c r="Q156" i="8"/>
  <c r="I157" i="8"/>
  <c r="J157" i="8"/>
  <c r="L157" i="8"/>
  <c r="O157" i="8"/>
  <c r="P157" i="8"/>
  <c r="Q157" i="8"/>
  <c r="K162" i="8"/>
  <c r="O162" i="8"/>
  <c r="P162" i="8"/>
  <c r="Q162" i="8"/>
  <c r="R162" i="8"/>
  <c r="I166" i="8"/>
  <c r="J166" i="8"/>
  <c r="K166" i="8"/>
  <c r="L166" i="8"/>
  <c r="N166" i="8"/>
  <c r="O166" i="8"/>
  <c r="P166" i="8"/>
  <c r="Q166" i="8"/>
  <c r="R166" i="8"/>
  <c r="I167" i="8"/>
  <c r="J167" i="8"/>
  <c r="K167" i="8"/>
  <c r="N167" i="8"/>
  <c r="O167" i="8"/>
  <c r="P167" i="8"/>
  <c r="Q167" i="8"/>
  <c r="R167" i="8"/>
  <c r="I168" i="8"/>
  <c r="J168" i="8"/>
  <c r="K168" i="8"/>
  <c r="L168" i="8"/>
  <c r="M168" i="8"/>
  <c r="O168" i="8"/>
  <c r="P168" i="8"/>
  <c r="Q168" i="8"/>
  <c r="R168" i="8"/>
  <c r="I170" i="8"/>
  <c r="J170" i="8"/>
  <c r="K170" i="8"/>
  <c r="N170" i="8"/>
  <c r="O170" i="8"/>
  <c r="P170" i="8"/>
  <c r="Q170" i="8"/>
  <c r="R170" i="8"/>
  <c r="I171" i="8"/>
  <c r="J171" i="8"/>
  <c r="K171" i="8"/>
  <c r="L171" i="8"/>
  <c r="M171" i="8"/>
  <c r="N171" i="8"/>
  <c r="O171" i="8"/>
  <c r="P171" i="8"/>
  <c r="Q171" i="8"/>
  <c r="R171" i="8"/>
  <c r="J172" i="8"/>
  <c r="K172" i="8"/>
  <c r="L172" i="8"/>
  <c r="M172" i="8"/>
  <c r="O172" i="8"/>
  <c r="P172" i="8"/>
  <c r="Q172" i="8"/>
  <c r="R172" i="8"/>
  <c r="I174" i="8"/>
  <c r="J174" i="8"/>
  <c r="K174" i="8"/>
  <c r="N174" i="8"/>
  <c r="O174" i="8"/>
  <c r="P174" i="8"/>
  <c r="Q174" i="8"/>
  <c r="R174" i="8"/>
  <c r="I175" i="8"/>
  <c r="L175" i="8"/>
  <c r="M175" i="8"/>
  <c r="N175" i="8"/>
  <c r="O175" i="8"/>
  <c r="P175" i="8"/>
  <c r="Q175" i="8"/>
  <c r="R175" i="8"/>
  <c r="I177" i="8"/>
  <c r="J177" i="8"/>
  <c r="K177" i="8"/>
  <c r="L177" i="8"/>
  <c r="M177" i="8"/>
  <c r="N177" i="8"/>
  <c r="P177" i="8"/>
  <c r="Q177" i="8"/>
  <c r="R177" i="8"/>
  <c r="I180" i="8"/>
  <c r="N180" i="8"/>
  <c r="P180" i="8"/>
  <c r="Q180" i="8"/>
  <c r="R180" i="8"/>
  <c r="I182" i="8"/>
  <c r="J182" i="8"/>
  <c r="K182" i="8"/>
  <c r="L182" i="8"/>
  <c r="M182" i="8"/>
  <c r="O182" i="8"/>
  <c r="P182" i="8"/>
  <c r="Q182" i="8"/>
  <c r="R182" i="8"/>
  <c r="K184" i="8"/>
  <c r="L184" i="8"/>
  <c r="N184" i="8"/>
  <c r="O184" i="8"/>
  <c r="P184" i="8"/>
  <c r="Q184" i="8"/>
  <c r="R184" i="8"/>
  <c r="I185" i="8"/>
  <c r="J185" i="8"/>
  <c r="K185" i="8"/>
  <c r="L185" i="8"/>
  <c r="M185" i="8"/>
  <c r="N185" i="8"/>
  <c r="O185" i="8"/>
  <c r="P185" i="8"/>
  <c r="Q185" i="8"/>
  <c r="R185" i="8"/>
  <c r="I186" i="8"/>
  <c r="J186" i="8"/>
  <c r="K186" i="8"/>
  <c r="L186" i="8"/>
  <c r="N186" i="8"/>
  <c r="O186" i="8"/>
  <c r="P186" i="8"/>
  <c r="Q186" i="8"/>
  <c r="R186" i="8"/>
  <c r="I187" i="8"/>
  <c r="J187" i="8"/>
  <c r="K187" i="8"/>
  <c r="L187" i="8"/>
  <c r="O187" i="8"/>
  <c r="P187" i="8"/>
  <c r="Q187" i="8"/>
  <c r="R187" i="8"/>
  <c r="I188" i="8"/>
  <c r="J188" i="8"/>
  <c r="K188" i="8"/>
  <c r="L188" i="8"/>
  <c r="N188" i="8"/>
  <c r="O188" i="8"/>
  <c r="P188" i="8"/>
  <c r="Q188" i="8"/>
  <c r="R188" i="8"/>
  <c r="I189" i="8"/>
  <c r="J189" i="8"/>
  <c r="K189" i="8"/>
  <c r="L189" i="8"/>
  <c r="N189" i="8"/>
  <c r="O189" i="8"/>
  <c r="P189" i="8"/>
  <c r="Q189" i="8"/>
  <c r="R189" i="8"/>
  <c r="I190" i="8"/>
  <c r="J190" i="8"/>
  <c r="K190" i="8"/>
  <c r="L190" i="8"/>
  <c r="N190" i="8"/>
  <c r="O190" i="8"/>
  <c r="P190" i="8"/>
  <c r="Q190" i="8"/>
  <c r="R190" i="8"/>
  <c r="J191" i="8"/>
  <c r="K191" i="8"/>
  <c r="L191" i="8"/>
  <c r="M191" i="8"/>
  <c r="N191" i="8"/>
  <c r="O191" i="8"/>
  <c r="P191" i="8"/>
  <c r="Q191" i="8"/>
  <c r="R191" i="8"/>
  <c r="J192" i="8"/>
  <c r="K192" i="8"/>
  <c r="L192" i="8"/>
  <c r="N192" i="8"/>
  <c r="O192" i="8"/>
  <c r="P192" i="8"/>
  <c r="Q192" i="8"/>
  <c r="R192" i="8"/>
  <c r="K193" i="8"/>
  <c r="M193" i="8"/>
  <c r="N193" i="8"/>
  <c r="O193" i="8"/>
  <c r="P193" i="8"/>
  <c r="Q193" i="8"/>
  <c r="R193" i="8"/>
  <c r="J194" i="8"/>
  <c r="K194" i="8"/>
  <c r="L194" i="8"/>
  <c r="N194" i="8"/>
  <c r="O194" i="8"/>
  <c r="P194" i="8"/>
  <c r="Q194" i="8"/>
  <c r="R194" i="8"/>
  <c r="I195" i="8"/>
  <c r="J195" i="8"/>
  <c r="L195" i="8"/>
  <c r="O195" i="8"/>
  <c r="P195" i="8"/>
  <c r="Q195" i="8"/>
  <c r="R195" i="8"/>
  <c r="I196" i="8"/>
  <c r="J196" i="8"/>
  <c r="K196" i="8"/>
  <c r="L196" i="8"/>
  <c r="N196" i="8"/>
  <c r="O196" i="8"/>
  <c r="P196" i="8"/>
  <c r="Q196" i="8"/>
  <c r="R196" i="8"/>
  <c r="I197" i="8"/>
  <c r="J197" i="8"/>
  <c r="K197" i="8"/>
  <c r="L197" i="8"/>
  <c r="N197" i="8"/>
  <c r="O197" i="8"/>
  <c r="P197" i="8"/>
  <c r="Q197" i="8"/>
  <c r="R197" i="8"/>
  <c r="J198" i="8"/>
  <c r="K198" i="8"/>
  <c r="L198" i="8"/>
  <c r="N198" i="8"/>
  <c r="O198" i="8"/>
  <c r="P198" i="8"/>
  <c r="Q198" i="8"/>
  <c r="R198" i="8"/>
  <c r="I199" i="8"/>
  <c r="O199" i="8"/>
  <c r="P199" i="8"/>
  <c r="Q199" i="8"/>
  <c r="R199" i="8"/>
  <c r="I200" i="8"/>
  <c r="J200" i="8"/>
  <c r="K200" i="8"/>
  <c r="L200" i="8"/>
  <c r="M200" i="8"/>
  <c r="N200" i="8"/>
  <c r="O200" i="8"/>
  <c r="P200" i="8"/>
  <c r="Q200" i="8"/>
  <c r="R200" i="8"/>
  <c r="I201" i="8"/>
  <c r="J201" i="8"/>
  <c r="K201" i="8"/>
  <c r="M201" i="8"/>
  <c r="N201" i="8"/>
  <c r="O201" i="8"/>
  <c r="P201" i="8"/>
  <c r="Q201" i="8"/>
  <c r="R201" i="8"/>
  <c r="J202" i="8"/>
  <c r="K202" i="8"/>
  <c r="L202" i="8"/>
  <c r="M202" i="8"/>
  <c r="N202" i="8"/>
  <c r="O202" i="8"/>
  <c r="P202" i="8"/>
  <c r="Q202" i="8"/>
  <c r="I204" i="8"/>
  <c r="K204" i="8"/>
  <c r="L204" i="8"/>
  <c r="P204" i="8"/>
  <c r="Q204" i="8"/>
  <c r="R204" i="8"/>
  <c r="J206" i="8"/>
  <c r="K206" i="8"/>
  <c r="L206" i="8"/>
  <c r="M206" i="8"/>
  <c r="O206" i="8"/>
  <c r="P206" i="8"/>
  <c r="Q206" i="8"/>
  <c r="R206" i="8"/>
  <c r="I207" i="8"/>
  <c r="L207" i="8"/>
  <c r="M207" i="8"/>
  <c r="N207" i="8"/>
  <c r="O207" i="8"/>
  <c r="P207" i="8"/>
  <c r="Q207" i="8"/>
  <c r="R207" i="8"/>
  <c r="K208" i="8"/>
  <c r="L208" i="8"/>
  <c r="N208" i="8"/>
  <c r="O208" i="8"/>
  <c r="P208" i="8"/>
  <c r="Q208" i="8"/>
  <c r="R208" i="8"/>
  <c r="K209" i="8"/>
  <c r="L209" i="8"/>
  <c r="N209" i="8"/>
  <c r="O209" i="8"/>
  <c r="P209" i="8"/>
  <c r="Q209" i="8"/>
  <c r="R209" i="8"/>
  <c r="I210" i="8"/>
  <c r="J210" i="8"/>
  <c r="K210" i="8"/>
  <c r="L210" i="8"/>
  <c r="N210" i="8"/>
  <c r="O210" i="8"/>
  <c r="P210" i="8"/>
  <c r="Q210" i="8"/>
  <c r="R210" i="8"/>
  <c r="I211" i="8"/>
  <c r="J211" i="8"/>
  <c r="K211" i="8"/>
  <c r="L211" i="8"/>
  <c r="N211" i="8"/>
  <c r="O211" i="8"/>
  <c r="P211" i="8"/>
  <c r="Q211" i="8"/>
  <c r="R211" i="8"/>
  <c r="I212" i="8"/>
  <c r="L212" i="8"/>
  <c r="M212" i="8"/>
  <c r="N212" i="8"/>
  <c r="O212" i="8"/>
  <c r="P212" i="8"/>
  <c r="Q212" i="8"/>
  <c r="R212" i="8"/>
  <c r="I213" i="8"/>
  <c r="J213" i="8"/>
  <c r="K213" i="8"/>
  <c r="L213" i="8"/>
  <c r="N213" i="8"/>
  <c r="O213" i="8"/>
  <c r="P213" i="8"/>
  <c r="Q213" i="8"/>
  <c r="R213" i="8"/>
  <c r="I172" i="5"/>
  <c r="P172" i="5" s="1"/>
  <c r="J172" i="5"/>
  <c r="I204" i="5"/>
  <c r="P204" i="5" s="1"/>
  <c r="J204" i="5"/>
  <c r="J6" i="5"/>
  <c r="J13" i="5"/>
  <c r="J18" i="5"/>
  <c r="J29" i="5"/>
  <c r="J32" i="5"/>
  <c r="J4" i="5"/>
  <c r="I32" i="5"/>
  <c r="N32" i="5" s="1"/>
  <c r="I29" i="5"/>
  <c r="S29" i="5" s="1"/>
  <c r="I18" i="5"/>
  <c r="O18" i="5" s="1"/>
  <c r="I13" i="5"/>
  <c r="Q13" i="5" s="1"/>
  <c r="I6" i="5"/>
  <c r="L6" i="5" s="1"/>
  <c r="K29" i="5"/>
  <c r="I4" i="5"/>
  <c r="K4" i="5" s="1"/>
  <c r="T205" i="5"/>
  <c r="S205" i="5"/>
  <c r="R205" i="5"/>
  <c r="Q205" i="5"/>
  <c r="P205" i="5"/>
  <c r="O205" i="5"/>
  <c r="N205" i="5"/>
  <c r="M205" i="5"/>
  <c r="L205" i="5"/>
  <c r="K205" i="5"/>
  <c r="T203" i="5"/>
  <c r="S203" i="5"/>
  <c r="R203" i="5"/>
  <c r="Q203" i="5"/>
  <c r="P203" i="5"/>
  <c r="O203" i="5"/>
  <c r="N203" i="5"/>
  <c r="M203" i="5"/>
  <c r="L203" i="5"/>
  <c r="K203" i="5"/>
  <c r="T183" i="5"/>
  <c r="S183" i="5"/>
  <c r="R183" i="5"/>
  <c r="Q183" i="5"/>
  <c r="P183" i="5"/>
  <c r="O183" i="5"/>
  <c r="N183" i="5"/>
  <c r="M183" i="5"/>
  <c r="L183" i="5"/>
  <c r="K183" i="5"/>
  <c r="T181" i="5"/>
  <c r="S181" i="5"/>
  <c r="R181" i="5"/>
  <c r="Q181" i="5"/>
  <c r="P181" i="5"/>
  <c r="O181" i="5"/>
  <c r="N181" i="5"/>
  <c r="M181" i="5"/>
  <c r="L181" i="5"/>
  <c r="K181" i="5"/>
  <c r="T169" i="5"/>
  <c r="S169" i="5"/>
  <c r="R169" i="5"/>
  <c r="Q169" i="5"/>
  <c r="P169" i="5"/>
  <c r="O169" i="5"/>
  <c r="N169" i="5"/>
  <c r="M169" i="5"/>
  <c r="L169" i="5"/>
  <c r="K169" i="5"/>
  <c r="T99" i="5"/>
  <c r="S99" i="5"/>
  <c r="R99" i="5"/>
  <c r="Q99" i="5"/>
  <c r="P99" i="5"/>
  <c r="O99" i="5"/>
  <c r="N99" i="5"/>
  <c r="M99" i="5"/>
  <c r="L99" i="5"/>
  <c r="K99" i="5"/>
  <c r="K34" i="5"/>
  <c r="L34" i="5"/>
  <c r="M34" i="5"/>
  <c r="N34" i="5"/>
  <c r="O34" i="5"/>
  <c r="P34" i="5"/>
  <c r="Q34" i="5"/>
  <c r="R34" i="5"/>
  <c r="S34" i="5"/>
  <c r="T34" i="5"/>
  <c r="M35" i="5"/>
  <c r="P35" i="5"/>
  <c r="Q35" i="5"/>
  <c r="R35" i="5"/>
  <c r="S35" i="5"/>
  <c r="T35" i="5"/>
  <c r="K38" i="5"/>
  <c r="N38" i="5"/>
  <c r="O38" i="5"/>
  <c r="Q38" i="5"/>
  <c r="R38" i="5"/>
  <c r="S38" i="5"/>
  <c r="T38" i="5"/>
  <c r="K40" i="5"/>
  <c r="L40" i="5"/>
  <c r="M40" i="5"/>
  <c r="N40" i="5"/>
  <c r="Q40" i="5"/>
  <c r="R40" i="5"/>
  <c r="S40" i="5"/>
  <c r="T40" i="5"/>
  <c r="K41" i="5"/>
  <c r="L41" i="5"/>
  <c r="M41" i="5"/>
  <c r="N41" i="5"/>
  <c r="P41" i="5"/>
  <c r="R41" i="5"/>
  <c r="S41" i="5"/>
  <c r="T41" i="5"/>
  <c r="K48" i="5"/>
  <c r="L48" i="5"/>
  <c r="N48" i="5"/>
  <c r="P48" i="5"/>
  <c r="Q48" i="5"/>
  <c r="R48" i="5"/>
  <c r="S48" i="5"/>
  <c r="T48" i="5"/>
  <c r="K49" i="5"/>
  <c r="L49" i="5"/>
  <c r="M49" i="5"/>
  <c r="P49" i="5"/>
  <c r="Q49" i="5"/>
  <c r="R49" i="5"/>
  <c r="S49" i="5"/>
  <c r="T49" i="5"/>
  <c r="L60" i="5"/>
  <c r="M60" i="5"/>
  <c r="N60" i="5"/>
  <c r="O60" i="5"/>
  <c r="P60" i="5"/>
  <c r="Q60" i="5"/>
  <c r="R60" i="5"/>
  <c r="S60" i="5"/>
  <c r="T60" i="5"/>
  <c r="L61" i="5"/>
  <c r="M61" i="5"/>
  <c r="P61" i="5"/>
  <c r="Q61" i="5"/>
  <c r="R61" i="5"/>
  <c r="S61" i="5"/>
  <c r="T61" i="5"/>
  <c r="K62" i="5"/>
  <c r="L62" i="5"/>
  <c r="M62" i="5"/>
  <c r="N62" i="5"/>
  <c r="P62" i="5"/>
  <c r="Q62" i="5"/>
  <c r="R62" i="5"/>
  <c r="S62" i="5"/>
  <c r="T62" i="5"/>
  <c r="K63" i="5"/>
  <c r="L63" i="5"/>
  <c r="P63" i="5"/>
  <c r="R63" i="5"/>
  <c r="S63" i="5"/>
  <c r="T63" i="5"/>
  <c r="K64" i="5"/>
  <c r="L64" i="5"/>
  <c r="N64" i="5"/>
  <c r="O64" i="5"/>
  <c r="P64" i="5"/>
  <c r="Q64" i="5"/>
  <c r="R64" i="5"/>
  <c r="S64" i="5"/>
  <c r="T64" i="5"/>
  <c r="K65" i="5"/>
  <c r="L65" i="5"/>
  <c r="M65" i="5"/>
  <c r="N65" i="5"/>
  <c r="P65" i="5"/>
  <c r="Q65" i="5"/>
  <c r="R65" i="5"/>
  <c r="S65" i="5"/>
  <c r="T65" i="5"/>
  <c r="K66" i="5"/>
  <c r="L66" i="5"/>
  <c r="M66" i="5"/>
  <c r="N66" i="5"/>
  <c r="P66" i="5"/>
  <c r="Q66" i="5"/>
  <c r="R66" i="5"/>
  <c r="S66" i="5"/>
  <c r="T66" i="5"/>
  <c r="M67" i="5"/>
  <c r="N67" i="5"/>
  <c r="S67" i="5"/>
  <c r="T67" i="5"/>
  <c r="K69" i="5"/>
  <c r="L69" i="5"/>
  <c r="M69" i="5"/>
  <c r="Q69" i="5"/>
  <c r="R69" i="5"/>
  <c r="S69" i="5"/>
  <c r="T69" i="5"/>
  <c r="K76" i="5"/>
  <c r="L76" i="5"/>
  <c r="M76" i="5"/>
  <c r="N76" i="5"/>
  <c r="O76" i="5"/>
  <c r="Q76" i="5"/>
  <c r="S76" i="5"/>
  <c r="T76" i="5"/>
  <c r="K78" i="5"/>
  <c r="L78" i="5"/>
  <c r="M78" i="5"/>
  <c r="N78" i="5"/>
  <c r="Q78" i="5"/>
  <c r="S78" i="5"/>
  <c r="T78" i="5"/>
  <c r="N80" i="5"/>
  <c r="O80" i="5"/>
  <c r="P80" i="5"/>
  <c r="R80" i="5"/>
  <c r="S80" i="5"/>
  <c r="T80" i="5"/>
  <c r="K83" i="5"/>
  <c r="L83" i="5"/>
  <c r="M83" i="5"/>
  <c r="P83" i="5"/>
  <c r="Q83" i="5"/>
  <c r="R83" i="5"/>
  <c r="S83" i="5"/>
  <c r="T83" i="5"/>
  <c r="K84" i="5"/>
  <c r="L84" i="5"/>
  <c r="M84" i="5"/>
  <c r="N84" i="5"/>
  <c r="P84" i="5"/>
  <c r="Q84" i="5"/>
  <c r="R84" i="5"/>
  <c r="S84" i="5"/>
  <c r="T84" i="5"/>
  <c r="L85" i="5"/>
  <c r="M85" i="5"/>
  <c r="N85" i="5"/>
  <c r="O85" i="5"/>
  <c r="P85" i="5"/>
  <c r="Q85" i="5"/>
  <c r="R85" i="5"/>
  <c r="S85" i="5"/>
  <c r="T85" i="5"/>
  <c r="K89" i="5"/>
  <c r="M89" i="5"/>
  <c r="N89" i="5"/>
  <c r="P89" i="5"/>
  <c r="R89" i="5"/>
  <c r="S89" i="5"/>
  <c r="T89" i="5"/>
  <c r="K90" i="5"/>
  <c r="L90" i="5"/>
  <c r="N90" i="5"/>
  <c r="O90" i="5"/>
  <c r="Q90" i="5"/>
  <c r="R90" i="5"/>
  <c r="S90" i="5"/>
  <c r="T90" i="5"/>
  <c r="K101" i="5"/>
  <c r="L101" i="5"/>
  <c r="M101" i="5"/>
  <c r="N101" i="5"/>
  <c r="O101" i="5"/>
  <c r="P101" i="5"/>
  <c r="Q101" i="5"/>
  <c r="R101" i="5"/>
  <c r="S101" i="5"/>
  <c r="T101" i="5"/>
  <c r="K102" i="5"/>
  <c r="L102" i="5"/>
  <c r="M102" i="5"/>
  <c r="N102" i="5"/>
  <c r="O102" i="5"/>
  <c r="P102" i="5"/>
  <c r="Q102" i="5"/>
  <c r="R102" i="5"/>
  <c r="S102" i="5"/>
  <c r="T102" i="5"/>
  <c r="K104" i="5"/>
  <c r="L104" i="5"/>
  <c r="M104" i="5"/>
  <c r="N104" i="5"/>
  <c r="O104" i="5"/>
  <c r="P104" i="5"/>
  <c r="Q104" i="5"/>
  <c r="R104" i="5"/>
  <c r="S104" i="5"/>
  <c r="T104" i="5"/>
  <c r="K106" i="5"/>
  <c r="L106" i="5"/>
  <c r="M106" i="5"/>
  <c r="N106" i="5"/>
  <c r="P106" i="5"/>
  <c r="Q106" i="5"/>
  <c r="R106" i="5"/>
  <c r="S106" i="5"/>
  <c r="T106" i="5"/>
  <c r="K107" i="5"/>
  <c r="L107" i="5"/>
  <c r="M107" i="5"/>
  <c r="N107" i="5"/>
  <c r="O107" i="5"/>
  <c r="Q107" i="5"/>
  <c r="R107" i="5"/>
  <c r="S107" i="5"/>
  <c r="K111" i="5"/>
  <c r="L111" i="5"/>
  <c r="M111" i="5"/>
  <c r="N111" i="5"/>
  <c r="O111" i="5"/>
  <c r="P111" i="5"/>
  <c r="Q111" i="5"/>
  <c r="R111" i="5"/>
  <c r="S111" i="5"/>
  <c r="T111" i="5"/>
  <c r="K112" i="5"/>
  <c r="L112" i="5"/>
  <c r="M112" i="5"/>
  <c r="N112" i="5"/>
  <c r="P112" i="5"/>
  <c r="Q112" i="5"/>
  <c r="R112" i="5"/>
  <c r="S112" i="5"/>
  <c r="T112" i="5"/>
  <c r="K113" i="5"/>
  <c r="L113" i="5"/>
  <c r="M113" i="5"/>
  <c r="N113" i="5"/>
  <c r="P113" i="5"/>
  <c r="Q113" i="5"/>
  <c r="R113" i="5"/>
  <c r="S113" i="5"/>
  <c r="K114" i="5"/>
  <c r="L114" i="5"/>
  <c r="M114" i="5"/>
  <c r="N114" i="5"/>
  <c r="O114" i="5"/>
  <c r="Q114" i="5"/>
  <c r="R114" i="5"/>
  <c r="S114" i="5"/>
  <c r="T114" i="5"/>
  <c r="K134" i="5"/>
  <c r="L134" i="5"/>
  <c r="M134" i="5"/>
  <c r="N134" i="5"/>
  <c r="O134" i="5"/>
  <c r="P134" i="5"/>
  <c r="R134" i="5"/>
  <c r="S134" i="5"/>
  <c r="T134" i="5"/>
  <c r="K137" i="5"/>
  <c r="L137" i="5"/>
  <c r="M137" i="5"/>
  <c r="Q137" i="5"/>
  <c r="R137" i="5"/>
  <c r="S137" i="5"/>
  <c r="T137" i="5"/>
  <c r="L140" i="5"/>
  <c r="M140" i="5"/>
  <c r="N140" i="5"/>
  <c r="Q140" i="5"/>
  <c r="S140" i="5"/>
  <c r="T140" i="5"/>
  <c r="L142" i="5"/>
  <c r="M142" i="5"/>
  <c r="N142" i="5"/>
  <c r="O142" i="5"/>
  <c r="P142" i="5"/>
  <c r="Q142" i="5"/>
  <c r="R142" i="5"/>
  <c r="S142" i="5"/>
  <c r="T142" i="5"/>
  <c r="L143" i="5"/>
  <c r="M143" i="5"/>
  <c r="N143" i="5"/>
  <c r="O143" i="5"/>
  <c r="P143" i="5"/>
  <c r="Q143" i="5"/>
  <c r="R143" i="5"/>
  <c r="S143" i="5"/>
  <c r="T143" i="5"/>
  <c r="L144" i="5"/>
  <c r="M144" i="5"/>
  <c r="N144" i="5"/>
  <c r="O144" i="5"/>
  <c r="R144" i="5"/>
  <c r="S144" i="5"/>
  <c r="T144" i="5"/>
  <c r="K146" i="5"/>
  <c r="L146" i="5"/>
  <c r="M146" i="5"/>
  <c r="N146" i="5"/>
  <c r="O146" i="5"/>
  <c r="P146" i="5"/>
  <c r="Q146" i="5"/>
  <c r="R146" i="5"/>
  <c r="S146" i="5"/>
  <c r="T146" i="5"/>
  <c r="K147" i="5"/>
  <c r="L147" i="5"/>
  <c r="M147" i="5"/>
  <c r="N147" i="5"/>
  <c r="O147" i="5"/>
  <c r="P147" i="5"/>
  <c r="Q147" i="5"/>
  <c r="R147" i="5"/>
  <c r="S147" i="5"/>
  <c r="T147" i="5"/>
  <c r="K150" i="5"/>
  <c r="L150" i="5"/>
  <c r="M150" i="5"/>
  <c r="N150" i="5"/>
  <c r="O150" i="5"/>
  <c r="P150" i="5"/>
  <c r="Q150" i="5"/>
  <c r="R150" i="5"/>
  <c r="S150" i="5"/>
  <c r="T150" i="5"/>
  <c r="K152" i="5"/>
  <c r="L152" i="5"/>
  <c r="N152" i="5"/>
  <c r="Q152" i="5"/>
  <c r="R152" i="5"/>
  <c r="S152" i="5"/>
  <c r="K153" i="5"/>
  <c r="L153" i="5"/>
  <c r="M153" i="5"/>
  <c r="O153" i="5"/>
  <c r="P153" i="5"/>
  <c r="Q153" i="5"/>
  <c r="R153" i="5"/>
  <c r="S153" i="5"/>
  <c r="K154" i="5"/>
  <c r="M154" i="5"/>
  <c r="N154" i="5"/>
  <c r="Q154" i="5"/>
  <c r="R154" i="5"/>
  <c r="S154" i="5"/>
  <c r="K155" i="5"/>
  <c r="L155" i="5"/>
  <c r="Q155" i="5"/>
  <c r="R155" i="5"/>
  <c r="S155" i="5"/>
  <c r="K156" i="5"/>
  <c r="L156" i="5"/>
  <c r="Q156" i="5"/>
  <c r="R156" i="5"/>
  <c r="S156" i="5"/>
  <c r="K157" i="5"/>
  <c r="L157" i="5"/>
  <c r="N157" i="5"/>
  <c r="Q157" i="5"/>
  <c r="R157" i="5"/>
  <c r="S157" i="5"/>
  <c r="K166" i="5"/>
  <c r="L166" i="5"/>
  <c r="M166" i="5"/>
  <c r="N166" i="5"/>
  <c r="P166" i="5"/>
  <c r="Q166" i="5"/>
  <c r="R166" i="5"/>
  <c r="S166" i="5"/>
  <c r="T166" i="5"/>
  <c r="K167" i="5"/>
  <c r="L167" i="5"/>
  <c r="M167" i="5"/>
  <c r="P167" i="5"/>
  <c r="Q167" i="5"/>
  <c r="R167" i="5"/>
  <c r="S167" i="5"/>
  <c r="T167" i="5"/>
  <c r="K168" i="5"/>
  <c r="L168" i="5"/>
  <c r="M168" i="5"/>
  <c r="N168" i="5"/>
  <c r="O168" i="5"/>
  <c r="Q168" i="5"/>
  <c r="R168" i="5"/>
  <c r="S168" i="5"/>
  <c r="T168" i="5"/>
  <c r="K170" i="5"/>
  <c r="L170" i="5"/>
  <c r="M170" i="5"/>
  <c r="P170" i="5"/>
  <c r="Q170" i="5"/>
  <c r="R170" i="5"/>
  <c r="S170" i="5"/>
  <c r="T170" i="5"/>
  <c r="K171" i="5"/>
  <c r="L171" i="5"/>
  <c r="M171" i="5"/>
  <c r="N171" i="5"/>
  <c r="O171" i="5"/>
  <c r="P171" i="5"/>
  <c r="Q171" i="5"/>
  <c r="R171" i="5"/>
  <c r="S171" i="5"/>
  <c r="T171" i="5"/>
  <c r="L172" i="5"/>
  <c r="M172" i="5"/>
  <c r="N172" i="5"/>
  <c r="O172" i="5"/>
  <c r="Q172" i="5"/>
  <c r="R172" i="5"/>
  <c r="S172" i="5"/>
  <c r="T172" i="5"/>
  <c r="K174" i="5"/>
  <c r="L174" i="5"/>
  <c r="M174" i="5"/>
  <c r="P174" i="5"/>
  <c r="Q174" i="5"/>
  <c r="R174" i="5"/>
  <c r="S174" i="5"/>
  <c r="T174" i="5"/>
  <c r="K175" i="5"/>
  <c r="N175" i="5"/>
  <c r="O175" i="5"/>
  <c r="P175" i="5"/>
  <c r="Q175" i="5"/>
  <c r="R175" i="5"/>
  <c r="S175" i="5"/>
  <c r="T175" i="5"/>
  <c r="K177" i="5"/>
  <c r="L177" i="5"/>
  <c r="M177" i="5"/>
  <c r="N177" i="5"/>
  <c r="O177" i="5"/>
  <c r="P177" i="5"/>
  <c r="R177" i="5"/>
  <c r="S177" i="5"/>
  <c r="T177" i="5"/>
  <c r="K180" i="5"/>
  <c r="P180" i="5"/>
  <c r="R180" i="5"/>
  <c r="S180" i="5"/>
  <c r="T180" i="5"/>
  <c r="K182" i="5"/>
  <c r="L182" i="5"/>
  <c r="M182" i="5"/>
  <c r="N182" i="5"/>
  <c r="O182" i="5"/>
  <c r="Q182" i="5"/>
  <c r="R182" i="5"/>
  <c r="S182" i="5"/>
  <c r="T182" i="5"/>
  <c r="M184" i="5"/>
  <c r="N184" i="5"/>
  <c r="P184" i="5"/>
  <c r="Q184" i="5"/>
  <c r="R184" i="5"/>
  <c r="S184" i="5"/>
  <c r="T184" i="5"/>
  <c r="K185" i="5"/>
  <c r="L185" i="5"/>
  <c r="M185" i="5"/>
  <c r="N185" i="5"/>
  <c r="O185" i="5"/>
  <c r="P185" i="5"/>
  <c r="Q185" i="5"/>
  <c r="R185" i="5"/>
  <c r="S185" i="5"/>
  <c r="T185" i="5"/>
  <c r="K186" i="5"/>
  <c r="L186" i="5"/>
  <c r="M186" i="5"/>
  <c r="N186" i="5"/>
  <c r="P186" i="5"/>
  <c r="Q186" i="5"/>
  <c r="R186" i="5"/>
  <c r="S186" i="5"/>
  <c r="T186" i="5"/>
  <c r="K187" i="5"/>
  <c r="L187" i="5"/>
  <c r="M187" i="5"/>
  <c r="N187" i="5"/>
  <c r="Q187" i="5"/>
  <c r="R187" i="5"/>
  <c r="S187" i="5"/>
  <c r="T187" i="5"/>
  <c r="K188" i="5"/>
  <c r="L188" i="5"/>
  <c r="M188" i="5"/>
  <c r="N188" i="5"/>
  <c r="P188" i="5"/>
  <c r="Q188" i="5"/>
  <c r="R188" i="5"/>
  <c r="S188" i="5"/>
  <c r="T188" i="5"/>
  <c r="K189" i="5"/>
  <c r="L189" i="5"/>
  <c r="M189" i="5"/>
  <c r="N189" i="5"/>
  <c r="P189" i="5"/>
  <c r="Q189" i="5"/>
  <c r="R189" i="5"/>
  <c r="S189" i="5"/>
  <c r="T189" i="5"/>
  <c r="K190" i="5"/>
  <c r="L190" i="5"/>
  <c r="M190" i="5"/>
  <c r="N190" i="5"/>
  <c r="P190" i="5"/>
  <c r="Q190" i="5"/>
  <c r="R190" i="5"/>
  <c r="S190" i="5"/>
  <c r="T190" i="5"/>
  <c r="L191" i="5"/>
  <c r="M191" i="5"/>
  <c r="N191" i="5"/>
  <c r="O191" i="5"/>
  <c r="P191" i="5"/>
  <c r="Q191" i="5"/>
  <c r="R191" i="5"/>
  <c r="S191" i="5"/>
  <c r="T191" i="5"/>
  <c r="L192" i="5"/>
  <c r="M192" i="5"/>
  <c r="N192" i="5"/>
  <c r="P192" i="5"/>
  <c r="Q192" i="5"/>
  <c r="R192" i="5"/>
  <c r="S192" i="5"/>
  <c r="T192" i="5"/>
  <c r="M193" i="5"/>
  <c r="O193" i="5"/>
  <c r="P193" i="5"/>
  <c r="Q193" i="5"/>
  <c r="R193" i="5"/>
  <c r="S193" i="5"/>
  <c r="T193" i="5"/>
  <c r="L194" i="5"/>
  <c r="M194" i="5"/>
  <c r="N194" i="5"/>
  <c r="P194" i="5"/>
  <c r="Q194" i="5"/>
  <c r="R194" i="5"/>
  <c r="S194" i="5"/>
  <c r="T194" i="5"/>
  <c r="K195" i="5"/>
  <c r="L195" i="5"/>
  <c r="N195" i="5"/>
  <c r="Q195" i="5"/>
  <c r="R195" i="5"/>
  <c r="S195" i="5"/>
  <c r="T195" i="5"/>
  <c r="K196" i="5"/>
  <c r="L196" i="5"/>
  <c r="M196" i="5"/>
  <c r="N196" i="5"/>
  <c r="P196" i="5"/>
  <c r="Q196" i="5"/>
  <c r="R196" i="5"/>
  <c r="S196" i="5"/>
  <c r="T196" i="5"/>
  <c r="K197" i="5"/>
  <c r="L197" i="5"/>
  <c r="M197" i="5"/>
  <c r="N197" i="5"/>
  <c r="P197" i="5"/>
  <c r="Q197" i="5"/>
  <c r="R197" i="5"/>
  <c r="S197" i="5"/>
  <c r="T197" i="5"/>
  <c r="L198" i="5"/>
  <c r="M198" i="5"/>
  <c r="N198" i="5"/>
  <c r="P198" i="5"/>
  <c r="Q198" i="5"/>
  <c r="R198" i="5"/>
  <c r="S198" i="5"/>
  <c r="T198" i="5"/>
  <c r="K199" i="5"/>
  <c r="Q199" i="5"/>
  <c r="R199" i="5"/>
  <c r="S199" i="5"/>
  <c r="T199" i="5"/>
  <c r="K200" i="5"/>
  <c r="L200" i="5"/>
  <c r="M200" i="5"/>
  <c r="N200" i="5"/>
  <c r="O200" i="5"/>
  <c r="P200" i="5"/>
  <c r="Q200" i="5"/>
  <c r="R200" i="5"/>
  <c r="S200" i="5"/>
  <c r="T200" i="5"/>
  <c r="K201" i="5"/>
  <c r="L201" i="5"/>
  <c r="M201" i="5"/>
  <c r="O201" i="5"/>
  <c r="P201" i="5"/>
  <c r="Q201" i="5"/>
  <c r="R201" i="5"/>
  <c r="S201" i="5"/>
  <c r="T201" i="5"/>
  <c r="L202" i="5"/>
  <c r="M202" i="5"/>
  <c r="N202" i="5"/>
  <c r="O202" i="5"/>
  <c r="P202" i="5"/>
  <c r="Q202" i="5"/>
  <c r="R202" i="5"/>
  <c r="S202" i="5"/>
  <c r="K204" i="5"/>
  <c r="M204" i="5"/>
  <c r="N204" i="5"/>
  <c r="R204" i="5"/>
  <c r="S204" i="5"/>
  <c r="T204" i="5"/>
  <c r="L206" i="5"/>
  <c r="M206" i="5"/>
  <c r="N206" i="5"/>
  <c r="O206" i="5"/>
  <c r="Q206" i="5"/>
  <c r="R206" i="5"/>
  <c r="S206" i="5"/>
  <c r="T206" i="5"/>
  <c r="K207" i="5"/>
  <c r="N207" i="5"/>
  <c r="O207" i="5"/>
  <c r="P207" i="5"/>
  <c r="Q207" i="5"/>
  <c r="R207" i="5"/>
  <c r="S207" i="5"/>
  <c r="T207" i="5"/>
  <c r="M208" i="5"/>
  <c r="N208" i="5"/>
  <c r="P208" i="5"/>
  <c r="Q208" i="5"/>
  <c r="R208" i="5"/>
  <c r="S208" i="5"/>
  <c r="T208" i="5"/>
  <c r="M209" i="5"/>
  <c r="N209" i="5"/>
  <c r="P209" i="5"/>
  <c r="Q209" i="5"/>
  <c r="R209" i="5"/>
  <c r="S209" i="5"/>
  <c r="T209" i="5"/>
  <c r="K210" i="5"/>
  <c r="L210" i="5"/>
  <c r="M210" i="5"/>
  <c r="N210" i="5"/>
  <c r="P210" i="5"/>
  <c r="Q210" i="5"/>
  <c r="R210" i="5"/>
  <c r="S210" i="5"/>
  <c r="T210" i="5"/>
  <c r="K211" i="5"/>
  <c r="L211" i="5"/>
  <c r="M211" i="5"/>
  <c r="N211" i="5"/>
  <c r="P211" i="5"/>
  <c r="Q211" i="5"/>
  <c r="R211" i="5"/>
  <c r="S211" i="5"/>
  <c r="T211" i="5"/>
  <c r="K212" i="5"/>
  <c r="N212" i="5"/>
  <c r="O212" i="5"/>
  <c r="P212" i="5"/>
  <c r="Q212" i="5"/>
  <c r="R212" i="5"/>
  <c r="S212" i="5"/>
  <c r="T212" i="5"/>
  <c r="K213" i="5"/>
  <c r="L213" i="5"/>
  <c r="M213" i="5"/>
  <c r="N213" i="5"/>
  <c r="P213" i="5"/>
  <c r="Q213" i="5"/>
  <c r="R213" i="5"/>
  <c r="S213" i="5"/>
  <c r="T213" i="5"/>
  <c r="K5" i="5"/>
  <c r="M5" i="5"/>
  <c r="N5" i="5"/>
  <c r="P5" i="5"/>
  <c r="R5" i="5"/>
  <c r="S5" i="5"/>
  <c r="T5" i="5"/>
  <c r="M6" i="5"/>
  <c r="N6" i="5"/>
  <c r="R6" i="5"/>
  <c r="T6" i="5"/>
  <c r="K7" i="5"/>
  <c r="L7" i="5"/>
  <c r="M7" i="5"/>
  <c r="Q7" i="5"/>
  <c r="R7" i="5"/>
  <c r="S7" i="5"/>
  <c r="T7" i="5"/>
  <c r="K8" i="5"/>
  <c r="L8" i="5"/>
  <c r="N8" i="5"/>
  <c r="P8" i="5"/>
  <c r="R8" i="5"/>
  <c r="S8" i="5"/>
  <c r="T8" i="5"/>
  <c r="K9" i="5"/>
  <c r="L9" i="5"/>
  <c r="M9" i="5"/>
  <c r="N9" i="5"/>
  <c r="O9" i="5"/>
  <c r="R9" i="5"/>
  <c r="S9" i="5"/>
  <c r="T9" i="5"/>
  <c r="K10" i="5"/>
  <c r="L10" i="5"/>
  <c r="M10" i="5"/>
  <c r="P10" i="5"/>
  <c r="S10" i="5"/>
  <c r="T10" i="5"/>
  <c r="K11" i="5"/>
  <c r="L11" i="5"/>
  <c r="M11" i="5"/>
  <c r="N11" i="5"/>
  <c r="O11" i="5"/>
  <c r="P11" i="5"/>
  <c r="Q11" i="5"/>
  <c r="R11" i="5"/>
  <c r="S11" i="5"/>
  <c r="T11" i="5"/>
  <c r="K12" i="5"/>
  <c r="L12" i="5"/>
  <c r="M12" i="5"/>
  <c r="N12" i="5"/>
  <c r="P12" i="5"/>
  <c r="R12" i="5"/>
  <c r="S12" i="5"/>
  <c r="T12" i="5"/>
  <c r="K13" i="5"/>
  <c r="M13" i="5"/>
  <c r="N13" i="5"/>
  <c r="O13" i="5"/>
  <c r="P13" i="5"/>
  <c r="R13" i="5"/>
  <c r="S13" i="5"/>
  <c r="K14" i="5"/>
  <c r="L14" i="5"/>
  <c r="M14" i="5"/>
  <c r="N14" i="5"/>
  <c r="P14" i="5"/>
  <c r="Q14" i="5"/>
  <c r="R14" i="5"/>
  <c r="S14" i="5"/>
  <c r="T14" i="5"/>
  <c r="K15" i="5"/>
  <c r="L15" i="5"/>
  <c r="M15" i="5"/>
  <c r="P15" i="5"/>
  <c r="Q15" i="5"/>
  <c r="R15" i="5"/>
  <c r="S15" i="5"/>
  <c r="T15" i="5"/>
  <c r="K16" i="5"/>
  <c r="L16" i="5"/>
  <c r="M16" i="5"/>
  <c r="N16" i="5"/>
  <c r="O16" i="5"/>
  <c r="Q16" i="5"/>
  <c r="R16" i="5"/>
  <c r="S16" i="5"/>
  <c r="T16" i="5"/>
  <c r="K17" i="5"/>
  <c r="L17" i="5"/>
  <c r="M17" i="5"/>
  <c r="N17" i="5"/>
  <c r="P17" i="5"/>
  <c r="S17" i="5"/>
  <c r="T17" i="5"/>
  <c r="K18" i="5"/>
  <c r="L18" i="5"/>
  <c r="M18" i="5"/>
  <c r="N18" i="5"/>
  <c r="P18" i="5"/>
  <c r="Q18" i="5"/>
  <c r="R18" i="5"/>
  <c r="S18" i="5"/>
  <c r="T18" i="5"/>
  <c r="L21" i="5"/>
  <c r="M21" i="5"/>
  <c r="N21" i="5"/>
  <c r="O21" i="5"/>
  <c r="P21" i="5"/>
  <c r="Q21" i="5"/>
  <c r="R21" i="5"/>
  <c r="S21" i="5"/>
  <c r="T21" i="5"/>
  <c r="L22" i="5"/>
  <c r="O22" i="5"/>
  <c r="P22" i="5"/>
  <c r="Q22" i="5"/>
  <c r="R22" i="5"/>
  <c r="S22" i="5"/>
  <c r="T22" i="5"/>
  <c r="L23" i="5"/>
  <c r="M23" i="5"/>
  <c r="N23" i="5"/>
  <c r="O23" i="5"/>
  <c r="Q23" i="5"/>
  <c r="R23" i="5"/>
  <c r="S23" i="5"/>
  <c r="T23" i="5"/>
  <c r="K25" i="5"/>
  <c r="N25" i="5"/>
  <c r="R25" i="5"/>
  <c r="S25" i="5"/>
  <c r="T25" i="5"/>
  <c r="M26" i="5"/>
  <c r="N26" i="5"/>
  <c r="P26" i="5"/>
  <c r="Q26" i="5"/>
  <c r="R26" i="5"/>
  <c r="T26" i="5"/>
  <c r="K27" i="5"/>
  <c r="L27" i="5"/>
  <c r="M27" i="5"/>
  <c r="N27" i="5"/>
  <c r="O27" i="5"/>
  <c r="P27" i="5"/>
  <c r="Q27" i="5"/>
  <c r="R27" i="5"/>
  <c r="T27" i="5"/>
  <c r="K28" i="5"/>
  <c r="L28" i="5"/>
  <c r="M28" i="5"/>
  <c r="N28" i="5"/>
  <c r="O28" i="5"/>
  <c r="Q28" i="5"/>
  <c r="S28" i="5"/>
  <c r="T28" i="5"/>
  <c r="M29" i="5"/>
  <c r="O29" i="5"/>
  <c r="P29" i="5"/>
  <c r="Q29" i="5"/>
  <c r="R29" i="5"/>
  <c r="K30" i="5"/>
  <c r="M30" i="5"/>
  <c r="N30" i="5"/>
  <c r="O30" i="5"/>
  <c r="P30" i="5"/>
  <c r="Q30" i="5"/>
  <c r="R30" i="5"/>
  <c r="S30" i="5"/>
  <c r="T30" i="5"/>
  <c r="K31" i="5"/>
  <c r="L31" i="5"/>
  <c r="M31" i="5"/>
  <c r="N31" i="5"/>
  <c r="O31" i="5"/>
  <c r="P31" i="5"/>
  <c r="R31" i="5"/>
  <c r="S31" i="5"/>
  <c r="T31" i="5"/>
  <c r="K32" i="5"/>
  <c r="L32" i="5"/>
  <c r="M32" i="5"/>
  <c r="O32" i="5"/>
  <c r="P32" i="5"/>
  <c r="R32" i="5"/>
  <c r="S32" i="5"/>
  <c r="T32" i="5"/>
  <c r="K33" i="5"/>
  <c r="M33" i="5"/>
  <c r="N33" i="5"/>
  <c r="O33" i="5"/>
  <c r="P33" i="5"/>
  <c r="Q33" i="5"/>
  <c r="R33" i="5"/>
  <c r="S33" i="5"/>
  <c r="T33" i="5"/>
  <c r="T4" i="5"/>
  <c r="S4" i="5"/>
  <c r="R4" i="5"/>
  <c r="Q4" i="5"/>
  <c r="O4" i="5"/>
  <c r="N4" i="5"/>
  <c r="M4" i="5"/>
  <c r="L4" i="5"/>
  <c r="M6" i="8" l="1"/>
  <c r="L13" i="5"/>
  <c r="O6" i="5"/>
  <c r="Q32" i="5"/>
  <c r="L204" i="5"/>
  <c r="O204" i="5"/>
  <c r="Q6" i="5"/>
  <c r="P6" i="5"/>
  <c r="K6" i="5"/>
  <c r="S6" i="5"/>
  <c r="T13" i="5"/>
  <c r="I6" i="8"/>
  <c r="K172" i="5"/>
  <c r="Q204" i="5"/>
  <c r="Q6" i="8"/>
  <c r="N6" i="8"/>
  <c r="J6" i="8"/>
  <c r="N29" i="5"/>
  <c r="T29" i="5"/>
  <c r="L29" i="5"/>
  <c r="P4" i="5"/>
  <c r="B208" i="3" l="1"/>
  <c r="H97" i="4" l="1"/>
  <c r="B76" i="6"/>
  <c r="B105" i="3"/>
  <c r="AP36" i="11" l="1"/>
  <c r="AN36" i="11"/>
  <c r="AL36" i="11"/>
  <c r="AJ36" i="11"/>
  <c r="AH36" i="11"/>
  <c r="AF36" i="11"/>
  <c r="AD36" i="11"/>
  <c r="AB36" i="11"/>
  <c r="Z36" i="11"/>
  <c r="X36" i="11"/>
  <c r="V36" i="11"/>
  <c r="T36" i="11"/>
  <c r="R36" i="11"/>
  <c r="P36" i="11"/>
  <c r="N36" i="11"/>
  <c r="L36" i="11"/>
  <c r="J36" i="11"/>
  <c r="H36" i="11"/>
  <c r="F36" i="11"/>
  <c r="D36" i="11"/>
  <c r="AP35" i="11"/>
  <c r="AN35" i="11"/>
  <c r="AL35" i="11"/>
  <c r="AJ35" i="11"/>
  <c r="AH35" i="11"/>
  <c r="AF35" i="11"/>
  <c r="AD35" i="11"/>
  <c r="AB35" i="11"/>
  <c r="Z35" i="11"/>
  <c r="X35" i="11"/>
  <c r="V35" i="11"/>
  <c r="T35" i="11"/>
  <c r="R35" i="11"/>
  <c r="P35" i="11"/>
  <c r="N35" i="11"/>
  <c r="L35" i="11"/>
  <c r="J35" i="11"/>
  <c r="H35" i="11"/>
  <c r="F35" i="11"/>
  <c r="D35" i="11"/>
  <c r="AP34" i="11"/>
  <c r="AN34" i="11"/>
  <c r="AL34" i="11"/>
  <c r="AJ34" i="11"/>
  <c r="AH34" i="11"/>
  <c r="AF34" i="11"/>
  <c r="AD34" i="11"/>
  <c r="AB34" i="11"/>
  <c r="Z34" i="11"/>
  <c r="X34" i="11"/>
  <c r="V34" i="11"/>
  <c r="T34" i="11"/>
  <c r="R34" i="11"/>
  <c r="P34" i="11"/>
  <c r="N34" i="11"/>
  <c r="L34" i="11"/>
  <c r="J34" i="11"/>
  <c r="H34" i="11"/>
  <c r="F34" i="11"/>
  <c r="D34" i="11"/>
  <c r="AP33" i="11"/>
  <c r="AN33" i="11"/>
  <c r="AL33" i="11"/>
  <c r="AJ33" i="11"/>
  <c r="AH33" i="11"/>
  <c r="AF33" i="11"/>
  <c r="AD33" i="11"/>
  <c r="AB33" i="11"/>
  <c r="Z33" i="11"/>
  <c r="X33" i="11"/>
  <c r="V33" i="11"/>
  <c r="T33" i="11"/>
  <c r="R33" i="11"/>
  <c r="P33" i="11"/>
  <c r="N33" i="11"/>
  <c r="L33" i="11"/>
  <c r="J33" i="11"/>
  <c r="H33" i="11"/>
  <c r="F33" i="11"/>
  <c r="D33" i="11"/>
  <c r="AP32" i="11"/>
  <c r="AN32" i="11"/>
  <c r="AL32" i="11"/>
  <c r="AJ32" i="11"/>
  <c r="AH32" i="11"/>
  <c r="AF32" i="11"/>
  <c r="AD32" i="11"/>
  <c r="AB32" i="11"/>
  <c r="Z32" i="11"/>
  <c r="X32" i="11"/>
  <c r="V32" i="11"/>
  <c r="T32" i="11"/>
  <c r="R32" i="11"/>
  <c r="P32" i="11"/>
  <c r="N32" i="11"/>
  <c r="L32" i="11"/>
  <c r="J32" i="11"/>
  <c r="H32" i="11"/>
  <c r="F32" i="11"/>
  <c r="D32" i="11"/>
  <c r="AP31" i="11"/>
  <c r="AN31" i="11"/>
  <c r="AL31" i="11"/>
  <c r="AJ31" i="11"/>
  <c r="AH31" i="11"/>
  <c r="AF31" i="11"/>
  <c r="AD31" i="11"/>
  <c r="AB31" i="11"/>
  <c r="Z31" i="11"/>
  <c r="X31" i="11"/>
  <c r="V31" i="11"/>
  <c r="T31" i="11"/>
  <c r="R31" i="11"/>
  <c r="P31" i="11"/>
  <c r="N31" i="11"/>
  <c r="L31" i="11"/>
  <c r="J31" i="11"/>
  <c r="H31" i="11"/>
  <c r="F31" i="11"/>
  <c r="D31" i="11"/>
  <c r="AP30" i="11"/>
  <c r="AN30" i="11"/>
  <c r="AL30" i="11"/>
  <c r="AJ30" i="11"/>
  <c r="AH30" i="11"/>
  <c r="AF30" i="11"/>
  <c r="AD30" i="11"/>
  <c r="AB30" i="11"/>
  <c r="Z30" i="11"/>
  <c r="X30" i="11"/>
  <c r="V30" i="11"/>
  <c r="T30" i="11"/>
  <c r="R30" i="11"/>
  <c r="P30" i="11"/>
  <c r="N30" i="11"/>
  <c r="L30" i="11"/>
  <c r="J30" i="11"/>
  <c r="H30" i="11"/>
  <c r="F30" i="11"/>
  <c r="D30" i="11"/>
  <c r="AP29" i="11"/>
  <c r="AN29" i="11"/>
  <c r="AL29" i="11"/>
  <c r="AJ29" i="11"/>
  <c r="AH29" i="11"/>
  <c r="AF29" i="11"/>
  <c r="AD29" i="11"/>
  <c r="AB29" i="11"/>
  <c r="Z29" i="11"/>
  <c r="X29" i="11"/>
  <c r="V29" i="11"/>
  <c r="T29" i="11"/>
  <c r="R29" i="11"/>
  <c r="P29" i="11"/>
  <c r="N29" i="11"/>
  <c r="L29" i="11"/>
  <c r="J29" i="11"/>
  <c r="H29" i="11"/>
  <c r="F29" i="11"/>
  <c r="D29" i="11"/>
  <c r="AP28" i="11"/>
  <c r="AN28" i="11"/>
  <c r="AL28" i="11"/>
  <c r="AJ28" i="11"/>
  <c r="AH28" i="11"/>
  <c r="AF28" i="11"/>
  <c r="AD28" i="11"/>
  <c r="AB28" i="11"/>
  <c r="Z28" i="11"/>
  <c r="X28" i="11"/>
  <c r="V28" i="11"/>
  <c r="T28" i="11"/>
  <c r="R28" i="11"/>
  <c r="P28" i="11"/>
  <c r="N28" i="11"/>
  <c r="L28" i="11"/>
  <c r="J28" i="11"/>
  <c r="H28" i="11"/>
  <c r="F28" i="11"/>
  <c r="D28" i="11"/>
  <c r="AP27" i="11"/>
  <c r="AN27" i="11"/>
  <c r="AL27" i="11"/>
  <c r="AJ27" i="11"/>
  <c r="AH27" i="11"/>
  <c r="AF27" i="11"/>
  <c r="AD27" i="11"/>
  <c r="AB27" i="11"/>
  <c r="Z27" i="11"/>
  <c r="X27" i="11"/>
  <c r="V27" i="11"/>
  <c r="T27" i="11"/>
  <c r="R27" i="11"/>
  <c r="P27" i="11"/>
  <c r="N27" i="11"/>
  <c r="L27" i="11"/>
  <c r="J27" i="11"/>
  <c r="H27" i="11"/>
  <c r="F27" i="11"/>
  <c r="D27" i="11"/>
  <c r="AP26" i="11"/>
  <c r="AN26" i="11"/>
  <c r="AL26" i="11"/>
  <c r="AJ26" i="11"/>
  <c r="AH26" i="11"/>
  <c r="AF26" i="11"/>
  <c r="AD26" i="11"/>
  <c r="AB26" i="11"/>
  <c r="Z26" i="11"/>
  <c r="X26" i="11"/>
  <c r="V26" i="11"/>
  <c r="T26" i="11"/>
  <c r="R26" i="11"/>
  <c r="P26" i="11"/>
  <c r="N26" i="11"/>
  <c r="L26" i="11"/>
  <c r="J26" i="11"/>
  <c r="H26" i="11"/>
  <c r="F26" i="11"/>
  <c r="D26" i="11"/>
  <c r="AP25" i="11"/>
  <c r="AN25" i="11"/>
  <c r="AL25" i="11"/>
  <c r="AJ25" i="11"/>
  <c r="AH25" i="11"/>
  <c r="AF25" i="11"/>
  <c r="AD25" i="11"/>
  <c r="AB25" i="11"/>
  <c r="Z25" i="11"/>
  <c r="X25" i="11"/>
  <c r="V25" i="11"/>
  <c r="T25" i="11"/>
  <c r="R25" i="11"/>
  <c r="P25" i="11"/>
  <c r="N25" i="11"/>
  <c r="L25" i="11"/>
  <c r="J25" i="11"/>
  <c r="H25" i="11"/>
  <c r="F25" i="11"/>
  <c r="D25" i="11"/>
  <c r="AP23" i="11"/>
  <c r="AN23" i="11"/>
  <c r="AL23" i="11"/>
  <c r="AJ23" i="11"/>
  <c r="AH23" i="11"/>
  <c r="AF23" i="11"/>
  <c r="AD23" i="11"/>
  <c r="AB23" i="11"/>
  <c r="Z23" i="11"/>
  <c r="X23" i="11"/>
  <c r="V23" i="11"/>
  <c r="T23" i="11"/>
  <c r="R23" i="11"/>
  <c r="P23" i="11"/>
  <c r="N23" i="11"/>
  <c r="L23" i="11"/>
  <c r="J23" i="11"/>
  <c r="H23" i="11"/>
  <c r="F23" i="11"/>
  <c r="D23" i="11"/>
  <c r="AP22" i="11"/>
  <c r="AN22" i="11"/>
  <c r="AL22" i="11"/>
  <c r="AJ22" i="11"/>
  <c r="AH22" i="11"/>
  <c r="AF22" i="11"/>
  <c r="AD22" i="11"/>
  <c r="AB22" i="11"/>
  <c r="Z22" i="11"/>
  <c r="X22" i="11"/>
  <c r="V22" i="11"/>
  <c r="T22" i="11"/>
  <c r="R22" i="11"/>
  <c r="P22" i="11"/>
  <c r="N22" i="11"/>
  <c r="L22" i="11"/>
  <c r="J22" i="11"/>
  <c r="H22" i="11"/>
  <c r="F22" i="11"/>
  <c r="D22" i="11"/>
  <c r="AP21" i="11"/>
  <c r="AN21" i="11"/>
  <c r="AL21" i="11"/>
  <c r="AJ21" i="11"/>
  <c r="AH21" i="11"/>
  <c r="AF21" i="11"/>
  <c r="AD21" i="11"/>
  <c r="AB21" i="11"/>
  <c r="Z21" i="11"/>
  <c r="X21" i="11"/>
  <c r="V21" i="11"/>
  <c r="T21" i="11"/>
  <c r="R21" i="11"/>
  <c r="P21" i="11"/>
  <c r="N21" i="11"/>
  <c r="L21" i="11"/>
  <c r="J21" i="11"/>
  <c r="H21" i="11"/>
  <c r="F21" i="11"/>
  <c r="D21" i="11"/>
  <c r="AP20" i="11"/>
  <c r="AN20" i="11"/>
  <c r="AL20" i="11"/>
  <c r="AJ20" i="11"/>
  <c r="AH20" i="11"/>
  <c r="AF20" i="11"/>
  <c r="AD20" i="11"/>
  <c r="AB20" i="11"/>
  <c r="Z20" i="11"/>
  <c r="X20" i="11"/>
  <c r="V20" i="11"/>
  <c r="T20" i="11"/>
  <c r="R20" i="11"/>
  <c r="P20" i="11"/>
  <c r="N20" i="11"/>
  <c r="L20" i="11"/>
  <c r="J20" i="11"/>
  <c r="H20" i="11"/>
  <c r="F20" i="11"/>
  <c r="D20" i="11"/>
  <c r="AP19" i="11"/>
  <c r="AN19" i="11"/>
  <c r="AL19" i="11"/>
  <c r="AJ19" i="11"/>
  <c r="AH19" i="11"/>
  <c r="AF19" i="11"/>
  <c r="AD19" i="11"/>
  <c r="AB19" i="11"/>
  <c r="Z19" i="11"/>
  <c r="X19" i="11"/>
  <c r="V19" i="11"/>
  <c r="T19" i="11"/>
  <c r="R19" i="11"/>
  <c r="P19" i="11"/>
  <c r="N19" i="11"/>
  <c r="L19" i="11"/>
  <c r="J19" i="11"/>
  <c r="H19" i="11"/>
  <c r="F19" i="11"/>
  <c r="D19" i="11"/>
  <c r="AP18" i="11"/>
  <c r="AN18" i="11"/>
  <c r="AL18" i="11"/>
  <c r="AJ18" i="11"/>
  <c r="AH18" i="11"/>
  <c r="AF18" i="11"/>
  <c r="AD18" i="11"/>
  <c r="AB18" i="11"/>
  <c r="Z18" i="11"/>
  <c r="X18" i="11"/>
  <c r="V18" i="11"/>
  <c r="T18" i="11"/>
  <c r="R18" i="11"/>
  <c r="P18" i="11"/>
  <c r="N18" i="11"/>
  <c r="L18" i="11"/>
  <c r="J18" i="11"/>
  <c r="H18" i="11"/>
  <c r="F18" i="11"/>
  <c r="D18" i="11"/>
  <c r="AP17" i="11"/>
  <c r="AN17" i="11"/>
  <c r="AL17" i="11"/>
  <c r="AJ17" i="11"/>
  <c r="AH17" i="11"/>
  <c r="AF17" i="11"/>
  <c r="AD17" i="11"/>
  <c r="AB17" i="11"/>
  <c r="Z17" i="11"/>
  <c r="X17" i="11"/>
  <c r="V17" i="11"/>
  <c r="T17" i="11"/>
  <c r="R17" i="11"/>
  <c r="P17" i="11"/>
  <c r="N17" i="11"/>
  <c r="L17" i="11"/>
  <c r="J17" i="11"/>
  <c r="H17" i="11"/>
  <c r="F17" i="11"/>
  <c r="D17" i="11"/>
  <c r="AP16" i="11"/>
  <c r="AN16" i="11"/>
  <c r="AL16" i="11"/>
  <c r="AJ16" i="11"/>
  <c r="AH16" i="11"/>
  <c r="AF16" i="11"/>
  <c r="AD16" i="11"/>
  <c r="AB16" i="11"/>
  <c r="Z16" i="11"/>
  <c r="X16" i="11"/>
  <c r="V16" i="11"/>
  <c r="T16" i="11"/>
  <c r="R16" i="11"/>
  <c r="P16" i="11"/>
  <c r="N16" i="11"/>
  <c r="L16" i="11"/>
  <c r="J16" i="11"/>
  <c r="H16" i="11"/>
  <c r="F16" i="11"/>
  <c r="D16" i="11"/>
  <c r="AP15" i="11"/>
  <c r="AN15" i="11"/>
  <c r="AL15" i="11"/>
  <c r="AJ15" i="11"/>
  <c r="AH15" i="11"/>
  <c r="AF15" i="11"/>
  <c r="AD15" i="11"/>
  <c r="AB15" i="11"/>
  <c r="Z15" i="11"/>
  <c r="X15" i="11"/>
  <c r="V15" i="11"/>
  <c r="T15" i="11"/>
  <c r="R15" i="11"/>
  <c r="P15" i="11"/>
  <c r="N15" i="11"/>
  <c r="L15" i="11"/>
  <c r="J15" i="11"/>
  <c r="H15" i="11"/>
  <c r="F15" i="11"/>
  <c r="D15" i="11"/>
  <c r="AP14" i="11"/>
  <c r="AN14" i="11"/>
  <c r="AL14" i="11"/>
  <c r="AJ14" i="11"/>
  <c r="AH14" i="11"/>
  <c r="AF14" i="11"/>
  <c r="AD14" i="11"/>
  <c r="AB14" i="11"/>
  <c r="Z14" i="11"/>
  <c r="X14" i="11"/>
  <c r="V14" i="11"/>
  <c r="T14" i="11"/>
  <c r="R14" i="11"/>
  <c r="P14" i="11"/>
  <c r="N14" i="11"/>
  <c r="L14" i="11"/>
  <c r="J14" i="11"/>
  <c r="H14" i="11"/>
  <c r="F14" i="11"/>
  <c r="D14" i="11"/>
  <c r="AP12" i="11"/>
  <c r="AN12" i="11"/>
  <c r="AL12" i="11"/>
  <c r="AJ12" i="11"/>
  <c r="AH12" i="11"/>
  <c r="AF12" i="11"/>
  <c r="AD12" i="11"/>
  <c r="AB12" i="11"/>
  <c r="Z12" i="11"/>
  <c r="X12" i="11"/>
  <c r="V12" i="11"/>
  <c r="T12" i="11"/>
  <c r="R12" i="11"/>
  <c r="P12" i="11"/>
  <c r="N12" i="11"/>
  <c r="L12" i="11"/>
  <c r="J12" i="11"/>
  <c r="H12" i="11"/>
  <c r="F12" i="11"/>
  <c r="D12" i="11"/>
  <c r="AP11" i="11"/>
  <c r="AN11" i="11"/>
  <c r="AL11" i="11"/>
  <c r="AJ11" i="11"/>
  <c r="AH11" i="11"/>
  <c r="AF11" i="11"/>
  <c r="AD11" i="11"/>
  <c r="AB11" i="11"/>
  <c r="Z11" i="11"/>
  <c r="X11" i="11"/>
  <c r="V11" i="11"/>
  <c r="T11" i="11"/>
  <c r="R11" i="11"/>
  <c r="P11" i="11"/>
  <c r="N11" i="11"/>
  <c r="L11" i="11"/>
  <c r="J11" i="11"/>
  <c r="H11" i="11"/>
  <c r="F11" i="11"/>
  <c r="D11" i="11"/>
  <c r="AP10" i="11"/>
  <c r="AN10" i="11"/>
  <c r="AL10" i="11"/>
  <c r="AJ10" i="11"/>
  <c r="AH10" i="11"/>
  <c r="AF10" i="11"/>
  <c r="AD10" i="11"/>
  <c r="AB10" i="11"/>
  <c r="Z10" i="11"/>
  <c r="X10" i="11"/>
  <c r="V10" i="11"/>
  <c r="T10" i="11"/>
  <c r="R10" i="11"/>
  <c r="P10" i="11"/>
  <c r="N10" i="11"/>
  <c r="L10" i="11"/>
  <c r="J10" i="11"/>
  <c r="H10" i="11"/>
  <c r="F10" i="11"/>
  <c r="D10" i="11"/>
  <c r="AP9" i="11"/>
  <c r="AN9" i="11"/>
  <c r="AL9" i="11"/>
  <c r="AJ9" i="11"/>
  <c r="AH9" i="11"/>
  <c r="AF9" i="11"/>
  <c r="AD9" i="11"/>
  <c r="AB9" i="11"/>
  <c r="Z9" i="11"/>
  <c r="X9" i="11"/>
  <c r="V9" i="11"/>
  <c r="T9" i="11"/>
  <c r="R9" i="11"/>
  <c r="P9" i="11"/>
  <c r="N9" i="11"/>
  <c r="L9" i="11"/>
  <c r="J9" i="11"/>
  <c r="H9" i="11"/>
  <c r="F9" i="11"/>
  <c r="D9" i="11"/>
  <c r="AP8" i="11"/>
  <c r="AN8" i="11"/>
  <c r="AL8" i="11"/>
  <c r="AJ8" i="11"/>
  <c r="AH8" i="11"/>
  <c r="AF8" i="11"/>
  <c r="AD8" i="11"/>
  <c r="AB8" i="11"/>
  <c r="Z8" i="11"/>
  <c r="X8" i="11"/>
  <c r="V8" i="11"/>
  <c r="T8" i="11"/>
  <c r="R8" i="11"/>
  <c r="P8" i="11"/>
  <c r="N8" i="11"/>
  <c r="L8" i="11"/>
  <c r="J8" i="11"/>
  <c r="H8" i="11"/>
  <c r="F8" i="11"/>
  <c r="D8" i="11"/>
  <c r="AP7" i="11"/>
  <c r="AN7" i="11"/>
  <c r="AL7" i="11"/>
  <c r="AJ7" i="11"/>
  <c r="AH7" i="11"/>
  <c r="AF7" i="11"/>
  <c r="AD7" i="11"/>
  <c r="AB7" i="11"/>
  <c r="Z7" i="11"/>
  <c r="X7" i="11"/>
  <c r="V7" i="11"/>
  <c r="T7" i="11"/>
  <c r="R7" i="11"/>
  <c r="P7" i="11"/>
  <c r="N7" i="11"/>
  <c r="L7" i="11"/>
  <c r="J7" i="11"/>
  <c r="H7" i="11"/>
  <c r="F7" i="11"/>
  <c r="D7" i="11"/>
  <c r="AP6" i="11"/>
  <c r="AN6" i="11"/>
  <c r="AL6" i="11"/>
  <c r="AL37" i="11" s="1"/>
  <c r="AJ6" i="11"/>
  <c r="AH6" i="11"/>
  <c r="AF6" i="11"/>
  <c r="AD6" i="11"/>
  <c r="AB6" i="11"/>
  <c r="Z6" i="11"/>
  <c r="Z37" i="11" s="1"/>
  <c r="X6" i="11"/>
  <c r="V6" i="11"/>
  <c r="T6" i="11"/>
  <c r="R6" i="11"/>
  <c r="P6" i="11"/>
  <c r="P37" i="11" s="1"/>
  <c r="N6" i="11"/>
  <c r="L6" i="11"/>
  <c r="J6" i="11"/>
  <c r="H6" i="11"/>
  <c r="F6" i="11"/>
  <c r="D6" i="11"/>
  <c r="AR30" i="10"/>
  <c r="AP30" i="10"/>
  <c r="AN30" i="10"/>
  <c r="AL30" i="10"/>
  <c r="AJ30" i="10"/>
  <c r="AH30" i="10"/>
  <c r="AF30" i="10"/>
  <c r="AD30" i="10"/>
  <c r="AB30" i="10"/>
  <c r="Z30" i="10"/>
  <c r="X30" i="10"/>
  <c r="V30" i="10"/>
  <c r="T30" i="10"/>
  <c r="R30" i="10"/>
  <c r="P30" i="10"/>
  <c r="N30" i="10"/>
  <c r="L30" i="10"/>
  <c r="J30" i="10"/>
  <c r="H30" i="10"/>
  <c r="F30" i="10"/>
  <c r="AR29" i="10"/>
  <c r="AP29" i="10"/>
  <c r="AN29" i="10"/>
  <c r="AL29" i="10"/>
  <c r="AJ29" i="10"/>
  <c r="AH29" i="10"/>
  <c r="AF29" i="10"/>
  <c r="AD29" i="10"/>
  <c r="AB29" i="10"/>
  <c r="Z29" i="10"/>
  <c r="X29" i="10"/>
  <c r="V29" i="10"/>
  <c r="T29" i="10"/>
  <c r="R29" i="10"/>
  <c r="P29" i="10"/>
  <c r="N29" i="10"/>
  <c r="L29" i="10"/>
  <c r="J29" i="10"/>
  <c r="H29" i="10"/>
  <c r="F29" i="10"/>
  <c r="AR28" i="10"/>
  <c r="AP28" i="10"/>
  <c r="AN28" i="10"/>
  <c r="AL28" i="10"/>
  <c r="AJ28" i="10"/>
  <c r="AH28" i="10"/>
  <c r="AF28" i="10"/>
  <c r="AD28" i="10"/>
  <c r="AB28" i="10"/>
  <c r="Z28" i="10"/>
  <c r="X28" i="10"/>
  <c r="V28" i="10"/>
  <c r="T28" i="10"/>
  <c r="R28" i="10"/>
  <c r="P28" i="10"/>
  <c r="N28" i="10"/>
  <c r="L28" i="10"/>
  <c r="J28" i="10"/>
  <c r="H28" i="10"/>
  <c r="F28" i="10"/>
  <c r="AR27" i="10"/>
  <c r="AP27" i="10"/>
  <c r="AN27" i="10"/>
  <c r="AL27" i="10"/>
  <c r="AJ27" i="10"/>
  <c r="AH27" i="10"/>
  <c r="AF27" i="10"/>
  <c r="AD27" i="10"/>
  <c r="AB27" i="10"/>
  <c r="Z27" i="10"/>
  <c r="X27" i="10"/>
  <c r="V27" i="10"/>
  <c r="T27" i="10"/>
  <c r="R27" i="10"/>
  <c r="P27" i="10"/>
  <c r="N27" i="10"/>
  <c r="L27" i="10"/>
  <c r="J27" i="10"/>
  <c r="H27" i="10"/>
  <c r="F27" i="10"/>
  <c r="AH26" i="10"/>
  <c r="R26" i="10"/>
  <c r="D26" i="10"/>
  <c r="AF26" i="10" s="1"/>
  <c r="AR25" i="10"/>
  <c r="AP25" i="10"/>
  <c r="AN25" i="10"/>
  <c r="AL25" i="10"/>
  <c r="AJ25" i="10"/>
  <c r="AH25" i="10"/>
  <c r="AF25" i="10"/>
  <c r="AD25" i="10"/>
  <c r="AB25" i="10"/>
  <c r="Z25" i="10"/>
  <c r="X25" i="10"/>
  <c r="V25" i="10"/>
  <c r="T25" i="10"/>
  <c r="R25" i="10"/>
  <c r="P25" i="10"/>
  <c r="N25" i="10"/>
  <c r="L25" i="10"/>
  <c r="J25" i="10"/>
  <c r="H25" i="10"/>
  <c r="F25" i="10"/>
  <c r="D24" i="10"/>
  <c r="AH24" i="10" s="1"/>
  <c r="AR23" i="10"/>
  <c r="AP23" i="10"/>
  <c r="AN23" i="10"/>
  <c r="AL23" i="10"/>
  <c r="AJ23" i="10"/>
  <c r="AH23" i="10"/>
  <c r="AF23" i="10"/>
  <c r="AD23" i="10"/>
  <c r="AB23" i="10"/>
  <c r="Z23" i="10"/>
  <c r="X23" i="10"/>
  <c r="V23" i="10"/>
  <c r="T23" i="10"/>
  <c r="R23" i="10"/>
  <c r="P23" i="10"/>
  <c r="N23" i="10"/>
  <c r="L23" i="10"/>
  <c r="J23" i="10"/>
  <c r="H23" i="10"/>
  <c r="F23" i="10"/>
  <c r="AR22" i="10"/>
  <c r="AP22" i="10"/>
  <c r="AN22" i="10"/>
  <c r="AL22" i="10"/>
  <c r="AJ22" i="10"/>
  <c r="AH22" i="10"/>
  <c r="AF22" i="10"/>
  <c r="AD22" i="10"/>
  <c r="AB22" i="10"/>
  <c r="Z22" i="10"/>
  <c r="X22" i="10"/>
  <c r="V22" i="10"/>
  <c r="T22" i="10"/>
  <c r="R22" i="10"/>
  <c r="P22" i="10"/>
  <c r="N22" i="10"/>
  <c r="L22" i="10"/>
  <c r="J22" i="10"/>
  <c r="H22" i="10"/>
  <c r="F22" i="10"/>
  <c r="AR21" i="10"/>
  <c r="AP21" i="10"/>
  <c r="AN21" i="10"/>
  <c r="AL21" i="10"/>
  <c r="AJ21" i="10"/>
  <c r="AH21" i="10"/>
  <c r="AF21" i="10"/>
  <c r="AD21" i="10"/>
  <c r="AB21" i="10"/>
  <c r="Z21" i="10"/>
  <c r="X21" i="10"/>
  <c r="V21" i="10"/>
  <c r="T21" i="10"/>
  <c r="R21" i="10"/>
  <c r="P21" i="10"/>
  <c r="N21" i="10"/>
  <c r="L21" i="10"/>
  <c r="J21" i="10"/>
  <c r="H21" i="10"/>
  <c r="F21" i="10"/>
  <c r="D20" i="10"/>
  <c r="AJ20" i="10" s="1"/>
  <c r="AR19" i="10"/>
  <c r="AP19" i="10"/>
  <c r="AN19" i="10"/>
  <c r="AL19" i="10"/>
  <c r="AJ19" i="10"/>
  <c r="AH19" i="10"/>
  <c r="AF19" i="10"/>
  <c r="AD19" i="10"/>
  <c r="AB19" i="10"/>
  <c r="Z19" i="10"/>
  <c r="X19" i="10"/>
  <c r="V19" i="10"/>
  <c r="T19" i="10"/>
  <c r="R19" i="10"/>
  <c r="P19" i="10"/>
  <c r="N19" i="10"/>
  <c r="L19" i="10"/>
  <c r="J19" i="10"/>
  <c r="H19" i="10"/>
  <c r="F19" i="10"/>
  <c r="AR18" i="10"/>
  <c r="AP18" i="10"/>
  <c r="AN18" i="10"/>
  <c r="AL18" i="10"/>
  <c r="AJ18" i="10"/>
  <c r="AH18" i="10"/>
  <c r="AF18" i="10"/>
  <c r="AD18" i="10"/>
  <c r="AB18" i="10"/>
  <c r="Z18" i="10"/>
  <c r="X18" i="10"/>
  <c r="V18" i="10"/>
  <c r="T18" i="10"/>
  <c r="R18" i="10"/>
  <c r="P18" i="10"/>
  <c r="N18" i="10"/>
  <c r="L18" i="10"/>
  <c r="J18" i="10"/>
  <c r="H18" i="10"/>
  <c r="F18" i="10"/>
  <c r="AR17" i="10"/>
  <c r="AP17" i="10"/>
  <c r="AN17" i="10"/>
  <c r="AL17" i="10"/>
  <c r="AJ17" i="10"/>
  <c r="AH17" i="10"/>
  <c r="AF17" i="10"/>
  <c r="AD17" i="10"/>
  <c r="AB17" i="10"/>
  <c r="Z17" i="10"/>
  <c r="X17" i="10"/>
  <c r="V17" i="10"/>
  <c r="T17" i="10"/>
  <c r="R17" i="10"/>
  <c r="P17" i="10"/>
  <c r="N17" i="10"/>
  <c r="L17" i="10"/>
  <c r="J17" i="10"/>
  <c r="H17" i="10"/>
  <c r="F17" i="10"/>
  <c r="AR16" i="10"/>
  <c r="AP16" i="10"/>
  <c r="AN16" i="10"/>
  <c r="AL16" i="10"/>
  <c r="AJ16" i="10"/>
  <c r="AH16" i="10"/>
  <c r="AF16" i="10"/>
  <c r="AD16" i="10"/>
  <c r="AB16" i="10"/>
  <c r="Z16" i="10"/>
  <c r="X16" i="10"/>
  <c r="V16" i="10"/>
  <c r="T16" i="10"/>
  <c r="R16" i="10"/>
  <c r="P16" i="10"/>
  <c r="N16" i="10"/>
  <c r="L16" i="10"/>
  <c r="J16" i="10"/>
  <c r="H16" i="10"/>
  <c r="F16" i="10"/>
  <c r="AR15" i="10"/>
  <c r="AP15" i="10"/>
  <c r="AN15" i="10"/>
  <c r="AL15" i="10"/>
  <c r="AJ15" i="10"/>
  <c r="AH15" i="10"/>
  <c r="AF15" i="10"/>
  <c r="AD15" i="10"/>
  <c r="AB15" i="10"/>
  <c r="Z15" i="10"/>
  <c r="X15" i="10"/>
  <c r="V15" i="10"/>
  <c r="T15" i="10"/>
  <c r="R15" i="10"/>
  <c r="P15" i="10"/>
  <c r="N15" i="10"/>
  <c r="L15" i="10"/>
  <c r="J15" i="10"/>
  <c r="H15" i="10"/>
  <c r="F15" i="10"/>
  <c r="AN14" i="10"/>
  <c r="AH14" i="10"/>
  <c r="AF14" i="10"/>
  <c r="X14" i="10"/>
  <c r="N14" i="10"/>
  <c r="H14" i="10"/>
  <c r="D14" i="10"/>
  <c r="AL14" i="10" s="1"/>
  <c r="AR13" i="10"/>
  <c r="AP13" i="10"/>
  <c r="AN13" i="10"/>
  <c r="AL13" i="10"/>
  <c r="AJ13" i="10"/>
  <c r="AH13" i="10"/>
  <c r="AF13" i="10"/>
  <c r="AD13" i="10"/>
  <c r="AB13" i="10"/>
  <c r="Z13" i="10"/>
  <c r="X13" i="10"/>
  <c r="V13" i="10"/>
  <c r="T13" i="10"/>
  <c r="R13" i="10"/>
  <c r="P13" i="10"/>
  <c r="N13" i="10"/>
  <c r="L13" i="10"/>
  <c r="J13" i="10"/>
  <c r="H13" i="10"/>
  <c r="F13" i="10"/>
  <c r="AR12" i="10"/>
  <c r="AP12" i="10"/>
  <c r="AN12" i="10"/>
  <c r="AL12" i="10"/>
  <c r="AJ12" i="10"/>
  <c r="AH12" i="10"/>
  <c r="AF12" i="10"/>
  <c r="AD12" i="10"/>
  <c r="AB12" i="10"/>
  <c r="Z12" i="10"/>
  <c r="X12" i="10"/>
  <c r="V12" i="10"/>
  <c r="T12" i="10"/>
  <c r="R12" i="10"/>
  <c r="P12" i="10"/>
  <c r="N12" i="10"/>
  <c r="L12" i="10"/>
  <c r="J12" i="10"/>
  <c r="H12" i="10"/>
  <c r="F12" i="10"/>
  <c r="AR11" i="10"/>
  <c r="AP11" i="10"/>
  <c r="AN11" i="10"/>
  <c r="AL11" i="10"/>
  <c r="AJ11" i="10"/>
  <c r="AH11" i="10"/>
  <c r="AF11" i="10"/>
  <c r="AD11" i="10"/>
  <c r="AB11" i="10"/>
  <c r="Z11" i="10"/>
  <c r="X11" i="10"/>
  <c r="V11" i="10"/>
  <c r="T11" i="10"/>
  <c r="R11" i="10"/>
  <c r="P11" i="10"/>
  <c r="N11" i="10"/>
  <c r="L11" i="10"/>
  <c r="J11" i="10"/>
  <c r="H11" i="10"/>
  <c r="F11" i="10"/>
  <c r="AR10" i="10"/>
  <c r="AP10" i="10"/>
  <c r="AN10" i="10"/>
  <c r="AL10" i="10"/>
  <c r="AJ10" i="10"/>
  <c r="AH10" i="10"/>
  <c r="AF10" i="10"/>
  <c r="AD10" i="10"/>
  <c r="AB10" i="10"/>
  <c r="Z10" i="10"/>
  <c r="X10" i="10"/>
  <c r="V10" i="10"/>
  <c r="T10" i="10"/>
  <c r="R10" i="10"/>
  <c r="P10" i="10"/>
  <c r="N10" i="10"/>
  <c r="L10" i="10"/>
  <c r="J10" i="10"/>
  <c r="H10" i="10"/>
  <c r="F10" i="10"/>
  <c r="AR9" i="10"/>
  <c r="AP9" i="10"/>
  <c r="AN9" i="10"/>
  <c r="AL9" i="10"/>
  <c r="AJ9" i="10"/>
  <c r="AH9" i="10"/>
  <c r="AF9" i="10"/>
  <c r="AD9" i="10"/>
  <c r="AB9" i="10"/>
  <c r="Z9" i="10"/>
  <c r="X9" i="10"/>
  <c r="V9" i="10"/>
  <c r="T9" i="10"/>
  <c r="R9" i="10"/>
  <c r="P9" i="10"/>
  <c r="N9" i="10"/>
  <c r="L9" i="10"/>
  <c r="J9" i="10"/>
  <c r="H9" i="10"/>
  <c r="F9" i="10"/>
  <c r="AR8" i="10"/>
  <c r="AP8" i="10"/>
  <c r="AN8" i="10"/>
  <c r="AL8" i="10"/>
  <c r="AJ8" i="10"/>
  <c r="AH8" i="10"/>
  <c r="AF8" i="10"/>
  <c r="AD8" i="10"/>
  <c r="AB8" i="10"/>
  <c r="Z8" i="10"/>
  <c r="X8" i="10"/>
  <c r="V8" i="10"/>
  <c r="T8" i="10"/>
  <c r="R8" i="10"/>
  <c r="P8" i="10"/>
  <c r="N8" i="10"/>
  <c r="L8" i="10"/>
  <c r="J8" i="10"/>
  <c r="H8" i="10"/>
  <c r="F8" i="10"/>
  <c r="AR7" i="10"/>
  <c r="AP7" i="10"/>
  <c r="AN7" i="10"/>
  <c r="AL7" i="10"/>
  <c r="AJ7" i="10"/>
  <c r="AH7" i="10"/>
  <c r="AF7" i="10"/>
  <c r="AD7" i="10"/>
  <c r="AB7" i="10"/>
  <c r="Z7" i="10"/>
  <c r="X7" i="10"/>
  <c r="V7" i="10"/>
  <c r="T7" i="10"/>
  <c r="R7" i="10"/>
  <c r="P7" i="10"/>
  <c r="N7" i="10"/>
  <c r="L7" i="10"/>
  <c r="J7" i="10"/>
  <c r="H7" i="10"/>
  <c r="F7" i="10"/>
  <c r="AR6" i="10"/>
  <c r="AP6" i="10"/>
  <c r="AN6" i="10"/>
  <c r="AL6" i="10"/>
  <c r="AJ6" i="10"/>
  <c r="AH6" i="10"/>
  <c r="AF6" i="10"/>
  <c r="AD6" i="10"/>
  <c r="AB6" i="10"/>
  <c r="Z6" i="10"/>
  <c r="X6" i="10"/>
  <c r="V6" i="10"/>
  <c r="T6" i="10"/>
  <c r="R6" i="10"/>
  <c r="P6" i="10"/>
  <c r="N6" i="10"/>
  <c r="L6" i="10"/>
  <c r="J6" i="10"/>
  <c r="H6" i="10"/>
  <c r="F6" i="10"/>
  <c r="E19" i="8"/>
  <c r="D19" i="8"/>
  <c r="R213" i="7"/>
  <c r="Q213" i="7"/>
  <c r="K213" i="7"/>
  <c r="J213" i="7"/>
  <c r="C213" i="7"/>
  <c r="R212" i="7"/>
  <c r="Q212" i="7"/>
  <c r="K212" i="7"/>
  <c r="J212" i="7"/>
  <c r="I212" i="7"/>
  <c r="H212" i="7"/>
  <c r="C212" i="7"/>
  <c r="R211" i="7"/>
  <c r="Q211" i="7"/>
  <c r="K211" i="7"/>
  <c r="J211" i="7"/>
  <c r="I211" i="7"/>
  <c r="H211" i="7"/>
  <c r="C211" i="7"/>
  <c r="R210" i="7"/>
  <c r="Q210" i="7"/>
  <c r="K210" i="7"/>
  <c r="J210" i="7"/>
  <c r="C210" i="7"/>
  <c r="R209" i="7"/>
  <c r="Q209" i="7"/>
  <c r="K209" i="7"/>
  <c r="J209" i="7"/>
  <c r="C209" i="7"/>
  <c r="R208" i="7"/>
  <c r="Q208" i="7"/>
  <c r="C208" i="7"/>
  <c r="R207" i="7"/>
  <c r="Q207" i="7"/>
  <c r="K207" i="7"/>
  <c r="J207" i="7"/>
  <c r="I207" i="7"/>
  <c r="H207" i="7"/>
  <c r="C207" i="7"/>
  <c r="R206" i="7"/>
  <c r="Q206" i="7"/>
  <c r="K206" i="7"/>
  <c r="J206" i="7"/>
  <c r="C206" i="7"/>
  <c r="G205" i="7"/>
  <c r="C204" i="7"/>
  <c r="G203" i="7"/>
  <c r="R202" i="7"/>
  <c r="Q202" i="7"/>
  <c r="C202" i="7"/>
  <c r="R201" i="7"/>
  <c r="Q201" i="7"/>
  <c r="K201" i="7"/>
  <c r="J201" i="7"/>
  <c r="I201" i="7"/>
  <c r="H201" i="7"/>
  <c r="C201" i="7"/>
  <c r="R200" i="7"/>
  <c r="Q200" i="7"/>
  <c r="P200" i="7"/>
  <c r="O200" i="7"/>
  <c r="C200" i="7"/>
  <c r="R199" i="7"/>
  <c r="Q199" i="7"/>
  <c r="C199" i="7"/>
  <c r="R198" i="7"/>
  <c r="Q198" i="7"/>
  <c r="P198" i="7"/>
  <c r="O198" i="7"/>
  <c r="C198" i="7"/>
  <c r="R197" i="7"/>
  <c r="Q197" i="7"/>
  <c r="C197" i="7"/>
  <c r="R196" i="7"/>
  <c r="Q196" i="7"/>
  <c r="C196" i="7"/>
  <c r="R195" i="7"/>
  <c r="Q195" i="7"/>
  <c r="C195" i="7"/>
  <c r="R194" i="7"/>
  <c r="Q194" i="7"/>
  <c r="K194" i="7"/>
  <c r="J194" i="7"/>
  <c r="I194" i="7"/>
  <c r="H194" i="7"/>
  <c r="C194" i="7"/>
  <c r="R193" i="7"/>
  <c r="Q193" i="7"/>
  <c r="K193" i="7"/>
  <c r="J193" i="7"/>
  <c r="I193" i="7"/>
  <c r="H193" i="7"/>
  <c r="C193" i="7"/>
  <c r="R192" i="7"/>
  <c r="Q192" i="7"/>
  <c r="C192" i="7"/>
  <c r="R191" i="7"/>
  <c r="Q191" i="7"/>
  <c r="K191" i="7"/>
  <c r="J191" i="7"/>
  <c r="I191" i="7"/>
  <c r="H191" i="7"/>
  <c r="C191" i="7"/>
  <c r="R190" i="7"/>
  <c r="Q190" i="7"/>
  <c r="C190" i="7"/>
  <c r="R189" i="7"/>
  <c r="Q189" i="7"/>
  <c r="C189" i="7"/>
  <c r="R188" i="7"/>
  <c r="Q188" i="7"/>
  <c r="K188" i="7"/>
  <c r="J188" i="7"/>
  <c r="C188" i="7"/>
  <c r="C187" i="7"/>
  <c r="R186" i="7"/>
  <c r="Q186" i="7"/>
  <c r="K186" i="7"/>
  <c r="J186" i="7"/>
  <c r="I186" i="7"/>
  <c r="H186" i="7"/>
  <c r="C186" i="7"/>
  <c r="R185" i="7"/>
  <c r="Q185" i="7"/>
  <c r="P185" i="7"/>
  <c r="O185" i="7"/>
  <c r="K185" i="7"/>
  <c r="J185" i="7"/>
  <c r="C185" i="7"/>
  <c r="R184" i="7"/>
  <c r="Q184" i="7"/>
  <c r="C184" i="7"/>
  <c r="R182" i="7"/>
  <c r="Q182" i="7"/>
  <c r="C182" i="7"/>
  <c r="G181" i="7"/>
  <c r="R180" i="7"/>
  <c r="Q180" i="7"/>
  <c r="K180" i="7"/>
  <c r="J180" i="7"/>
  <c r="C180" i="7"/>
  <c r="R179" i="7"/>
  <c r="Q179" i="7"/>
  <c r="K179" i="7"/>
  <c r="J179" i="7"/>
  <c r="I179" i="7"/>
  <c r="H179" i="7"/>
  <c r="C179" i="7"/>
  <c r="R177" i="7"/>
  <c r="Q177" i="7"/>
  <c r="K177" i="7"/>
  <c r="J177" i="7"/>
  <c r="I177" i="7"/>
  <c r="H177" i="7"/>
  <c r="R175" i="7"/>
  <c r="Q175" i="7"/>
  <c r="K175" i="7"/>
  <c r="J175" i="7"/>
  <c r="I175" i="7"/>
  <c r="H175" i="7"/>
  <c r="C175" i="7"/>
  <c r="R174" i="7"/>
  <c r="Q174" i="7"/>
  <c r="K174" i="7"/>
  <c r="J174" i="7"/>
  <c r="I174" i="7"/>
  <c r="H174" i="7"/>
  <c r="C174" i="7"/>
  <c r="C172" i="7"/>
  <c r="R171" i="7"/>
  <c r="Q171" i="7"/>
  <c r="K171" i="7"/>
  <c r="J171" i="7"/>
  <c r="I171" i="7"/>
  <c r="H171" i="7"/>
  <c r="C171" i="7"/>
  <c r="R170" i="7"/>
  <c r="Q170" i="7"/>
  <c r="K170" i="7"/>
  <c r="J170" i="7"/>
  <c r="I170" i="7"/>
  <c r="H170" i="7"/>
  <c r="C170" i="7"/>
  <c r="R168" i="7"/>
  <c r="Q168" i="7"/>
  <c r="C168" i="7"/>
  <c r="R167" i="7"/>
  <c r="Q167" i="7"/>
  <c r="K167" i="7"/>
  <c r="J167" i="7"/>
  <c r="I167" i="7"/>
  <c r="H167" i="7"/>
  <c r="C167" i="7"/>
  <c r="R166" i="7"/>
  <c r="Q166" i="7"/>
  <c r="K166" i="7"/>
  <c r="J166" i="7"/>
  <c r="I166" i="7"/>
  <c r="H166" i="7"/>
  <c r="C166" i="7"/>
  <c r="K157" i="7"/>
  <c r="J157" i="7"/>
  <c r="I157" i="7"/>
  <c r="H157" i="7"/>
  <c r="C157" i="7"/>
  <c r="K156" i="7"/>
  <c r="J156" i="7"/>
  <c r="C156" i="7"/>
  <c r="K155" i="7"/>
  <c r="J155" i="7"/>
  <c r="C155" i="7"/>
  <c r="K154" i="7"/>
  <c r="J154" i="7"/>
  <c r="I154" i="7"/>
  <c r="H154" i="7"/>
  <c r="C154" i="7"/>
  <c r="K153" i="7"/>
  <c r="J153" i="7"/>
  <c r="I153" i="7"/>
  <c r="H153" i="7"/>
  <c r="C153" i="7"/>
  <c r="R152" i="7"/>
  <c r="Q152" i="7"/>
  <c r="C152" i="7"/>
  <c r="R150" i="7"/>
  <c r="Q150" i="7"/>
  <c r="P150" i="7"/>
  <c r="O150" i="7"/>
  <c r="C150" i="7"/>
  <c r="R147" i="7"/>
  <c r="Q147" i="7"/>
  <c r="P147" i="7"/>
  <c r="O147" i="7"/>
  <c r="C147" i="7"/>
  <c r="R146" i="7"/>
  <c r="Q146" i="7"/>
  <c r="K146" i="7"/>
  <c r="J146" i="7"/>
  <c r="I146" i="7"/>
  <c r="H146" i="7"/>
  <c r="C146" i="7"/>
  <c r="K144" i="7"/>
  <c r="J144" i="7"/>
  <c r="I144" i="7"/>
  <c r="H144" i="7"/>
  <c r="C144" i="7"/>
  <c r="K143" i="7"/>
  <c r="J143" i="7"/>
  <c r="I143" i="7"/>
  <c r="H143" i="7"/>
  <c r="C143" i="7"/>
  <c r="K142" i="7"/>
  <c r="J142" i="7"/>
  <c r="I142" i="7"/>
  <c r="H142" i="7"/>
  <c r="C142" i="7"/>
  <c r="K140" i="7"/>
  <c r="J140" i="7"/>
  <c r="I140" i="7"/>
  <c r="H140" i="7"/>
  <c r="C140" i="7"/>
  <c r="K137" i="7"/>
  <c r="J137" i="7"/>
  <c r="C137" i="7"/>
  <c r="K134" i="7"/>
  <c r="J134" i="7"/>
  <c r="I134" i="7"/>
  <c r="H134" i="7"/>
  <c r="C134" i="7"/>
  <c r="R133" i="7"/>
  <c r="Q133" i="7"/>
  <c r="K133" i="7"/>
  <c r="J133" i="7"/>
  <c r="C133" i="7"/>
  <c r="R132" i="7"/>
  <c r="Q132" i="7"/>
  <c r="C132" i="7"/>
  <c r="K131" i="7"/>
  <c r="J131" i="7"/>
  <c r="I131" i="7"/>
  <c r="H131" i="7"/>
  <c r="C131" i="7"/>
  <c r="I130" i="7"/>
  <c r="H130" i="7"/>
  <c r="C130" i="7"/>
  <c r="K129" i="7"/>
  <c r="J129" i="7"/>
  <c r="I129" i="7"/>
  <c r="H129" i="7"/>
  <c r="C129" i="7"/>
  <c r="C128" i="7"/>
  <c r="R127" i="7"/>
  <c r="Q127" i="7"/>
  <c r="K127" i="7"/>
  <c r="J127" i="7"/>
  <c r="I127" i="7"/>
  <c r="H127" i="7"/>
  <c r="C127" i="7"/>
  <c r="R126" i="7"/>
  <c r="Q126" i="7"/>
  <c r="K126" i="7"/>
  <c r="J126" i="7"/>
  <c r="I126" i="7"/>
  <c r="H126" i="7"/>
  <c r="C126" i="7"/>
  <c r="R125" i="7"/>
  <c r="Q125" i="7"/>
  <c r="C125" i="7"/>
  <c r="R124" i="7"/>
  <c r="Q124" i="7"/>
  <c r="K124" i="7"/>
  <c r="J124" i="7"/>
  <c r="I124" i="7"/>
  <c r="H124" i="7"/>
  <c r="C124" i="7"/>
  <c r="R119" i="7"/>
  <c r="Q119" i="7"/>
  <c r="K119" i="7"/>
  <c r="J119" i="7"/>
  <c r="I119" i="7"/>
  <c r="H119" i="7"/>
  <c r="C119" i="7"/>
  <c r="R118" i="7"/>
  <c r="Q118" i="7"/>
  <c r="P118" i="7"/>
  <c r="O118" i="7"/>
  <c r="C118" i="7"/>
  <c r="C117" i="7"/>
  <c r="R116" i="7"/>
  <c r="Q116" i="7"/>
  <c r="P116" i="7"/>
  <c r="O116" i="7"/>
  <c r="K116" i="7"/>
  <c r="J116" i="7"/>
  <c r="I116" i="7"/>
  <c r="H116" i="7"/>
  <c r="C116" i="7"/>
  <c r="K115" i="7"/>
  <c r="J115" i="7"/>
  <c r="I115" i="7"/>
  <c r="H115" i="7"/>
  <c r="C115" i="7"/>
  <c r="R114" i="7"/>
  <c r="Q114" i="7"/>
  <c r="K114" i="7"/>
  <c r="J114" i="7"/>
  <c r="I114" i="7"/>
  <c r="H114" i="7"/>
  <c r="C114" i="7"/>
  <c r="R113" i="7"/>
  <c r="Q113" i="7"/>
  <c r="K113" i="7"/>
  <c r="J113" i="7"/>
  <c r="C113" i="7"/>
  <c r="R112" i="7"/>
  <c r="Q112" i="7"/>
  <c r="K112" i="7"/>
  <c r="J112" i="7"/>
  <c r="I112" i="7"/>
  <c r="H112" i="7"/>
  <c r="C112" i="7"/>
  <c r="R111" i="7"/>
  <c r="Q111" i="7"/>
  <c r="K111" i="7"/>
  <c r="J111" i="7"/>
  <c r="I111" i="7"/>
  <c r="H111" i="7"/>
  <c r="C111" i="7"/>
  <c r="R107" i="7"/>
  <c r="Q107" i="7"/>
  <c r="K107" i="7"/>
  <c r="J107" i="7"/>
  <c r="I107" i="7"/>
  <c r="H107" i="7"/>
  <c r="C107" i="7"/>
  <c r="R106" i="7"/>
  <c r="Q106" i="7"/>
  <c r="C106" i="7"/>
  <c r="R104" i="7"/>
  <c r="Q104" i="7"/>
  <c r="P104" i="7"/>
  <c r="O104" i="7"/>
  <c r="C104" i="7"/>
  <c r="R102" i="7"/>
  <c r="Q102" i="7"/>
  <c r="K102" i="7"/>
  <c r="J102" i="7"/>
  <c r="I102" i="7"/>
  <c r="H102" i="7"/>
  <c r="C102" i="7"/>
  <c r="R101" i="7"/>
  <c r="Q101" i="7"/>
  <c r="K101" i="7"/>
  <c r="J101" i="7"/>
  <c r="I101" i="7"/>
  <c r="H101" i="7"/>
  <c r="C101" i="7"/>
  <c r="K98" i="7"/>
  <c r="J98" i="7"/>
  <c r="I98" i="7"/>
  <c r="H98" i="7"/>
  <c r="C98" i="7"/>
  <c r="C97" i="7"/>
  <c r="K96" i="7"/>
  <c r="J96" i="7"/>
  <c r="I96" i="7"/>
  <c r="H96" i="7"/>
  <c r="C96" i="7"/>
  <c r="K95" i="7"/>
  <c r="J95" i="7"/>
  <c r="I95" i="7"/>
  <c r="H95" i="7"/>
  <c r="C95" i="7"/>
  <c r="K92" i="7"/>
  <c r="J92" i="7"/>
  <c r="I92" i="7"/>
  <c r="H92" i="7"/>
  <c r="C92" i="7"/>
  <c r="K91" i="7"/>
  <c r="J91" i="7"/>
  <c r="I91" i="7"/>
  <c r="H91" i="7"/>
  <c r="C91" i="7"/>
  <c r="C90" i="7"/>
  <c r="K89" i="7"/>
  <c r="J89" i="7"/>
  <c r="C89" i="7"/>
  <c r="K88" i="7"/>
  <c r="J88" i="7"/>
  <c r="I88" i="7"/>
  <c r="H88" i="7"/>
  <c r="C88" i="7"/>
  <c r="K87" i="7"/>
  <c r="J87" i="7"/>
  <c r="C87" i="7"/>
  <c r="K86" i="7"/>
  <c r="J86" i="7"/>
  <c r="I86" i="7"/>
  <c r="H86" i="7"/>
  <c r="C86" i="7"/>
  <c r="C85" i="7"/>
  <c r="R84" i="7"/>
  <c r="Q84" i="7"/>
  <c r="K84" i="7"/>
  <c r="J84" i="7"/>
  <c r="C84" i="7"/>
  <c r="R83" i="7"/>
  <c r="Q83" i="7"/>
  <c r="K83" i="7"/>
  <c r="J83" i="7"/>
  <c r="C83" i="7"/>
  <c r="K82" i="7"/>
  <c r="J82" i="7"/>
  <c r="I82" i="7"/>
  <c r="H82" i="7"/>
  <c r="C82" i="7"/>
  <c r="K81" i="7"/>
  <c r="J81" i="7"/>
  <c r="I81" i="7"/>
  <c r="H81" i="7"/>
  <c r="C81" i="7"/>
  <c r="I80" i="7"/>
  <c r="H80" i="7"/>
  <c r="C80" i="7"/>
  <c r="K78" i="7"/>
  <c r="J78" i="7"/>
  <c r="I78" i="7"/>
  <c r="H78" i="7"/>
  <c r="C78" i="7"/>
  <c r="K76" i="7"/>
  <c r="J76" i="7"/>
  <c r="I76" i="7"/>
  <c r="H76" i="7"/>
  <c r="C76" i="7"/>
  <c r="K74" i="7"/>
  <c r="J74" i="7"/>
  <c r="I74" i="7"/>
  <c r="H74" i="7"/>
  <c r="C74" i="7"/>
  <c r="R73" i="7"/>
  <c r="Q73" i="7"/>
  <c r="K73" i="7"/>
  <c r="J73" i="7"/>
  <c r="I73" i="7"/>
  <c r="H73" i="7"/>
  <c r="C73" i="7"/>
  <c r="C69" i="7"/>
  <c r="C67" i="7"/>
  <c r="C66" i="7"/>
  <c r="R65" i="7"/>
  <c r="Q65" i="7"/>
  <c r="K65" i="7"/>
  <c r="J65" i="7"/>
  <c r="I65" i="7"/>
  <c r="H65" i="7"/>
  <c r="C65" i="7"/>
  <c r="K64" i="7"/>
  <c r="J64" i="7"/>
  <c r="I64" i="7"/>
  <c r="H64" i="7"/>
  <c r="C64" i="7"/>
  <c r="K63" i="7"/>
  <c r="J63" i="7"/>
  <c r="I63" i="7"/>
  <c r="H63" i="7"/>
  <c r="C63" i="7"/>
  <c r="K62" i="7"/>
  <c r="J62" i="7"/>
  <c r="I62" i="7"/>
  <c r="H62" i="7"/>
  <c r="C62" i="7"/>
  <c r="C61" i="7"/>
  <c r="R60" i="7"/>
  <c r="Q60" i="7"/>
  <c r="K60" i="7"/>
  <c r="J60" i="7"/>
  <c r="I60" i="7"/>
  <c r="H60" i="7"/>
  <c r="C60" i="7"/>
  <c r="R59" i="7"/>
  <c r="Q59" i="7"/>
  <c r="K59" i="7"/>
  <c r="J59" i="7"/>
  <c r="I59" i="7"/>
  <c r="H59" i="7"/>
  <c r="C59" i="7"/>
  <c r="K58" i="7"/>
  <c r="J58" i="7"/>
  <c r="I58" i="7"/>
  <c r="H58" i="7"/>
  <c r="C58" i="7"/>
  <c r="C57" i="7"/>
  <c r="K56" i="7"/>
  <c r="J56" i="7"/>
  <c r="I56" i="7"/>
  <c r="H56" i="7"/>
  <c r="C56" i="7"/>
  <c r="R54" i="7"/>
  <c r="Q54" i="7"/>
  <c r="K54" i="7"/>
  <c r="J54" i="7"/>
  <c r="I54" i="7"/>
  <c r="H54" i="7"/>
  <c r="C54" i="7"/>
  <c r="P52" i="7"/>
  <c r="O52" i="7"/>
  <c r="K52" i="7"/>
  <c r="J52" i="7"/>
  <c r="I52" i="7"/>
  <c r="H52" i="7"/>
  <c r="C52" i="7"/>
  <c r="K51" i="7"/>
  <c r="J51" i="7"/>
  <c r="I51" i="7"/>
  <c r="H51" i="7"/>
  <c r="C51" i="7"/>
  <c r="P50" i="7"/>
  <c r="O50" i="7"/>
  <c r="K50" i="7"/>
  <c r="J50" i="7"/>
  <c r="I50" i="7"/>
  <c r="H50" i="7"/>
  <c r="C50" i="7"/>
  <c r="K49" i="7"/>
  <c r="J49" i="7"/>
  <c r="I49" i="7"/>
  <c r="H49" i="7"/>
  <c r="C49" i="7"/>
  <c r="C48" i="7"/>
  <c r="K47" i="7"/>
  <c r="J47" i="7"/>
  <c r="I47" i="7"/>
  <c r="H47" i="7"/>
  <c r="C47" i="7"/>
  <c r="R46" i="7"/>
  <c r="Q46" i="7"/>
  <c r="K46" i="7"/>
  <c r="J46" i="7"/>
  <c r="I46" i="7"/>
  <c r="H46" i="7"/>
  <c r="C46" i="7"/>
  <c r="R45" i="7"/>
  <c r="Q45" i="7"/>
  <c r="K45" i="7"/>
  <c r="J45" i="7"/>
  <c r="I45" i="7"/>
  <c r="H45" i="7"/>
  <c r="C45" i="7"/>
  <c r="R44" i="7"/>
  <c r="Q44" i="7"/>
  <c r="K44" i="7"/>
  <c r="J44" i="7"/>
  <c r="I44" i="7"/>
  <c r="H44" i="7"/>
  <c r="C44" i="7"/>
  <c r="K41" i="7"/>
  <c r="J41" i="7"/>
  <c r="I41" i="7"/>
  <c r="H41" i="7"/>
  <c r="C41" i="7"/>
  <c r="R40" i="7"/>
  <c r="Q40" i="7"/>
  <c r="K40" i="7"/>
  <c r="J40" i="7"/>
  <c r="C40" i="7"/>
  <c r="C38" i="7"/>
  <c r="K35" i="7"/>
  <c r="J35" i="7"/>
  <c r="I35" i="7"/>
  <c r="H35" i="7"/>
  <c r="C35" i="7"/>
  <c r="R33" i="7"/>
  <c r="Q33" i="7"/>
  <c r="K33" i="7"/>
  <c r="J33" i="7"/>
  <c r="I33" i="7"/>
  <c r="H33" i="7"/>
  <c r="C33" i="7"/>
  <c r="K32" i="7"/>
  <c r="J32" i="7"/>
  <c r="I32" i="7"/>
  <c r="H32" i="7"/>
  <c r="C32" i="7"/>
  <c r="P31" i="7"/>
  <c r="O31" i="7"/>
  <c r="K31" i="7"/>
  <c r="J31" i="7"/>
  <c r="I31" i="7"/>
  <c r="H31" i="7"/>
  <c r="C31" i="7"/>
  <c r="R30" i="7"/>
  <c r="Q30" i="7"/>
  <c r="K30" i="7"/>
  <c r="J30" i="7"/>
  <c r="I30" i="7"/>
  <c r="H30" i="7"/>
  <c r="C30" i="7"/>
  <c r="R29" i="7"/>
  <c r="Q29" i="7"/>
  <c r="K29" i="7"/>
  <c r="J29" i="7"/>
  <c r="I29" i="7"/>
  <c r="H29" i="7"/>
  <c r="C29" i="7"/>
  <c r="R28" i="7"/>
  <c r="Q28" i="7"/>
  <c r="K28" i="7"/>
  <c r="J28" i="7"/>
  <c r="I28" i="7"/>
  <c r="H28" i="7"/>
  <c r="C28" i="7"/>
  <c r="R27" i="7"/>
  <c r="Q27" i="7"/>
  <c r="K27" i="7"/>
  <c r="J27" i="7"/>
  <c r="I27" i="7"/>
  <c r="H27" i="7"/>
  <c r="C27" i="7"/>
  <c r="K26" i="7"/>
  <c r="J26" i="7"/>
  <c r="I26" i="7"/>
  <c r="H26" i="7"/>
  <c r="C26" i="7"/>
  <c r="I25" i="7"/>
  <c r="H25" i="7"/>
  <c r="C25" i="7"/>
  <c r="R23" i="7"/>
  <c r="Q23" i="7"/>
  <c r="K23" i="7"/>
  <c r="J23" i="7"/>
  <c r="I23" i="7"/>
  <c r="H23" i="7"/>
  <c r="C23" i="7"/>
  <c r="K22" i="7"/>
  <c r="J22" i="7"/>
  <c r="I22" i="7"/>
  <c r="H22" i="7"/>
  <c r="C22" i="7"/>
  <c r="K21" i="7"/>
  <c r="J21" i="7"/>
  <c r="I21" i="7"/>
  <c r="H21" i="7"/>
  <c r="C21" i="7"/>
  <c r="R20" i="7"/>
  <c r="Q20" i="7"/>
  <c r="K20" i="7"/>
  <c r="J20" i="7"/>
  <c r="I20" i="7"/>
  <c r="H20" i="7"/>
  <c r="C20" i="7"/>
  <c r="R19" i="7"/>
  <c r="Q19" i="7"/>
  <c r="P19" i="7"/>
  <c r="O19" i="7"/>
  <c r="K19" i="7"/>
  <c r="J19" i="7"/>
  <c r="I19" i="7"/>
  <c r="H19" i="7"/>
  <c r="C19" i="7"/>
  <c r="R18" i="7"/>
  <c r="Q18" i="7"/>
  <c r="K18" i="7"/>
  <c r="J18" i="7"/>
  <c r="I18" i="7"/>
  <c r="H18" i="7"/>
  <c r="C18" i="7"/>
  <c r="K17" i="7"/>
  <c r="J17" i="7"/>
  <c r="I17" i="7"/>
  <c r="H17" i="7"/>
  <c r="C17" i="7"/>
  <c r="R16" i="7"/>
  <c r="Q16" i="7"/>
  <c r="K16" i="7"/>
  <c r="J16" i="7"/>
  <c r="I16" i="7"/>
  <c r="H16" i="7"/>
  <c r="C16" i="7"/>
  <c r="R15" i="7"/>
  <c r="Q15" i="7"/>
  <c r="K15" i="7"/>
  <c r="J15" i="7"/>
  <c r="I15" i="7"/>
  <c r="H15" i="7"/>
  <c r="C15" i="7"/>
  <c r="R14" i="7"/>
  <c r="Q14" i="7"/>
  <c r="K14" i="7"/>
  <c r="J14" i="7"/>
  <c r="I14" i="7"/>
  <c r="H14" i="7"/>
  <c r="C14" i="7"/>
  <c r="I13" i="7"/>
  <c r="H13" i="7"/>
  <c r="C13" i="7"/>
  <c r="C12" i="7"/>
  <c r="R11" i="7"/>
  <c r="Q11" i="7"/>
  <c r="K11" i="7"/>
  <c r="J11" i="7"/>
  <c r="I11" i="7"/>
  <c r="H11" i="7"/>
  <c r="C11" i="7"/>
  <c r="I10" i="7"/>
  <c r="H10" i="7"/>
  <c r="C10" i="7"/>
  <c r="K9" i="7"/>
  <c r="J9" i="7"/>
  <c r="I9" i="7"/>
  <c r="H9" i="7"/>
  <c r="C9" i="7"/>
  <c r="I8" i="7"/>
  <c r="H8" i="7"/>
  <c r="D8" i="7"/>
  <c r="E8" i="7" s="1"/>
  <c r="C8" i="7"/>
  <c r="K7" i="7"/>
  <c r="J7" i="7"/>
  <c r="I7" i="7"/>
  <c r="H7" i="7"/>
  <c r="C7" i="7"/>
  <c r="C6" i="7"/>
  <c r="K5" i="7"/>
  <c r="J5" i="7"/>
  <c r="I5" i="7"/>
  <c r="H5" i="7"/>
  <c r="C5" i="7"/>
  <c r="K4" i="7"/>
  <c r="J4" i="7"/>
  <c r="I4" i="7"/>
  <c r="H4" i="7"/>
  <c r="D4" i="7"/>
  <c r="E4" i="7" s="1"/>
  <c r="C4" i="7"/>
  <c r="B145" i="6"/>
  <c r="B108" i="6"/>
  <c r="D10" i="7" s="1"/>
  <c r="F10" i="7" s="1"/>
  <c r="B63" i="6"/>
  <c r="B56" i="6"/>
  <c r="B54" i="6"/>
  <c r="B33" i="6"/>
  <c r="P25" i="6"/>
  <c r="P24" i="6"/>
  <c r="B30" i="6" s="1"/>
  <c r="P23" i="6"/>
  <c r="P22" i="6"/>
  <c r="B21" i="6"/>
  <c r="N16" i="6"/>
  <c r="Q7" i="6" s="1"/>
  <c r="L16" i="6"/>
  <c r="N15" i="6"/>
  <c r="P7" i="6" s="1"/>
  <c r="L15" i="6"/>
  <c r="B14" i="6"/>
  <c r="O8" i="6"/>
  <c r="O10" i="6" s="1"/>
  <c r="N8" i="6"/>
  <c r="N10" i="6" s="1"/>
  <c r="M8" i="6"/>
  <c r="M10" i="6" s="1"/>
  <c r="L8" i="6"/>
  <c r="L10" i="6" s="1"/>
  <c r="K8" i="6"/>
  <c r="K10" i="6" s="1"/>
  <c r="Q6" i="6"/>
  <c r="P6" i="6"/>
  <c r="G19" i="5"/>
  <c r="V213" i="4"/>
  <c r="W213" i="4" s="1"/>
  <c r="R213" i="4"/>
  <c r="Q213" i="4"/>
  <c r="K213" i="4"/>
  <c r="J213" i="4"/>
  <c r="C213" i="4"/>
  <c r="V212" i="4"/>
  <c r="W212" i="4" s="1"/>
  <c r="R212" i="4"/>
  <c r="Q212" i="4"/>
  <c r="K212" i="4"/>
  <c r="J212" i="4"/>
  <c r="I212" i="4"/>
  <c r="H212" i="4"/>
  <c r="C212" i="4"/>
  <c r="V211" i="4"/>
  <c r="D211" i="5" s="1"/>
  <c r="R211" i="4"/>
  <c r="Q211" i="4"/>
  <c r="K211" i="4"/>
  <c r="J211" i="4"/>
  <c r="I211" i="4"/>
  <c r="H211" i="4"/>
  <c r="C211" i="4"/>
  <c r="V210" i="4"/>
  <c r="D210" i="5" s="1"/>
  <c r="R210" i="4"/>
  <c r="Q210" i="4"/>
  <c r="K210" i="4"/>
  <c r="J210" i="4"/>
  <c r="C210" i="4"/>
  <c r="V209" i="4"/>
  <c r="R209" i="4"/>
  <c r="Q209" i="4"/>
  <c r="K209" i="4"/>
  <c r="J209" i="4"/>
  <c r="C209" i="4"/>
  <c r="V208" i="4"/>
  <c r="R208" i="4"/>
  <c r="Q208" i="4"/>
  <c r="C208" i="4"/>
  <c r="V207" i="4"/>
  <c r="D207" i="5" s="1"/>
  <c r="R207" i="4"/>
  <c r="Q207" i="4"/>
  <c r="K207" i="4"/>
  <c r="J207" i="4"/>
  <c r="I207" i="4"/>
  <c r="H207" i="4"/>
  <c r="C207" i="4"/>
  <c r="V206" i="4"/>
  <c r="R206" i="4"/>
  <c r="Q206" i="4"/>
  <c r="K206" i="4"/>
  <c r="J206" i="4"/>
  <c r="C206" i="4"/>
  <c r="V204" i="4"/>
  <c r="D204" i="5" s="1"/>
  <c r="C204" i="4"/>
  <c r="V202" i="4"/>
  <c r="W202" i="4" s="1"/>
  <c r="R202" i="4"/>
  <c r="Q202" i="4"/>
  <c r="C202" i="4"/>
  <c r="V201" i="4"/>
  <c r="D201" i="5" s="1"/>
  <c r="R201" i="4"/>
  <c r="Q201" i="4"/>
  <c r="K201" i="4"/>
  <c r="J201" i="4"/>
  <c r="I201" i="4"/>
  <c r="H201" i="4"/>
  <c r="C201" i="4"/>
  <c r="V200" i="4"/>
  <c r="W200" i="4" s="1"/>
  <c r="R200" i="4"/>
  <c r="Q200" i="4"/>
  <c r="P200" i="4"/>
  <c r="O200" i="4"/>
  <c r="C200" i="4"/>
  <c r="V199" i="4"/>
  <c r="W199" i="4" s="1"/>
  <c r="R199" i="4"/>
  <c r="Q199" i="4"/>
  <c r="C199" i="4"/>
  <c r="V198" i="4"/>
  <c r="W198" i="4" s="1"/>
  <c r="R198" i="4"/>
  <c r="Q198" i="4"/>
  <c r="P198" i="4"/>
  <c r="O198" i="4"/>
  <c r="C198" i="4"/>
  <c r="V197" i="4"/>
  <c r="W197" i="4" s="1"/>
  <c r="R197" i="4"/>
  <c r="Q197" i="4"/>
  <c r="C197" i="4"/>
  <c r="V196" i="4"/>
  <c r="D196" i="5" s="1"/>
  <c r="R196" i="4"/>
  <c r="Q196" i="4"/>
  <c r="C196" i="4"/>
  <c r="V195" i="4"/>
  <c r="R195" i="4"/>
  <c r="Q195" i="4"/>
  <c r="C195" i="4"/>
  <c r="V194" i="4"/>
  <c r="R194" i="4"/>
  <c r="Q194" i="4"/>
  <c r="K194" i="4"/>
  <c r="J194" i="4"/>
  <c r="I194" i="4"/>
  <c r="H194" i="4"/>
  <c r="C194" i="4"/>
  <c r="V193" i="4"/>
  <c r="R193" i="4"/>
  <c r="Q193" i="4"/>
  <c r="K193" i="4"/>
  <c r="J193" i="4"/>
  <c r="I193" i="4"/>
  <c r="H193" i="4"/>
  <c r="C193" i="4"/>
  <c r="V192" i="4"/>
  <c r="W192" i="4" s="1"/>
  <c r="R192" i="4"/>
  <c r="Q192" i="4"/>
  <c r="C192" i="4"/>
  <c r="V191" i="4"/>
  <c r="W191" i="4" s="1"/>
  <c r="R191" i="4"/>
  <c r="Q191" i="4"/>
  <c r="K191" i="4"/>
  <c r="J191" i="4"/>
  <c r="I191" i="4"/>
  <c r="H191" i="4"/>
  <c r="C191" i="4"/>
  <c r="V190" i="4"/>
  <c r="D190" i="5" s="1"/>
  <c r="R190" i="4"/>
  <c r="Q190" i="4"/>
  <c r="C190" i="4"/>
  <c r="V189" i="4"/>
  <c r="D189" i="5" s="1"/>
  <c r="R189" i="4"/>
  <c r="Q189" i="4"/>
  <c r="C189" i="4"/>
  <c r="V188" i="4"/>
  <c r="D188" i="5" s="1"/>
  <c r="R188" i="4"/>
  <c r="Q188" i="4"/>
  <c r="K188" i="4"/>
  <c r="J188" i="4"/>
  <c r="C188" i="4"/>
  <c r="V187" i="4"/>
  <c r="W187" i="4" s="1"/>
  <c r="C187" i="4"/>
  <c r="V186" i="4"/>
  <c r="W186" i="4" s="1"/>
  <c r="R186" i="4"/>
  <c r="Q186" i="4"/>
  <c r="K186" i="4"/>
  <c r="J186" i="4"/>
  <c r="I186" i="4"/>
  <c r="H186" i="4"/>
  <c r="C186" i="4"/>
  <c r="V185" i="4"/>
  <c r="D185" i="5" s="1"/>
  <c r="R185" i="4"/>
  <c r="Q185" i="4"/>
  <c r="P185" i="4"/>
  <c r="O185" i="4"/>
  <c r="K185" i="4"/>
  <c r="J185" i="4"/>
  <c r="C185" i="4"/>
  <c r="V184" i="4"/>
  <c r="W184" i="4" s="1"/>
  <c r="R184" i="4"/>
  <c r="Q184" i="4"/>
  <c r="C184" i="4"/>
  <c r="V182" i="4"/>
  <c r="R182" i="4"/>
  <c r="Q182" i="4"/>
  <c r="C182" i="4"/>
  <c r="V180" i="4"/>
  <c r="D180" i="5" s="1"/>
  <c r="R180" i="4"/>
  <c r="Q180" i="4"/>
  <c r="K180" i="4"/>
  <c r="J180" i="4"/>
  <c r="C180" i="4"/>
  <c r="K179" i="4"/>
  <c r="J179" i="4"/>
  <c r="I179" i="4"/>
  <c r="H179" i="4"/>
  <c r="C179" i="4"/>
  <c r="V177" i="4"/>
  <c r="R177" i="4"/>
  <c r="Q177" i="4"/>
  <c r="K177" i="4"/>
  <c r="J177" i="4"/>
  <c r="I177" i="4"/>
  <c r="H177" i="4"/>
  <c r="V175" i="4"/>
  <c r="D175" i="5" s="1"/>
  <c r="R175" i="4"/>
  <c r="Q175" i="4"/>
  <c r="K175" i="4"/>
  <c r="J175" i="4"/>
  <c r="I175" i="4"/>
  <c r="H175" i="4"/>
  <c r="C175" i="4"/>
  <c r="V174" i="4"/>
  <c r="R174" i="4"/>
  <c r="Q174" i="4"/>
  <c r="K174" i="4"/>
  <c r="J174" i="4"/>
  <c r="I174" i="4"/>
  <c r="H174" i="4"/>
  <c r="C174" i="4"/>
  <c r="V172" i="4"/>
  <c r="W172" i="4" s="1"/>
  <c r="C172" i="4"/>
  <c r="V171" i="4"/>
  <c r="D171" i="5" s="1"/>
  <c r="R171" i="4"/>
  <c r="Q171" i="4"/>
  <c r="K171" i="4"/>
  <c r="J171" i="4"/>
  <c r="I171" i="4"/>
  <c r="H171" i="4"/>
  <c r="C171" i="4"/>
  <c r="V170" i="4"/>
  <c r="R170" i="4"/>
  <c r="Q170" i="4"/>
  <c r="K170" i="4"/>
  <c r="J170" i="4"/>
  <c r="I170" i="4"/>
  <c r="H170" i="4"/>
  <c r="C170" i="4"/>
  <c r="V168" i="4"/>
  <c r="D168" i="5" s="1"/>
  <c r="R168" i="4"/>
  <c r="Q168" i="4"/>
  <c r="C168" i="4"/>
  <c r="V167" i="4"/>
  <c r="D167" i="5" s="1"/>
  <c r="R167" i="4"/>
  <c r="Q167" i="4"/>
  <c r="K167" i="4"/>
  <c r="J167" i="4"/>
  <c r="I167" i="4"/>
  <c r="H167" i="4"/>
  <c r="C167" i="4"/>
  <c r="V166" i="4"/>
  <c r="W166" i="4" s="1"/>
  <c r="R166" i="4"/>
  <c r="Q166" i="4"/>
  <c r="K166" i="4"/>
  <c r="J166" i="4"/>
  <c r="I166" i="4"/>
  <c r="H166" i="4"/>
  <c r="C166" i="4"/>
  <c r="V157" i="4"/>
  <c r="K157" i="4"/>
  <c r="J157" i="4"/>
  <c r="I157" i="4"/>
  <c r="H157" i="4"/>
  <c r="C157" i="4"/>
  <c r="V156" i="4"/>
  <c r="D156" i="5" s="1"/>
  <c r="K156" i="4"/>
  <c r="J156" i="4"/>
  <c r="C156" i="4"/>
  <c r="V155" i="4"/>
  <c r="K155" i="4"/>
  <c r="J155" i="4"/>
  <c r="C155" i="4"/>
  <c r="V154" i="4"/>
  <c r="D154" i="5" s="1"/>
  <c r="K154" i="4"/>
  <c r="J154" i="4"/>
  <c r="I154" i="4"/>
  <c r="H154" i="4"/>
  <c r="C154" i="4"/>
  <c r="V153" i="4"/>
  <c r="D153" i="5" s="1"/>
  <c r="K153" i="4"/>
  <c r="J153" i="4"/>
  <c r="I153" i="4"/>
  <c r="H153" i="4"/>
  <c r="C153" i="4"/>
  <c r="R152" i="4"/>
  <c r="Q152" i="4"/>
  <c r="C152" i="4"/>
  <c r="V150" i="4"/>
  <c r="R150" i="4"/>
  <c r="Q150" i="4"/>
  <c r="P150" i="4"/>
  <c r="O150" i="4"/>
  <c r="C150" i="4"/>
  <c r="V147" i="4"/>
  <c r="D147" i="5" s="1"/>
  <c r="R147" i="4"/>
  <c r="Q147" i="4"/>
  <c r="P147" i="4"/>
  <c r="O147" i="4"/>
  <c r="C147" i="4"/>
  <c r="V146" i="4"/>
  <c r="D146" i="5" s="1"/>
  <c r="R146" i="4"/>
  <c r="Q146" i="4"/>
  <c r="K146" i="4"/>
  <c r="J146" i="4"/>
  <c r="I146" i="4"/>
  <c r="H146" i="4"/>
  <c r="C146" i="4"/>
  <c r="V144" i="4"/>
  <c r="D144" i="5" s="1"/>
  <c r="K144" i="4"/>
  <c r="J144" i="4"/>
  <c r="I144" i="4"/>
  <c r="H144" i="4"/>
  <c r="C144" i="4"/>
  <c r="V143" i="4"/>
  <c r="D143" i="5" s="1"/>
  <c r="K143" i="4"/>
  <c r="J143" i="4"/>
  <c r="I143" i="4"/>
  <c r="H143" i="4"/>
  <c r="C143" i="4"/>
  <c r="V142" i="4"/>
  <c r="D142" i="5" s="1"/>
  <c r="K142" i="4"/>
  <c r="J142" i="4"/>
  <c r="I142" i="4"/>
  <c r="H142" i="4"/>
  <c r="C142" i="4"/>
  <c r="V140" i="4"/>
  <c r="D140" i="5" s="1"/>
  <c r="K140" i="4"/>
  <c r="J140" i="4"/>
  <c r="I140" i="4"/>
  <c r="H140" i="4"/>
  <c r="C140" i="4"/>
  <c r="V137" i="4"/>
  <c r="D137" i="5" s="1"/>
  <c r="K137" i="4"/>
  <c r="J137" i="4"/>
  <c r="C137" i="4"/>
  <c r="V134" i="4"/>
  <c r="D134" i="5" s="1"/>
  <c r="K134" i="4"/>
  <c r="J134" i="4"/>
  <c r="I134" i="4"/>
  <c r="H134" i="4"/>
  <c r="C134" i="4"/>
  <c r="V133" i="4"/>
  <c r="R133" i="4"/>
  <c r="Q133" i="4"/>
  <c r="K133" i="4"/>
  <c r="J133" i="4"/>
  <c r="C133" i="4"/>
  <c r="V132" i="4"/>
  <c r="R132" i="4"/>
  <c r="Q132" i="4"/>
  <c r="C132" i="4"/>
  <c r="V131" i="4"/>
  <c r="D131" i="5" s="1"/>
  <c r="K131" i="4"/>
  <c r="J131" i="4"/>
  <c r="I131" i="4"/>
  <c r="H131" i="4"/>
  <c r="C131" i="4"/>
  <c r="V130" i="4"/>
  <c r="I130" i="4"/>
  <c r="H130" i="4"/>
  <c r="C130" i="4"/>
  <c r="V129" i="4"/>
  <c r="K129" i="4"/>
  <c r="J129" i="4"/>
  <c r="I129" i="4"/>
  <c r="H129" i="4"/>
  <c r="C129" i="4"/>
  <c r="V128" i="4"/>
  <c r="C128" i="4"/>
  <c r="V127" i="4"/>
  <c r="D127" i="5" s="1"/>
  <c r="R127" i="4"/>
  <c r="Q127" i="4"/>
  <c r="K127" i="4"/>
  <c r="J127" i="4"/>
  <c r="I127" i="4"/>
  <c r="H127" i="4"/>
  <c r="C127" i="4"/>
  <c r="V126" i="4"/>
  <c r="R126" i="4"/>
  <c r="Q126" i="4"/>
  <c r="K126" i="4"/>
  <c r="J126" i="4"/>
  <c r="I126" i="4"/>
  <c r="H126" i="4"/>
  <c r="C126" i="4"/>
  <c r="V125" i="4"/>
  <c r="R125" i="4"/>
  <c r="Q125" i="4"/>
  <c r="C125" i="4"/>
  <c r="V124" i="4"/>
  <c r="R124" i="4"/>
  <c r="Q124" i="4"/>
  <c r="K124" i="4"/>
  <c r="J124" i="4"/>
  <c r="I124" i="4"/>
  <c r="H124" i="4"/>
  <c r="C124" i="4"/>
  <c r="V119" i="4"/>
  <c r="D119" i="5" s="1"/>
  <c r="R119" i="4"/>
  <c r="Q119" i="4"/>
  <c r="K119" i="4"/>
  <c r="J119" i="4"/>
  <c r="I119" i="4"/>
  <c r="H119" i="4"/>
  <c r="C119" i="4"/>
  <c r="V118" i="4"/>
  <c r="D118" i="5" s="1"/>
  <c r="R118" i="4"/>
  <c r="Q118" i="4"/>
  <c r="P118" i="4"/>
  <c r="O118" i="4"/>
  <c r="C118" i="4"/>
  <c r="V117" i="4"/>
  <c r="C117" i="4"/>
  <c r="V116" i="4"/>
  <c r="R116" i="4"/>
  <c r="Q116" i="4"/>
  <c r="P116" i="4"/>
  <c r="O116" i="4"/>
  <c r="K116" i="4"/>
  <c r="J116" i="4"/>
  <c r="I116" i="4"/>
  <c r="H116" i="4"/>
  <c r="C116" i="4"/>
  <c r="V115" i="4"/>
  <c r="K115" i="4"/>
  <c r="J115" i="4"/>
  <c r="I115" i="4"/>
  <c r="H115" i="4"/>
  <c r="C115" i="4"/>
  <c r="V114" i="4"/>
  <c r="D114" i="5" s="1"/>
  <c r="R114" i="4"/>
  <c r="Q114" i="4"/>
  <c r="K114" i="4"/>
  <c r="J114" i="4"/>
  <c r="I114" i="4"/>
  <c r="H114" i="4"/>
  <c r="C114" i="4"/>
  <c r="V113" i="4"/>
  <c r="R113" i="4"/>
  <c r="Q113" i="4"/>
  <c r="K113" i="4"/>
  <c r="J113" i="4"/>
  <c r="C113" i="4"/>
  <c r="V112" i="4"/>
  <c r="D112" i="5" s="1"/>
  <c r="R112" i="4"/>
  <c r="Q112" i="4"/>
  <c r="K112" i="4"/>
  <c r="J112" i="4"/>
  <c r="I112" i="4"/>
  <c r="H112" i="4"/>
  <c r="C112" i="4"/>
  <c r="V111" i="4"/>
  <c r="R111" i="4"/>
  <c r="Q111" i="4"/>
  <c r="K111" i="4"/>
  <c r="J111" i="4"/>
  <c r="I111" i="4"/>
  <c r="H111" i="4"/>
  <c r="C111" i="4"/>
  <c r="V107" i="4"/>
  <c r="D107" i="5" s="1"/>
  <c r="R107" i="4"/>
  <c r="Q107" i="4"/>
  <c r="K107" i="4"/>
  <c r="J107" i="4"/>
  <c r="I107" i="4"/>
  <c r="H107" i="4"/>
  <c r="C107" i="4"/>
  <c r="V106" i="4"/>
  <c r="R106" i="4"/>
  <c r="Q106" i="4"/>
  <c r="C106" i="4"/>
  <c r="V104" i="4"/>
  <c r="R104" i="4"/>
  <c r="Q104" i="4"/>
  <c r="P104" i="4"/>
  <c r="O104" i="4"/>
  <c r="C104" i="4"/>
  <c r="V102" i="4"/>
  <c r="D102" i="5" s="1"/>
  <c r="R102" i="4"/>
  <c r="Q102" i="4"/>
  <c r="K102" i="4"/>
  <c r="J102" i="4"/>
  <c r="I102" i="4"/>
  <c r="H102" i="4"/>
  <c r="C102" i="4"/>
  <c r="V101" i="4"/>
  <c r="D101" i="5" s="1"/>
  <c r="R101" i="4"/>
  <c r="Q101" i="4"/>
  <c r="K101" i="4"/>
  <c r="J101" i="4"/>
  <c r="I101" i="4"/>
  <c r="H101" i="4"/>
  <c r="C101" i="4"/>
  <c r="V98" i="4"/>
  <c r="K98" i="4"/>
  <c r="J98" i="4"/>
  <c r="I98" i="4"/>
  <c r="H98" i="4"/>
  <c r="C98" i="4"/>
  <c r="V97" i="4"/>
  <c r="C97" i="4"/>
  <c r="V96" i="4"/>
  <c r="K96" i="4"/>
  <c r="J96" i="4"/>
  <c r="I96" i="4"/>
  <c r="H96" i="4"/>
  <c r="C96" i="4"/>
  <c r="V95" i="4"/>
  <c r="D95" i="5" s="1"/>
  <c r="K95" i="4"/>
  <c r="J95" i="4"/>
  <c r="I95" i="4"/>
  <c r="H95" i="4"/>
  <c r="C95" i="4"/>
  <c r="V92" i="4"/>
  <c r="D92" i="5" s="1"/>
  <c r="K92" i="4"/>
  <c r="J92" i="4"/>
  <c r="I92" i="4"/>
  <c r="H92" i="4"/>
  <c r="C92" i="4"/>
  <c r="V91" i="4"/>
  <c r="K91" i="4"/>
  <c r="J91" i="4"/>
  <c r="I91" i="4"/>
  <c r="H91" i="4"/>
  <c r="C91" i="4"/>
  <c r="V90" i="4"/>
  <c r="D90" i="5" s="1"/>
  <c r="C90" i="4"/>
  <c r="V89" i="4"/>
  <c r="K89" i="4"/>
  <c r="J89" i="4"/>
  <c r="C89" i="4"/>
  <c r="V88" i="4"/>
  <c r="K88" i="4"/>
  <c r="J88" i="4"/>
  <c r="I88" i="4"/>
  <c r="H88" i="4"/>
  <c r="C88" i="4"/>
  <c r="V87" i="4"/>
  <c r="D87" i="5" s="1"/>
  <c r="K87" i="4"/>
  <c r="J87" i="4"/>
  <c r="C87" i="4"/>
  <c r="V86" i="4"/>
  <c r="K86" i="4"/>
  <c r="J86" i="4"/>
  <c r="I86" i="4"/>
  <c r="H86" i="4"/>
  <c r="C86" i="4"/>
  <c r="V85" i="4"/>
  <c r="C85" i="4"/>
  <c r="V84" i="4"/>
  <c r="R84" i="4"/>
  <c r="Q84" i="4"/>
  <c r="K84" i="4"/>
  <c r="J84" i="4"/>
  <c r="C84" i="4"/>
  <c r="V83" i="4"/>
  <c r="D83" i="5" s="1"/>
  <c r="R83" i="4"/>
  <c r="Q83" i="4"/>
  <c r="K83" i="4"/>
  <c r="J83" i="4"/>
  <c r="C83" i="4"/>
  <c r="V82" i="4"/>
  <c r="K82" i="4"/>
  <c r="J82" i="4"/>
  <c r="I82" i="4"/>
  <c r="H82" i="4"/>
  <c r="C82" i="4"/>
  <c r="V81" i="4"/>
  <c r="D81" i="5" s="1"/>
  <c r="K81" i="4"/>
  <c r="J81" i="4"/>
  <c r="I81" i="4"/>
  <c r="H81" i="4"/>
  <c r="C81" i="4"/>
  <c r="V80" i="4"/>
  <c r="I80" i="4"/>
  <c r="H80" i="4"/>
  <c r="C80" i="4"/>
  <c r="V78" i="4"/>
  <c r="D78" i="5" s="1"/>
  <c r="K78" i="4"/>
  <c r="J78" i="4"/>
  <c r="I78" i="4"/>
  <c r="H78" i="4"/>
  <c r="C78" i="4"/>
  <c r="V76" i="4"/>
  <c r="D76" i="5" s="1"/>
  <c r="K76" i="4"/>
  <c r="J76" i="4"/>
  <c r="I76" i="4"/>
  <c r="H76" i="4"/>
  <c r="C76" i="4"/>
  <c r="V74" i="4"/>
  <c r="D74" i="5" s="1"/>
  <c r="K74" i="4"/>
  <c r="J74" i="4"/>
  <c r="I74" i="4"/>
  <c r="H74" i="4"/>
  <c r="C74" i="4"/>
  <c r="V73" i="4"/>
  <c r="D73" i="5" s="1"/>
  <c r="R73" i="4"/>
  <c r="Q73" i="4"/>
  <c r="K73" i="4"/>
  <c r="J73" i="4"/>
  <c r="I73" i="4"/>
  <c r="H73" i="4"/>
  <c r="C73" i="4"/>
  <c r="V69" i="4"/>
  <c r="D69" i="5" s="1"/>
  <c r="C69" i="4"/>
  <c r="V67" i="4"/>
  <c r="C67" i="4"/>
  <c r="V66" i="4"/>
  <c r="C66" i="4"/>
  <c r="V65" i="4"/>
  <c r="D65" i="5" s="1"/>
  <c r="R65" i="4"/>
  <c r="Q65" i="4"/>
  <c r="K65" i="4"/>
  <c r="J65" i="4"/>
  <c r="I65" i="4"/>
  <c r="H65" i="4"/>
  <c r="C65" i="4"/>
  <c r="V64" i="4"/>
  <c r="K64" i="4"/>
  <c r="J64" i="4"/>
  <c r="I64" i="4"/>
  <c r="H64" i="4"/>
  <c r="C64" i="4"/>
  <c r="V63" i="4"/>
  <c r="K63" i="4"/>
  <c r="J63" i="4"/>
  <c r="I63" i="4"/>
  <c r="H63" i="4"/>
  <c r="C63" i="4"/>
  <c r="V62" i="4"/>
  <c r="D62" i="5" s="1"/>
  <c r="K62" i="4"/>
  <c r="J62" i="4"/>
  <c r="I62" i="4"/>
  <c r="H62" i="4"/>
  <c r="C62" i="4"/>
  <c r="V61" i="4"/>
  <c r="D61" i="5" s="1"/>
  <c r="C61" i="4"/>
  <c r="V60" i="4"/>
  <c r="R60" i="4"/>
  <c r="Q60" i="4"/>
  <c r="K60" i="4"/>
  <c r="J60" i="4"/>
  <c r="I60" i="4"/>
  <c r="H60" i="4"/>
  <c r="C60" i="4"/>
  <c r="V59" i="4"/>
  <c r="R59" i="4"/>
  <c r="Q59" i="4"/>
  <c r="K59" i="4"/>
  <c r="J59" i="4"/>
  <c r="I59" i="4"/>
  <c r="H59" i="4"/>
  <c r="C59" i="4"/>
  <c r="V58" i="4"/>
  <c r="K58" i="4"/>
  <c r="J58" i="4"/>
  <c r="I58" i="4"/>
  <c r="H58" i="4"/>
  <c r="C58" i="4"/>
  <c r="V57" i="4"/>
  <c r="D57" i="5" s="1"/>
  <c r="C57" i="4"/>
  <c r="V56" i="4"/>
  <c r="D56" i="5" s="1"/>
  <c r="K56" i="4"/>
  <c r="J56" i="4"/>
  <c r="I56" i="4"/>
  <c r="H56" i="4"/>
  <c r="C56" i="4"/>
  <c r="V54" i="4"/>
  <c r="D54" i="5" s="1"/>
  <c r="R54" i="4"/>
  <c r="Q54" i="4"/>
  <c r="K54" i="4"/>
  <c r="J54" i="4"/>
  <c r="I54" i="4"/>
  <c r="H54" i="4"/>
  <c r="C54" i="4"/>
  <c r="V52" i="4"/>
  <c r="D52" i="5" s="1"/>
  <c r="P52" i="4"/>
  <c r="O52" i="4"/>
  <c r="K52" i="4"/>
  <c r="J52" i="4"/>
  <c r="I52" i="4"/>
  <c r="H52" i="4"/>
  <c r="C52" i="4"/>
  <c r="V51" i="4"/>
  <c r="K51" i="4"/>
  <c r="J51" i="4"/>
  <c r="I51" i="4"/>
  <c r="H51" i="4"/>
  <c r="C51" i="4"/>
  <c r="V50" i="4"/>
  <c r="D50" i="5" s="1"/>
  <c r="P50" i="4"/>
  <c r="O50" i="4"/>
  <c r="K50" i="4"/>
  <c r="J50" i="4"/>
  <c r="I50" i="4"/>
  <c r="H50" i="4"/>
  <c r="C50" i="4"/>
  <c r="V49" i="4"/>
  <c r="D49" i="5" s="1"/>
  <c r="K49" i="4"/>
  <c r="J49" i="4"/>
  <c r="I49" i="4"/>
  <c r="H49" i="4"/>
  <c r="C49" i="4"/>
  <c r="V48" i="4"/>
  <c r="C48" i="4"/>
  <c r="V47" i="4"/>
  <c r="D47" i="5" s="1"/>
  <c r="K47" i="4"/>
  <c r="J47" i="4"/>
  <c r="I47" i="4"/>
  <c r="H47" i="4"/>
  <c r="C47" i="4"/>
  <c r="V46" i="4"/>
  <c r="R46" i="4"/>
  <c r="Q46" i="4"/>
  <c r="K46" i="4"/>
  <c r="J46" i="4"/>
  <c r="I46" i="4"/>
  <c r="H46" i="4"/>
  <c r="C46" i="4"/>
  <c r="V45" i="4"/>
  <c r="R45" i="4"/>
  <c r="Q45" i="4"/>
  <c r="K45" i="4"/>
  <c r="J45" i="4"/>
  <c r="I45" i="4"/>
  <c r="H45" i="4"/>
  <c r="C45" i="4"/>
  <c r="V44" i="4"/>
  <c r="R44" i="4"/>
  <c r="Q44" i="4"/>
  <c r="K44" i="4"/>
  <c r="J44" i="4"/>
  <c r="I44" i="4"/>
  <c r="H44" i="4"/>
  <c r="C44" i="4"/>
  <c r="V41" i="4"/>
  <c r="D41" i="5" s="1"/>
  <c r="K41" i="4"/>
  <c r="J41" i="4"/>
  <c r="I41" i="4"/>
  <c r="H41" i="4"/>
  <c r="C41" i="4"/>
  <c r="V40" i="4"/>
  <c r="R40" i="4"/>
  <c r="Q40" i="4"/>
  <c r="K40" i="4"/>
  <c r="J40" i="4"/>
  <c r="C40" i="4"/>
  <c r="C38" i="4"/>
  <c r="V35" i="4"/>
  <c r="D35" i="5" s="1"/>
  <c r="K35" i="4"/>
  <c r="J35" i="4"/>
  <c r="I35" i="4"/>
  <c r="H35" i="4"/>
  <c r="C35" i="4"/>
  <c r="V33" i="4"/>
  <c r="D33" i="5" s="1"/>
  <c r="R33" i="4"/>
  <c r="Q33" i="4"/>
  <c r="K33" i="4"/>
  <c r="J33" i="4"/>
  <c r="I33" i="4"/>
  <c r="H33" i="4"/>
  <c r="C33" i="4"/>
  <c r="V32" i="4"/>
  <c r="D32" i="5" s="1"/>
  <c r="K32" i="4"/>
  <c r="J32" i="4"/>
  <c r="I32" i="4"/>
  <c r="H32" i="4"/>
  <c r="C32" i="4"/>
  <c r="V31" i="4"/>
  <c r="D31" i="5" s="1"/>
  <c r="P31" i="4"/>
  <c r="O31" i="4"/>
  <c r="K31" i="4"/>
  <c r="J31" i="4"/>
  <c r="I31" i="4"/>
  <c r="H31" i="4"/>
  <c r="C31" i="4"/>
  <c r="V30" i="4"/>
  <c r="D30" i="5" s="1"/>
  <c r="R30" i="4"/>
  <c r="Q30" i="4"/>
  <c r="K30" i="4"/>
  <c r="J30" i="4"/>
  <c r="I30" i="4"/>
  <c r="H30" i="4"/>
  <c r="C30" i="4"/>
  <c r="V29" i="4"/>
  <c r="D29" i="5" s="1"/>
  <c r="R29" i="4"/>
  <c r="Q29" i="4"/>
  <c r="K29" i="4"/>
  <c r="J29" i="4"/>
  <c r="I29" i="4"/>
  <c r="H29" i="4"/>
  <c r="C29" i="4"/>
  <c r="V28" i="4"/>
  <c r="D28" i="5" s="1"/>
  <c r="R28" i="4"/>
  <c r="Q28" i="4"/>
  <c r="K28" i="4"/>
  <c r="J28" i="4"/>
  <c r="I28" i="4"/>
  <c r="H28" i="4"/>
  <c r="C28" i="4"/>
  <c r="V27" i="4"/>
  <c r="D27" i="5" s="1"/>
  <c r="R27" i="4"/>
  <c r="Q27" i="4"/>
  <c r="K27" i="4"/>
  <c r="J27" i="4"/>
  <c r="I27" i="4"/>
  <c r="H27" i="4"/>
  <c r="C27" i="4"/>
  <c r="V26" i="4"/>
  <c r="D26" i="5" s="1"/>
  <c r="K26" i="4"/>
  <c r="J26" i="4"/>
  <c r="I26" i="4"/>
  <c r="H26" i="4"/>
  <c r="C26" i="4"/>
  <c r="I25" i="4"/>
  <c r="H25" i="4"/>
  <c r="C25" i="4"/>
  <c r="V23" i="4"/>
  <c r="D23" i="5" s="1"/>
  <c r="R23" i="4"/>
  <c r="Q23" i="4"/>
  <c r="K23" i="4"/>
  <c r="J23" i="4"/>
  <c r="I23" i="4"/>
  <c r="H23" i="4"/>
  <c r="C23" i="4"/>
  <c r="V22" i="4"/>
  <c r="K22" i="4"/>
  <c r="J22" i="4"/>
  <c r="I22" i="4"/>
  <c r="H22" i="4"/>
  <c r="C22" i="4"/>
  <c r="V21" i="4"/>
  <c r="D21" i="5" s="1"/>
  <c r="K21" i="4"/>
  <c r="J21" i="4"/>
  <c r="I21" i="4"/>
  <c r="H21" i="4"/>
  <c r="C21" i="4"/>
  <c r="V20" i="4"/>
  <c r="R20" i="4"/>
  <c r="Q20" i="4"/>
  <c r="K20" i="4"/>
  <c r="J20" i="4"/>
  <c r="I20" i="4"/>
  <c r="H20" i="4"/>
  <c r="C20" i="4"/>
  <c r="V19" i="4"/>
  <c r="D19" i="5" s="1"/>
  <c r="R19" i="4"/>
  <c r="Q19" i="4"/>
  <c r="P19" i="4"/>
  <c r="O19" i="4"/>
  <c r="K19" i="4"/>
  <c r="J19" i="4"/>
  <c r="I19" i="4"/>
  <c r="H19" i="4"/>
  <c r="C19" i="4"/>
  <c r="V18" i="4"/>
  <c r="D18" i="5" s="1"/>
  <c r="R18" i="4"/>
  <c r="Q18" i="4"/>
  <c r="K18" i="4"/>
  <c r="J18" i="4"/>
  <c r="I18" i="4"/>
  <c r="H18" i="4"/>
  <c r="C18" i="4"/>
  <c r="K17" i="4"/>
  <c r="J17" i="4"/>
  <c r="I17" i="4"/>
  <c r="H17" i="4"/>
  <c r="C17" i="4"/>
  <c r="R16" i="4"/>
  <c r="Q16" i="4"/>
  <c r="K16" i="4"/>
  <c r="J16" i="4"/>
  <c r="I16" i="4"/>
  <c r="H16" i="4"/>
  <c r="C16" i="4"/>
  <c r="V15" i="4"/>
  <c r="D15" i="5" s="1"/>
  <c r="R15" i="4"/>
  <c r="Q15" i="4"/>
  <c r="K15" i="4"/>
  <c r="J15" i="4"/>
  <c r="I15" i="4"/>
  <c r="H15" i="4"/>
  <c r="C15" i="4"/>
  <c r="R14" i="4"/>
  <c r="Q14" i="4"/>
  <c r="K14" i="4"/>
  <c r="J14" i="4"/>
  <c r="I14" i="4"/>
  <c r="H14" i="4"/>
  <c r="C14" i="4"/>
  <c r="V13" i="4"/>
  <c r="I13" i="4"/>
  <c r="H13" i="4"/>
  <c r="C13" i="4"/>
  <c r="V12" i="4"/>
  <c r="D12" i="5" s="1"/>
  <c r="C12" i="4"/>
  <c r="V11" i="4"/>
  <c r="D11" i="5" s="1"/>
  <c r="R11" i="4"/>
  <c r="Q11" i="4"/>
  <c r="K11" i="4"/>
  <c r="J11" i="4"/>
  <c r="I11" i="4"/>
  <c r="H11" i="4"/>
  <c r="C11" i="4"/>
  <c r="I10" i="4"/>
  <c r="H10" i="4"/>
  <c r="C10" i="4"/>
  <c r="V9" i="4"/>
  <c r="K9" i="4"/>
  <c r="J9" i="4"/>
  <c r="I9" i="4"/>
  <c r="H9" i="4"/>
  <c r="C9" i="4"/>
  <c r="V8" i="4"/>
  <c r="D8" i="5" s="1"/>
  <c r="I8" i="4"/>
  <c r="H8" i="4"/>
  <c r="C8" i="4"/>
  <c r="K7" i="4"/>
  <c r="J7" i="4"/>
  <c r="I7" i="4"/>
  <c r="H7" i="4"/>
  <c r="C7" i="4"/>
  <c r="C6" i="4"/>
  <c r="V5" i="4"/>
  <c r="K5" i="4"/>
  <c r="J5" i="4"/>
  <c r="I5" i="4"/>
  <c r="H5" i="4"/>
  <c r="C5" i="4"/>
  <c r="V4" i="4"/>
  <c r="D4" i="5" s="1"/>
  <c r="K4" i="4"/>
  <c r="J4" i="4"/>
  <c r="I4" i="4"/>
  <c r="H4" i="4"/>
  <c r="C4" i="4"/>
  <c r="B174" i="3"/>
  <c r="B137" i="3"/>
  <c r="O114" i="3"/>
  <c r="O113" i="3"/>
  <c r="O112" i="3"/>
  <c r="O111" i="3"/>
  <c r="B229" i="3" s="1"/>
  <c r="M105" i="3"/>
  <c r="P96" i="3" s="1"/>
  <c r="K105" i="3"/>
  <c r="M104" i="3"/>
  <c r="O96" i="3" s="1"/>
  <c r="K104" i="3"/>
  <c r="N97" i="3"/>
  <c r="N99" i="3" s="1"/>
  <c r="M97" i="3"/>
  <c r="M99" i="3" s="1"/>
  <c r="L97" i="3"/>
  <c r="L99" i="3" s="1"/>
  <c r="K97" i="3"/>
  <c r="K99" i="3" s="1"/>
  <c r="J97" i="3"/>
  <c r="J99" i="3" s="1"/>
  <c r="P95" i="3"/>
  <c r="O95" i="3"/>
  <c r="B91" i="3"/>
  <c r="B85" i="3"/>
  <c r="R75" i="3"/>
  <c r="R77" i="3" s="1"/>
  <c r="Q75" i="3"/>
  <c r="Q77" i="3" s="1"/>
  <c r="P75" i="3"/>
  <c r="P77" i="3" s="1"/>
  <c r="O75" i="3"/>
  <c r="O77" i="3" s="1"/>
  <c r="N75" i="3"/>
  <c r="N77" i="3" s="1"/>
  <c r="M75" i="3"/>
  <c r="M77" i="3" s="1"/>
  <c r="L75" i="3"/>
  <c r="L77" i="3" s="1"/>
  <c r="K75" i="3"/>
  <c r="K77" i="3" s="1"/>
  <c r="J75" i="3"/>
  <c r="J77" i="3" s="1"/>
  <c r="R72" i="3"/>
  <c r="R74" i="3" s="1"/>
  <c r="Q72" i="3"/>
  <c r="Q74" i="3" s="1"/>
  <c r="P72" i="3"/>
  <c r="P74" i="3" s="1"/>
  <c r="O72" i="3"/>
  <c r="O74" i="3" s="1"/>
  <c r="N72" i="3"/>
  <c r="N74" i="3" s="1"/>
  <c r="M72" i="3"/>
  <c r="M74" i="3" s="1"/>
  <c r="L72" i="3"/>
  <c r="L74" i="3" s="1"/>
  <c r="K72" i="3"/>
  <c r="K74" i="3" s="1"/>
  <c r="J72" i="3"/>
  <c r="J74" i="3" s="1"/>
  <c r="R66" i="3"/>
  <c r="R68" i="3" s="1"/>
  <c r="Q66" i="3"/>
  <c r="Q68" i="3" s="1"/>
  <c r="P66" i="3"/>
  <c r="P68" i="3" s="1"/>
  <c r="O66" i="3"/>
  <c r="O68" i="3" s="1"/>
  <c r="N66" i="3"/>
  <c r="N68" i="3" s="1"/>
  <c r="M66" i="3"/>
  <c r="M68" i="3" s="1"/>
  <c r="L66" i="3"/>
  <c r="L68" i="3" s="1"/>
  <c r="K66" i="3"/>
  <c r="K68" i="3" s="1"/>
  <c r="J66" i="3"/>
  <c r="J68" i="3" s="1"/>
  <c r="R63" i="3"/>
  <c r="R65" i="3" s="1"/>
  <c r="Q63" i="3"/>
  <c r="Q65" i="3" s="1"/>
  <c r="P63" i="3"/>
  <c r="P65" i="3" s="1"/>
  <c r="P81" i="3" s="1"/>
  <c r="O63" i="3"/>
  <c r="O65" i="3" s="1"/>
  <c r="N63" i="3"/>
  <c r="N65" i="3" s="1"/>
  <c r="M63" i="3"/>
  <c r="M65" i="3" s="1"/>
  <c r="L63" i="3"/>
  <c r="L65" i="3" s="1"/>
  <c r="K63" i="3"/>
  <c r="K65" i="3" s="1"/>
  <c r="J63" i="3"/>
  <c r="J65" i="3" s="1"/>
  <c r="O59" i="3"/>
  <c r="O57" i="3"/>
  <c r="O58" i="3"/>
  <c r="O56" i="3"/>
  <c r="O55" i="3"/>
  <c r="B41" i="3" s="1"/>
  <c r="O54" i="3"/>
  <c r="B40" i="3" s="1"/>
  <c r="N47" i="3"/>
  <c r="L47" i="3"/>
  <c r="J47" i="3"/>
  <c r="N48" i="3"/>
  <c r="L48" i="3"/>
  <c r="J48" i="3"/>
  <c r="N46" i="3"/>
  <c r="L46" i="3"/>
  <c r="J46" i="3"/>
  <c r="N45" i="3"/>
  <c r="L45" i="3"/>
  <c r="J45" i="3"/>
  <c r="B45" i="3"/>
  <c r="N44" i="3"/>
  <c r="L44" i="3"/>
  <c r="J44" i="3"/>
  <c r="P38" i="3"/>
  <c r="O38" i="3"/>
  <c r="P37" i="3"/>
  <c r="O37" i="3"/>
  <c r="P36" i="3"/>
  <c r="O36" i="3"/>
  <c r="P35" i="3"/>
  <c r="O35" i="3"/>
  <c r="P34" i="3"/>
  <c r="O34" i="3"/>
  <c r="P33" i="3"/>
  <c r="O33" i="3"/>
  <c r="P32" i="3"/>
  <c r="O32" i="3"/>
  <c r="P31" i="3"/>
  <c r="O31" i="3"/>
  <c r="P30" i="3"/>
  <c r="O30" i="3"/>
  <c r="P29" i="3"/>
  <c r="O29" i="3"/>
  <c r="J21" i="3"/>
  <c r="J20" i="3"/>
  <c r="J19" i="3"/>
  <c r="J18" i="3"/>
  <c r="J17" i="3"/>
  <c r="J16" i="3"/>
  <c r="B16" i="3"/>
  <c r="E214" i="2"/>
  <c r="E213" i="2"/>
  <c r="E212" i="2"/>
  <c r="E211" i="2"/>
  <c r="E210" i="2"/>
  <c r="E209" i="2"/>
  <c r="E208" i="2"/>
  <c r="G207" i="7" s="1"/>
  <c r="E207" i="2"/>
  <c r="H206" i="7" s="1"/>
  <c r="E205" i="2"/>
  <c r="H204" i="7" s="1"/>
  <c r="E203" i="2"/>
  <c r="E202" i="2"/>
  <c r="E201" i="2"/>
  <c r="E200" i="2"/>
  <c r="E199" i="2"/>
  <c r="E198" i="2"/>
  <c r="E197" i="2"/>
  <c r="P196" i="4" s="1"/>
  <c r="E196" i="2"/>
  <c r="P195" i="4" s="1"/>
  <c r="E195" i="2"/>
  <c r="E194" i="2"/>
  <c r="P193" i="7" s="1"/>
  <c r="E193" i="2"/>
  <c r="H192" i="7" s="1"/>
  <c r="E192" i="2"/>
  <c r="G191" i="7" s="1"/>
  <c r="E191" i="2"/>
  <c r="G190" i="4" s="1"/>
  <c r="E190" i="2"/>
  <c r="I189" i="4" s="1"/>
  <c r="E189" i="2"/>
  <c r="G188" i="4" s="1"/>
  <c r="E188" i="2"/>
  <c r="H187" i="7" s="1"/>
  <c r="E187" i="2"/>
  <c r="G186" i="7" s="1"/>
  <c r="E186" i="2"/>
  <c r="E185" i="2"/>
  <c r="H184" i="7" s="1"/>
  <c r="E183" i="2"/>
  <c r="H182" i="7" s="1"/>
  <c r="E181" i="2"/>
  <c r="H180" i="7" s="1"/>
  <c r="E180" i="2"/>
  <c r="E178" i="2"/>
  <c r="P177" i="7" s="1"/>
  <c r="E176" i="2"/>
  <c r="P175" i="7" s="1"/>
  <c r="E175" i="2"/>
  <c r="E173" i="2"/>
  <c r="H172" i="7" s="1"/>
  <c r="E172" i="2"/>
  <c r="P171" i="7" s="1"/>
  <c r="E171" i="2"/>
  <c r="P170" i="4" s="1"/>
  <c r="E169" i="2"/>
  <c r="E168" i="2"/>
  <c r="E167" i="2"/>
  <c r="E163" i="2"/>
  <c r="G162" i="4" s="1"/>
  <c r="E158" i="2"/>
  <c r="E157" i="2"/>
  <c r="H156" i="4" s="1"/>
  <c r="E156" i="2"/>
  <c r="I155" i="7" s="1"/>
  <c r="E154" i="2"/>
  <c r="E153" i="2"/>
  <c r="E151" i="2"/>
  <c r="E148" i="2"/>
  <c r="H147" i="7" s="1"/>
  <c r="E147" i="2"/>
  <c r="G146" i="7" s="1"/>
  <c r="E145" i="2"/>
  <c r="G144" i="7" s="1"/>
  <c r="E144" i="2"/>
  <c r="E143" i="2"/>
  <c r="E141" i="2"/>
  <c r="G140" i="4" s="1"/>
  <c r="E138" i="2"/>
  <c r="H137" i="7" s="1"/>
  <c r="E135" i="2"/>
  <c r="G134" i="7" s="1"/>
  <c r="E134" i="2"/>
  <c r="H133" i="7" s="1"/>
  <c r="E133" i="2"/>
  <c r="P132" i="4" s="1"/>
  <c r="E132" i="2"/>
  <c r="P131" i="4" s="1"/>
  <c r="E131" i="2"/>
  <c r="P130" i="7" s="1"/>
  <c r="E130" i="2"/>
  <c r="G129" i="7" s="1"/>
  <c r="E129" i="2"/>
  <c r="P128" i="7" s="1"/>
  <c r="E128" i="2"/>
  <c r="G127" i="4" s="1"/>
  <c r="E127" i="2"/>
  <c r="G126" i="7" s="1"/>
  <c r="E126" i="2"/>
  <c r="H125" i="7" s="1"/>
  <c r="E125" i="2"/>
  <c r="G124" i="7" s="1"/>
  <c r="E120" i="2"/>
  <c r="E119" i="2"/>
  <c r="E118" i="2"/>
  <c r="P117" i="4" s="1"/>
  <c r="E117" i="2"/>
  <c r="E116" i="2"/>
  <c r="E115" i="2"/>
  <c r="G114" i="4" s="1"/>
  <c r="E114" i="2"/>
  <c r="G113" i="7" s="1"/>
  <c r="E113" i="2"/>
  <c r="P112" i="7" s="1"/>
  <c r="E112" i="2"/>
  <c r="P111" i="7" s="1"/>
  <c r="E108" i="2"/>
  <c r="G107" i="7" s="1"/>
  <c r="E107" i="2"/>
  <c r="G106" i="4" s="1"/>
  <c r="E105" i="2"/>
  <c r="G104" i="4" s="1"/>
  <c r="E103" i="2"/>
  <c r="G102" i="4" s="1"/>
  <c r="E102" i="2"/>
  <c r="E99" i="2"/>
  <c r="P98" i="7" s="1"/>
  <c r="E98" i="2"/>
  <c r="I97" i="4" s="1"/>
  <c r="E97" i="2"/>
  <c r="P96" i="4" s="1"/>
  <c r="E96" i="2"/>
  <c r="G95" i="7" s="1"/>
  <c r="E93" i="2"/>
  <c r="P92" i="4" s="1"/>
  <c r="E92" i="2"/>
  <c r="P91" i="4" s="1"/>
  <c r="E91" i="2"/>
  <c r="P90" i="7" s="1"/>
  <c r="E90" i="2"/>
  <c r="I89" i="7" s="1"/>
  <c r="E89" i="2"/>
  <c r="G88" i="7" s="1"/>
  <c r="E88" i="2"/>
  <c r="G87" i="7" s="1"/>
  <c r="E87" i="2"/>
  <c r="G86" i="4" s="1"/>
  <c r="E86" i="2"/>
  <c r="P85" i="7" s="1"/>
  <c r="E85" i="2"/>
  <c r="P84" i="7" s="1"/>
  <c r="E84" i="2"/>
  <c r="P83" i="7" s="1"/>
  <c r="E83" i="2"/>
  <c r="P82" i="7" s="1"/>
  <c r="E82" i="2"/>
  <c r="P81" i="4" s="1"/>
  <c r="E81" i="2"/>
  <c r="P80" i="4" s="1"/>
  <c r="E79" i="2"/>
  <c r="P78" i="7" s="1"/>
  <c r="E77" i="2"/>
  <c r="P76" i="7" s="1"/>
  <c r="E75" i="2"/>
  <c r="P74" i="7" s="1"/>
  <c r="E74" i="2"/>
  <c r="P73" i="7" s="1"/>
  <c r="E70" i="2"/>
  <c r="P69" i="7" s="1"/>
  <c r="E68" i="2"/>
  <c r="G67" i="7" s="1"/>
  <c r="E67" i="2"/>
  <c r="P66" i="4" s="1"/>
  <c r="E66" i="2"/>
  <c r="P65" i="7" s="1"/>
  <c r="E65" i="2"/>
  <c r="P64" i="7" s="1"/>
  <c r="E64" i="2"/>
  <c r="P63" i="7" s="1"/>
  <c r="E63" i="2"/>
  <c r="P62" i="7" s="1"/>
  <c r="E62" i="2"/>
  <c r="I61" i="7" s="1"/>
  <c r="E61" i="2"/>
  <c r="G60" i="4" s="1"/>
  <c r="E60" i="2"/>
  <c r="G59" i="4" s="1"/>
  <c r="E59" i="2"/>
  <c r="G58" i="4" s="1"/>
  <c r="E58" i="2"/>
  <c r="G57" i="7" s="1"/>
  <c r="E57" i="2"/>
  <c r="P56" i="7" s="1"/>
  <c r="E55" i="2"/>
  <c r="G54" i="7" s="1"/>
  <c r="E53" i="2"/>
  <c r="G52" i="7" s="1"/>
  <c r="E52" i="2"/>
  <c r="G51" i="7" s="1"/>
  <c r="E51" i="2"/>
  <c r="G50" i="7" s="1"/>
  <c r="E50" i="2"/>
  <c r="G49" i="7" s="1"/>
  <c r="E49" i="2"/>
  <c r="G48" i="4" s="1"/>
  <c r="E48" i="2"/>
  <c r="P47" i="7" s="1"/>
  <c r="E47" i="2"/>
  <c r="P46" i="7" s="1"/>
  <c r="E46" i="2"/>
  <c r="P45" i="7" s="1"/>
  <c r="E45" i="2"/>
  <c r="G44" i="7" s="1"/>
  <c r="E42" i="2"/>
  <c r="G41" i="7" s="1"/>
  <c r="E41" i="2"/>
  <c r="I40" i="7" s="1"/>
  <c r="E39" i="2"/>
  <c r="E36" i="2"/>
  <c r="P35" i="7" s="1"/>
  <c r="E34" i="2"/>
  <c r="G33" i="4" s="1"/>
  <c r="E33" i="2"/>
  <c r="E32" i="2"/>
  <c r="E31" i="2"/>
  <c r="G30" i="4" s="1"/>
  <c r="E30" i="2"/>
  <c r="G29" i="4" s="1"/>
  <c r="E29" i="2"/>
  <c r="G28" i="7" s="1"/>
  <c r="E28" i="2"/>
  <c r="G27" i="4" s="1"/>
  <c r="E27" i="2"/>
  <c r="G26" i="7" s="1"/>
  <c r="E26" i="2"/>
  <c r="G25" i="7" s="1"/>
  <c r="E24" i="2"/>
  <c r="G23" i="4" s="1"/>
  <c r="AL23" i="2"/>
  <c r="E23" i="2"/>
  <c r="E22" i="2"/>
  <c r="G21" i="7" s="1"/>
  <c r="E21" i="2"/>
  <c r="G20" i="7" s="1"/>
  <c r="E20" i="2"/>
  <c r="G19" i="4" s="1"/>
  <c r="E19" i="2"/>
  <c r="G18" i="4" s="1"/>
  <c r="E18" i="2"/>
  <c r="G17" i="4" s="1"/>
  <c r="E17" i="2"/>
  <c r="G16" i="4" s="1"/>
  <c r="E16" i="2"/>
  <c r="G15" i="4" s="1"/>
  <c r="E15" i="2"/>
  <c r="E14" i="2"/>
  <c r="G13" i="4" s="1"/>
  <c r="E13" i="2"/>
  <c r="E12" i="2"/>
  <c r="G11" i="7" s="1"/>
  <c r="E11" i="2"/>
  <c r="E10" i="2"/>
  <c r="G9" i="7" s="1"/>
  <c r="E9" i="2"/>
  <c r="G8" i="7" s="1"/>
  <c r="E8" i="2"/>
  <c r="G7" i="7" s="1"/>
  <c r="E7" i="2"/>
  <c r="H6" i="7" s="1"/>
  <c r="E6" i="2"/>
  <c r="G5" i="4" s="1"/>
  <c r="E5" i="2"/>
  <c r="G4" i="4" s="1"/>
  <c r="I156" i="4" l="1"/>
  <c r="G12" i="4"/>
  <c r="H12" i="4"/>
  <c r="F20" i="10"/>
  <c r="V20" i="10"/>
  <c r="P14" i="10"/>
  <c r="AL20" i="10"/>
  <c r="R14" i="10"/>
  <c r="AD14" i="10"/>
  <c r="H156" i="7"/>
  <c r="I156" i="7"/>
  <c r="H155" i="4"/>
  <c r="P179" i="7"/>
  <c r="O179" i="4"/>
  <c r="P179" i="4"/>
  <c r="I155" i="4"/>
  <c r="L155" i="4" s="1"/>
  <c r="H155" i="7"/>
  <c r="M155" i="7" s="1"/>
  <c r="H37" i="11"/>
  <c r="O188" i="7"/>
  <c r="O189" i="4"/>
  <c r="P188" i="7"/>
  <c r="P189" i="4"/>
  <c r="O188" i="4"/>
  <c r="P188" i="4"/>
  <c r="O189" i="7"/>
  <c r="S189" i="7" s="1"/>
  <c r="P189" i="7"/>
  <c r="AJ24" i="10"/>
  <c r="L37" i="11"/>
  <c r="B58" i="6"/>
  <c r="J14" i="10"/>
  <c r="Z14" i="10"/>
  <c r="Z31" i="10" s="1"/>
  <c r="AP14" i="10"/>
  <c r="H20" i="10"/>
  <c r="X20" i="10"/>
  <c r="AN20" i="10"/>
  <c r="AN31" i="10" s="1"/>
  <c r="F24" i="10"/>
  <c r="V24" i="10"/>
  <c r="AL24" i="10"/>
  <c r="T26" i="10"/>
  <c r="AJ26" i="10"/>
  <c r="P14" i="7"/>
  <c r="O202" i="4"/>
  <c r="O43" i="4"/>
  <c r="O163" i="4"/>
  <c r="O71" i="4"/>
  <c r="O164" i="4"/>
  <c r="O109" i="4"/>
  <c r="O138" i="4"/>
  <c r="O141" i="4"/>
  <c r="O149" i="4"/>
  <c r="O103" i="4"/>
  <c r="O139" i="4"/>
  <c r="O120" i="4"/>
  <c r="O136" i="4"/>
  <c r="O165" i="4"/>
  <c r="O123" i="4"/>
  <c r="O151" i="4"/>
  <c r="O105" i="4"/>
  <c r="O68" i="4"/>
  <c r="O135" i="4"/>
  <c r="O53" i="4"/>
  <c r="O108" i="4"/>
  <c r="O75" i="4"/>
  <c r="O79" i="4"/>
  <c r="O121" i="4"/>
  <c r="O42" i="4"/>
  <c r="O122" i="4"/>
  <c r="O110" i="4"/>
  <c r="O176" i="4"/>
  <c r="O173" i="4"/>
  <c r="O145" i="4"/>
  <c r="O77" i="4"/>
  <c r="O36" i="4"/>
  <c r="O55" i="4"/>
  <c r="O100" i="4"/>
  <c r="O72" i="4"/>
  <c r="O93" i="4"/>
  <c r="O70" i="4"/>
  <c r="O94" i="4"/>
  <c r="O39" i="4"/>
  <c r="O37" i="4"/>
  <c r="O24" i="4"/>
  <c r="O158" i="4"/>
  <c r="L14" i="10"/>
  <c r="AB14" i="10"/>
  <c r="AR14" i="10"/>
  <c r="AR31" i="10" s="1"/>
  <c r="J20" i="10"/>
  <c r="J31" i="10" s="1"/>
  <c r="Z20" i="10"/>
  <c r="AP20" i="10"/>
  <c r="H24" i="10"/>
  <c r="X24" i="10"/>
  <c r="AN24" i="10"/>
  <c r="F26" i="10"/>
  <c r="V26" i="10"/>
  <c r="AL26" i="10"/>
  <c r="AL31" i="10" s="1"/>
  <c r="X37" i="11"/>
  <c r="AN37" i="11"/>
  <c r="T24" i="10"/>
  <c r="D188" i="4"/>
  <c r="F188" i="4" s="1"/>
  <c r="D109" i="4"/>
  <c r="D71" i="4"/>
  <c r="D43" i="4"/>
  <c r="D138" i="4"/>
  <c r="D141" i="4"/>
  <c r="D136" i="4"/>
  <c r="D164" i="4"/>
  <c r="D120" i="4"/>
  <c r="D139" i="4"/>
  <c r="D103" i="4"/>
  <c r="D165" i="4"/>
  <c r="D163" i="4"/>
  <c r="D123" i="4"/>
  <c r="D151" i="4"/>
  <c r="D149" i="4"/>
  <c r="D75" i="4"/>
  <c r="D72" i="4"/>
  <c r="D105" i="4"/>
  <c r="D42" i="4"/>
  <c r="D79" i="4"/>
  <c r="D121" i="4"/>
  <c r="D100" i="4"/>
  <c r="D145" i="4"/>
  <c r="D135" i="4"/>
  <c r="D55" i="4"/>
  <c r="D53" i="4"/>
  <c r="D173" i="4"/>
  <c r="D122" i="4"/>
  <c r="D110" i="4"/>
  <c r="D176" i="4"/>
  <c r="D77" i="4"/>
  <c r="D68" i="4"/>
  <c r="D148" i="4"/>
  <c r="D36" i="4"/>
  <c r="D108" i="4"/>
  <c r="D70" i="4"/>
  <c r="D39" i="4"/>
  <c r="D37" i="4"/>
  <c r="D94" i="4"/>
  <c r="D93" i="4"/>
  <c r="D24" i="4"/>
  <c r="D158" i="4"/>
  <c r="D109" i="7"/>
  <c r="D71" i="7"/>
  <c r="D43" i="7"/>
  <c r="D139" i="7"/>
  <c r="D138" i="7"/>
  <c r="D136" i="7"/>
  <c r="D164" i="7"/>
  <c r="D103" i="7"/>
  <c r="D149" i="7"/>
  <c r="D123" i="7"/>
  <c r="D163" i="7"/>
  <c r="D141" i="7"/>
  <c r="D165" i="7"/>
  <c r="D151" i="7"/>
  <c r="D120" i="7"/>
  <c r="D77" i="7"/>
  <c r="D53" i="7"/>
  <c r="D121" i="7"/>
  <c r="D68" i="7"/>
  <c r="D148" i="7"/>
  <c r="D135" i="7"/>
  <c r="D173" i="7"/>
  <c r="D122" i="7"/>
  <c r="D72" i="7"/>
  <c r="D176" i="7"/>
  <c r="D55" i="7"/>
  <c r="D36" i="7"/>
  <c r="D105" i="7"/>
  <c r="D75" i="7"/>
  <c r="D42" i="7"/>
  <c r="D79" i="7"/>
  <c r="D145" i="7"/>
  <c r="D108" i="7"/>
  <c r="D110" i="7"/>
  <c r="D100" i="7"/>
  <c r="D94" i="7"/>
  <c r="D39" i="7"/>
  <c r="D24" i="7"/>
  <c r="D70" i="7"/>
  <c r="D93" i="7"/>
  <c r="D37" i="7"/>
  <c r="D158" i="7"/>
  <c r="D162" i="7"/>
  <c r="V31" i="10"/>
  <c r="L20" i="10"/>
  <c r="AB20" i="10"/>
  <c r="AR20" i="10"/>
  <c r="J24" i="10"/>
  <c r="Z24" i="10"/>
  <c r="AP24" i="10"/>
  <c r="H26" i="10"/>
  <c r="X26" i="10"/>
  <c r="AN26" i="10"/>
  <c r="AP37" i="11"/>
  <c r="AJ37" i="11"/>
  <c r="P32" i="7"/>
  <c r="M43" i="7"/>
  <c r="L43" i="7"/>
  <c r="L55" i="7"/>
  <c r="L176" i="7"/>
  <c r="M55" i="7"/>
  <c r="M176" i="7"/>
  <c r="M93" i="7"/>
  <c r="L93" i="7"/>
  <c r="I109" i="7"/>
  <c r="I141" i="7"/>
  <c r="I148" i="7"/>
  <c r="I100" i="7"/>
  <c r="D5" i="7"/>
  <c r="F5" i="7" s="1"/>
  <c r="R5" i="7" s="1"/>
  <c r="D9" i="7"/>
  <c r="F9" i="7" s="1"/>
  <c r="R9" i="7" s="1"/>
  <c r="D20" i="7"/>
  <c r="E20" i="7" s="1"/>
  <c r="D21" i="7"/>
  <c r="E21" i="7" s="1"/>
  <c r="Q21" i="7" s="1"/>
  <c r="N20" i="10"/>
  <c r="AD20" i="10"/>
  <c r="L24" i="10"/>
  <c r="AB24" i="10"/>
  <c r="AR24" i="10"/>
  <c r="J26" i="10"/>
  <c r="Z26" i="10"/>
  <c r="AP26" i="10"/>
  <c r="D37" i="11"/>
  <c r="AB37" i="11"/>
  <c r="L43" i="4"/>
  <c r="M43" i="4"/>
  <c r="L176" i="4"/>
  <c r="L55" i="4"/>
  <c r="M55" i="4"/>
  <c r="M176" i="4"/>
  <c r="M93" i="4"/>
  <c r="L93" i="4"/>
  <c r="P8" i="6"/>
  <c r="P10" i="6" s="1"/>
  <c r="D12" i="7"/>
  <c r="E12" i="7" s="1"/>
  <c r="Q12" i="7" s="1"/>
  <c r="P20" i="10"/>
  <c r="AF20" i="10"/>
  <c r="N24" i="10"/>
  <c r="AD24" i="10"/>
  <c r="AD31" i="10" s="1"/>
  <c r="L26" i="10"/>
  <c r="AB26" i="10"/>
  <c r="AR26" i="10"/>
  <c r="F37" i="11"/>
  <c r="AD37" i="11"/>
  <c r="V37" i="11"/>
  <c r="O71" i="7"/>
  <c r="O151" i="7"/>
  <c r="O43" i="7"/>
  <c r="O109" i="7"/>
  <c r="O165" i="7"/>
  <c r="O103" i="7"/>
  <c r="O136" i="7"/>
  <c r="O164" i="7"/>
  <c r="O141" i="7"/>
  <c r="O149" i="7"/>
  <c r="O138" i="7"/>
  <c r="O139" i="7"/>
  <c r="O163" i="7"/>
  <c r="O123" i="7"/>
  <c r="O120" i="7"/>
  <c r="O121" i="7"/>
  <c r="O110" i="7"/>
  <c r="O122" i="7"/>
  <c r="O135" i="7"/>
  <c r="O108" i="7"/>
  <c r="O55" i="7"/>
  <c r="O68" i="7"/>
  <c r="O176" i="7"/>
  <c r="O173" i="7"/>
  <c r="O100" i="7"/>
  <c r="O105" i="7"/>
  <c r="O42" i="7"/>
  <c r="O72" i="7"/>
  <c r="O79" i="7"/>
  <c r="O145" i="7"/>
  <c r="O36" i="7"/>
  <c r="O75" i="7"/>
  <c r="O77" i="7"/>
  <c r="O53" i="7"/>
  <c r="O39" i="7"/>
  <c r="O94" i="7"/>
  <c r="O70" i="7"/>
  <c r="O93" i="7"/>
  <c r="O37" i="7"/>
  <c r="O24" i="7"/>
  <c r="O158" i="7"/>
  <c r="T14" i="10"/>
  <c r="AJ14" i="10"/>
  <c r="AJ31" i="10" s="1"/>
  <c r="L31" i="10"/>
  <c r="AB31" i="10"/>
  <c r="R20" i="10"/>
  <c r="AH20" i="10"/>
  <c r="AH31" i="10" s="1"/>
  <c r="P24" i="10"/>
  <c r="AF24" i="10"/>
  <c r="N26" i="10"/>
  <c r="N31" i="10" s="1"/>
  <c r="AD26" i="10"/>
  <c r="AF37" i="11"/>
  <c r="O10" i="7"/>
  <c r="F14" i="10"/>
  <c r="F31" i="10" s="1"/>
  <c r="V14" i="10"/>
  <c r="T20" i="10"/>
  <c r="R24" i="10"/>
  <c r="P26" i="10"/>
  <c r="J37" i="11"/>
  <c r="R37" i="11"/>
  <c r="AH37" i="11"/>
  <c r="G116" i="7"/>
  <c r="G116" i="4"/>
  <c r="H199" i="7"/>
  <c r="G199" i="4"/>
  <c r="G199" i="7"/>
  <c r="H209" i="7"/>
  <c r="G209" i="7"/>
  <c r="G209" i="4"/>
  <c r="G142" i="4"/>
  <c r="G142" i="7"/>
  <c r="H200" i="7"/>
  <c r="G200" i="7"/>
  <c r="G200" i="4"/>
  <c r="G210" i="4"/>
  <c r="G210" i="7"/>
  <c r="H185" i="7"/>
  <c r="G185" i="4"/>
  <c r="G185" i="7"/>
  <c r="G201" i="4"/>
  <c r="G201" i="7"/>
  <c r="O211" i="7"/>
  <c r="G211" i="7"/>
  <c r="G166" i="7"/>
  <c r="G166" i="4"/>
  <c r="G101" i="7"/>
  <c r="G101" i="4"/>
  <c r="H118" i="7"/>
  <c r="G118" i="4"/>
  <c r="G118" i="7"/>
  <c r="P143" i="7"/>
  <c r="G143" i="7"/>
  <c r="G119" i="4"/>
  <c r="G119" i="7"/>
  <c r="G174" i="4"/>
  <c r="G174" i="7"/>
  <c r="G194" i="4"/>
  <c r="G194" i="7"/>
  <c r="H202" i="7"/>
  <c r="G202" i="4"/>
  <c r="G202" i="7"/>
  <c r="G212" i="4"/>
  <c r="G212" i="7"/>
  <c r="G162" i="7"/>
  <c r="O162" i="4"/>
  <c r="P162" i="7"/>
  <c r="O162" i="7"/>
  <c r="G213" i="4"/>
  <c r="G213" i="7"/>
  <c r="P197" i="7"/>
  <c r="G197" i="7"/>
  <c r="G197" i="4"/>
  <c r="I150" i="7"/>
  <c r="G150" i="4"/>
  <c r="G150" i="7"/>
  <c r="G167" i="7"/>
  <c r="G167" i="4"/>
  <c r="P115" i="7"/>
  <c r="G115" i="4"/>
  <c r="H152" i="7"/>
  <c r="G152" i="7"/>
  <c r="G152" i="4"/>
  <c r="H168" i="7"/>
  <c r="G168" i="7"/>
  <c r="G168" i="4"/>
  <c r="H198" i="7"/>
  <c r="G198" i="7"/>
  <c r="G198" i="4"/>
  <c r="H208" i="7"/>
  <c r="G208" i="7"/>
  <c r="G208" i="4"/>
  <c r="W174" i="4"/>
  <c r="D174" i="5"/>
  <c r="O51" i="7"/>
  <c r="O38" i="4"/>
  <c r="P38" i="4"/>
  <c r="G157" i="4"/>
  <c r="G157" i="7"/>
  <c r="G156" i="7"/>
  <c r="G156" i="4"/>
  <c r="G155" i="7"/>
  <c r="G155" i="4"/>
  <c r="G153" i="4"/>
  <c r="G153" i="7"/>
  <c r="G154" i="7"/>
  <c r="G154" i="4"/>
  <c r="Q8" i="6"/>
  <c r="Q10" i="6" s="1"/>
  <c r="D14" i="7"/>
  <c r="F14" i="7" s="1"/>
  <c r="D143" i="7"/>
  <c r="F143" i="7" s="1"/>
  <c r="R143" i="7" s="1"/>
  <c r="D26" i="7"/>
  <c r="E26" i="7" s="1"/>
  <c r="Q26" i="7" s="1"/>
  <c r="D33" i="7"/>
  <c r="E33" i="7" s="1"/>
  <c r="D45" i="7"/>
  <c r="F45" i="7" s="1"/>
  <c r="D13" i="7"/>
  <c r="F13" i="7" s="1"/>
  <c r="R13" i="7" s="1"/>
  <c r="D18" i="7"/>
  <c r="E18" i="7" s="1"/>
  <c r="D147" i="7"/>
  <c r="F147" i="7" s="1"/>
  <c r="K147" i="7" s="1"/>
  <c r="D32" i="7"/>
  <c r="E32" i="7" s="1"/>
  <c r="Q32" i="7" s="1"/>
  <c r="D51" i="7"/>
  <c r="E51" i="7" s="1"/>
  <c r="Q51" i="7" s="1"/>
  <c r="D187" i="7"/>
  <c r="F187" i="7" s="1"/>
  <c r="K187" i="7" s="1"/>
  <c r="P26" i="6"/>
  <c r="D30" i="7"/>
  <c r="F30" i="7" s="1"/>
  <c r="D41" i="7"/>
  <c r="E41" i="7" s="1"/>
  <c r="Q41" i="7" s="1"/>
  <c r="D171" i="7"/>
  <c r="F171" i="7" s="1"/>
  <c r="D16" i="7"/>
  <c r="F16" i="7" s="1"/>
  <c r="D25" i="7"/>
  <c r="F25" i="7" s="1"/>
  <c r="R25" i="7" s="1"/>
  <c r="D48" i="7"/>
  <c r="F48" i="7" s="1"/>
  <c r="K48" i="7" s="1"/>
  <c r="M82" i="3"/>
  <c r="B87" i="3"/>
  <c r="P162" i="4" s="1"/>
  <c r="B228" i="3"/>
  <c r="O82" i="3"/>
  <c r="M48" i="3"/>
  <c r="O202" i="7"/>
  <c r="P202" i="7"/>
  <c r="T37" i="11"/>
  <c r="N37" i="11"/>
  <c r="AF31" i="10"/>
  <c r="L78" i="7"/>
  <c r="Q4" i="7"/>
  <c r="P171" i="4"/>
  <c r="L56" i="7"/>
  <c r="G22" i="7"/>
  <c r="I84" i="7"/>
  <c r="G206" i="4"/>
  <c r="M81" i="7"/>
  <c r="M175" i="7"/>
  <c r="P83" i="4"/>
  <c r="G6" i="7"/>
  <c r="M19" i="7"/>
  <c r="P41" i="7"/>
  <c r="P87" i="7"/>
  <c r="L193" i="7"/>
  <c r="I38" i="4"/>
  <c r="G50" i="4"/>
  <c r="G69" i="4"/>
  <c r="G17" i="7"/>
  <c r="G90" i="7"/>
  <c r="P95" i="7"/>
  <c r="P16" i="4"/>
  <c r="G49" i="4"/>
  <c r="P60" i="4"/>
  <c r="P86" i="4"/>
  <c r="G130" i="4"/>
  <c r="I195" i="4"/>
  <c r="L33" i="7"/>
  <c r="P49" i="7"/>
  <c r="G25" i="4"/>
  <c r="P85" i="4"/>
  <c r="P112" i="4"/>
  <c r="P133" i="4"/>
  <c r="G23" i="7"/>
  <c r="G60" i="7"/>
  <c r="M86" i="7"/>
  <c r="M56" i="7"/>
  <c r="P47" i="4"/>
  <c r="P54" i="7"/>
  <c r="G21" i="4"/>
  <c r="P40" i="4"/>
  <c r="G143" i="4"/>
  <c r="G13" i="7"/>
  <c r="M30" i="7"/>
  <c r="G69" i="7"/>
  <c r="H85" i="7"/>
  <c r="P22" i="4"/>
  <c r="G26" i="4"/>
  <c r="G28" i="4"/>
  <c r="P35" i="4"/>
  <c r="G40" i="4"/>
  <c r="P45" i="4"/>
  <c r="I48" i="4"/>
  <c r="G56" i="4"/>
  <c r="G57" i="4"/>
  <c r="G64" i="4"/>
  <c r="G65" i="4"/>
  <c r="I67" i="4"/>
  <c r="P74" i="4"/>
  <c r="P76" i="4"/>
  <c r="P78" i="4"/>
  <c r="G81" i="4"/>
  <c r="G82" i="4"/>
  <c r="G83" i="4"/>
  <c r="I87" i="4"/>
  <c r="I104" i="4"/>
  <c r="I106" i="4"/>
  <c r="P115" i="4"/>
  <c r="G124" i="4"/>
  <c r="G128" i="4"/>
  <c r="G133" i="4"/>
  <c r="G182" i="4"/>
  <c r="G12" i="7"/>
  <c r="P16" i="7"/>
  <c r="S19" i="7"/>
  <c r="G27" i="7"/>
  <c r="G29" i="7"/>
  <c r="G38" i="7"/>
  <c r="G45" i="7"/>
  <c r="G56" i="7"/>
  <c r="H57" i="7"/>
  <c r="P59" i="7"/>
  <c r="P61" i="7"/>
  <c r="H67" i="7"/>
  <c r="G78" i="7"/>
  <c r="P81" i="7"/>
  <c r="G86" i="7"/>
  <c r="H87" i="7"/>
  <c r="G92" i="7"/>
  <c r="P97" i="7"/>
  <c r="G102" i="7"/>
  <c r="G104" i="7"/>
  <c r="G106" i="7"/>
  <c r="H113" i="7"/>
  <c r="G114" i="7"/>
  <c r="G115" i="7"/>
  <c r="G127" i="7"/>
  <c r="G128" i="7"/>
  <c r="H132" i="7"/>
  <c r="I133" i="7"/>
  <c r="L133" i="7" s="1"/>
  <c r="P140" i="7"/>
  <c r="P170" i="7"/>
  <c r="I184" i="7"/>
  <c r="G188" i="7"/>
  <c r="G190" i="7"/>
  <c r="H196" i="7"/>
  <c r="P201" i="7"/>
  <c r="G206" i="7"/>
  <c r="G10" i="4"/>
  <c r="I40" i="4"/>
  <c r="G41" i="4"/>
  <c r="G44" i="4"/>
  <c r="P48" i="4"/>
  <c r="P49" i="4"/>
  <c r="I57" i="4"/>
  <c r="G61" i="4"/>
  <c r="P67" i="4"/>
  <c r="G73" i="4"/>
  <c r="I83" i="4"/>
  <c r="G84" i="4"/>
  <c r="P106" i="4"/>
  <c r="G113" i="4"/>
  <c r="G125" i="4"/>
  <c r="I128" i="4"/>
  <c r="I133" i="4"/>
  <c r="G134" i="4"/>
  <c r="G137" i="4"/>
  <c r="P154" i="4"/>
  <c r="G172" i="4"/>
  <c r="G180" i="4"/>
  <c r="G204" i="4"/>
  <c r="H12" i="7"/>
  <c r="G14" i="7"/>
  <c r="L20" i="7"/>
  <c r="G30" i="7"/>
  <c r="G32" i="7"/>
  <c r="G33" i="7"/>
  <c r="G35" i="7"/>
  <c r="H38" i="7"/>
  <c r="G46" i="7"/>
  <c r="I57" i="7"/>
  <c r="P58" i="7"/>
  <c r="P60" i="7"/>
  <c r="G63" i="7"/>
  <c r="G65" i="7"/>
  <c r="I67" i="7"/>
  <c r="G73" i="7"/>
  <c r="G76" i="7"/>
  <c r="P80" i="7"/>
  <c r="G83" i="7"/>
  <c r="I87" i="7"/>
  <c r="G91" i="7"/>
  <c r="H104" i="7"/>
  <c r="H106" i="7"/>
  <c r="I113" i="7"/>
  <c r="H117" i="7"/>
  <c r="H128" i="7"/>
  <c r="G131" i="7"/>
  <c r="I132" i="7"/>
  <c r="G180" i="7"/>
  <c r="G182" i="7"/>
  <c r="P184" i="7"/>
  <c r="H188" i="7"/>
  <c r="H189" i="7"/>
  <c r="H190" i="7"/>
  <c r="I196" i="7"/>
  <c r="G9" i="4"/>
  <c r="P46" i="4"/>
  <c r="P51" i="4"/>
  <c r="P57" i="4"/>
  <c r="P58" i="4"/>
  <c r="P59" i="4"/>
  <c r="I61" i="4"/>
  <c r="G66" i="4"/>
  <c r="I84" i="4"/>
  <c r="G85" i="4"/>
  <c r="P89" i="4"/>
  <c r="G91" i="4"/>
  <c r="G92" i="4"/>
  <c r="G95" i="4"/>
  <c r="G96" i="4"/>
  <c r="G97" i="4"/>
  <c r="I113" i="4"/>
  <c r="P128" i="4"/>
  <c r="G131" i="4"/>
  <c r="I132" i="4"/>
  <c r="G146" i="4"/>
  <c r="P175" i="4"/>
  <c r="I196" i="4"/>
  <c r="P4" i="7"/>
  <c r="O5" i="7"/>
  <c r="G10" i="7"/>
  <c r="L11" i="7"/>
  <c r="G15" i="7"/>
  <c r="P22" i="7"/>
  <c r="I38" i="7"/>
  <c r="P40" i="7"/>
  <c r="L41" i="7"/>
  <c r="G47" i="7"/>
  <c r="G48" i="7"/>
  <c r="P57" i="7"/>
  <c r="G62" i="7"/>
  <c r="M63" i="7"/>
  <c r="G64" i="7"/>
  <c r="G66" i="7"/>
  <c r="P67" i="7"/>
  <c r="G74" i="7"/>
  <c r="G82" i="7"/>
  <c r="H83" i="7"/>
  <c r="G84" i="7"/>
  <c r="P89" i="7"/>
  <c r="G98" i="7"/>
  <c r="I104" i="7"/>
  <c r="I106" i="7"/>
  <c r="M111" i="7"/>
  <c r="I117" i="7"/>
  <c r="G125" i="7"/>
  <c r="L126" i="7"/>
  <c r="I128" i="7"/>
  <c r="P132" i="7"/>
  <c r="S147" i="7"/>
  <c r="M156" i="7"/>
  <c r="L166" i="7"/>
  <c r="I189" i="7"/>
  <c r="O191" i="7"/>
  <c r="H195" i="7"/>
  <c r="P196" i="7"/>
  <c r="H210" i="7"/>
  <c r="H213" i="7"/>
  <c r="G20" i="4"/>
  <c r="G22" i="4"/>
  <c r="G32" i="4"/>
  <c r="G35" i="4"/>
  <c r="G38" i="4"/>
  <c r="G45" i="4"/>
  <c r="P54" i="4"/>
  <c r="P61" i="4"/>
  <c r="P62" i="4"/>
  <c r="P63" i="4"/>
  <c r="I66" i="4"/>
  <c r="G74" i="4"/>
  <c r="G76" i="4"/>
  <c r="G78" i="4"/>
  <c r="I85" i="4"/>
  <c r="P87" i="4"/>
  <c r="P88" i="4"/>
  <c r="P97" i="4"/>
  <c r="P98" i="4"/>
  <c r="P111" i="4"/>
  <c r="P140" i="4"/>
  <c r="G144" i="4"/>
  <c r="G147" i="4"/>
  <c r="P177" i="4"/>
  <c r="G186" i="4"/>
  <c r="G191" i="4"/>
  <c r="G207" i="4"/>
  <c r="G16" i="7"/>
  <c r="G18" i="7"/>
  <c r="G19" i="7"/>
  <c r="M21" i="7"/>
  <c r="P38" i="7"/>
  <c r="P44" i="7"/>
  <c r="H48" i="7"/>
  <c r="G59" i="7"/>
  <c r="H66" i="7"/>
  <c r="G81" i="7"/>
  <c r="I83" i="7"/>
  <c r="H84" i="7"/>
  <c r="G85" i="7"/>
  <c r="P88" i="7"/>
  <c r="P96" i="7"/>
  <c r="P106" i="7"/>
  <c r="P117" i="7"/>
  <c r="O128" i="7"/>
  <c r="P133" i="7"/>
  <c r="G140" i="7"/>
  <c r="I195" i="7"/>
  <c r="I48" i="7"/>
  <c r="P113" i="7"/>
  <c r="O126" i="7"/>
  <c r="G130" i="7"/>
  <c r="P134" i="7"/>
  <c r="P154" i="7"/>
  <c r="P195" i="7"/>
  <c r="G204" i="7"/>
  <c r="G58" i="7"/>
  <c r="G6" i="4"/>
  <c r="G8" i="4"/>
  <c r="G11" i="4"/>
  <c r="G46" i="4"/>
  <c r="G51" i="4"/>
  <c r="G52" i="4"/>
  <c r="P56" i="4"/>
  <c r="P64" i="4"/>
  <c r="P65" i="4"/>
  <c r="I69" i="4"/>
  <c r="P82" i="4"/>
  <c r="P84" i="4"/>
  <c r="G90" i="4"/>
  <c r="P113" i="4"/>
  <c r="G129" i="4"/>
  <c r="I184" i="4"/>
  <c r="G211" i="4"/>
  <c r="G4" i="7"/>
  <c r="G5" i="7"/>
  <c r="G40" i="7"/>
  <c r="P48" i="7"/>
  <c r="P51" i="7"/>
  <c r="G61" i="7"/>
  <c r="L64" i="7"/>
  <c r="P66" i="7"/>
  <c r="H69" i="7"/>
  <c r="I85" i="7"/>
  <c r="P86" i="7"/>
  <c r="G89" i="7"/>
  <c r="H90" i="7"/>
  <c r="P92" i="7"/>
  <c r="G97" i="7"/>
  <c r="H150" i="7"/>
  <c r="G172" i="7"/>
  <c r="I66" i="7"/>
  <c r="G14" i="4"/>
  <c r="P41" i="4"/>
  <c r="P44" i="4"/>
  <c r="G54" i="4"/>
  <c r="G62" i="4"/>
  <c r="G63" i="4"/>
  <c r="P69" i="4"/>
  <c r="P73" i="4"/>
  <c r="G88" i="4"/>
  <c r="G89" i="4"/>
  <c r="I90" i="4"/>
  <c r="G98" i="4"/>
  <c r="G107" i="4"/>
  <c r="I117" i="4"/>
  <c r="G126" i="4"/>
  <c r="P134" i="4"/>
  <c r="P184" i="4"/>
  <c r="G192" i="4"/>
  <c r="O83" i="7"/>
  <c r="S83" i="7" s="1"/>
  <c r="H40" i="7"/>
  <c r="L40" i="7" s="1"/>
  <c r="H61" i="7"/>
  <c r="I69" i="7"/>
  <c r="H89" i="7"/>
  <c r="M89" i="7" s="1"/>
  <c r="I90" i="7"/>
  <c r="P91" i="7"/>
  <c r="G96" i="7"/>
  <c r="H97" i="7"/>
  <c r="P131" i="7"/>
  <c r="G133" i="7"/>
  <c r="G137" i="7"/>
  <c r="G147" i="7"/>
  <c r="L170" i="7"/>
  <c r="G192" i="7"/>
  <c r="H197" i="7"/>
  <c r="G7" i="4"/>
  <c r="G47" i="4"/>
  <c r="G67" i="4"/>
  <c r="G87" i="4"/>
  <c r="I89" i="4"/>
  <c r="P90" i="4"/>
  <c r="P95" i="4"/>
  <c r="P130" i="4"/>
  <c r="P193" i="4"/>
  <c r="P194" i="7"/>
  <c r="M16" i="7"/>
  <c r="M18" i="7"/>
  <c r="I97" i="7"/>
  <c r="K81" i="3"/>
  <c r="P82" i="3"/>
  <c r="T82" i="3" s="1"/>
  <c r="O12" i="4"/>
  <c r="L81" i="3"/>
  <c r="L82" i="3"/>
  <c r="J82" i="3"/>
  <c r="O81" i="3"/>
  <c r="T81" i="3" s="1"/>
  <c r="N82" i="3"/>
  <c r="Q81" i="3"/>
  <c r="R81" i="3"/>
  <c r="U81" i="3" s="1"/>
  <c r="O97" i="3"/>
  <c r="O99" i="3" s="1"/>
  <c r="D56" i="4"/>
  <c r="E56" i="4" s="1"/>
  <c r="Q56" i="4" s="1"/>
  <c r="K44" i="3"/>
  <c r="D83" i="4"/>
  <c r="E83" i="4" s="1"/>
  <c r="M207" i="4"/>
  <c r="S116" i="4"/>
  <c r="W41" i="4"/>
  <c r="W193" i="4"/>
  <c r="D193" i="5" s="1"/>
  <c r="W81" i="4"/>
  <c r="W119" i="4"/>
  <c r="W48" i="4"/>
  <c r="D48" i="5" s="1"/>
  <c r="W156" i="4"/>
  <c r="W51" i="4"/>
  <c r="D51" i="5" s="1"/>
  <c r="W22" i="4"/>
  <c r="D22" i="5" s="1"/>
  <c r="W54" i="4"/>
  <c r="W56" i="4"/>
  <c r="L134" i="4"/>
  <c r="W167" i="4"/>
  <c r="W69" i="4"/>
  <c r="W185" i="4"/>
  <c r="M60" i="4"/>
  <c r="W76" i="4"/>
  <c r="W86" i="4"/>
  <c r="D86" i="5" s="1"/>
  <c r="W101" i="4"/>
  <c r="W131" i="4"/>
  <c r="W133" i="4"/>
  <c r="D133" i="5" s="1"/>
  <c r="S198" i="4"/>
  <c r="W107" i="4"/>
  <c r="M175" i="4"/>
  <c r="W175" i="4"/>
  <c r="W12" i="4"/>
  <c r="W26" i="4"/>
  <c r="W118" i="4"/>
  <c r="W188" i="4"/>
  <c r="W189" i="4"/>
  <c r="T185" i="4"/>
  <c r="W21" i="4"/>
  <c r="W80" i="4"/>
  <c r="D80" i="5" s="1"/>
  <c r="W140" i="4"/>
  <c r="L119" i="7"/>
  <c r="L16" i="7"/>
  <c r="L60" i="7"/>
  <c r="L58" i="4"/>
  <c r="M129" i="4"/>
  <c r="T150" i="4"/>
  <c r="M9" i="4"/>
  <c r="M127" i="7"/>
  <c r="M143" i="7"/>
  <c r="M167" i="7"/>
  <c r="M171" i="7"/>
  <c r="M7" i="7"/>
  <c r="L171" i="7"/>
  <c r="L116" i="7"/>
  <c r="L175" i="7"/>
  <c r="L22" i="7"/>
  <c r="M50" i="7"/>
  <c r="M126" i="7"/>
  <c r="M17" i="7"/>
  <c r="T104" i="7"/>
  <c r="M177" i="7"/>
  <c r="M14" i="7"/>
  <c r="M29" i="7"/>
  <c r="M54" i="7"/>
  <c r="M96" i="7"/>
  <c r="M32" i="7"/>
  <c r="M9" i="7"/>
  <c r="M46" i="7"/>
  <c r="M78" i="7"/>
  <c r="M134" i="7"/>
  <c r="L50" i="7"/>
  <c r="L30" i="7"/>
  <c r="L26" i="7"/>
  <c r="L111" i="7"/>
  <c r="S198" i="7"/>
  <c r="L201" i="7"/>
  <c r="L47" i="7"/>
  <c r="L65" i="7"/>
  <c r="L92" i="7"/>
  <c r="L156" i="7"/>
  <c r="S185" i="4"/>
  <c r="L27" i="4"/>
  <c r="T116" i="4"/>
  <c r="M11" i="4"/>
  <c r="M101" i="4"/>
  <c r="S104" i="4"/>
  <c r="L50" i="4"/>
  <c r="S118" i="4"/>
  <c r="V7" i="4"/>
  <c r="W7" i="4" s="1"/>
  <c r="V16" i="4"/>
  <c r="W16" i="4" s="1"/>
  <c r="D16" i="5" s="1"/>
  <c r="M46" i="3"/>
  <c r="W11" i="4"/>
  <c r="O23" i="4"/>
  <c r="M49" i="4"/>
  <c r="D50" i="4"/>
  <c r="D52" i="4"/>
  <c r="W57" i="4"/>
  <c r="M78" i="4"/>
  <c r="T104" i="4"/>
  <c r="O114" i="4"/>
  <c r="T118" i="4"/>
  <c r="W127" i="4"/>
  <c r="S150" i="4"/>
  <c r="D193" i="4"/>
  <c r="F193" i="4" s="1"/>
  <c r="W210" i="4"/>
  <c r="D198" i="5"/>
  <c r="D12" i="4"/>
  <c r="F12" i="4" s="1"/>
  <c r="R12" i="4" s="1"/>
  <c r="M22" i="4"/>
  <c r="D23" i="4"/>
  <c r="F23" i="4" s="1"/>
  <c r="W30" i="4"/>
  <c r="W67" i="4"/>
  <c r="D67" i="5" s="1"/>
  <c r="O87" i="4"/>
  <c r="W90" i="4"/>
  <c r="D114" i="4"/>
  <c r="F114" i="4" s="1"/>
  <c r="W116" i="4"/>
  <c r="D116" i="5" s="1"/>
  <c r="W171" i="4"/>
  <c r="W208" i="4"/>
  <c r="D208" i="5" s="1"/>
  <c r="W211" i="4"/>
  <c r="D202" i="5"/>
  <c r="J81" i="3"/>
  <c r="D27" i="4"/>
  <c r="O47" i="4"/>
  <c r="M50" i="4"/>
  <c r="W50" i="4"/>
  <c r="M52" i="4"/>
  <c r="W52" i="4"/>
  <c r="M56" i="4"/>
  <c r="D57" i="4"/>
  <c r="E57" i="4" s="1"/>
  <c r="J57" i="4" s="1"/>
  <c r="W62" i="4"/>
  <c r="W74" i="4"/>
  <c r="W83" i="4"/>
  <c r="W85" i="4"/>
  <c r="D85" i="5" s="1"/>
  <c r="W92" i="4"/>
  <c r="W102" i="4"/>
  <c r="W137" i="4"/>
  <c r="W142" i="4"/>
  <c r="W143" i="4"/>
  <c r="W144" i="4"/>
  <c r="W154" i="4"/>
  <c r="L170" i="4"/>
  <c r="O16" i="4"/>
  <c r="M23" i="4"/>
  <c r="W23" i="4"/>
  <c r="D31" i="4"/>
  <c r="F31" i="4" s="1"/>
  <c r="R31" i="4" s="1"/>
  <c r="T31" i="4" s="1"/>
  <c r="W32" i="4"/>
  <c r="O78" i="4"/>
  <c r="W95" i="4"/>
  <c r="W114" i="4"/>
  <c r="W190" i="4"/>
  <c r="W204" i="4"/>
  <c r="W206" i="4"/>
  <c r="D206" i="5" s="1"/>
  <c r="N81" i="3"/>
  <c r="P97" i="3"/>
  <c r="P99" i="3" s="1"/>
  <c r="O115" i="3"/>
  <c r="D20" i="4"/>
  <c r="F20" i="4" s="1"/>
  <c r="D32" i="4"/>
  <c r="F32" i="4" s="1"/>
  <c r="R32" i="4" s="1"/>
  <c r="D47" i="4"/>
  <c r="F47" i="4" s="1"/>
  <c r="R47" i="4" s="1"/>
  <c r="D51" i="4"/>
  <c r="D54" i="4"/>
  <c r="F54" i="4" s="1"/>
  <c r="M74" i="4"/>
  <c r="D84" i="4"/>
  <c r="E84" i="4" s="1"/>
  <c r="W87" i="4"/>
  <c r="W146" i="4"/>
  <c r="W157" i="4"/>
  <c r="D157" i="5" s="1"/>
  <c r="L175" i="4"/>
  <c r="M5" i="4"/>
  <c r="D7" i="4"/>
  <c r="E7" i="4" s="1"/>
  <c r="Q7" i="4" s="1"/>
  <c r="D11" i="4"/>
  <c r="D16" i="4"/>
  <c r="E16" i="4" s="1"/>
  <c r="S19" i="4"/>
  <c r="D25" i="4"/>
  <c r="F25" i="4" s="1"/>
  <c r="R25" i="4" s="1"/>
  <c r="M27" i="4"/>
  <c r="W33" i="4"/>
  <c r="W47" i="4"/>
  <c r="D49" i="4"/>
  <c r="E49" i="4" s="1"/>
  <c r="Q49" i="4" s="1"/>
  <c r="W49" i="4"/>
  <c r="D78" i="4"/>
  <c r="F78" i="4" s="1"/>
  <c r="R78" i="4" s="1"/>
  <c r="M86" i="4"/>
  <c r="M95" i="4"/>
  <c r="W128" i="4"/>
  <c r="D128" i="5" s="1"/>
  <c r="M146" i="4"/>
  <c r="L157" i="4"/>
  <c r="W196" i="4"/>
  <c r="D191" i="5"/>
  <c r="P15" i="4"/>
  <c r="D13" i="4"/>
  <c r="F13" i="4" s="1"/>
  <c r="R13" i="4" s="1"/>
  <c r="T19" i="4"/>
  <c r="D22" i="4"/>
  <c r="D28" i="4"/>
  <c r="E28" i="4" s="1"/>
  <c r="W78" i="4"/>
  <c r="W82" i="4"/>
  <c r="D82" i="5" s="1"/>
  <c r="D119" i="4"/>
  <c r="F119" i="4" s="1"/>
  <c r="M134" i="4"/>
  <c r="D197" i="5"/>
  <c r="K82" i="3"/>
  <c r="D20" i="5"/>
  <c r="W20" i="4"/>
  <c r="W66" i="4"/>
  <c r="D66" i="5" s="1"/>
  <c r="P6" i="4"/>
  <c r="P23" i="4"/>
  <c r="M26" i="4"/>
  <c r="W28" i="4"/>
  <c r="O32" i="4"/>
  <c r="O81" i="4"/>
  <c r="O102" i="4"/>
  <c r="D182" i="5"/>
  <c r="W182" i="4"/>
  <c r="D46" i="5"/>
  <c r="W46" i="4"/>
  <c r="D91" i="5"/>
  <c r="W91" i="4"/>
  <c r="K46" i="3"/>
  <c r="K48" i="3"/>
  <c r="O48" i="3" s="1"/>
  <c r="P48" i="3" s="1"/>
  <c r="K47" i="3"/>
  <c r="V152" i="4"/>
  <c r="V6" i="4"/>
  <c r="W6" i="4" s="1"/>
  <c r="V17" i="4"/>
  <c r="V14" i="4"/>
  <c r="V10" i="4"/>
  <c r="O7" i="4"/>
  <c r="P27" i="4"/>
  <c r="M35" i="4"/>
  <c r="L35" i="4"/>
  <c r="O54" i="4"/>
  <c r="M64" i="4"/>
  <c r="D96" i="5"/>
  <c r="W96" i="4"/>
  <c r="W115" i="4"/>
  <c r="D115" i="5" s="1"/>
  <c r="D124" i="5"/>
  <c r="W124" i="4"/>
  <c r="W73" i="4"/>
  <c r="O85" i="4"/>
  <c r="P114" i="4"/>
  <c r="P119" i="4"/>
  <c r="H206" i="4"/>
  <c r="H196" i="4"/>
  <c r="H190" i="4"/>
  <c r="H185" i="4"/>
  <c r="H195" i="4"/>
  <c r="H184" i="4"/>
  <c r="H210" i="4"/>
  <c r="H189" i="4"/>
  <c r="H182" i="4"/>
  <c r="H204" i="4"/>
  <c r="H188" i="4"/>
  <c r="H168" i="4"/>
  <c r="H213" i="4"/>
  <c r="H209" i="4"/>
  <c r="H200" i="4"/>
  <c r="H180" i="4"/>
  <c r="H208" i="4"/>
  <c r="H199" i="4"/>
  <c r="H187" i="4"/>
  <c r="H150" i="4"/>
  <c r="H202" i="4"/>
  <c r="H147" i="4"/>
  <c r="H133" i="4"/>
  <c r="H128" i="4"/>
  <c r="H198" i="4"/>
  <c r="H192" i="4"/>
  <c r="H137" i="4"/>
  <c r="H197" i="4"/>
  <c r="H152" i="4"/>
  <c r="H48" i="4"/>
  <c r="H38" i="4"/>
  <c r="H118" i="4"/>
  <c r="H104" i="4"/>
  <c r="H84" i="4"/>
  <c r="H113" i="4"/>
  <c r="H106" i="4"/>
  <c r="H66" i="4"/>
  <c r="H172" i="4"/>
  <c r="H90" i="4"/>
  <c r="H61" i="4"/>
  <c r="H132" i="4"/>
  <c r="H85" i="4"/>
  <c r="H67" i="4"/>
  <c r="H125" i="4"/>
  <c r="H87" i="4"/>
  <c r="H69" i="4"/>
  <c r="H57" i="4"/>
  <c r="H6" i="4"/>
  <c r="H117" i="4"/>
  <c r="H89" i="4"/>
  <c r="H83" i="4"/>
  <c r="H40" i="4"/>
  <c r="R82" i="3"/>
  <c r="K45" i="3"/>
  <c r="O28" i="4"/>
  <c r="D60" i="5"/>
  <c r="W60" i="4"/>
  <c r="O67" i="4"/>
  <c r="D59" i="5"/>
  <c r="W59" i="4"/>
  <c r="P10" i="4"/>
  <c r="M44" i="3"/>
  <c r="M81" i="3"/>
  <c r="P208" i="4"/>
  <c r="P199" i="4"/>
  <c r="P187" i="4"/>
  <c r="P212" i="4"/>
  <c r="P207" i="4"/>
  <c r="P186" i="4"/>
  <c r="P172" i="4"/>
  <c r="P201" i="4"/>
  <c r="P197" i="4"/>
  <c r="P211" i="4"/>
  <c r="P206" i="4"/>
  <c r="P190" i="4"/>
  <c r="P210" i="4"/>
  <c r="P204" i="4"/>
  <c r="P194" i="4"/>
  <c r="P182" i="4"/>
  <c r="P174" i="4"/>
  <c r="P167" i="4"/>
  <c r="P144" i="4"/>
  <c r="P180" i="4"/>
  <c r="P157" i="4"/>
  <c r="P153" i="4"/>
  <c r="P126" i="4"/>
  <c r="P213" i="4"/>
  <c r="P191" i="4"/>
  <c r="P156" i="4"/>
  <c r="P152" i="4"/>
  <c r="P143" i="4"/>
  <c r="P192" i="4"/>
  <c r="P155" i="4"/>
  <c r="P209" i="4"/>
  <c r="P142" i="4"/>
  <c r="P101" i="4"/>
  <c r="P125" i="4"/>
  <c r="P102" i="4"/>
  <c r="P168" i="4"/>
  <c r="P127" i="4"/>
  <c r="P30" i="4"/>
  <c r="P11" i="4"/>
  <c r="P18" i="4"/>
  <c r="P9" i="4"/>
  <c r="P5" i="4"/>
  <c r="P124" i="4"/>
  <c r="P14" i="4"/>
  <c r="P26" i="4"/>
  <c r="P21" i="4"/>
  <c r="P4" i="4"/>
  <c r="P129" i="4"/>
  <c r="P107" i="4"/>
  <c r="P33" i="4"/>
  <c r="P29" i="4"/>
  <c r="P17" i="4"/>
  <c r="P13" i="4"/>
  <c r="P8" i="4"/>
  <c r="P7" i="4"/>
  <c r="P166" i="4"/>
  <c r="P137" i="4"/>
  <c r="P25" i="4"/>
  <c r="P20" i="4"/>
  <c r="P32" i="4"/>
  <c r="P28" i="4"/>
  <c r="P146" i="4"/>
  <c r="Q82" i="3"/>
  <c r="V25" i="4"/>
  <c r="M47" i="3"/>
  <c r="M45" i="3"/>
  <c r="O213" i="4"/>
  <c r="O209" i="4"/>
  <c r="O192" i="4"/>
  <c r="O191" i="4"/>
  <c r="O180" i="4"/>
  <c r="O208" i="4"/>
  <c r="O199" i="4"/>
  <c r="O187" i="4"/>
  <c r="O174" i="4"/>
  <c r="O166" i="4"/>
  <c r="O212" i="4"/>
  <c r="O207" i="4"/>
  <c r="O186" i="4"/>
  <c r="O172" i="4"/>
  <c r="O201" i="4"/>
  <c r="O197" i="4"/>
  <c r="O211" i="4"/>
  <c r="O206" i="4"/>
  <c r="O196" i="4"/>
  <c r="O190" i="4"/>
  <c r="O171" i="4"/>
  <c r="O195" i="4"/>
  <c r="O184" i="4"/>
  <c r="O177" i="4"/>
  <c r="O170" i="4"/>
  <c r="O204" i="4"/>
  <c r="O137" i="4"/>
  <c r="O193" i="4"/>
  <c r="O182" i="4"/>
  <c r="O167" i="4"/>
  <c r="O144" i="4"/>
  <c r="O157" i="4"/>
  <c r="O154" i="4"/>
  <c r="O153" i="4"/>
  <c r="O134" i="4"/>
  <c r="O130" i="4"/>
  <c r="O126" i="4"/>
  <c r="O117" i="4"/>
  <c r="O113" i="4"/>
  <c r="O106" i="4"/>
  <c r="O98" i="4"/>
  <c r="O210" i="4"/>
  <c r="O175" i="4"/>
  <c r="O156" i="4"/>
  <c r="O152" i="4"/>
  <c r="O143" i="4"/>
  <c r="O155" i="4"/>
  <c r="O129" i="4"/>
  <c r="O125" i="4"/>
  <c r="O97" i="4"/>
  <c r="O96" i="4"/>
  <c r="O168" i="4"/>
  <c r="O146" i="4"/>
  <c r="O128" i="4"/>
  <c r="O124" i="4"/>
  <c r="O107" i="4"/>
  <c r="O91" i="4"/>
  <c r="O65" i="4"/>
  <c r="O61" i="4"/>
  <c r="O58" i="4"/>
  <c r="O46" i="4"/>
  <c r="O40" i="4"/>
  <c r="O131" i="4"/>
  <c r="O92" i="4"/>
  <c r="O90" i="4"/>
  <c r="O86" i="4"/>
  <c r="O82" i="4"/>
  <c r="O76" i="4"/>
  <c r="O111" i="4"/>
  <c r="O101" i="4"/>
  <c r="O89" i="4"/>
  <c r="O64" i="4"/>
  <c r="O60" i="4"/>
  <c r="O45" i="4"/>
  <c r="O194" i="4"/>
  <c r="O132" i="4"/>
  <c r="O112" i="4"/>
  <c r="O88" i="4"/>
  <c r="O63" i="4"/>
  <c r="O44" i="4"/>
  <c r="O119" i="4"/>
  <c r="O51" i="4"/>
  <c r="O27" i="4"/>
  <c r="O15" i="4"/>
  <c r="O10" i="4"/>
  <c r="O6" i="4"/>
  <c r="O69" i="4"/>
  <c r="O57" i="4"/>
  <c r="O30" i="4"/>
  <c r="O22" i="4"/>
  <c r="O11" i="4"/>
  <c r="O142" i="4"/>
  <c r="O127" i="4"/>
  <c r="O115" i="4"/>
  <c r="O83" i="4"/>
  <c r="O35" i="4"/>
  <c r="O140" i="4"/>
  <c r="O95" i="4"/>
  <c r="O66" i="4"/>
  <c r="O49" i="4"/>
  <c r="O48" i="4"/>
  <c r="O18" i="4"/>
  <c r="O14" i="4"/>
  <c r="O9" i="4"/>
  <c r="O5" i="4"/>
  <c r="O133" i="4"/>
  <c r="O84" i="4"/>
  <c r="O80" i="4"/>
  <c r="O73" i="4"/>
  <c r="O62" i="4"/>
  <c r="O59" i="4"/>
  <c r="O41" i="4"/>
  <c r="O26" i="4"/>
  <c r="O21" i="4"/>
  <c r="O33" i="4"/>
  <c r="O29" i="4"/>
  <c r="O17" i="4"/>
  <c r="O13" i="4"/>
  <c r="O8" i="4"/>
  <c r="O4" i="4"/>
  <c r="O20" i="4"/>
  <c r="O74" i="4"/>
  <c r="O25" i="4"/>
  <c r="P12" i="4"/>
  <c r="M30" i="4"/>
  <c r="L30" i="4"/>
  <c r="O56" i="4"/>
  <c r="D64" i="5"/>
  <c r="W64" i="4"/>
  <c r="D84" i="5"/>
  <c r="W84" i="4"/>
  <c r="W89" i="4"/>
  <c r="D89" i="5" s="1"/>
  <c r="D4" i="4"/>
  <c r="W4" i="4"/>
  <c r="D8" i="4"/>
  <c r="W8" i="4"/>
  <c r="W13" i="4"/>
  <c r="D13" i="5" s="1"/>
  <c r="M15" i="4"/>
  <c r="D17" i="4"/>
  <c r="M19" i="4"/>
  <c r="D29" i="4"/>
  <c r="W29" i="4"/>
  <c r="D33" i="4"/>
  <c r="W35" i="4"/>
  <c r="W40" i="4"/>
  <c r="D40" i="5" s="1"/>
  <c r="D45" i="5"/>
  <c r="W45" i="4"/>
  <c r="D58" i="5"/>
  <c r="W58" i="4"/>
  <c r="D104" i="5"/>
  <c r="W104" i="4"/>
  <c r="M111" i="4"/>
  <c r="D111" i="5"/>
  <c r="W111" i="4"/>
  <c r="D134" i="4"/>
  <c r="D21" i="4"/>
  <c r="D26" i="4"/>
  <c r="D67" i="4"/>
  <c r="D74" i="4"/>
  <c r="D85" i="4"/>
  <c r="D97" i="4"/>
  <c r="M116" i="4"/>
  <c r="L116" i="4"/>
  <c r="T147" i="4"/>
  <c r="S147" i="4"/>
  <c r="D5" i="4"/>
  <c r="W5" i="4"/>
  <c r="D5" i="5" s="1"/>
  <c r="M7" i="4"/>
  <c r="D9" i="4"/>
  <c r="W9" i="4"/>
  <c r="D9" i="5" s="1"/>
  <c r="D14" i="4"/>
  <c r="M16" i="4"/>
  <c r="D18" i="4"/>
  <c r="W18" i="4"/>
  <c r="M28" i="4"/>
  <c r="D30" i="4"/>
  <c r="M32" i="4"/>
  <c r="D35" i="4"/>
  <c r="D41" i="4"/>
  <c r="D59" i="4"/>
  <c r="D62" i="4"/>
  <c r="D63" i="5"/>
  <c r="W63" i="4"/>
  <c r="D73" i="4"/>
  <c r="L81" i="4"/>
  <c r="W112" i="4"/>
  <c r="D128" i="4"/>
  <c r="W129" i="4"/>
  <c r="D129" i="5" s="1"/>
  <c r="W132" i="4"/>
  <c r="D132" i="5" s="1"/>
  <c r="D38" i="5"/>
  <c r="D44" i="5"/>
  <c r="W44" i="4"/>
  <c r="L60" i="4"/>
  <c r="W117" i="4"/>
  <c r="D117" i="5"/>
  <c r="D213" i="4"/>
  <c r="D208" i="4"/>
  <c r="D199" i="4"/>
  <c r="D187" i="4"/>
  <c r="D180" i="4"/>
  <c r="D198" i="4"/>
  <c r="D212" i="4"/>
  <c r="D207" i="4"/>
  <c r="D202" i="4"/>
  <c r="D197" i="4"/>
  <c r="D192" i="4"/>
  <c r="D191" i="4"/>
  <c r="D186" i="4"/>
  <c r="D172" i="4"/>
  <c r="D201" i="4"/>
  <c r="D196" i="4"/>
  <c r="D185" i="4"/>
  <c r="D179" i="4"/>
  <c r="D171" i="4"/>
  <c r="D211" i="4"/>
  <c r="D206" i="4"/>
  <c r="D195" i="4"/>
  <c r="D190" i="4"/>
  <c r="D184" i="4"/>
  <c r="D194" i="4"/>
  <c r="D189" i="4"/>
  <c r="D170" i="4"/>
  <c r="D209" i="4"/>
  <c r="D154" i="4"/>
  <c r="F154" i="4" s="1"/>
  <c r="R154" i="4" s="1"/>
  <c r="D137" i="4"/>
  <c r="D168" i="4"/>
  <c r="D157" i="4"/>
  <c r="D153" i="4"/>
  <c r="D144" i="4"/>
  <c r="D117" i="4"/>
  <c r="D156" i="4"/>
  <c r="D152" i="4"/>
  <c r="D130" i="4"/>
  <c r="D126" i="4"/>
  <c r="D106" i="4"/>
  <c r="D98" i="4"/>
  <c r="D175" i="4"/>
  <c r="D155" i="4"/>
  <c r="D150" i="4"/>
  <c r="D143" i="4"/>
  <c r="D204" i="4"/>
  <c r="D182" i="4"/>
  <c r="D166" i="4"/>
  <c r="D142" i="4"/>
  <c r="D129" i="4"/>
  <c r="D125" i="4"/>
  <c r="D116" i="4"/>
  <c r="D113" i="4"/>
  <c r="D104" i="4"/>
  <c r="D96" i="4"/>
  <c r="D200" i="4"/>
  <c r="D210" i="4"/>
  <c r="D174" i="4"/>
  <c r="D167" i="4"/>
  <c r="D146" i="4"/>
  <c r="D147" i="4"/>
  <c r="D111" i="4"/>
  <c r="D107" i="4"/>
  <c r="D92" i="4"/>
  <c r="D91" i="4"/>
  <c r="D90" i="4"/>
  <c r="D65" i="4"/>
  <c r="D61" i="4"/>
  <c r="D46" i="4"/>
  <c r="D132" i="4"/>
  <c r="D131" i="4"/>
  <c r="D101" i="4"/>
  <c r="D95" i="4"/>
  <c r="D86" i="4"/>
  <c r="D82" i="4"/>
  <c r="D76" i="4"/>
  <c r="D69" i="4"/>
  <c r="D112" i="4"/>
  <c r="D102" i="4"/>
  <c r="D89" i="4"/>
  <c r="D64" i="4"/>
  <c r="D45" i="4"/>
  <c r="D40" i="4"/>
  <c r="D133" i="4"/>
  <c r="D118" i="4"/>
  <c r="D88" i="4"/>
  <c r="D81" i="4"/>
  <c r="D63" i="4"/>
  <c r="D60" i="4"/>
  <c r="D48" i="4"/>
  <c r="D44" i="4"/>
  <c r="D38" i="4"/>
  <c r="D6" i="4"/>
  <c r="D10" i="4"/>
  <c r="D15" i="4"/>
  <c r="W15" i="4"/>
  <c r="D19" i="4"/>
  <c r="W19" i="4"/>
  <c r="W27" i="4"/>
  <c r="M29" i="4"/>
  <c r="W31" i="4"/>
  <c r="M33" i="4"/>
  <c r="D58" i="4"/>
  <c r="D66" i="4"/>
  <c r="D80" i="4"/>
  <c r="D87" i="4"/>
  <c r="D88" i="5"/>
  <c r="W88" i="4"/>
  <c r="W98" i="4"/>
  <c r="D98" i="5" s="1"/>
  <c r="D115" i="4"/>
  <c r="D124" i="4"/>
  <c r="D127" i="4"/>
  <c r="W130" i="4"/>
  <c r="D130" i="5"/>
  <c r="D140" i="4"/>
  <c r="D150" i="5"/>
  <c r="W150" i="4"/>
  <c r="M46" i="4"/>
  <c r="M58" i="4"/>
  <c r="M98" i="4"/>
  <c r="W125" i="4"/>
  <c r="D125" i="5" s="1"/>
  <c r="M191" i="4"/>
  <c r="L191" i="4"/>
  <c r="M59" i="4"/>
  <c r="M62" i="4"/>
  <c r="W106" i="4"/>
  <c r="D106" i="5" s="1"/>
  <c r="W170" i="4"/>
  <c r="D170" i="5"/>
  <c r="M44" i="4"/>
  <c r="W61" i="4"/>
  <c r="W65" i="4"/>
  <c r="M81" i="4"/>
  <c r="M88" i="4"/>
  <c r="D97" i="5"/>
  <c r="W97" i="4"/>
  <c r="W113" i="4"/>
  <c r="D113" i="5" s="1"/>
  <c r="D126" i="5"/>
  <c r="W126" i="4"/>
  <c r="W147" i="4"/>
  <c r="D155" i="5"/>
  <c r="W155" i="4"/>
  <c r="M107" i="4"/>
  <c r="M114" i="4"/>
  <c r="D184" i="5"/>
  <c r="T198" i="4"/>
  <c r="M102" i="4"/>
  <c r="M112" i="4"/>
  <c r="W134" i="4"/>
  <c r="W153" i="4"/>
  <c r="W168" i="4"/>
  <c r="D177" i="5"/>
  <c r="W177" i="4"/>
  <c r="W194" i="4"/>
  <c r="D194" i="5" s="1"/>
  <c r="T200" i="4"/>
  <c r="S200" i="4"/>
  <c r="M142" i="4"/>
  <c r="W195" i="4"/>
  <c r="D195" i="5" s="1"/>
  <c r="M179" i="4"/>
  <c r="L179" i="4"/>
  <c r="D172" i="5"/>
  <c r="D199" i="5"/>
  <c r="D212" i="5"/>
  <c r="D186" i="5"/>
  <c r="D192" i="5"/>
  <c r="D200" i="5"/>
  <c r="D213" i="5"/>
  <c r="W201" i="4"/>
  <c r="D187" i="5"/>
  <c r="W207" i="4"/>
  <c r="D166" i="5"/>
  <c r="M177" i="4"/>
  <c r="W180" i="4"/>
  <c r="W209" i="4"/>
  <c r="D209" i="5" s="1"/>
  <c r="M211" i="4"/>
  <c r="K10" i="7"/>
  <c r="M10" i="7" s="1"/>
  <c r="R10" i="7"/>
  <c r="I202" i="7"/>
  <c r="I137" i="7"/>
  <c r="L137" i="7" s="1"/>
  <c r="I118" i="7"/>
  <c r="I185" i="7"/>
  <c r="I182" i="7"/>
  <c r="I168" i="7"/>
  <c r="I209" i="7"/>
  <c r="I197" i="7"/>
  <c r="I192" i="7"/>
  <c r="I190" i="7"/>
  <c r="I210" i="7"/>
  <c r="I208" i="7"/>
  <c r="I206" i="7"/>
  <c r="L206" i="7" s="1"/>
  <c r="I200" i="7"/>
  <c r="I188" i="7"/>
  <c r="I187" i="7"/>
  <c r="I147" i="7"/>
  <c r="I125" i="7"/>
  <c r="I204" i="7"/>
  <c r="I180" i="7"/>
  <c r="M180" i="7" s="1"/>
  <c r="I152" i="7"/>
  <c r="I172" i="7"/>
  <c r="I213" i="7"/>
  <c r="I198" i="7"/>
  <c r="I12" i="7"/>
  <c r="I199" i="7"/>
  <c r="I6" i="7"/>
  <c r="L102" i="7"/>
  <c r="M102" i="7"/>
  <c r="P5" i="7"/>
  <c r="P191" i="7"/>
  <c r="E10" i="7"/>
  <c r="P33" i="7"/>
  <c r="O41" i="7"/>
  <c r="O59" i="7"/>
  <c r="M4" i="7"/>
  <c r="D6" i="7"/>
  <c r="P6" i="7"/>
  <c r="O11" i="7"/>
  <c r="P15" i="7"/>
  <c r="P18" i="7"/>
  <c r="P20" i="7"/>
  <c r="P21" i="7"/>
  <c r="O22" i="7"/>
  <c r="P27" i="7"/>
  <c r="D29" i="7"/>
  <c r="P30" i="7"/>
  <c r="D38" i="7"/>
  <c r="D49" i="7"/>
  <c r="M51" i="7"/>
  <c r="D74" i="7"/>
  <c r="P101" i="7"/>
  <c r="D114" i="7"/>
  <c r="S116" i="7"/>
  <c r="T116" i="7"/>
  <c r="D125" i="7"/>
  <c r="F125" i="7" s="1"/>
  <c r="K125" i="7" s="1"/>
  <c r="O155" i="7"/>
  <c r="P182" i="7"/>
  <c r="D188" i="7"/>
  <c r="F188" i="7" s="1"/>
  <c r="P192" i="7"/>
  <c r="O212" i="7"/>
  <c r="F8" i="7"/>
  <c r="K8" i="7" s="1"/>
  <c r="M8" i="7" s="1"/>
  <c r="P10" i="7"/>
  <c r="L23" i="7"/>
  <c r="O38" i="7"/>
  <c r="M112" i="7"/>
  <c r="L112" i="7"/>
  <c r="O78" i="7"/>
  <c r="L4" i="7"/>
  <c r="M5" i="7"/>
  <c r="L7" i="7"/>
  <c r="D11" i="7"/>
  <c r="F11" i="7" s="1"/>
  <c r="P11" i="7"/>
  <c r="D15" i="7"/>
  <c r="E15" i="7" s="1"/>
  <c r="L17" i="7"/>
  <c r="O23" i="7"/>
  <c r="D27" i="7"/>
  <c r="F27" i="7" s="1"/>
  <c r="O29" i="7"/>
  <c r="L32" i="7"/>
  <c r="M33" i="7"/>
  <c r="D40" i="7"/>
  <c r="F40" i="7" s="1"/>
  <c r="O40" i="7"/>
  <c r="L46" i="7"/>
  <c r="D47" i="7"/>
  <c r="D59" i="7"/>
  <c r="O64" i="7"/>
  <c r="M142" i="7"/>
  <c r="L142" i="7"/>
  <c r="S150" i="7"/>
  <c r="T150" i="7"/>
  <c r="P155" i="7"/>
  <c r="O157" i="7"/>
  <c r="O194" i="7"/>
  <c r="P212" i="7"/>
  <c r="O18" i="7"/>
  <c r="O21" i="7"/>
  <c r="P26" i="7"/>
  <c r="L28" i="7"/>
  <c r="O30" i="7"/>
  <c r="O49" i="7"/>
  <c r="O101" i="7"/>
  <c r="O133" i="7"/>
  <c r="O152" i="7"/>
  <c r="O192" i="7"/>
  <c r="D212" i="7"/>
  <c r="D210" i="7"/>
  <c r="D208" i="7"/>
  <c r="D206" i="7"/>
  <c r="D200" i="7"/>
  <c r="D199" i="7"/>
  <c r="F199" i="7" s="1"/>
  <c r="K199" i="7" s="1"/>
  <c r="D195" i="7"/>
  <c r="F195" i="7" s="1"/>
  <c r="K195" i="7" s="1"/>
  <c r="D184" i="7"/>
  <c r="D174" i="7"/>
  <c r="D142" i="7"/>
  <c r="F142" i="7" s="1"/>
  <c r="R142" i="7" s="1"/>
  <c r="D127" i="7"/>
  <c r="D112" i="7"/>
  <c r="E112" i="7" s="1"/>
  <c r="D107" i="7"/>
  <c r="D88" i="7"/>
  <c r="D82" i="7"/>
  <c r="D78" i="7"/>
  <c r="D201" i="7"/>
  <c r="D189" i="7"/>
  <c r="D186" i="7"/>
  <c r="F186" i="7" s="1"/>
  <c r="D180" i="7"/>
  <c r="F180" i="7" s="1"/>
  <c r="D153" i="7"/>
  <c r="F153" i="7" s="1"/>
  <c r="R153" i="7" s="1"/>
  <c r="D119" i="7"/>
  <c r="D117" i="7"/>
  <c r="D91" i="7"/>
  <c r="F91" i="7" s="1"/>
  <c r="R91" i="7" s="1"/>
  <c r="D69" i="7"/>
  <c r="F69" i="7" s="1"/>
  <c r="D63" i="7"/>
  <c r="D213" i="7"/>
  <c r="F213" i="7" s="1"/>
  <c r="D204" i="7"/>
  <c r="D193" i="7"/>
  <c r="F193" i="7" s="1"/>
  <c r="D167" i="7"/>
  <c r="D156" i="7"/>
  <c r="E156" i="7" s="1"/>
  <c r="Q156" i="7" s="1"/>
  <c r="D152" i="7"/>
  <c r="D146" i="7"/>
  <c r="F146" i="7" s="1"/>
  <c r="D140" i="7"/>
  <c r="F140" i="7" s="1"/>
  <c r="R140" i="7" s="1"/>
  <c r="D131" i="7"/>
  <c r="D130" i="7"/>
  <c r="D118" i="7"/>
  <c r="F118" i="7" s="1"/>
  <c r="K118" i="7" s="1"/>
  <c r="D115" i="7"/>
  <c r="D102" i="7"/>
  <c r="D87" i="7"/>
  <c r="F87" i="7" s="1"/>
  <c r="R87" i="7" s="1"/>
  <c r="D84" i="7"/>
  <c r="D73" i="7"/>
  <c r="E73" i="7" s="1"/>
  <c r="D67" i="7"/>
  <c r="D60" i="7"/>
  <c r="F60" i="7" s="1"/>
  <c r="D58" i="7"/>
  <c r="D57" i="7"/>
  <c r="D198" i="7"/>
  <c r="D179" i="7"/>
  <c r="F179" i="7" s="1"/>
  <c r="D172" i="7"/>
  <c r="D170" i="7"/>
  <c r="D129" i="7"/>
  <c r="E129" i="7" s="1"/>
  <c r="Q129" i="7" s="1"/>
  <c r="D106" i="7"/>
  <c r="D96" i="7"/>
  <c r="D90" i="7"/>
  <c r="D76" i="7"/>
  <c r="D65" i="7"/>
  <c r="D211" i="7"/>
  <c r="F211" i="7" s="1"/>
  <c r="D209" i="7"/>
  <c r="F209" i="7" s="1"/>
  <c r="D207" i="7"/>
  <c r="F207" i="7" s="1"/>
  <c r="D202" i="7"/>
  <c r="D197" i="7"/>
  <c r="F197" i="7" s="1"/>
  <c r="K197" i="7" s="1"/>
  <c r="D182" i="7"/>
  <c r="F182" i="7" s="1"/>
  <c r="K182" i="7" s="1"/>
  <c r="D155" i="7"/>
  <c r="F155" i="7" s="1"/>
  <c r="R155" i="7" s="1"/>
  <c r="D144" i="7"/>
  <c r="D137" i="7"/>
  <c r="D128" i="7"/>
  <c r="E128" i="7" s="1"/>
  <c r="D124" i="7"/>
  <c r="D113" i="7"/>
  <c r="D111" i="7"/>
  <c r="D80" i="7"/>
  <c r="D56" i="7"/>
  <c r="F56" i="7" s="1"/>
  <c r="R56" i="7" s="1"/>
  <c r="D52" i="7"/>
  <c r="D191" i="7"/>
  <c r="F191" i="7" s="1"/>
  <c r="D185" i="7"/>
  <c r="D175" i="7"/>
  <c r="F175" i="7" s="1"/>
  <c r="D168" i="7"/>
  <c r="D157" i="7"/>
  <c r="D150" i="7"/>
  <c r="D133" i="7"/>
  <c r="D126" i="7"/>
  <c r="F126" i="7" s="1"/>
  <c r="D104" i="7"/>
  <c r="E104" i="7" s="1"/>
  <c r="J104" i="7" s="1"/>
  <c r="D101" i="7"/>
  <c r="D95" i="7"/>
  <c r="D89" i="7"/>
  <c r="D86" i="7"/>
  <c r="D85" i="7"/>
  <c r="D83" i="7"/>
  <c r="E83" i="7" s="1"/>
  <c r="D81" i="7"/>
  <c r="D66" i="7"/>
  <c r="D64" i="7"/>
  <c r="F64" i="7" s="1"/>
  <c r="R64" i="7" s="1"/>
  <c r="D62" i="7"/>
  <c r="D61" i="7"/>
  <c r="O7" i="7"/>
  <c r="O8" i="7"/>
  <c r="O13" i="7"/>
  <c r="M20" i="7"/>
  <c r="D22" i="7"/>
  <c r="F22" i="7" s="1"/>
  <c r="R22" i="7" s="1"/>
  <c r="P23" i="7"/>
  <c r="O28" i="7"/>
  <c r="P29" i="7"/>
  <c r="M41" i="7"/>
  <c r="D44" i="7"/>
  <c r="O44" i="7"/>
  <c r="M45" i="7"/>
  <c r="O47" i="7"/>
  <c r="D50" i="7"/>
  <c r="F50" i="7" s="1"/>
  <c r="R50" i="7" s="1"/>
  <c r="T50" i="7" s="1"/>
  <c r="D54" i="7"/>
  <c r="O66" i="7"/>
  <c r="O95" i="7"/>
  <c r="D98" i="7"/>
  <c r="D116" i="7"/>
  <c r="E116" i="7" s="1"/>
  <c r="S118" i="7"/>
  <c r="T118" i="7"/>
  <c r="D132" i="7"/>
  <c r="O134" i="7"/>
  <c r="D154" i="7"/>
  <c r="E154" i="7" s="1"/>
  <c r="Q154" i="7" s="1"/>
  <c r="P157" i="7"/>
  <c r="D190" i="7"/>
  <c r="F190" i="7" s="1"/>
  <c r="K190" i="7" s="1"/>
  <c r="O45" i="7"/>
  <c r="T45" i="7" s="1"/>
  <c r="O114" i="7"/>
  <c r="P210" i="7"/>
  <c r="P206" i="7"/>
  <c r="P166" i="7"/>
  <c r="P127" i="7"/>
  <c r="P107" i="7"/>
  <c r="P190" i="7"/>
  <c r="P187" i="7"/>
  <c r="P174" i="7"/>
  <c r="P167" i="7"/>
  <c r="P142" i="7"/>
  <c r="P119" i="7"/>
  <c r="P102" i="7"/>
  <c r="P208" i="7"/>
  <c r="P186" i="7"/>
  <c r="P180" i="7"/>
  <c r="P156" i="7"/>
  <c r="P125" i="7"/>
  <c r="P213" i="7"/>
  <c r="P204" i="7"/>
  <c r="P153" i="7"/>
  <c r="P146" i="7"/>
  <c r="P209" i="7"/>
  <c r="P199" i="7"/>
  <c r="P172" i="7"/>
  <c r="P144" i="7"/>
  <c r="P137" i="7"/>
  <c r="P129" i="7"/>
  <c r="P124" i="7"/>
  <c r="P211" i="7"/>
  <c r="P207" i="7"/>
  <c r="P152" i="7"/>
  <c r="P126" i="7"/>
  <c r="O27" i="7"/>
  <c r="D7" i="7"/>
  <c r="F7" i="7" s="1"/>
  <c r="R7" i="7" s="1"/>
  <c r="P7" i="7"/>
  <c r="P8" i="7"/>
  <c r="O9" i="7"/>
  <c r="M11" i="7"/>
  <c r="O12" i="7"/>
  <c r="P13" i="7"/>
  <c r="L14" i="7"/>
  <c r="M15" i="7"/>
  <c r="D17" i="7"/>
  <c r="F17" i="7" s="1"/>
  <c r="R17" i="7" s="1"/>
  <c r="O17" i="7"/>
  <c r="D23" i="7"/>
  <c r="E23" i="7" s="1"/>
  <c r="O25" i="7"/>
  <c r="P28" i="7"/>
  <c r="D46" i="7"/>
  <c r="E46" i="7" s="1"/>
  <c r="O46" i="7"/>
  <c r="M49" i="7"/>
  <c r="D166" i="7"/>
  <c r="F166" i="7" s="1"/>
  <c r="P168" i="7"/>
  <c r="D192" i="7"/>
  <c r="O201" i="7"/>
  <c r="O197" i="7"/>
  <c r="O182" i="7"/>
  <c r="O177" i="7"/>
  <c r="S177" i="7" s="1"/>
  <c r="O171" i="7"/>
  <c r="T171" i="7" s="1"/>
  <c r="O168" i="7"/>
  <c r="O98" i="7"/>
  <c r="O92" i="7"/>
  <c r="O85" i="7"/>
  <c r="O80" i="7"/>
  <c r="O61" i="7"/>
  <c r="O210" i="7"/>
  <c r="O206" i="7"/>
  <c r="O196" i="7"/>
  <c r="O166" i="7"/>
  <c r="O154" i="7"/>
  <c r="O127" i="7"/>
  <c r="O107" i="7"/>
  <c r="O88" i="7"/>
  <c r="O82" i="7"/>
  <c r="O54" i="7"/>
  <c r="O190" i="7"/>
  <c r="O187" i="7"/>
  <c r="O174" i="7"/>
  <c r="O167" i="7"/>
  <c r="O142" i="7"/>
  <c r="O132" i="7"/>
  <c r="O131" i="7"/>
  <c r="O119" i="7"/>
  <c r="O115" i="7"/>
  <c r="O112" i="7"/>
  <c r="O102" i="7"/>
  <c r="O97" i="7"/>
  <c r="O91" i="7"/>
  <c r="O63" i="7"/>
  <c r="O58" i="7"/>
  <c r="O208" i="7"/>
  <c r="O186" i="7"/>
  <c r="O180" i="7"/>
  <c r="O156" i="7"/>
  <c r="O125" i="7"/>
  <c r="O96" i="7"/>
  <c r="O87" i="7"/>
  <c r="O84" i="7"/>
  <c r="O65" i="7"/>
  <c r="O60" i="7"/>
  <c r="O213" i="7"/>
  <c r="O204" i="7"/>
  <c r="O193" i="7"/>
  <c r="T193" i="7" s="1"/>
  <c r="O184" i="7"/>
  <c r="O153" i="7"/>
  <c r="O146" i="7"/>
  <c r="O140" i="7"/>
  <c r="O113" i="7"/>
  <c r="O81" i="7"/>
  <c r="O76" i="7"/>
  <c r="O73" i="7"/>
  <c r="T73" i="7" s="1"/>
  <c r="O67" i="7"/>
  <c r="O209" i="7"/>
  <c r="O199" i="7"/>
  <c r="O195" i="7"/>
  <c r="O172" i="7"/>
  <c r="O170" i="7"/>
  <c r="O144" i="7"/>
  <c r="O137" i="7"/>
  <c r="O130" i="7"/>
  <c r="O129" i="7"/>
  <c r="O124" i="7"/>
  <c r="O117" i="7"/>
  <c r="O111" i="7"/>
  <c r="T111" i="7" s="1"/>
  <c r="O90" i="7"/>
  <c r="O86" i="7"/>
  <c r="O69" i="7"/>
  <c r="O62" i="7"/>
  <c r="O57" i="7"/>
  <c r="O56" i="7"/>
  <c r="F4" i="7"/>
  <c r="R4" i="7" s="1"/>
  <c r="O16" i="7"/>
  <c r="O26" i="7"/>
  <c r="O33" i="7"/>
  <c r="M91" i="7"/>
  <c r="L91" i="7"/>
  <c r="O6" i="7"/>
  <c r="O15" i="7"/>
  <c r="O20" i="7"/>
  <c r="O74" i="7"/>
  <c r="O106" i="7"/>
  <c r="P114" i="7"/>
  <c r="O179" i="7"/>
  <c r="O4" i="7"/>
  <c r="P9" i="7"/>
  <c r="P12" i="7"/>
  <c r="O14" i="7"/>
  <c r="P17" i="7"/>
  <c r="D19" i="7"/>
  <c r="E19" i="7" s="1"/>
  <c r="P25" i="7"/>
  <c r="D28" i="7"/>
  <c r="F28" i="7" s="1"/>
  <c r="L29" i="7"/>
  <c r="D31" i="7"/>
  <c r="F31" i="7" s="1"/>
  <c r="R31" i="7" s="1"/>
  <c r="T31" i="7" s="1"/>
  <c r="O32" i="7"/>
  <c r="D35" i="7"/>
  <c r="O35" i="7"/>
  <c r="M47" i="7"/>
  <c r="O48" i="7"/>
  <c r="L51" i="7"/>
  <c r="O89" i="7"/>
  <c r="D92" i="7"/>
  <c r="D97" i="7"/>
  <c r="F97" i="7" s="1"/>
  <c r="L115" i="7"/>
  <c r="M115" i="7"/>
  <c r="M131" i="7"/>
  <c r="L131" i="7"/>
  <c r="D134" i="7"/>
  <c r="F134" i="7" s="1"/>
  <c r="R134" i="7" s="1"/>
  <c r="O143" i="7"/>
  <c r="L167" i="7"/>
  <c r="O175" i="7"/>
  <c r="T175" i="7" s="1"/>
  <c r="D194" i="7"/>
  <c r="D196" i="7"/>
  <c r="O207" i="7"/>
  <c r="M60" i="7"/>
  <c r="M174" i="7"/>
  <c r="L88" i="7"/>
  <c r="M98" i="7"/>
  <c r="M116" i="7"/>
  <c r="L127" i="7"/>
  <c r="L212" i="7"/>
  <c r="M59" i="7"/>
  <c r="L98" i="7"/>
  <c r="M166" i="7"/>
  <c r="T198" i="7"/>
  <c r="M74" i="7"/>
  <c r="L86" i="7"/>
  <c r="T200" i="7"/>
  <c r="M211" i="7"/>
  <c r="S104" i="7"/>
  <c r="M124" i="7"/>
  <c r="L134" i="7"/>
  <c r="L143" i="7"/>
  <c r="M170" i="7"/>
  <c r="L191" i="7"/>
  <c r="M201" i="7"/>
  <c r="M64" i="7"/>
  <c r="M65" i="7"/>
  <c r="M73" i="7"/>
  <c r="L129" i="7"/>
  <c r="T147" i="7"/>
  <c r="M194" i="7"/>
  <c r="M212" i="7"/>
  <c r="M14" i="4"/>
  <c r="M18" i="4"/>
  <c r="M21" i="4"/>
  <c r="M41" i="4"/>
  <c r="M51" i="4"/>
  <c r="M73" i="4"/>
  <c r="M82" i="4"/>
  <c r="M126" i="4"/>
  <c r="M140" i="4"/>
  <c r="M201" i="4"/>
  <c r="M4" i="4"/>
  <c r="L129" i="4"/>
  <c r="L32" i="4"/>
  <c r="L46" i="4"/>
  <c r="M47" i="4"/>
  <c r="L56" i="4"/>
  <c r="L64" i="4"/>
  <c r="M65" i="4"/>
  <c r="L78" i="4"/>
  <c r="M96" i="4"/>
  <c r="L101" i="4"/>
  <c r="M124" i="4"/>
  <c r="L126" i="4"/>
  <c r="M156" i="4"/>
  <c r="M174" i="4"/>
  <c r="L29" i="4"/>
  <c r="M17" i="4"/>
  <c r="L19" i="4"/>
  <c r="M20" i="4"/>
  <c r="L22" i="4"/>
  <c r="M31" i="4"/>
  <c r="L44" i="4"/>
  <c r="M45" i="4"/>
  <c r="L52" i="4"/>
  <c r="M54" i="4"/>
  <c r="L62" i="4"/>
  <c r="M63" i="4"/>
  <c r="L74" i="4"/>
  <c r="M76" i="4"/>
  <c r="L142" i="4"/>
  <c r="M143" i="4"/>
  <c r="L146" i="4"/>
  <c r="M170" i="4"/>
  <c r="L154" i="4"/>
  <c r="J8" i="7"/>
  <c r="L8" i="7" s="1"/>
  <c r="Q8" i="7"/>
  <c r="M31" i="7"/>
  <c r="L31" i="7"/>
  <c r="M27" i="7"/>
  <c r="L27" i="7"/>
  <c r="M58" i="7"/>
  <c r="L58" i="7"/>
  <c r="M62" i="7"/>
  <c r="L62" i="7"/>
  <c r="L18" i="7"/>
  <c r="M35" i="7"/>
  <c r="L35" i="7"/>
  <c r="M52" i="7"/>
  <c r="L52" i="7"/>
  <c r="M76" i="7"/>
  <c r="L76" i="7"/>
  <c r="L5" i="7"/>
  <c r="L9" i="7"/>
  <c r="L15" i="7"/>
  <c r="T19" i="7"/>
  <c r="M28" i="7"/>
  <c r="M26" i="7"/>
  <c r="M44" i="7"/>
  <c r="L44" i="7"/>
  <c r="L19" i="7"/>
  <c r="L21" i="7"/>
  <c r="M22" i="7"/>
  <c r="M23" i="7"/>
  <c r="L74" i="7"/>
  <c r="L82" i="7"/>
  <c r="L45" i="7"/>
  <c r="L49" i="7"/>
  <c r="L54" i="7"/>
  <c r="L59" i="7"/>
  <c r="L63" i="7"/>
  <c r="L81" i="7"/>
  <c r="M95" i="7"/>
  <c r="L95" i="7"/>
  <c r="M101" i="7"/>
  <c r="L101" i="7"/>
  <c r="M114" i="7"/>
  <c r="L114" i="7"/>
  <c r="M88" i="7"/>
  <c r="L73" i="7"/>
  <c r="M82" i="7"/>
  <c r="M92" i="7"/>
  <c r="M107" i="7"/>
  <c r="L107" i="7"/>
  <c r="M119" i="7"/>
  <c r="L96" i="7"/>
  <c r="M129" i="7"/>
  <c r="L174" i="7"/>
  <c r="M179" i="7"/>
  <c r="L179" i="7"/>
  <c r="M157" i="7"/>
  <c r="L157" i="7"/>
  <c r="M140" i="7"/>
  <c r="L140" i="7"/>
  <c r="M146" i="7"/>
  <c r="L146" i="7"/>
  <c r="L153" i="7"/>
  <c r="M153" i="7"/>
  <c r="T185" i="7"/>
  <c r="S185" i="7"/>
  <c r="L124" i="7"/>
  <c r="M144" i="7"/>
  <c r="L144" i="7"/>
  <c r="M186" i="7"/>
  <c r="L186" i="7"/>
  <c r="M191" i="7"/>
  <c r="L154" i="7"/>
  <c r="M193" i="7"/>
  <c r="M154" i="7"/>
  <c r="L177" i="7"/>
  <c r="L194" i="7"/>
  <c r="M207" i="7"/>
  <c r="L207" i="7"/>
  <c r="L211" i="7"/>
  <c r="S200" i="7"/>
  <c r="M154" i="4"/>
  <c r="L20" i="4"/>
  <c r="L82" i="4"/>
  <c r="L86" i="4"/>
  <c r="L88" i="4"/>
  <c r="L95" i="4"/>
  <c r="L112" i="4"/>
  <c r="L143" i="4"/>
  <c r="L18" i="4"/>
  <c r="L28" i="4"/>
  <c r="L31" i="4"/>
  <c r="L33" i="4"/>
  <c r="L41" i="4"/>
  <c r="L45" i="4"/>
  <c r="L47" i="4"/>
  <c r="L49" i="4"/>
  <c r="L51" i="4"/>
  <c r="L54" i="4"/>
  <c r="L59" i="4"/>
  <c r="L63" i="4"/>
  <c r="L65" i="4"/>
  <c r="L73" i="4"/>
  <c r="L76" i="4"/>
  <c r="L23" i="4"/>
  <c r="L26" i="4"/>
  <c r="L98" i="4"/>
  <c r="L102" i="4"/>
  <c r="L107" i="4"/>
  <c r="L177" i="4"/>
  <c r="L15" i="4"/>
  <c r="L21" i="4"/>
  <c r="L166" i="4"/>
  <c r="M166" i="4"/>
  <c r="M153" i="4"/>
  <c r="L153" i="4"/>
  <c r="M171" i="4"/>
  <c r="L171" i="4"/>
  <c r="L4" i="4"/>
  <c r="L5" i="4"/>
  <c r="L7" i="4"/>
  <c r="L9" i="4"/>
  <c r="L11" i="4"/>
  <c r="L17" i="4"/>
  <c r="M92" i="4"/>
  <c r="L92" i="4"/>
  <c r="M127" i="4"/>
  <c r="L127" i="4"/>
  <c r="L16" i="4"/>
  <c r="M115" i="4"/>
  <c r="L115" i="4"/>
  <c r="M119" i="4"/>
  <c r="L119" i="4"/>
  <c r="L14" i="4"/>
  <c r="M91" i="4"/>
  <c r="L91" i="4"/>
  <c r="M131" i="4"/>
  <c r="L131" i="4"/>
  <c r="M144" i="4"/>
  <c r="L144" i="4"/>
  <c r="L114" i="4"/>
  <c r="M194" i="4"/>
  <c r="L194" i="4"/>
  <c r="M186" i="4"/>
  <c r="L186" i="4"/>
  <c r="L96" i="4"/>
  <c r="L111" i="4"/>
  <c r="L124" i="4"/>
  <c r="L140" i="4"/>
  <c r="M157" i="4"/>
  <c r="M193" i="4"/>
  <c r="L193" i="4"/>
  <c r="L156" i="4"/>
  <c r="M167" i="4"/>
  <c r="L167" i="4"/>
  <c r="L174" i="4"/>
  <c r="M212" i="4"/>
  <c r="L212" i="4"/>
  <c r="L201" i="4"/>
  <c r="L207" i="4"/>
  <c r="L211" i="4"/>
  <c r="S210" i="7" l="1"/>
  <c r="T179" i="7"/>
  <c r="T189" i="4"/>
  <c r="H31" i="10"/>
  <c r="P31" i="10"/>
  <c r="X31" i="10"/>
  <c r="T31" i="10"/>
  <c r="M155" i="4"/>
  <c r="N155" i="4" s="1"/>
  <c r="L155" i="7"/>
  <c r="N155" i="7" s="1"/>
  <c r="E5" i="7"/>
  <c r="Q5" i="7" s="1"/>
  <c r="S5" i="7" s="1"/>
  <c r="F20" i="7"/>
  <c r="S189" i="4"/>
  <c r="T189" i="7"/>
  <c r="U189" i="7" s="1"/>
  <c r="T188" i="4"/>
  <c r="S188" i="7"/>
  <c r="T197" i="7"/>
  <c r="J12" i="7"/>
  <c r="L12" i="7" s="1"/>
  <c r="F12" i="7"/>
  <c r="K12" i="7" s="1"/>
  <c r="M12" i="7" s="1"/>
  <c r="S188" i="4"/>
  <c r="T188" i="7"/>
  <c r="T179" i="4"/>
  <c r="S179" i="4"/>
  <c r="N176" i="7"/>
  <c r="S14" i="7"/>
  <c r="N93" i="7"/>
  <c r="E9" i="7"/>
  <c r="Q9" i="7" s="1"/>
  <c r="S9" i="7" s="1"/>
  <c r="R31" i="10"/>
  <c r="T211" i="7"/>
  <c r="N93" i="4"/>
  <c r="N55" i="7"/>
  <c r="N43" i="7"/>
  <c r="N55" i="4"/>
  <c r="F105" i="7"/>
  <c r="E105" i="7"/>
  <c r="E148" i="7"/>
  <c r="J148" i="7" s="1"/>
  <c r="L148" i="7" s="1"/>
  <c r="F148" i="7"/>
  <c r="K148" i="7" s="1"/>
  <c r="M148" i="7" s="1"/>
  <c r="E68" i="4"/>
  <c r="F68" i="4"/>
  <c r="E120" i="4"/>
  <c r="F120" i="4"/>
  <c r="S70" i="4"/>
  <c r="T70" i="4"/>
  <c r="T173" i="4"/>
  <c r="S173" i="4"/>
  <c r="T68" i="7"/>
  <c r="S68" i="7"/>
  <c r="N176" i="4"/>
  <c r="E162" i="7"/>
  <c r="Q162" i="7" s="1"/>
  <c r="S162" i="7" s="1"/>
  <c r="F162" i="7"/>
  <c r="R162" i="7" s="1"/>
  <c r="T162" i="7" s="1"/>
  <c r="E100" i="7"/>
  <c r="F100" i="7"/>
  <c r="E36" i="7"/>
  <c r="F36" i="7"/>
  <c r="E68" i="7"/>
  <c r="F68" i="7"/>
  <c r="E163" i="7"/>
  <c r="Q163" i="7" s="1"/>
  <c r="F163" i="7"/>
  <c r="R163" i="7" s="1"/>
  <c r="E43" i="7"/>
  <c r="Q43" i="7" s="1"/>
  <c r="S43" i="7" s="1"/>
  <c r="F43" i="7"/>
  <c r="R43" i="7" s="1"/>
  <c r="T43" i="7" s="1"/>
  <c r="E94" i="4"/>
  <c r="Q94" i="4" s="1"/>
  <c r="S94" i="4" s="1"/>
  <c r="F94" i="4"/>
  <c r="R94" i="4" s="1"/>
  <c r="T94" i="4" s="1"/>
  <c r="E77" i="4"/>
  <c r="Q77" i="4" s="1"/>
  <c r="S77" i="4" s="1"/>
  <c r="F77" i="4"/>
  <c r="R77" i="4" s="1"/>
  <c r="T77" i="4" s="1"/>
  <c r="E145" i="4"/>
  <c r="F145" i="4"/>
  <c r="E149" i="4"/>
  <c r="F149" i="4"/>
  <c r="E164" i="4"/>
  <c r="F164" i="4"/>
  <c r="E93" i="4"/>
  <c r="Q93" i="4" s="1"/>
  <c r="S93" i="4" s="1"/>
  <c r="F93" i="4"/>
  <c r="R93" i="4" s="1"/>
  <c r="T93" i="4" s="1"/>
  <c r="E188" i="4"/>
  <c r="T70" i="7"/>
  <c r="S70" i="7"/>
  <c r="T55" i="7"/>
  <c r="S55" i="7"/>
  <c r="T165" i="7"/>
  <c r="S165" i="7"/>
  <c r="N43" i="4"/>
  <c r="E158" i="7"/>
  <c r="Q158" i="7" s="1"/>
  <c r="F158" i="7"/>
  <c r="R158" i="7" s="1"/>
  <c r="E110" i="7"/>
  <c r="F110" i="7"/>
  <c r="E55" i="7"/>
  <c r="F55" i="7"/>
  <c r="E121" i="7"/>
  <c r="F121" i="7"/>
  <c r="E123" i="7"/>
  <c r="F123" i="7"/>
  <c r="E71" i="7"/>
  <c r="F71" i="7"/>
  <c r="E37" i="4"/>
  <c r="F37" i="4"/>
  <c r="E176" i="4"/>
  <c r="Q176" i="4" s="1"/>
  <c r="S176" i="4" s="1"/>
  <c r="F176" i="4"/>
  <c r="R176" i="4" s="1"/>
  <c r="T176" i="4" s="1"/>
  <c r="F100" i="4"/>
  <c r="E100" i="4"/>
  <c r="E151" i="4"/>
  <c r="F151" i="4"/>
  <c r="E136" i="4"/>
  <c r="F136" i="4"/>
  <c r="S110" i="4"/>
  <c r="T110" i="4"/>
  <c r="E94" i="7"/>
  <c r="Q94" i="7" s="1"/>
  <c r="S94" i="7" s="1"/>
  <c r="F94" i="7"/>
  <c r="R94" i="7" s="1"/>
  <c r="T94" i="7" s="1"/>
  <c r="E141" i="7"/>
  <c r="J141" i="7" s="1"/>
  <c r="L141" i="7" s="1"/>
  <c r="F141" i="7"/>
  <c r="K141" i="7" s="1"/>
  <c r="M141" i="7" s="1"/>
  <c r="S164" i="4"/>
  <c r="T164" i="4"/>
  <c r="E37" i="7"/>
  <c r="F37" i="7"/>
  <c r="E108" i="7"/>
  <c r="Q108" i="7" s="1"/>
  <c r="F108" i="7"/>
  <c r="R108" i="7" s="1"/>
  <c r="E176" i="7"/>
  <c r="Q176" i="7" s="1"/>
  <c r="S176" i="7" s="1"/>
  <c r="F176" i="7"/>
  <c r="R176" i="7" s="1"/>
  <c r="T176" i="7" s="1"/>
  <c r="E53" i="7"/>
  <c r="F53" i="7"/>
  <c r="E149" i="7"/>
  <c r="F149" i="7"/>
  <c r="E109" i="7"/>
  <c r="F109" i="7"/>
  <c r="E39" i="4"/>
  <c r="Q39" i="4" s="1"/>
  <c r="S39" i="4" s="1"/>
  <c r="F39" i="4"/>
  <c r="R39" i="4" s="1"/>
  <c r="T39" i="4" s="1"/>
  <c r="E110" i="4"/>
  <c r="F110" i="4"/>
  <c r="E121" i="4"/>
  <c r="F121" i="4"/>
  <c r="E123" i="4"/>
  <c r="F123" i="4"/>
  <c r="E141" i="4"/>
  <c r="J141" i="4" s="1"/>
  <c r="F141" i="4"/>
  <c r="K141" i="4" s="1"/>
  <c r="T68" i="4"/>
  <c r="S68" i="4"/>
  <c r="P109" i="7"/>
  <c r="S109" i="7" s="1"/>
  <c r="P136" i="7"/>
  <c r="T136" i="7" s="1"/>
  <c r="P163" i="7"/>
  <c r="P120" i="7"/>
  <c r="S120" i="7" s="1"/>
  <c r="P123" i="7"/>
  <c r="S123" i="7" s="1"/>
  <c r="P103" i="7"/>
  <c r="S103" i="7" s="1"/>
  <c r="P138" i="7"/>
  <c r="P139" i="7"/>
  <c r="S139" i="7" s="1"/>
  <c r="P141" i="7"/>
  <c r="T141" i="7" s="1"/>
  <c r="P121" i="7"/>
  <c r="S121" i="7" s="1"/>
  <c r="P108" i="7"/>
  <c r="P100" i="7"/>
  <c r="P122" i="7"/>
  <c r="T122" i="7" s="1"/>
  <c r="P24" i="7"/>
  <c r="P158" i="7"/>
  <c r="F21" i="7"/>
  <c r="R21" i="7" s="1"/>
  <c r="T21" i="7" s="1"/>
  <c r="S42" i="7"/>
  <c r="T42" i="7"/>
  <c r="E93" i="7"/>
  <c r="Q93" i="7" s="1"/>
  <c r="S93" i="7" s="1"/>
  <c r="F93" i="7"/>
  <c r="R93" i="7" s="1"/>
  <c r="T93" i="7" s="1"/>
  <c r="E145" i="7"/>
  <c r="F145" i="7"/>
  <c r="E72" i="7"/>
  <c r="F72" i="7"/>
  <c r="E77" i="7"/>
  <c r="Q77" i="7" s="1"/>
  <c r="S77" i="7" s="1"/>
  <c r="F77" i="7"/>
  <c r="R77" i="7" s="1"/>
  <c r="T77" i="7" s="1"/>
  <c r="E103" i="7"/>
  <c r="F103" i="7"/>
  <c r="F70" i="4"/>
  <c r="E70" i="4"/>
  <c r="E122" i="4"/>
  <c r="F122" i="4"/>
  <c r="E79" i="4"/>
  <c r="F79" i="4"/>
  <c r="E163" i="4"/>
  <c r="Q163" i="4" s="1"/>
  <c r="F163" i="4"/>
  <c r="R163" i="4" s="1"/>
  <c r="E138" i="4"/>
  <c r="Q138" i="4" s="1"/>
  <c r="F138" i="4"/>
  <c r="R138" i="4" s="1"/>
  <c r="T55" i="4"/>
  <c r="S55" i="4"/>
  <c r="S42" i="4"/>
  <c r="T42" i="4"/>
  <c r="T105" i="4"/>
  <c r="S105" i="4"/>
  <c r="F139" i="7"/>
  <c r="E139" i="7"/>
  <c r="I152" i="4"/>
  <c r="B42" i="3"/>
  <c r="S105" i="7"/>
  <c r="T105" i="7"/>
  <c r="T151" i="7"/>
  <c r="S151" i="7"/>
  <c r="E70" i="7"/>
  <c r="F70" i="7"/>
  <c r="E79" i="7"/>
  <c r="F79" i="7"/>
  <c r="E122" i="7"/>
  <c r="F122" i="7"/>
  <c r="E120" i="7"/>
  <c r="F120" i="7"/>
  <c r="E164" i="7"/>
  <c r="F164" i="7"/>
  <c r="E158" i="4"/>
  <c r="Q158" i="4" s="1"/>
  <c r="F158" i="4"/>
  <c r="R158" i="4" s="1"/>
  <c r="E108" i="4"/>
  <c r="Q108" i="4" s="1"/>
  <c r="F108" i="4"/>
  <c r="R108" i="4" s="1"/>
  <c r="E173" i="4"/>
  <c r="F173" i="4"/>
  <c r="E42" i="4"/>
  <c r="F42" i="4"/>
  <c r="E165" i="4"/>
  <c r="F165" i="4"/>
  <c r="E43" i="4"/>
  <c r="Q43" i="4" s="1"/>
  <c r="S43" i="4" s="1"/>
  <c r="F43" i="4"/>
  <c r="R43" i="4" s="1"/>
  <c r="T43" i="4" s="1"/>
  <c r="T151" i="4"/>
  <c r="S151" i="4"/>
  <c r="E75" i="4"/>
  <c r="Q75" i="4" s="1"/>
  <c r="S75" i="4" s="1"/>
  <c r="F75" i="4"/>
  <c r="R75" i="4" s="1"/>
  <c r="T75" i="4" s="1"/>
  <c r="M185" i="7"/>
  <c r="T110" i="7"/>
  <c r="S110" i="7"/>
  <c r="AP31" i="10"/>
  <c r="E24" i="7"/>
  <c r="Q24" i="7" s="1"/>
  <c r="F24" i="7"/>
  <c r="R24" i="7" s="1"/>
  <c r="E42" i="7"/>
  <c r="F42" i="7"/>
  <c r="E173" i="7"/>
  <c r="F173" i="7"/>
  <c r="E151" i="7"/>
  <c r="F151" i="7"/>
  <c r="E136" i="7"/>
  <c r="F136" i="7"/>
  <c r="Q162" i="4"/>
  <c r="S162" i="4" s="1"/>
  <c r="R162" i="4"/>
  <c r="T162" i="4" s="1"/>
  <c r="E36" i="4"/>
  <c r="F36" i="4"/>
  <c r="E53" i="4"/>
  <c r="F53" i="4"/>
  <c r="E105" i="4"/>
  <c r="F105" i="4"/>
  <c r="E103" i="4"/>
  <c r="F103" i="4"/>
  <c r="E71" i="4"/>
  <c r="F71" i="4"/>
  <c r="E135" i="4"/>
  <c r="F135" i="4"/>
  <c r="P202" i="4"/>
  <c r="T202" i="4" s="1"/>
  <c r="P109" i="4"/>
  <c r="T109" i="4" s="1"/>
  <c r="P139" i="4"/>
  <c r="S139" i="4" s="1"/>
  <c r="P103" i="4"/>
  <c r="T103" i="4" s="1"/>
  <c r="P163" i="4"/>
  <c r="P120" i="4"/>
  <c r="S120" i="4" s="1"/>
  <c r="P138" i="4"/>
  <c r="P123" i="4"/>
  <c r="T123" i="4" s="1"/>
  <c r="P136" i="4"/>
  <c r="T136" i="4" s="1"/>
  <c r="P141" i="4"/>
  <c r="T141" i="4" s="1"/>
  <c r="P122" i="4"/>
  <c r="S122" i="4" s="1"/>
  <c r="P100" i="4"/>
  <c r="P108" i="4"/>
  <c r="P121" i="4"/>
  <c r="T121" i="4" s="1"/>
  <c r="P24" i="4"/>
  <c r="P158" i="4"/>
  <c r="S173" i="7"/>
  <c r="T173" i="7"/>
  <c r="T164" i="7"/>
  <c r="S164" i="7"/>
  <c r="M109" i="7"/>
  <c r="L109" i="7"/>
  <c r="F39" i="7"/>
  <c r="R39" i="7" s="1"/>
  <c r="T39" i="7" s="1"/>
  <c r="E39" i="7"/>
  <c r="Q39" i="7" s="1"/>
  <c r="S39" i="7" s="1"/>
  <c r="E75" i="7"/>
  <c r="Q75" i="7" s="1"/>
  <c r="S75" i="7" s="1"/>
  <c r="F75" i="7"/>
  <c r="R75" i="7" s="1"/>
  <c r="T75" i="7" s="1"/>
  <c r="E135" i="7"/>
  <c r="F135" i="7"/>
  <c r="E165" i="7"/>
  <c r="F165" i="7"/>
  <c r="E138" i="7"/>
  <c r="Q138" i="7" s="1"/>
  <c r="F138" i="7"/>
  <c r="R138" i="7" s="1"/>
  <c r="E24" i="4"/>
  <c r="Q24" i="4" s="1"/>
  <c r="F24" i="4"/>
  <c r="R24" i="4" s="1"/>
  <c r="E148" i="4"/>
  <c r="J148" i="4" s="1"/>
  <c r="F148" i="4"/>
  <c r="K148" i="4" s="1"/>
  <c r="E55" i="4"/>
  <c r="F55" i="4"/>
  <c r="E72" i="4"/>
  <c r="F72" i="4"/>
  <c r="E139" i="4"/>
  <c r="F139" i="4"/>
  <c r="E109" i="4"/>
  <c r="F109" i="4"/>
  <c r="T165" i="4"/>
  <c r="S165" i="4"/>
  <c r="M137" i="7"/>
  <c r="N137" i="7" s="1"/>
  <c r="K13" i="7"/>
  <c r="M13" i="7" s="1"/>
  <c r="F18" i="7"/>
  <c r="T195" i="7"/>
  <c r="E13" i="7"/>
  <c r="Q13" i="7" s="1"/>
  <c r="S13" i="7" s="1"/>
  <c r="N60" i="7"/>
  <c r="N20" i="7"/>
  <c r="F41" i="7"/>
  <c r="R41" i="7" s="1"/>
  <c r="T41" i="7" s="1"/>
  <c r="E147" i="7"/>
  <c r="J147" i="7" s="1"/>
  <c r="L147" i="7" s="1"/>
  <c r="E171" i="7"/>
  <c r="E14" i="7"/>
  <c r="T16" i="4"/>
  <c r="E48" i="7"/>
  <c r="J48" i="7" s="1"/>
  <c r="L48" i="7" s="1"/>
  <c r="T202" i="7"/>
  <c r="F32" i="7"/>
  <c r="R32" i="7" s="1"/>
  <c r="T32" i="7" s="1"/>
  <c r="K25" i="7"/>
  <c r="M25" i="7" s="1"/>
  <c r="E25" i="7"/>
  <c r="J25" i="7" s="1"/>
  <c r="L25" i="7" s="1"/>
  <c r="E143" i="7"/>
  <c r="Q143" i="7" s="1"/>
  <c r="S143" i="7" s="1"/>
  <c r="N17" i="7"/>
  <c r="T196" i="7"/>
  <c r="L210" i="7"/>
  <c r="N63" i="7"/>
  <c r="S51" i="7"/>
  <c r="E40" i="7"/>
  <c r="F51" i="7"/>
  <c r="R51" i="7" s="1"/>
  <c r="T51" i="7" s="1"/>
  <c r="M87" i="7"/>
  <c r="S202" i="7"/>
  <c r="F26" i="7"/>
  <c r="R26" i="7" s="1"/>
  <c r="T26" i="7" s="1"/>
  <c r="R48" i="7"/>
  <c r="T48" i="7" s="1"/>
  <c r="E91" i="7"/>
  <c r="Q91" i="7" s="1"/>
  <c r="S91" i="7" s="1"/>
  <c r="L87" i="7"/>
  <c r="E64" i="7"/>
  <c r="Q64" i="7" s="1"/>
  <c r="S64" i="7" s="1"/>
  <c r="E50" i="7"/>
  <c r="Q50" i="7" s="1"/>
  <c r="S50" i="7" s="1"/>
  <c r="U50" i="7" s="1"/>
  <c r="M195" i="7"/>
  <c r="S41" i="7"/>
  <c r="E45" i="7"/>
  <c r="E155" i="7"/>
  <c r="Q155" i="7" s="1"/>
  <c r="S155" i="7" s="1"/>
  <c r="N29" i="7"/>
  <c r="E56" i="7"/>
  <c r="Q56" i="7" s="1"/>
  <c r="S56" i="7" s="1"/>
  <c r="T30" i="7"/>
  <c r="S45" i="7"/>
  <c r="U45" i="7" s="1"/>
  <c r="E60" i="7"/>
  <c r="E30" i="7"/>
  <c r="F33" i="7"/>
  <c r="R187" i="7"/>
  <c r="T187" i="7" s="1"/>
  <c r="S16" i="7"/>
  <c r="N65" i="7"/>
  <c r="E28" i="7"/>
  <c r="S59" i="7"/>
  <c r="N14" i="7"/>
  <c r="T191" i="7"/>
  <c r="S126" i="7"/>
  <c r="N19" i="7"/>
  <c r="H19" i="8" s="1"/>
  <c r="N116" i="7"/>
  <c r="E193" i="7"/>
  <c r="N11" i="7"/>
  <c r="T59" i="7"/>
  <c r="E187" i="7"/>
  <c r="Q187" i="7" s="1"/>
  <c r="S187" i="7" s="1"/>
  <c r="T64" i="7"/>
  <c r="R8" i="7"/>
  <c r="T8" i="7" s="1"/>
  <c r="N112" i="7"/>
  <c r="E97" i="7"/>
  <c r="Q97" i="7" s="1"/>
  <c r="S97" i="7" s="1"/>
  <c r="S28" i="7"/>
  <c r="T177" i="7"/>
  <c r="U177" i="7" s="1"/>
  <c r="E16" i="7"/>
  <c r="T18" i="7"/>
  <c r="O44" i="3"/>
  <c r="P44" i="3" s="1"/>
  <c r="E119" i="4"/>
  <c r="S82" i="3"/>
  <c r="F83" i="4"/>
  <c r="I187" i="4"/>
  <c r="I208" i="4"/>
  <c r="I188" i="4"/>
  <c r="L188" i="4" s="1"/>
  <c r="I182" i="4"/>
  <c r="I206" i="4"/>
  <c r="L206" i="4" s="1"/>
  <c r="I147" i="4"/>
  <c r="L87" i="4"/>
  <c r="M83" i="4"/>
  <c r="F156" i="7"/>
  <c r="R156" i="7" s="1"/>
  <c r="T156" i="7" s="1"/>
  <c r="E153" i="7"/>
  <c r="Q153" i="7" s="1"/>
  <c r="S153" i="7" s="1"/>
  <c r="N22" i="7"/>
  <c r="E197" i="7"/>
  <c r="J197" i="7" s="1"/>
  <c r="L197" i="7" s="1"/>
  <c r="N124" i="7"/>
  <c r="E190" i="7"/>
  <c r="J190" i="7" s="1"/>
  <c r="L190" i="7" s="1"/>
  <c r="T194" i="7"/>
  <c r="M48" i="7"/>
  <c r="T22" i="7"/>
  <c r="M40" i="7"/>
  <c r="N40" i="7" s="1"/>
  <c r="N92" i="7"/>
  <c r="T83" i="7"/>
  <c r="U83" i="7" s="1"/>
  <c r="S194" i="7"/>
  <c r="N78" i="7"/>
  <c r="E199" i="7"/>
  <c r="J199" i="7" s="1"/>
  <c r="L199" i="7" s="1"/>
  <c r="S196" i="7"/>
  <c r="M118" i="7"/>
  <c r="M133" i="4"/>
  <c r="N54" i="7"/>
  <c r="S127" i="7"/>
  <c r="M190" i="7"/>
  <c r="N58" i="4"/>
  <c r="E31" i="7"/>
  <c r="Q31" i="7" s="1"/>
  <c r="S31" i="7" s="1"/>
  <c r="U31" i="7" s="1"/>
  <c r="N166" i="7"/>
  <c r="S170" i="7"/>
  <c r="S44" i="7"/>
  <c r="N170" i="7"/>
  <c r="N86" i="7"/>
  <c r="N127" i="7"/>
  <c r="T23" i="7"/>
  <c r="E126" i="7"/>
  <c r="U19" i="7"/>
  <c r="G19" i="8" s="1"/>
  <c r="S174" i="7"/>
  <c r="U104" i="7"/>
  <c r="N33" i="7"/>
  <c r="M125" i="7"/>
  <c r="N30" i="7"/>
  <c r="N9" i="7"/>
  <c r="S207" i="7"/>
  <c r="F15" i="7"/>
  <c r="N56" i="7"/>
  <c r="L84" i="7"/>
  <c r="M210" i="7"/>
  <c r="S132" i="7"/>
  <c r="L180" i="7"/>
  <c r="N180" i="7" s="1"/>
  <c r="N41" i="7"/>
  <c r="S167" i="7"/>
  <c r="L185" i="7"/>
  <c r="F23" i="7"/>
  <c r="E209" i="7"/>
  <c r="F46" i="7"/>
  <c r="S111" i="7"/>
  <c r="U111" i="7" s="1"/>
  <c r="T199" i="7"/>
  <c r="T212" i="7"/>
  <c r="U116" i="7"/>
  <c r="N16" i="7"/>
  <c r="T174" i="7"/>
  <c r="F112" i="7"/>
  <c r="N64" i="7"/>
  <c r="M133" i="7"/>
  <c r="N133" i="7" s="1"/>
  <c r="T132" i="7"/>
  <c r="F128" i="7"/>
  <c r="R128" i="7" s="1"/>
  <c r="T128" i="7" s="1"/>
  <c r="E140" i="7"/>
  <c r="Q140" i="7" s="1"/>
  <c r="S140" i="7" s="1"/>
  <c r="F73" i="7"/>
  <c r="N111" i="7"/>
  <c r="M84" i="7"/>
  <c r="T152" i="7"/>
  <c r="T25" i="7"/>
  <c r="F116" i="7"/>
  <c r="E22" i="7"/>
  <c r="Q22" i="7" s="1"/>
  <c r="S22" i="7" s="1"/>
  <c r="N193" i="7"/>
  <c r="N18" i="7"/>
  <c r="N175" i="7"/>
  <c r="E13" i="4"/>
  <c r="Q13" i="4" s="1"/>
  <c r="S13" i="4" s="1"/>
  <c r="N22" i="4"/>
  <c r="F84" i="4"/>
  <c r="N49" i="4"/>
  <c r="L84" i="4"/>
  <c r="M113" i="7"/>
  <c r="N154" i="7"/>
  <c r="F19" i="7"/>
  <c r="F83" i="7"/>
  <c r="U147" i="7"/>
  <c r="S195" i="7"/>
  <c r="E146" i="7"/>
  <c r="E180" i="7"/>
  <c r="T146" i="7"/>
  <c r="S152" i="7"/>
  <c r="L113" i="7"/>
  <c r="T170" i="7"/>
  <c r="S154" i="7"/>
  <c r="T10" i="7"/>
  <c r="M188" i="7"/>
  <c r="M83" i="7"/>
  <c r="M213" i="7"/>
  <c r="T13" i="7"/>
  <c r="N167" i="7"/>
  <c r="T209" i="7"/>
  <c r="T27" i="7"/>
  <c r="T102" i="7"/>
  <c r="T107" i="7"/>
  <c r="N21" i="7"/>
  <c r="L89" i="7"/>
  <c r="N89" i="7" s="1"/>
  <c r="E11" i="7"/>
  <c r="S4" i="7"/>
  <c r="F154" i="7"/>
  <c r="R154" i="7" s="1"/>
  <c r="T154" i="7" s="1"/>
  <c r="E211" i="7"/>
  <c r="S18" i="7"/>
  <c r="L89" i="4"/>
  <c r="N156" i="7"/>
  <c r="N177" i="7"/>
  <c r="N47" i="7"/>
  <c r="M84" i="4"/>
  <c r="E179" i="7"/>
  <c r="L83" i="7"/>
  <c r="T134" i="7"/>
  <c r="E125" i="7"/>
  <c r="J125" i="7" s="1"/>
  <c r="L125" i="7" s="1"/>
  <c r="S102" i="7"/>
  <c r="E87" i="7"/>
  <c r="Q87" i="7" s="1"/>
  <c r="S87" i="7" s="1"/>
  <c r="S107" i="7"/>
  <c r="S27" i="7"/>
  <c r="L188" i="7"/>
  <c r="T184" i="7"/>
  <c r="S54" i="7"/>
  <c r="L213" i="7"/>
  <c r="S209" i="7"/>
  <c r="N146" i="7"/>
  <c r="N143" i="7"/>
  <c r="T125" i="7"/>
  <c r="T167" i="7"/>
  <c r="T101" i="7"/>
  <c r="N50" i="7"/>
  <c r="L104" i="7"/>
  <c r="E213" i="7"/>
  <c r="E186" i="7"/>
  <c r="N119" i="7"/>
  <c r="T140" i="7"/>
  <c r="T213" i="7"/>
  <c r="T114" i="7"/>
  <c r="M199" i="7"/>
  <c r="T17" i="7"/>
  <c r="S186" i="7"/>
  <c r="S190" i="7"/>
  <c r="T192" i="7"/>
  <c r="T9" i="7"/>
  <c r="N7" i="7"/>
  <c r="S212" i="7"/>
  <c r="M206" i="7"/>
  <c r="N206" i="7" s="1"/>
  <c r="S197" i="7"/>
  <c r="E166" i="7"/>
  <c r="F104" i="7"/>
  <c r="K104" i="7" s="1"/>
  <c r="M104" i="7" s="1"/>
  <c r="T14" i="7"/>
  <c r="T168" i="7"/>
  <c r="F129" i="7"/>
  <c r="R129" i="7" s="1"/>
  <c r="T129" i="7" s="1"/>
  <c r="T44" i="7"/>
  <c r="S32" i="7"/>
  <c r="S193" i="7"/>
  <c r="U193" i="7" s="1"/>
  <c r="T206" i="7"/>
  <c r="T126" i="7"/>
  <c r="T180" i="7"/>
  <c r="S199" i="7"/>
  <c r="T56" i="7"/>
  <c r="S125" i="7"/>
  <c r="S26" i="7"/>
  <c r="T210" i="7"/>
  <c r="U210" i="7" s="1"/>
  <c r="T28" i="7"/>
  <c r="M182" i="7"/>
  <c r="T142" i="7"/>
  <c r="E191" i="7"/>
  <c r="E207" i="7"/>
  <c r="E195" i="7"/>
  <c r="J195" i="7" s="1"/>
  <c r="L195" i="7" s="1"/>
  <c r="S213" i="7"/>
  <c r="S12" i="7"/>
  <c r="T91" i="7"/>
  <c r="S30" i="7"/>
  <c r="N126" i="7"/>
  <c r="N207" i="4"/>
  <c r="O46" i="3"/>
  <c r="P46" i="3" s="1"/>
  <c r="E31" i="4"/>
  <c r="Q31" i="4" s="1"/>
  <c r="S31" i="4" s="1"/>
  <c r="U31" i="4" s="1"/>
  <c r="F49" i="4"/>
  <c r="R49" i="4" s="1"/>
  <c r="T49" i="4" s="1"/>
  <c r="N60" i="4"/>
  <c r="F57" i="4"/>
  <c r="R57" i="4" s="1"/>
  <c r="T57" i="4" s="1"/>
  <c r="F7" i="4"/>
  <c r="R7" i="4" s="1"/>
  <c r="T7" i="4" s="1"/>
  <c r="L57" i="4"/>
  <c r="Q57" i="4"/>
  <c r="S57" i="4" s="1"/>
  <c r="F56" i="4"/>
  <c r="R56" i="4" s="1"/>
  <c r="T56" i="4" s="1"/>
  <c r="I185" i="4"/>
  <c r="L185" i="4" s="1"/>
  <c r="I199" i="4"/>
  <c r="I204" i="4"/>
  <c r="I6" i="4"/>
  <c r="I190" i="4"/>
  <c r="I180" i="4"/>
  <c r="L180" i="4" s="1"/>
  <c r="I210" i="4"/>
  <c r="M210" i="4" s="1"/>
  <c r="N129" i="4"/>
  <c r="I202" i="4"/>
  <c r="I200" i="4"/>
  <c r="I125" i="4"/>
  <c r="I118" i="4"/>
  <c r="I172" i="4"/>
  <c r="I209" i="4"/>
  <c r="L209" i="4" s="1"/>
  <c r="I12" i="4"/>
  <c r="I197" i="4"/>
  <c r="I192" i="4"/>
  <c r="I213" i="4"/>
  <c r="M213" i="4" s="1"/>
  <c r="I137" i="4"/>
  <c r="L137" i="4" s="1"/>
  <c r="I198" i="4"/>
  <c r="I168" i="4"/>
  <c r="N134" i="4"/>
  <c r="N15" i="4"/>
  <c r="E23" i="4"/>
  <c r="E54" i="4"/>
  <c r="T114" i="4"/>
  <c r="N78" i="4"/>
  <c r="N179" i="4"/>
  <c r="N33" i="4"/>
  <c r="U116" i="4"/>
  <c r="M89" i="4"/>
  <c r="E32" i="4"/>
  <c r="Q32" i="4" s="1"/>
  <c r="S32" i="4" s="1"/>
  <c r="U185" i="4"/>
  <c r="N64" i="4"/>
  <c r="F28" i="4"/>
  <c r="N45" i="4"/>
  <c r="L83" i="4"/>
  <c r="E47" i="4"/>
  <c r="Q47" i="4" s="1"/>
  <c r="S47" i="4" s="1"/>
  <c r="N146" i="4"/>
  <c r="N35" i="4"/>
  <c r="N140" i="4"/>
  <c r="E193" i="4"/>
  <c r="N170" i="4"/>
  <c r="N11" i="4"/>
  <c r="N95" i="4"/>
  <c r="D7" i="5"/>
  <c r="U150" i="4"/>
  <c r="E25" i="4"/>
  <c r="J25" i="4" s="1"/>
  <c r="L25" i="4" s="1"/>
  <c r="N5" i="4"/>
  <c r="N56" i="4"/>
  <c r="E20" i="4"/>
  <c r="N9" i="4"/>
  <c r="N175" i="4"/>
  <c r="U198" i="4"/>
  <c r="S16" i="4"/>
  <c r="N32" i="4"/>
  <c r="T23" i="4"/>
  <c r="L133" i="4"/>
  <c r="N52" i="4"/>
  <c r="N171" i="7"/>
  <c r="N134" i="7"/>
  <c r="N129" i="7"/>
  <c r="S129" i="7"/>
  <c r="N47" i="4"/>
  <c r="N101" i="4"/>
  <c r="N32" i="7"/>
  <c r="N26" i="7"/>
  <c r="N7" i="4"/>
  <c r="N111" i="4"/>
  <c r="N23" i="4"/>
  <c r="N28" i="4"/>
  <c r="N19" i="4"/>
  <c r="U104" i="4"/>
  <c r="N28" i="7"/>
  <c r="N88" i="7"/>
  <c r="N91" i="7"/>
  <c r="N46" i="7"/>
  <c r="N73" i="7"/>
  <c r="U118" i="7"/>
  <c r="N194" i="7"/>
  <c r="N62" i="7"/>
  <c r="N4" i="7"/>
  <c r="N58" i="7"/>
  <c r="N49" i="7"/>
  <c r="U200" i="7"/>
  <c r="N31" i="7"/>
  <c r="N8" i="7"/>
  <c r="N201" i="7"/>
  <c r="N74" i="7"/>
  <c r="N142" i="7"/>
  <c r="M187" i="7"/>
  <c r="M197" i="7"/>
  <c r="N211" i="7"/>
  <c r="N212" i="7"/>
  <c r="N96" i="7"/>
  <c r="N44" i="7"/>
  <c r="U198" i="7"/>
  <c r="N177" i="4"/>
  <c r="N143" i="4"/>
  <c r="N81" i="4"/>
  <c r="N50" i="4"/>
  <c r="N29" i="4"/>
  <c r="N107" i="4"/>
  <c r="N41" i="4"/>
  <c r="K12" i="4"/>
  <c r="N74" i="4"/>
  <c r="K25" i="4"/>
  <c r="M25" i="4" s="1"/>
  <c r="N96" i="4"/>
  <c r="N51" i="4"/>
  <c r="N20" i="4"/>
  <c r="N62" i="4"/>
  <c r="U19" i="4"/>
  <c r="I19" i="5" s="1"/>
  <c r="N46" i="4"/>
  <c r="U118" i="4"/>
  <c r="N27" i="4"/>
  <c r="N73" i="4"/>
  <c r="N112" i="4"/>
  <c r="T78" i="4"/>
  <c r="T47" i="4"/>
  <c r="N98" i="4"/>
  <c r="N86" i="4"/>
  <c r="N26" i="4"/>
  <c r="N54" i="4"/>
  <c r="N82" i="4"/>
  <c r="N191" i="4"/>
  <c r="N157" i="4"/>
  <c r="E11" i="4"/>
  <c r="F11" i="4"/>
  <c r="E27" i="4"/>
  <c r="F27" i="4"/>
  <c r="N126" i="4"/>
  <c r="T12" i="4"/>
  <c r="E51" i="4"/>
  <c r="Q51" i="4" s="1"/>
  <c r="S51" i="4" s="1"/>
  <c r="F51" i="4"/>
  <c r="R51" i="4" s="1"/>
  <c r="T51" i="4" s="1"/>
  <c r="N114" i="4"/>
  <c r="N21" i="4"/>
  <c r="N63" i="4"/>
  <c r="N88" i="4"/>
  <c r="E154" i="4"/>
  <c r="Q154" i="4" s="1"/>
  <c r="S154" i="4" s="1"/>
  <c r="S81" i="3"/>
  <c r="F16" i="4"/>
  <c r="N17" i="4"/>
  <c r="N59" i="4"/>
  <c r="N142" i="4"/>
  <c r="M87" i="4"/>
  <c r="T154" i="4"/>
  <c r="U82" i="3"/>
  <c r="E114" i="4"/>
  <c r="E78" i="4"/>
  <c r="Q78" i="4" s="1"/>
  <c r="S78" i="4" s="1"/>
  <c r="K13" i="4"/>
  <c r="M13" i="4" s="1"/>
  <c r="E22" i="4"/>
  <c r="Q22" i="4" s="1"/>
  <c r="S22" i="4" s="1"/>
  <c r="F22" i="4"/>
  <c r="R22" i="4" s="1"/>
  <c r="T22" i="4" s="1"/>
  <c r="N201" i="4"/>
  <c r="N174" i="4"/>
  <c r="N154" i="4"/>
  <c r="N44" i="4"/>
  <c r="U147" i="4"/>
  <c r="N30" i="4"/>
  <c r="S23" i="4"/>
  <c r="E52" i="4"/>
  <c r="Q52" i="4" s="1"/>
  <c r="S52" i="4" s="1"/>
  <c r="F52" i="4"/>
  <c r="R52" i="4" s="1"/>
  <c r="T52" i="4" s="1"/>
  <c r="N156" i="4"/>
  <c r="E12" i="4"/>
  <c r="J12" i="4" s="1"/>
  <c r="E50" i="4"/>
  <c r="Q50" i="4" s="1"/>
  <c r="S50" i="4" s="1"/>
  <c r="F50" i="4"/>
  <c r="R50" i="4" s="1"/>
  <c r="T50" i="4" s="1"/>
  <c r="F48" i="4"/>
  <c r="E48" i="4"/>
  <c r="F152" i="4"/>
  <c r="K152" i="4" s="1"/>
  <c r="E152" i="4"/>
  <c r="J152" i="4" s="1"/>
  <c r="F128" i="4"/>
  <c r="E128" i="4"/>
  <c r="T175" i="4"/>
  <c r="S175" i="4"/>
  <c r="W10" i="4"/>
  <c r="D10" i="5" s="1"/>
  <c r="N153" i="4"/>
  <c r="U200" i="4"/>
  <c r="F124" i="4"/>
  <c r="E124" i="4"/>
  <c r="E80" i="4"/>
  <c r="F80" i="4"/>
  <c r="F44" i="4"/>
  <c r="E44" i="4"/>
  <c r="F40" i="4"/>
  <c r="E40" i="4"/>
  <c r="E82" i="4"/>
  <c r="Q82" i="4" s="1"/>
  <c r="S82" i="4" s="1"/>
  <c r="F82" i="4"/>
  <c r="R82" i="4" s="1"/>
  <c r="T82" i="4" s="1"/>
  <c r="F65" i="4"/>
  <c r="E65" i="4"/>
  <c r="F167" i="4"/>
  <c r="E167" i="4"/>
  <c r="F113" i="4"/>
  <c r="E113" i="4"/>
  <c r="F204" i="4"/>
  <c r="E204" i="4"/>
  <c r="E130" i="4"/>
  <c r="F130" i="4"/>
  <c r="F168" i="4"/>
  <c r="K168" i="4" s="1"/>
  <c r="E168" i="4"/>
  <c r="J168" i="4" s="1"/>
  <c r="F184" i="4"/>
  <c r="K184" i="4" s="1"/>
  <c r="M184" i="4" s="1"/>
  <c r="E184" i="4"/>
  <c r="J184" i="4" s="1"/>
  <c r="L184" i="4" s="1"/>
  <c r="F179" i="4"/>
  <c r="E179" i="4"/>
  <c r="F197" i="4"/>
  <c r="K197" i="4" s="1"/>
  <c r="E197" i="4"/>
  <c r="J197" i="4" s="1"/>
  <c r="F187" i="4"/>
  <c r="E187" i="4"/>
  <c r="F62" i="4"/>
  <c r="R62" i="4" s="1"/>
  <c r="T62" i="4" s="1"/>
  <c r="E62" i="4"/>
  <c r="Q62" i="4" s="1"/>
  <c r="S62" i="4" s="1"/>
  <c r="F18" i="4"/>
  <c r="E18" i="4"/>
  <c r="F5" i="4"/>
  <c r="R5" i="4" s="1"/>
  <c r="T5" i="4" s="1"/>
  <c r="E5" i="4"/>
  <c r="Q5" i="4" s="1"/>
  <c r="S5" i="4" s="1"/>
  <c r="F67" i="4"/>
  <c r="E67" i="4"/>
  <c r="T20" i="4"/>
  <c r="S20" i="4"/>
  <c r="T30" i="4"/>
  <c r="S30" i="4"/>
  <c r="S119" i="4"/>
  <c r="T119" i="4"/>
  <c r="T45" i="4"/>
  <c r="S45" i="4"/>
  <c r="S65" i="4"/>
  <c r="T65" i="4"/>
  <c r="T182" i="4"/>
  <c r="S182" i="4"/>
  <c r="T197" i="4"/>
  <c r="S197" i="4"/>
  <c r="T174" i="4"/>
  <c r="S174" i="4"/>
  <c r="T192" i="4"/>
  <c r="S192" i="4"/>
  <c r="S114" i="4"/>
  <c r="S7" i="4"/>
  <c r="F115" i="4"/>
  <c r="R115" i="4" s="1"/>
  <c r="T115" i="4" s="1"/>
  <c r="E115" i="4"/>
  <c r="Q115" i="4" s="1"/>
  <c r="S115" i="4" s="1"/>
  <c r="F174" i="4"/>
  <c r="E174" i="4"/>
  <c r="F202" i="4"/>
  <c r="K202" i="4" s="1"/>
  <c r="E202" i="4"/>
  <c r="J202" i="4" s="1"/>
  <c r="F26" i="4"/>
  <c r="R26" i="4" s="1"/>
  <c r="T26" i="4" s="1"/>
  <c r="E26" i="4"/>
  <c r="Q26" i="4" s="1"/>
  <c r="S26" i="4" s="1"/>
  <c r="E58" i="4"/>
  <c r="Q58" i="4" s="1"/>
  <c r="S58" i="4" s="1"/>
  <c r="F58" i="4"/>
  <c r="R58" i="4" s="1"/>
  <c r="T58" i="4" s="1"/>
  <c r="F19" i="4"/>
  <c r="E19" i="4"/>
  <c r="F60" i="4"/>
  <c r="E60" i="4"/>
  <c r="F64" i="4"/>
  <c r="R64" i="4" s="1"/>
  <c r="T64" i="4" s="1"/>
  <c r="E64" i="4"/>
  <c r="Q64" i="4" s="1"/>
  <c r="S64" i="4" s="1"/>
  <c r="F95" i="4"/>
  <c r="R95" i="4" s="1"/>
  <c r="T95" i="4" s="1"/>
  <c r="E95" i="4"/>
  <c r="Q95" i="4" s="1"/>
  <c r="S95" i="4" s="1"/>
  <c r="E91" i="4"/>
  <c r="Q91" i="4" s="1"/>
  <c r="S91" i="4" s="1"/>
  <c r="F91" i="4"/>
  <c r="R91" i="4" s="1"/>
  <c r="T91" i="4" s="1"/>
  <c r="F210" i="4"/>
  <c r="E210" i="4"/>
  <c r="F125" i="4"/>
  <c r="K125" i="4" s="1"/>
  <c r="E125" i="4"/>
  <c r="J125" i="4" s="1"/>
  <c r="F150" i="4"/>
  <c r="K150" i="4" s="1"/>
  <c r="E150" i="4"/>
  <c r="J150" i="4" s="1"/>
  <c r="F156" i="4"/>
  <c r="R156" i="4" s="1"/>
  <c r="T156" i="4" s="1"/>
  <c r="E156" i="4"/>
  <c r="Q156" i="4" s="1"/>
  <c r="S156" i="4" s="1"/>
  <c r="F196" i="4"/>
  <c r="K196" i="4" s="1"/>
  <c r="M196" i="4" s="1"/>
  <c r="E196" i="4"/>
  <c r="J196" i="4" s="1"/>
  <c r="L196" i="4" s="1"/>
  <c r="F207" i="4"/>
  <c r="E207" i="4"/>
  <c r="E208" i="4"/>
  <c r="J208" i="4" s="1"/>
  <c r="F208" i="4"/>
  <c r="K208" i="4" s="1"/>
  <c r="F41" i="4"/>
  <c r="R41" i="4" s="1"/>
  <c r="T41" i="4" s="1"/>
  <c r="E41" i="4"/>
  <c r="Q41" i="4" s="1"/>
  <c r="S41" i="4" s="1"/>
  <c r="F14" i="4"/>
  <c r="E14" i="4"/>
  <c r="F21" i="4"/>
  <c r="R21" i="4" s="1"/>
  <c r="T21" i="4" s="1"/>
  <c r="E21" i="4"/>
  <c r="Q21" i="4" s="1"/>
  <c r="S21" i="4" s="1"/>
  <c r="S59" i="4"/>
  <c r="T59" i="4"/>
  <c r="T14" i="4"/>
  <c r="S14" i="4"/>
  <c r="T83" i="4"/>
  <c r="S83" i="4"/>
  <c r="S44" i="4"/>
  <c r="T44" i="4"/>
  <c r="S107" i="4"/>
  <c r="T107" i="4"/>
  <c r="T125" i="4"/>
  <c r="S125" i="4"/>
  <c r="T210" i="4"/>
  <c r="S210" i="4"/>
  <c r="S190" i="4"/>
  <c r="T190" i="4"/>
  <c r="T199" i="4"/>
  <c r="S199" i="4"/>
  <c r="T213" i="4"/>
  <c r="S213" i="4"/>
  <c r="W14" i="4"/>
  <c r="D14" i="5" s="1"/>
  <c r="T102" i="4"/>
  <c r="S102" i="4"/>
  <c r="E86" i="4"/>
  <c r="Q86" i="4" s="1"/>
  <c r="S86" i="4" s="1"/>
  <c r="F86" i="4"/>
  <c r="R86" i="4" s="1"/>
  <c r="T86" i="4" s="1"/>
  <c r="F190" i="4"/>
  <c r="K190" i="4" s="1"/>
  <c r="E190" i="4"/>
  <c r="J190" i="4" s="1"/>
  <c r="T60" i="4"/>
  <c r="S60" i="4"/>
  <c r="T171" i="4"/>
  <c r="S171" i="4"/>
  <c r="F63" i="4"/>
  <c r="R63" i="4" s="1"/>
  <c r="E63" i="4"/>
  <c r="Q63" i="4" s="1"/>
  <c r="S63" i="4" s="1"/>
  <c r="F89" i="4"/>
  <c r="R89" i="4" s="1"/>
  <c r="T89" i="4" s="1"/>
  <c r="E89" i="4"/>
  <c r="Q89" i="4" s="1"/>
  <c r="S89" i="4" s="1"/>
  <c r="E101" i="4"/>
  <c r="F101" i="4"/>
  <c r="E92" i="4"/>
  <c r="Q92" i="4" s="1"/>
  <c r="S92" i="4" s="1"/>
  <c r="F92" i="4"/>
  <c r="R92" i="4" s="1"/>
  <c r="T92" i="4" s="1"/>
  <c r="F129" i="4"/>
  <c r="R129" i="4" s="1"/>
  <c r="T129" i="4" s="1"/>
  <c r="E129" i="4"/>
  <c r="Q129" i="4" s="1"/>
  <c r="S129" i="4" s="1"/>
  <c r="F155" i="4"/>
  <c r="R155" i="4" s="1"/>
  <c r="T155" i="4" s="1"/>
  <c r="E155" i="4"/>
  <c r="Q155" i="4" s="1"/>
  <c r="S155" i="4" s="1"/>
  <c r="E117" i="4"/>
  <c r="F117" i="4"/>
  <c r="F209" i="4"/>
  <c r="E209" i="4"/>
  <c r="F195" i="4"/>
  <c r="K195" i="4" s="1"/>
  <c r="M195" i="4" s="1"/>
  <c r="E195" i="4"/>
  <c r="J195" i="4" s="1"/>
  <c r="L195" i="4" s="1"/>
  <c r="F201" i="4"/>
  <c r="E201" i="4"/>
  <c r="F212" i="4"/>
  <c r="E212" i="4"/>
  <c r="E213" i="4"/>
  <c r="F213" i="4"/>
  <c r="F35" i="4"/>
  <c r="R35" i="4" s="1"/>
  <c r="T35" i="4" s="1"/>
  <c r="E35" i="4"/>
  <c r="Q35" i="4" s="1"/>
  <c r="S35" i="4" s="1"/>
  <c r="N116" i="4"/>
  <c r="F134" i="4"/>
  <c r="R134" i="4" s="1"/>
  <c r="T134" i="4" s="1"/>
  <c r="E134" i="4"/>
  <c r="Q134" i="4" s="1"/>
  <c r="S134" i="4" s="1"/>
  <c r="F29" i="4"/>
  <c r="E29" i="4"/>
  <c r="T13" i="4"/>
  <c r="T18" i="4"/>
  <c r="S18" i="4"/>
  <c r="T63" i="4"/>
  <c r="T124" i="4"/>
  <c r="S124" i="4"/>
  <c r="T28" i="4"/>
  <c r="S28" i="4"/>
  <c r="L113" i="4"/>
  <c r="M113" i="4"/>
  <c r="W17" i="4"/>
  <c r="D17" i="5" s="1"/>
  <c r="F90" i="4"/>
  <c r="E90" i="4"/>
  <c r="F185" i="4"/>
  <c r="E185" i="4"/>
  <c r="F33" i="4"/>
  <c r="E33" i="4"/>
  <c r="T209" i="4"/>
  <c r="S209" i="4"/>
  <c r="L40" i="4"/>
  <c r="M40" i="4"/>
  <c r="F140" i="4"/>
  <c r="R140" i="4" s="1"/>
  <c r="T140" i="4" s="1"/>
  <c r="E140" i="4"/>
  <c r="Q140" i="4" s="1"/>
  <c r="S140" i="4" s="1"/>
  <c r="F15" i="4"/>
  <c r="E15" i="4"/>
  <c r="F81" i="4"/>
  <c r="R81" i="4" s="1"/>
  <c r="T81" i="4" s="1"/>
  <c r="E81" i="4"/>
  <c r="Q81" i="4" s="1"/>
  <c r="S81" i="4" s="1"/>
  <c r="F102" i="4"/>
  <c r="E102" i="4"/>
  <c r="E131" i="4"/>
  <c r="Q131" i="4" s="1"/>
  <c r="S131" i="4" s="1"/>
  <c r="F131" i="4"/>
  <c r="R131" i="4" s="1"/>
  <c r="T131" i="4" s="1"/>
  <c r="F107" i="4"/>
  <c r="E107" i="4"/>
  <c r="F200" i="4"/>
  <c r="K200" i="4" s="1"/>
  <c r="E200" i="4"/>
  <c r="J200" i="4" s="1"/>
  <c r="F142" i="4"/>
  <c r="R142" i="4" s="1"/>
  <c r="T142" i="4" s="1"/>
  <c r="E142" i="4"/>
  <c r="Q142" i="4" s="1"/>
  <c r="S142" i="4" s="1"/>
  <c r="F175" i="4"/>
  <c r="E175" i="4"/>
  <c r="E144" i="4"/>
  <c r="Q144" i="4" s="1"/>
  <c r="S144" i="4" s="1"/>
  <c r="F144" i="4"/>
  <c r="R144" i="4" s="1"/>
  <c r="T144" i="4" s="1"/>
  <c r="F170" i="4"/>
  <c r="E170" i="4"/>
  <c r="E172" i="4"/>
  <c r="F172" i="4"/>
  <c r="E198" i="4"/>
  <c r="J198" i="4" s="1"/>
  <c r="F198" i="4"/>
  <c r="K198" i="4" s="1"/>
  <c r="F8" i="4"/>
  <c r="E8" i="4"/>
  <c r="T73" i="4"/>
  <c r="S73" i="4"/>
  <c r="S127" i="4"/>
  <c r="T127" i="4"/>
  <c r="S101" i="4"/>
  <c r="T101" i="4"/>
  <c r="S40" i="4"/>
  <c r="T40" i="4"/>
  <c r="S106" i="4"/>
  <c r="T106" i="4"/>
  <c r="S170" i="4"/>
  <c r="T170" i="4"/>
  <c r="S196" i="4"/>
  <c r="T196" i="4"/>
  <c r="T186" i="4"/>
  <c r="S186" i="4"/>
  <c r="F66" i="4"/>
  <c r="E66" i="4"/>
  <c r="F116" i="4"/>
  <c r="E116" i="4"/>
  <c r="F199" i="4"/>
  <c r="K199" i="4" s="1"/>
  <c r="E199" i="4"/>
  <c r="J199" i="4" s="1"/>
  <c r="N102" i="4"/>
  <c r="U189" i="4"/>
  <c r="E10" i="4"/>
  <c r="F10" i="4"/>
  <c r="F88" i="4"/>
  <c r="R88" i="4" s="1"/>
  <c r="T88" i="4" s="1"/>
  <c r="E88" i="4"/>
  <c r="Q88" i="4" s="1"/>
  <c r="S88" i="4" s="1"/>
  <c r="E112" i="4"/>
  <c r="F112" i="4"/>
  <c r="F132" i="4"/>
  <c r="K132" i="4" s="1"/>
  <c r="M132" i="4" s="1"/>
  <c r="E132" i="4"/>
  <c r="J132" i="4" s="1"/>
  <c r="L132" i="4" s="1"/>
  <c r="F111" i="4"/>
  <c r="E111" i="4"/>
  <c r="F166" i="4"/>
  <c r="E166" i="4"/>
  <c r="E98" i="4"/>
  <c r="Q98" i="4" s="1"/>
  <c r="S98" i="4" s="1"/>
  <c r="F98" i="4"/>
  <c r="R98" i="4" s="1"/>
  <c r="T98" i="4" s="1"/>
  <c r="E153" i="4"/>
  <c r="Q153" i="4" s="1"/>
  <c r="S153" i="4" s="1"/>
  <c r="F153" i="4"/>
  <c r="R153" i="4" s="1"/>
  <c r="T153" i="4" s="1"/>
  <c r="F189" i="4"/>
  <c r="K189" i="4" s="1"/>
  <c r="M189" i="4" s="1"/>
  <c r="E189" i="4"/>
  <c r="J189" i="4" s="1"/>
  <c r="L189" i="4" s="1"/>
  <c r="F206" i="4"/>
  <c r="E206" i="4"/>
  <c r="F186" i="4"/>
  <c r="E186" i="4"/>
  <c r="E73" i="4"/>
  <c r="F73" i="4"/>
  <c r="F30" i="4"/>
  <c r="E30" i="4"/>
  <c r="F9" i="4"/>
  <c r="R9" i="4" s="1"/>
  <c r="T9" i="4" s="1"/>
  <c r="E9" i="4"/>
  <c r="Q9" i="4" s="1"/>
  <c r="S9" i="4" s="1"/>
  <c r="E97" i="4"/>
  <c r="J97" i="4" s="1"/>
  <c r="F97" i="4"/>
  <c r="K97" i="4" s="1"/>
  <c r="S29" i="4"/>
  <c r="T29" i="4"/>
  <c r="S49" i="4"/>
  <c r="T15" i="4"/>
  <c r="S15" i="4"/>
  <c r="T112" i="4"/>
  <c r="S112" i="4"/>
  <c r="T111" i="4"/>
  <c r="S111" i="4"/>
  <c r="S46" i="4"/>
  <c r="T46" i="4"/>
  <c r="T146" i="4"/>
  <c r="S146" i="4"/>
  <c r="T113" i="4"/>
  <c r="S113" i="4"/>
  <c r="S177" i="4"/>
  <c r="T177" i="4"/>
  <c r="T207" i="4"/>
  <c r="S207" i="4"/>
  <c r="T208" i="4"/>
  <c r="S208" i="4"/>
  <c r="F45" i="4"/>
  <c r="E45" i="4"/>
  <c r="E137" i="4"/>
  <c r="Q137" i="4" s="1"/>
  <c r="S137" i="4" s="1"/>
  <c r="F137" i="4"/>
  <c r="R137" i="4" s="1"/>
  <c r="T137" i="4" s="1"/>
  <c r="T193" i="4"/>
  <c r="S193" i="4"/>
  <c r="N211" i="4"/>
  <c r="N167" i="4"/>
  <c r="N16" i="4"/>
  <c r="F87" i="4"/>
  <c r="R87" i="4" s="1"/>
  <c r="T87" i="4" s="1"/>
  <c r="E87" i="4"/>
  <c r="Q87" i="4" s="1"/>
  <c r="S87" i="4" s="1"/>
  <c r="F6" i="4"/>
  <c r="E6" i="4"/>
  <c r="F118" i="4"/>
  <c r="K118" i="4" s="1"/>
  <c r="E118" i="4"/>
  <c r="J118" i="4" s="1"/>
  <c r="E69" i="4"/>
  <c r="F69" i="4"/>
  <c r="F46" i="4"/>
  <c r="E46" i="4"/>
  <c r="F147" i="4"/>
  <c r="K147" i="4" s="1"/>
  <c r="E147" i="4"/>
  <c r="J147" i="4" s="1"/>
  <c r="F96" i="4"/>
  <c r="R96" i="4" s="1"/>
  <c r="T96" i="4" s="1"/>
  <c r="E96" i="4"/>
  <c r="Q96" i="4" s="1"/>
  <c r="S96" i="4" s="1"/>
  <c r="F182" i="4"/>
  <c r="K182" i="4" s="1"/>
  <c r="E182" i="4"/>
  <c r="J182" i="4" s="1"/>
  <c r="E106" i="4"/>
  <c r="J106" i="4" s="1"/>
  <c r="L106" i="4" s="1"/>
  <c r="F106" i="4"/>
  <c r="K106" i="4" s="1"/>
  <c r="M106" i="4" s="1"/>
  <c r="E157" i="4"/>
  <c r="Q157" i="4" s="1"/>
  <c r="S157" i="4" s="1"/>
  <c r="F157" i="4"/>
  <c r="R157" i="4" s="1"/>
  <c r="T157" i="4" s="1"/>
  <c r="F194" i="4"/>
  <c r="E194" i="4"/>
  <c r="F211" i="4"/>
  <c r="E211" i="4"/>
  <c r="F191" i="4"/>
  <c r="E191" i="4"/>
  <c r="F85" i="4"/>
  <c r="E85" i="4"/>
  <c r="F4" i="4"/>
  <c r="R4" i="4" s="1"/>
  <c r="T4" i="4" s="1"/>
  <c r="E4" i="4"/>
  <c r="Q4" i="4" s="1"/>
  <c r="S4" i="4" s="1"/>
  <c r="T25" i="4"/>
  <c r="S33" i="4"/>
  <c r="T33" i="4"/>
  <c r="T84" i="4"/>
  <c r="S84" i="4"/>
  <c r="S11" i="4"/>
  <c r="T11" i="4"/>
  <c r="T27" i="4"/>
  <c r="S27" i="4"/>
  <c r="T132" i="4"/>
  <c r="S132" i="4"/>
  <c r="T168" i="4"/>
  <c r="S168" i="4"/>
  <c r="T184" i="4"/>
  <c r="S184" i="4"/>
  <c r="S206" i="4"/>
  <c r="T206" i="4"/>
  <c r="T212" i="4"/>
  <c r="S212" i="4"/>
  <c r="T180" i="4"/>
  <c r="S180" i="4"/>
  <c r="O45" i="3"/>
  <c r="P45" i="3" s="1"/>
  <c r="W152" i="4"/>
  <c r="D152" i="5" s="1"/>
  <c r="F143" i="4"/>
  <c r="R143" i="4" s="1"/>
  <c r="T143" i="4" s="1"/>
  <c r="E143" i="4"/>
  <c r="Q143" i="4" s="1"/>
  <c r="S143" i="4" s="1"/>
  <c r="F59" i="4"/>
  <c r="E59" i="4"/>
  <c r="T201" i="4"/>
  <c r="S201" i="4"/>
  <c r="T54" i="4"/>
  <c r="S54" i="4"/>
  <c r="N65" i="4"/>
  <c r="F127" i="4"/>
  <c r="E127" i="4"/>
  <c r="F38" i="4"/>
  <c r="R38" i="4" s="1"/>
  <c r="T38" i="4" s="1"/>
  <c r="E38" i="4"/>
  <c r="Q38" i="4" s="1"/>
  <c r="S38" i="4" s="1"/>
  <c r="E133" i="4"/>
  <c r="F133" i="4"/>
  <c r="E76" i="4"/>
  <c r="Q76" i="4" s="1"/>
  <c r="S76" i="4" s="1"/>
  <c r="F76" i="4"/>
  <c r="R76" i="4" s="1"/>
  <c r="T76" i="4" s="1"/>
  <c r="F61" i="4"/>
  <c r="E61" i="4"/>
  <c r="F146" i="4"/>
  <c r="E146" i="4"/>
  <c r="F104" i="4"/>
  <c r="K104" i="4" s="1"/>
  <c r="M104" i="4" s="1"/>
  <c r="E104" i="4"/>
  <c r="J104" i="4" s="1"/>
  <c r="L104" i="4" s="1"/>
  <c r="E126" i="4"/>
  <c r="F126" i="4"/>
  <c r="F171" i="4"/>
  <c r="E171" i="4"/>
  <c r="F192" i="4"/>
  <c r="K192" i="4" s="1"/>
  <c r="E192" i="4"/>
  <c r="J192" i="4" s="1"/>
  <c r="F180" i="4"/>
  <c r="E180" i="4"/>
  <c r="F74" i="4"/>
  <c r="R74" i="4" s="1"/>
  <c r="T74" i="4" s="1"/>
  <c r="E74" i="4"/>
  <c r="Q74" i="4" s="1"/>
  <c r="S74" i="4" s="1"/>
  <c r="F17" i="4"/>
  <c r="R17" i="4" s="1"/>
  <c r="T17" i="4" s="1"/>
  <c r="E17" i="4"/>
  <c r="Q17" i="4" s="1"/>
  <c r="S17" i="4" s="1"/>
  <c r="S56" i="4"/>
  <c r="S133" i="4"/>
  <c r="T133" i="4"/>
  <c r="T194" i="4"/>
  <c r="S194" i="4"/>
  <c r="S152" i="4"/>
  <c r="T152" i="4"/>
  <c r="T126" i="4"/>
  <c r="S126" i="4"/>
  <c r="S167" i="4"/>
  <c r="T167" i="4"/>
  <c r="T195" i="4"/>
  <c r="S195" i="4"/>
  <c r="S211" i="4"/>
  <c r="T211" i="4"/>
  <c r="T166" i="4"/>
  <c r="S166" i="4"/>
  <c r="T191" i="4"/>
  <c r="S191" i="4"/>
  <c r="W25" i="4"/>
  <c r="D25" i="5" s="1"/>
  <c r="O47" i="3"/>
  <c r="P47" i="3" s="1"/>
  <c r="T32" i="4"/>
  <c r="S46" i="7"/>
  <c r="T46" i="7"/>
  <c r="E80" i="7"/>
  <c r="F80" i="7"/>
  <c r="F115" i="7"/>
  <c r="R115" i="7" s="1"/>
  <c r="T115" i="7" s="1"/>
  <c r="E115" i="7"/>
  <c r="Q115" i="7" s="1"/>
  <c r="S115" i="7" s="1"/>
  <c r="E206" i="7"/>
  <c r="F206" i="7"/>
  <c r="T54" i="7"/>
  <c r="E114" i="7"/>
  <c r="F114" i="7"/>
  <c r="S184" i="7"/>
  <c r="N115" i="7"/>
  <c r="F58" i="7"/>
  <c r="R58" i="7" s="1"/>
  <c r="T58" i="7" s="1"/>
  <c r="E58" i="7"/>
  <c r="Q58" i="7" s="1"/>
  <c r="S58" i="7" s="1"/>
  <c r="F167" i="7"/>
  <c r="E167" i="7"/>
  <c r="E201" i="7"/>
  <c r="F201" i="7"/>
  <c r="S23" i="7"/>
  <c r="F38" i="7"/>
  <c r="E38" i="7"/>
  <c r="N102" i="7"/>
  <c r="N207" i="7"/>
  <c r="N191" i="7"/>
  <c r="S168" i="7"/>
  <c r="E142" i="7"/>
  <c r="Q142" i="7" s="1"/>
  <c r="S142" i="7" s="1"/>
  <c r="E188" i="7"/>
  <c r="E175" i="7"/>
  <c r="E182" i="7"/>
  <c r="J182" i="7" s="1"/>
  <c r="L182" i="7" s="1"/>
  <c r="N114" i="7"/>
  <c r="N95" i="7"/>
  <c r="N45" i="7"/>
  <c r="E69" i="7"/>
  <c r="Q69" i="7" s="1"/>
  <c r="S69" i="7" s="1"/>
  <c r="S8" i="7"/>
  <c r="T182" i="7"/>
  <c r="S182" i="7"/>
  <c r="E98" i="7"/>
  <c r="Q98" i="7" s="1"/>
  <c r="S98" i="7" s="1"/>
  <c r="F98" i="7"/>
  <c r="R98" i="7" s="1"/>
  <c r="T98" i="7" s="1"/>
  <c r="E101" i="7"/>
  <c r="F101" i="7"/>
  <c r="F185" i="7"/>
  <c r="E185" i="7"/>
  <c r="E113" i="7"/>
  <c r="F113" i="7"/>
  <c r="F202" i="7"/>
  <c r="K202" i="7" s="1"/>
  <c r="M202" i="7" s="1"/>
  <c r="E202" i="7"/>
  <c r="J202" i="7" s="1"/>
  <c r="L202" i="7" s="1"/>
  <c r="E106" i="7"/>
  <c r="J106" i="7" s="1"/>
  <c r="L106" i="7" s="1"/>
  <c r="F106" i="7"/>
  <c r="K106" i="7" s="1"/>
  <c r="M106" i="7" s="1"/>
  <c r="F130" i="7"/>
  <c r="E130" i="7"/>
  <c r="E117" i="7"/>
  <c r="F117" i="7"/>
  <c r="E78" i="7"/>
  <c r="Q78" i="7" s="1"/>
  <c r="S78" i="7" s="1"/>
  <c r="F78" i="7"/>
  <c r="R78" i="7" s="1"/>
  <c r="T78" i="7" s="1"/>
  <c r="F184" i="7"/>
  <c r="K184" i="7" s="1"/>
  <c r="M184" i="7" s="1"/>
  <c r="E184" i="7"/>
  <c r="J184" i="7" s="1"/>
  <c r="L184" i="7" s="1"/>
  <c r="E210" i="7"/>
  <c r="F210" i="7"/>
  <c r="F6" i="7"/>
  <c r="E6" i="7"/>
  <c r="T143" i="7"/>
  <c r="M209" i="7"/>
  <c r="L209" i="7"/>
  <c r="T7" i="7"/>
  <c r="F62" i="7"/>
  <c r="R62" i="7" s="1"/>
  <c r="T62" i="7" s="1"/>
  <c r="E62" i="7"/>
  <c r="Q62" i="7" s="1"/>
  <c r="S62" i="7" s="1"/>
  <c r="F111" i="7"/>
  <c r="E111" i="7"/>
  <c r="F174" i="7"/>
  <c r="E174" i="7"/>
  <c r="S179" i="7"/>
  <c r="U179" i="7" s="1"/>
  <c r="T190" i="7"/>
  <c r="E134" i="7"/>
  <c r="Q134" i="7" s="1"/>
  <c r="S134" i="7" s="1"/>
  <c r="S101" i="7"/>
  <c r="S21" i="7"/>
  <c r="N5" i="7"/>
  <c r="S114" i="7"/>
  <c r="N98" i="7"/>
  <c r="E92" i="7"/>
  <c r="Q92" i="7" s="1"/>
  <c r="S92" i="7" s="1"/>
  <c r="F92" i="7"/>
  <c r="R92" i="7" s="1"/>
  <c r="T92" i="7" s="1"/>
  <c r="S106" i="7"/>
  <c r="T106" i="7"/>
  <c r="T4" i="7"/>
  <c r="S113" i="7"/>
  <c r="T113" i="7"/>
  <c r="T127" i="7"/>
  <c r="S211" i="7"/>
  <c r="F44" i="7"/>
  <c r="E44" i="7"/>
  <c r="F66" i="7"/>
  <c r="E66" i="7"/>
  <c r="F124" i="7"/>
  <c r="E124" i="7"/>
  <c r="F67" i="7"/>
  <c r="E67" i="7"/>
  <c r="E131" i="7"/>
  <c r="Q131" i="7" s="1"/>
  <c r="S131" i="7" s="1"/>
  <c r="F131" i="7"/>
  <c r="R131" i="7" s="1"/>
  <c r="T131" i="7" s="1"/>
  <c r="E119" i="7"/>
  <c r="F119" i="7"/>
  <c r="F82" i="7"/>
  <c r="R82" i="7" s="1"/>
  <c r="T82" i="7" s="1"/>
  <c r="E82" i="7"/>
  <c r="Q82" i="7" s="1"/>
  <c r="S82" i="7" s="1"/>
  <c r="F212" i="7"/>
  <c r="E212" i="7"/>
  <c r="U150" i="7"/>
  <c r="S40" i="7"/>
  <c r="T40" i="7"/>
  <c r="T16" i="7"/>
  <c r="S191" i="7"/>
  <c r="F74" i="7"/>
  <c r="R74" i="7" s="1"/>
  <c r="T74" i="7" s="1"/>
  <c r="E74" i="7"/>
  <c r="Q74" i="7" s="1"/>
  <c r="S74" i="7" s="1"/>
  <c r="F168" i="7"/>
  <c r="K168" i="7" s="1"/>
  <c r="M168" i="7" s="1"/>
  <c r="E168" i="7"/>
  <c r="J168" i="7" s="1"/>
  <c r="L168" i="7" s="1"/>
  <c r="E57" i="7"/>
  <c r="F57" i="7"/>
  <c r="S11" i="7"/>
  <c r="T11" i="7"/>
  <c r="M147" i="7"/>
  <c r="F35" i="7"/>
  <c r="R35" i="7" s="1"/>
  <c r="T35" i="7" s="1"/>
  <c r="E35" i="7"/>
  <c r="Q35" i="7" s="1"/>
  <c r="S35" i="7" s="1"/>
  <c r="F192" i="7"/>
  <c r="K192" i="7" s="1"/>
  <c r="M192" i="7" s="1"/>
  <c r="E192" i="7"/>
  <c r="J192" i="7" s="1"/>
  <c r="L192" i="7" s="1"/>
  <c r="E95" i="7"/>
  <c r="Q95" i="7" s="1"/>
  <c r="S95" i="7" s="1"/>
  <c r="F95" i="7"/>
  <c r="R95" i="7" s="1"/>
  <c r="T95" i="7" s="1"/>
  <c r="F96" i="7"/>
  <c r="R96" i="7" s="1"/>
  <c r="T96" i="7" s="1"/>
  <c r="E96" i="7"/>
  <c r="Q96" i="7" s="1"/>
  <c r="S96" i="7" s="1"/>
  <c r="F208" i="7"/>
  <c r="K208" i="7" s="1"/>
  <c r="M208" i="7" s="1"/>
  <c r="E208" i="7"/>
  <c r="J208" i="7" s="1"/>
  <c r="L208" i="7" s="1"/>
  <c r="E47" i="7"/>
  <c r="Q47" i="7" s="1"/>
  <c r="S47" i="7" s="1"/>
  <c r="F47" i="7"/>
  <c r="R47" i="7" s="1"/>
  <c r="T47" i="7" s="1"/>
  <c r="S192" i="7"/>
  <c r="N107" i="7"/>
  <c r="N101" i="7"/>
  <c r="N23" i="7"/>
  <c r="E17" i="7"/>
  <c r="Q17" i="7" s="1"/>
  <c r="S17" i="7" s="1"/>
  <c r="S124" i="7"/>
  <c r="T124" i="7"/>
  <c r="S180" i="7"/>
  <c r="S112" i="7"/>
  <c r="T112" i="7"/>
  <c r="F81" i="7"/>
  <c r="R81" i="7" s="1"/>
  <c r="T81" i="7" s="1"/>
  <c r="E81" i="7"/>
  <c r="Q81" i="7" s="1"/>
  <c r="S81" i="7" s="1"/>
  <c r="Q128" i="7"/>
  <c r="S128" i="7" s="1"/>
  <c r="J128" i="7"/>
  <c r="L128" i="7" s="1"/>
  <c r="F170" i="7"/>
  <c r="E170" i="7"/>
  <c r="E88" i="7"/>
  <c r="Q88" i="7" s="1"/>
  <c r="S88" i="7" s="1"/>
  <c r="F88" i="7"/>
  <c r="R88" i="7" s="1"/>
  <c r="T88" i="7" s="1"/>
  <c r="T155" i="7"/>
  <c r="F29" i="7"/>
  <c r="E29" i="7"/>
  <c r="F194" i="7"/>
  <c r="E194" i="7"/>
  <c r="S15" i="7"/>
  <c r="T15" i="7"/>
  <c r="S206" i="7"/>
  <c r="N15" i="7"/>
  <c r="E7" i="7"/>
  <c r="Q7" i="7" s="1"/>
  <c r="S7" i="7" s="1"/>
  <c r="S146" i="7"/>
  <c r="S60" i="7"/>
  <c r="T60" i="7"/>
  <c r="T186" i="7"/>
  <c r="T201" i="7"/>
  <c r="S201" i="7"/>
  <c r="T207" i="7"/>
  <c r="E133" i="7"/>
  <c r="F133" i="7"/>
  <c r="E137" i="7"/>
  <c r="Q137" i="7" s="1"/>
  <c r="S137" i="7" s="1"/>
  <c r="F137" i="7"/>
  <c r="R137" i="7" s="1"/>
  <c r="T137" i="7" s="1"/>
  <c r="F172" i="7"/>
  <c r="E172" i="7"/>
  <c r="E84" i="7"/>
  <c r="F84" i="7"/>
  <c r="F204" i="7"/>
  <c r="E204" i="7"/>
  <c r="E107" i="7"/>
  <c r="F107" i="7"/>
  <c r="F200" i="7"/>
  <c r="K200" i="7" s="1"/>
  <c r="M200" i="7" s="1"/>
  <c r="E200" i="7"/>
  <c r="J200" i="7" s="1"/>
  <c r="L200" i="7" s="1"/>
  <c r="N51" i="7"/>
  <c r="T5" i="7"/>
  <c r="E89" i="7"/>
  <c r="Q89" i="7" s="1"/>
  <c r="S89" i="7" s="1"/>
  <c r="F89" i="7"/>
  <c r="R89" i="7" s="1"/>
  <c r="T89" i="7" s="1"/>
  <c r="F90" i="7"/>
  <c r="E90" i="7"/>
  <c r="T87" i="7"/>
  <c r="S171" i="7"/>
  <c r="U171" i="7" s="1"/>
  <c r="N144" i="7"/>
  <c r="E118" i="7"/>
  <c r="J118" i="7" s="1"/>
  <c r="L118" i="7" s="1"/>
  <c r="N174" i="7"/>
  <c r="N59" i="7"/>
  <c r="S73" i="7"/>
  <c r="U73" i="7" s="1"/>
  <c r="S175" i="7"/>
  <c r="U175" i="7" s="1"/>
  <c r="N131" i="7"/>
  <c r="T153" i="7"/>
  <c r="S65" i="7"/>
  <c r="T65" i="7"/>
  <c r="T208" i="7"/>
  <c r="S208" i="7"/>
  <c r="T119" i="7"/>
  <c r="S119" i="7"/>
  <c r="T166" i="7"/>
  <c r="S166" i="7"/>
  <c r="S156" i="7"/>
  <c r="E132" i="7"/>
  <c r="J132" i="7" s="1"/>
  <c r="L132" i="7" s="1"/>
  <c r="F132" i="7"/>
  <c r="K132" i="7" s="1"/>
  <c r="M132" i="7" s="1"/>
  <c r="F54" i="7"/>
  <c r="E54" i="7"/>
  <c r="E85" i="7"/>
  <c r="F85" i="7"/>
  <c r="E150" i="7"/>
  <c r="J150" i="7" s="1"/>
  <c r="L150" i="7" s="1"/>
  <c r="F150" i="7"/>
  <c r="K150" i="7" s="1"/>
  <c r="M150" i="7" s="1"/>
  <c r="F52" i="7"/>
  <c r="R52" i="7" s="1"/>
  <c r="T52" i="7" s="1"/>
  <c r="E52" i="7"/>
  <c r="Q52" i="7" s="1"/>
  <c r="S52" i="7" s="1"/>
  <c r="E144" i="7"/>
  <c r="Q144" i="7" s="1"/>
  <c r="S144" i="7" s="1"/>
  <c r="F144" i="7"/>
  <c r="R144" i="7" s="1"/>
  <c r="T144" i="7" s="1"/>
  <c r="E65" i="7"/>
  <c r="F65" i="7"/>
  <c r="E152" i="7"/>
  <c r="J152" i="7" s="1"/>
  <c r="L152" i="7" s="1"/>
  <c r="F152" i="7"/>
  <c r="K152" i="7" s="1"/>
  <c r="M152" i="7" s="1"/>
  <c r="T133" i="7"/>
  <c r="S133" i="7"/>
  <c r="F49" i="7"/>
  <c r="R49" i="7" s="1"/>
  <c r="T49" i="7" s="1"/>
  <c r="E49" i="7"/>
  <c r="Q49" i="7" s="1"/>
  <c r="S49" i="7" s="1"/>
  <c r="S33" i="7"/>
  <c r="T33" i="7"/>
  <c r="E61" i="7"/>
  <c r="F61" i="7"/>
  <c r="N140" i="7"/>
  <c r="E27" i="7"/>
  <c r="N76" i="7"/>
  <c r="F196" i="7"/>
  <c r="K196" i="7" s="1"/>
  <c r="M196" i="7" s="1"/>
  <c r="E196" i="7"/>
  <c r="J196" i="7" s="1"/>
  <c r="L196" i="7" s="1"/>
  <c r="T20" i="7"/>
  <c r="S20" i="7"/>
  <c r="S84" i="7"/>
  <c r="T84" i="7"/>
  <c r="F86" i="7"/>
  <c r="R86" i="7" s="1"/>
  <c r="T86" i="7" s="1"/>
  <c r="E86" i="7"/>
  <c r="Q86" i="7" s="1"/>
  <c r="S86" i="7" s="1"/>
  <c r="E157" i="7"/>
  <c r="Q157" i="7" s="1"/>
  <c r="S157" i="7" s="1"/>
  <c r="F157" i="7"/>
  <c r="R157" i="7" s="1"/>
  <c r="T157" i="7" s="1"/>
  <c r="E76" i="7"/>
  <c r="Q76" i="7" s="1"/>
  <c r="S76" i="7" s="1"/>
  <c r="F76" i="7"/>
  <c r="R76" i="7" s="1"/>
  <c r="T76" i="7" s="1"/>
  <c r="F198" i="7"/>
  <c r="K198" i="7" s="1"/>
  <c r="M198" i="7" s="1"/>
  <c r="E198" i="7"/>
  <c r="J198" i="7" s="1"/>
  <c r="L198" i="7" s="1"/>
  <c r="F102" i="7"/>
  <c r="E102" i="7"/>
  <c r="F63" i="7"/>
  <c r="R63" i="7" s="1"/>
  <c r="T63" i="7" s="1"/>
  <c r="E63" i="7"/>
  <c r="Q63" i="7" s="1"/>
  <c r="S63" i="7" s="1"/>
  <c r="E189" i="7"/>
  <c r="J189" i="7" s="1"/>
  <c r="L189" i="7" s="1"/>
  <c r="F189" i="7"/>
  <c r="K189" i="7" s="1"/>
  <c r="M189" i="7" s="1"/>
  <c r="E127" i="7"/>
  <c r="F127" i="7"/>
  <c r="F59" i="7"/>
  <c r="E59" i="7"/>
  <c r="T29" i="7"/>
  <c r="S29" i="7"/>
  <c r="Q10" i="7"/>
  <c r="S10" i="7" s="1"/>
  <c r="J10" i="7"/>
  <c r="L10" i="7" s="1"/>
  <c r="N10" i="7" s="1"/>
  <c r="N115" i="4"/>
  <c r="N193" i="4"/>
  <c r="N91" i="4"/>
  <c r="N4" i="4"/>
  <c r="N14" i="4"/>
  <c r="N124" i="4"/>
  <c r="N18" i="4"/>
  <c r="N194" i="4"/>
  <c r="N76" i="4"/>
  <c r="N31" i="4"/>
  <c r="U185" i="7"/>
  <c r="N35" i="7"/>
  <c r="N82" i="7"/>
  <c r="R69" i="7"/>
  <c r="T69" i="7" s="1"/>
  <c r="K69" i="7"/>
  <c r="M69" i="7" s="1"/>
  <c r="K97" i="7"/>
  <c r="M97" i="7" s="1"/>
  <c r="R97" i="7"/>
  <c r="T97" i="7" s="1"/>
  <c r="N186" i="7"/>
  <c r="N153" i="7"/>
  <c r="N157" i="7"/>
  <c r="N179" i="7"/>
  <c r="N52" i="7"/>
  <c r="N27" i="7"/>
  <c r="N212" i="4"/>
  <c r="N119" i="4"/>
  <c r="N127" i="4"/>
  <c r="N171" i="4"/>
  <c r="N131" i="4"/>
  <c r="N92" i="4"/>
  <c r="N144" i="4"/>
  <c r="N186" i="4"/>
  <c r="N166" i="4"/>
  <c r="S158" i="7" l="1"/>
  <c r="U197" i="7"/>
  <c r="T121" i="7"/>
  <c r="U188" i="7"/>
  <c r="U188" i="4"/>
  <c r="R12" i="7"/>
  <c r="T12" i="7" s="1"/>
  <c r="U179" i="4"/>
  <c r="X179" i="4" s="1"/>
  <c r="Y179" i="4" s="1"/>
  <c r="T24" i="7"/>
  <c r="S24" i="7"/>
  <c r="U93" i="7"/>
  <c r="V93" i="7" s="1"/>
  <c r="W93" i="7" s="1"/>
  <c r="X93" i="7" s="1"/>
  <c r="E93" i="8" s="1"/>
  <c r="U211" i="7"/>
  <c r="V211" i="7" s="1"/>
  <c r="W211" i="7" s="1"/>
  <c r="D211" i="8" s="1"/>
  <c r="U14" i="7"/>
  <c r="V14" i="7" s="1"/>
  <c r="W14" i="7" s="1"/>
  <c r="D14" i="8" s="1"/>
  <c r="U162" i="7"/>
  <c r="V162" i="7" s="1"/>
  <c r="W162" i="7" s="1"/>
  <c r="X162" i="7" s="1"/>
  <c r="U63" i="7"/>
  <c r="V63" i="7" s="1"/>
  <c r="W63" i="7" s="1"/>
  <c r="D63" i="8" s="1"/>
  <c r="T138" i="7"/>
  <c r="S202" i="4"/>
  <c r="U202" i="4" s="1"/>
  <c r="U55" i="7"/>
  <c r="V55" i="7" s="1"/>
  <c r="W55" i="7" s="1"/>
  <c r="X55" i="7" s="1"/>
  <c r="E55" i="8" s="1"/>
  <c r="S163" i="7"/>
  <c r="U162" i="4"/>
  <c r="X162" i="4" s="1"/>
  <c r="Y162" i="4" s="1"/>
  <c r="F162" i="5" s="1"/>
  <c r="U173" i="4"/>
  <c r="X173" i="4" s="1"/>
  <c r="Y173" i="4" s="1"/>
  <c r="Z173" i="4" s="1"/>
  <c r="G173" i="5" s="1"/>
  <c r="U105" i="7"/>
  <c r="V105" i="7" s="1"/>
  <c r="W105" i="7" s="1"/>
  <c r="D105" i="8" s="1"/>
  <c r="U77" i="7"/>
  <c r="V77" i="7" s="1"/>
  <c r="W77" i="7" s="1"/>
  <c r="X77" i="7" s="1"/>
  <c r="E77" i="8" s="1"/>
  <c r="U43" i="7"/>
  <c r="V43" i="7" s="1"/>
  <c r="W43" i="7" s="1"/>
  <c r="D43" i="8" s="1"/>
  <c r="U94" i="7"/>
  <c r="V94" i="7" s="1"/>
  <c r="W94" i="7" s="1"/>
  <c r="X94" i="7" s="1"/>
  <c r="E94" i="8" s="1"/>
  <c r="T158" i="7"/>
  <c r="U158" i="7" s="1"/>
  <c r="V158" i="7" s="1"/>
  <c r="W158" i="7" s="1"/>
  <c r="S122" i="7"/>
  <c r="U122" i="7" s="1"/>
  <c r="V122" i="7" s="1"/>
  <c r="W122" i="7" s="1"/>
  <c r="U42" i="7"/>
  <c r="V42" i="7" s="1"/>
  <c r="W42" i="7" s="1"/>
  <c r="D42" i="8" s="1"/>
  <c r="U176" i="4"/>
  <c r="X176" i="4" s="1"/>
  <c r="Y176" i="4" s="1"/>
  <c r="T158" i="4"/>
  <c r="U75" i="4"/>
  <c r="X75" i="4" s="1"/>
  <c r="Y75" i="4" s="1"/>
  <c r="F75" i="5" s="1"/>
  <c r="S163" i="4"/>
  <c r="U151" i="4"/>
  <c r="X151" i="4" s="1"/>
  <c r="Y151" i="4" s="1"/>
  <c r="Z151" i="4" s="1"/>
  <c r="G151" i="5" s="1"/>
  <c r="U165" i="4"/>
  <c r="X165" i="4" s="1"/>
  <c r="Y165" i="4" s="1"/>
  <c r="F165" i="5" s="1"/>
  <c r="S24" i="4"/>
  <c r="U75" i="7"/>
  <c r="V75" i="7" s="1"/>
  <c r="W75" i="7" s="1"/>
  <c r="D75" i="8" s="1"/>
  <c r="U68" i="7"/>
  <c r="V68" i="7" s="1"/>
  <c r="W68" i="7" s="1"/>
  <c r="X68" i="7" s="1"/>
  <c r="E68" i="8" s="1"/>
  <c r="U173" i="7"/>
  <c r="V173" i="7" s="1"/>
  <c r="W173" i="7" s="1"/>
  <c r="X173" i="7" s="1"/>
  <c r="E173" i="8" s="1"/>
  <c r="S141" i="7"/>
  <c r="U141" i="7" s="1"/>
  <c r="L152" i="4"/>
  <c r="S138" i="7"/>
  <c r="T139" i="7"/>
  <c r="U139" i="7" s="1"/>
  <c r="V139" i="7" s="1"/>
  <c r="W139" i="7" s="1"/>
  <c r="M152" i="4"/>
  <c r="T108" i="4"/>
  <c r="T163" i="4"/>
  <c r="N185" i="7"/>
  <c r="V185" i="7" s="1"/>
  <c r="W185" i="7" s="1"/>
  <c r="X185" i="7" s="1"/>
  <c r="E185" i="8" s="1"/>
  <c r="T24" i="4"/>
  <c r="U164" i="4"/>
  <c r="X164" i="4" s="1"/>
  <c r="Y164" i="4" s="1"/>
  <c r="Z164" i="4" s="1"/>
  <c r="G164" i="5" s="1"/>
  <c r="U77" i="4"/>
  <c r="X77" i="4" s="1"/>
  <c r="Y77" i="4" s="1"/>
  <c r="Z77" i="4" s="1"/>
  <c r="G77" i="5" s="1"/>
  <c r="U39" i="7"/>
  <c r="V39" i="7" s="1"/>
  <c r="W39" i="7" s="1"/>
  <c r="U94" i="4"/>
  <c r="X94" i="4" s="1"/>
  <c r="Y94" i="4" s="1"/>
  <c r="N109" i="7"/>
  <c r="Q79" i="7"/>
  <c r="S79" i="7" s="1"/>
  <c r="J79" i="7"/>
  <c r="L79" i="7" s="1"/>
  <c r="U105" i="4"/>
  <c r="X105" i="4" s="1"/>
  <c r="Y105" i="4" s="1"/>
  <c r="T138" i="4"/>
  <c r="R145" i="7"/>
  <c r="T145" i="7" s="1"/>
  <c r="K145" i="7"/>
  <c r="M145" i="7" s="1"/>
  <c r="S136" i="4"/>
  <c r="U136" i="4" s="1"/>
  <c r="X136" i="4" s="1"/>
  <c r="Y136" i="4" s="1"/>
  <c r="S158" i="4"/>
  <c r="K53" i="7"/>
  <c r="M53" i="7" s="1"/>
  <c r="R53" i="7"/>
  <c r="T53" i="7" s="1"/>
  <c r="T109" i="7"/>
  <c r="U109" i="7" s="1"/>
  <c r="T139" i="4"/>
  <c r="U139" i="4" s="1"/>
  <c r="X139" i="4" s="1"/>
  <c r="Y139" i="4" s="1"/>
  <c r="R100" i="4"/>
  <c r="T100" i="4" s="1"/>
  <c r="K100" i="4"/>
  <c r="U70" i="7"/>
  <c r="V70" i="7" s="1"/>
  <c r="W70" i="7" s="1"/>
  <c r="K145" i="4"/>
  <c r="M145" i="4" s="1"/>
  <c r="R145" i="4"/>
  <c r="T145" i="4" s="1"/>
  <c r="T163" i="7"/>
  <c r="U39" i="4"/>
  <c r="X39" i="4" s="1"/>
  <c r="Y39" i="4" s="1"/>
  <c r="K53" i="4"/>
  <c r="M53" i="4" s="1"/>
  <c r="R53" i="4"/>
  <c r="T53" i="4" s="1"/>
  <c r="S121" i="4"/>
  <c r="U121" i="4" s="1"/>
  <c r="X121" i="4" s="1"/>
  <c r="Y121" i="4" s="1"/>
  <c r="S138" i="4"/>
  <c r="Q145" i="7"/>
  <c r="S145" i="7" s="1"/>
  <c r="J145" i="7"/>
  <c r="L145" i="7" s="1"/>
  <c r="U43" i="4"/>
  <c r="X43" i="4" s="1"/>
  <c r="Y43" i="4" s="1"/>
  <c r="J53" i="7"/>
  <c r="L53" i="7" s="1"/>
  <c r="Q53" i="7"/>
  <c r="S53" i="7" s="1"/>
  <c r="Q145" i="4"/>
  <c r="S145" i="4" s="1"/>
  <c r="J145" i="4"/>
  <c r="L145" i="4" s="1"/>
  <c r="R135" i="7"/>
  <c r="T135" i="7" s="1"/>
  <c r="K135" i="7"/>
  <c r="M135" i="7" s="1"/>
  <c r="U164" i="7"/>
  <c r="V164" i="7" s="1"/>
  <c r="W164" i="7" s="1"/>
  <c r="Q53" i="4"/>
  <c r="S53" i="4" s="1"/>
  <c r="J53" i="4"/>
  <c r="L53" i="4" s="1"/>
  <c r="N141" i="7"/>
  <c r="I150" i="4"/>
  <c r="L150" i="4" s="1"/>
  <c r="I109" i="4"/>
  <c r="I141" i="4"/>
  <c r="L141" i="4" s="1"/>
  <c r="I148" i="4"/>
  <c r="M148" i="4" s="1"/>
  <c r="I100" i="4"/>
  <c r="U42" i="4"/>
  <c r="X42" i="4" s="1"/>
  <c r="Y42" i="4" s="1"/>
  <c r="S103" i="4"/>
  <c r="U103" i="4" s="1"/>
  <c r="X103" i="4" s="1"/>
  <c r="Y103" i="4" s="1"/>
  <c r="U110" i="4"/>
  <c r="X110" i="4" s="1"/>
  <c r="Y110" i="4" s="1"/>
  <c r="U165" i="7"/>
  <c r="V165" i="7" s="1"/>
  <c r="W165" i="7" s="1"/>
  <c r="U93" i="4"/>
  <c r="X93" i="4" s="1"/>
  <c r="Y93" i="4" s="1"/>
  <c r="N148" i="7"/>
  <c r="V148" i="7" s="1"/>
  <c r="W148" i="7" s="1"/>
  <c r="J135" i="7"/>
  <c r="L135" i="7" s="1"/>
  <c r="Q135" i="7"/>
  <c r="S135" i="7" s="1"/>
  <c r="R135" i="4"/>
  <c r="T135" i="4" s="1"/>
  <c r="K135" i="4"/>
  <c r="M135" i="4" s="1"/>
  <c r="K71" i="4"/>
  <c r="M71" i="4" s="1"/>
  <c r="R71" i="4"/>
  <c r="T71" i="4" s="1"/>
  <c r="K36" i="4"/>
  <c r="M36" i="4" s="1"/>
  <c r="R36" i="4"/>
  <c r="T36" i="4" s="1"/>
  <c r="X42" i="7"/>
  <c r="E42" i="8" s="1"/>
  <c r="K37" i="4"/>
  <c r="M37" i="4" s="1"/>
  <c r="R37" i="4"/>
  <c r="T37" i="4" s="1"/>
  <c r="T103" i="7"/>
  <c r="U103" i="7" s="1"/>
  <c r="V103" i="7" s="1"/>
  <c r="W103" i="7" s="1"/>
  <c r="S109" i="4"/>
  <c r="U109" i="4" s="1"/>
  <c r="U121" i="7"/>
  <c r="V121" i="7" s="1"/>
  <c r="W121" i="7" s="1"/>
  <c r="Q135" i="4"/>
  <c r="S135" i="4" s="1"/>
  <c r="J135" i="4"/>
  <c r="L135" i="4" s="1"/>
  <c r="J71" i="4"/>
  <c r="L71" i="4" s="1"/>
  <c r="Q71" i="4"/>
  <c r="S71" i="4" s="1"/>
  <c r="Q36" i="4"/>
  <c r="S36" i="4" s="1"/>
  <c r="J36" i="4"/>
  <c r="L36" i="4" s="1"/>
  <c r="U151" i="7"/>
  <c r="V151" i="7" s="1"/>
  <c r="W151" i="7" s="1"/>
  <c r="U55" i="4"/>
  <c r="X55" i="4" s="1"/>
  <c r="Y55" i="4" s="1"/>
  <c r="K79" i="4"/>
  <c r="M79" i="4" s="1"/>
  <c r="R79" i="4"/>
  <c r="T79" i="4" s="1"/>
  <c r="U68" i="4"/>
  <c r="X68" i="4" s="1"/>
  <c r="Y68" i="4" s="1"/>
  <c r="T108" i="7"/>
  <c r="U176" i="7"/>
  <c r="V176" i="7" s="1"/>
  <c r="W176" i="7" s="1"/>
  <c r="Q37" i="4"/>
  <c r="S37" i="4" s="1"/>
  <c r="J37" i="4"/>
  <c r="L37" i="4" s="1"/>
  <c r="K36" i="7"/>
  <c r="M36" i="7" s="1"/>
  <c r="R36" i="7"/>
  <c r="T36" i="7" s="1"/>
  <c r="T123" i="7"/>
  <c r="U123" i="7" s="1"/>
  <c r="V123" i="7" s="1"/>
  <c r="W123" i="7" s="1"/>
  <c r="U70" i="4"/>
  <c r="X70" i="4" s="1"/>
  <c r="Y70" i="4" s="1"/>
  <c r="S123" i="4"/>
  <c r="U123" i="4" s="1"/>
  <c r="X123" i="4" s="1"/>
  <c r="Y123" i="4" s="1"/>
  <c r="S141" i="4"/>
  <c r="U141" i="4" s="1"/>
  <c r="Q79" i="4"/>
  <c r="S79" i="4" s="1"/>
  <c r="J79" i="4"/>
  <c r="L79" i="4" s="1"/>
  <c r="S108" i="7"/>
  <c r="K71" i="7"/>
  <c r="M71" i="7" s="1"/>
  <c r="R71" i="7"/>
  <c r="T71" i="7" s="1"/>
  <c r="T120" i="7"/>
  <c r="U120" i="7" s="1"/>
  <c r="V120" i="7" s="1"/>
  <c r="W120" i="7" s="1"/>
  <c r="J36" i="7"/>
  <c r="L36" i="7" s="1"/>
  <c r="Q36" i="7"/>
  <c r="S36" i="7" s="1"/>
  <c r="S136" i="7"/>
  <c r="U136" i="7" s="1"/>
  <c r="V136" i="7" s="1"/>
  <c r="W136" i="7" s="1"/>
  <c r="K72" i="4"/>
  <c r="M72" i="4" s="1"/>
  <c r="R72" i="4"/>
  <c r="T72" i="4" s="1"/>
  <c r="U110" i="7"/>
  <c r="V110" i="7" s="1"/>
  <c r="W110" i="7" s="1"/>
  <c r="S108" i="4"/>
  <c r="K72" i="7"/>
  <c r="M72" i="7" s="1"/>
  <c r="R72" i="7"/>
  <c r="T72" i="7" s="1"/>
  <c r="T122" i="4"/>
  <c r="U122" i="4" s="1"/>
  <c r="X122" i="4" s="1"/>
  <c r="Y122" i="4" s="1"/>
  <c r="K149" i="7"/>
  <c r="M149" i="7" s="1"/>
  <c r="R149" i="7"/>
  <c r="T149" i="7" s="1"/>
  <c r="K37" i="7"/>
  <c r="M37" i="7" s="1"/>
  <c r="R37" i="7"/>
  <c r="T37" i="7" s="1"/>
  <c r="Q71" i="7"/>
  <c r="S71" i="7" s="1"/>
  <c r="J71" i="7"/>
  <c r="L71" i="7" s="1"/>
  <c r="T120" i="4"/>
  <c r="U120" i="4" s="1"/>
  <c r="X120" i="4" s="1"/>
  <c r="Y120" i="4" s="1"/>
  <c r="K149" i="4"/>
  <c r="M149" i="4" s="1"/>
  <c r="R149" i="4"/>
  <c r="T149" i="4" s="1"/>
  <c r="R100" i="7"/>
  <c r="T100" i="7" s="1"/>
  <c r="K100" i="7"/>
  <c r="M100" i="7" s="1"/>
  <c r="J72" i="4"/>
  <c r="L72" i="4" s="1"/>
  <c r="Q72" i="4"/>
  <c r="S72" i="4" s="1"/>
  <c r="K79" i="7"/>
  <c r="M79" i="7" s="1"/>
  <c r="R79" i="7"/>
  <c r="T79" i="7" s="1"/>
  <c r="Q72" i="7"/>
  <c r="S72" i="7" s="1"/>
  <c r="J72" i="7"/>
  <c r="L72" i="7" s="1"/>
  <c r="J149" i="7"/>
  <c r="L149" i="7" s="1"/>
  <c r="Q149" i="7"/>
  <c r="S149" i="7" s="1"/>
  <c r="J37" i="7"/>
  <c r="L37" i="7" s="1"/>
  <c r="Q37" i="7"/>
  <c r="S37" i="7" s="1"/>
  <c r="J100" i="4"/>
  <c r="Q100" i="4"/>
  <c r="S100" i="4" s="1"/>
  <c r="J149" i="4"/>
  <c r="L149" i="4" s="1"/>
  <c r="Q149" i="4"/>
  <c r="S149" i="4" s="1"/>
  <c r="Q100" i="7"/>
  <c r="S100" i="7" s="1"/>
  <c r="J100" i="7"/>
  <c r="L100" i="7" s="1"/>
  <c r="U16" i="4"/>
  <c r="X16" i="4" s="1"/>
  <c r="Y16" i="4" s="1"/>
  <c r="Z16" i="4" s="1"/>
  <c r="G16" i="5" s="1"/>
  <c r="J13" i="7"/>
  <c r="L13" i="7" s="1"/>
  <c r="N13" i="7" s="1"/>
  <c r="U195" i="7"/>
  <c r="Q48" i="7"/>
  <c r="S48" i="7" s="1"/>
  <c r="U48" i="7" s="1"/>
  <c r="Q25" i="7"/>
  <c r="S25" i="7" s="1"/>
  <c r="U25" i="7" s="1"/>
  <c r="U51" i="7"/>
  <c r="V51" i="7" s="1"/>
  <c r="W51" i="7" s="1"/>
  <c r="D51" i="8" s="1"/>
  <c r="U5" i="7"/>
  <c r="V5" i="7" s="1"/>
  <c r="W5" i="7" s="1"/>
  <c r="X5" i="7" s="1"/>
  <c r="E5" i="8" s="1"/>
  <c r="N25" i="7"/>
  <c r="N147" i="7"/>
  <c r="V147" i="7" s="1"/>
  <c r="W147" i="7" s="1"/>
  <c r="X147" i="7" s="1"/>
  <c r="E147" i="8" s="1"/>
  <c r="U202" i="7"/>
  <c r="J187" i="7"/>
  <c r="L187" i="7" s="1"/>
  <c r="N187" i="7" s="1"/>
  <c r="N210" i="7"/>
  <c r="V210" i="7" s="1"/>
  <c r="W210" i="7" s="1"/>
  <c r="X210" i="7" s="1"/>
  <c r="E210" i="8" s="1"/>
  <c r="V73" i="7"/>
  <c r="W73" i="7" s="1"/>
  <c r="X73" i="7" s="1"/>
  <c r="E73" i="8" s="1"/>
  <c r="N87" i="7"/>
  <c r="U196" i="7"/>
  <c r="N195" i="7"/>
  <c r="V19" i="7"/>
  <c r="U38" i="4"/>
  <c r="U64" i="7"/>
  <c r="V64" i="7" s="1"/>
  <c r="W64" i="7" s="1"/>
  <c r="D64" i="8" s="1"/>
  <c r="U41" i="7"/>
  <c r="V41" i="7" s="1"/>
  <c r="W41" i="7" s="1"/>
  <c r="D41" i="8" s="1"/>
  <c r="U18" i="7"/>
  <c r="V18" i="7" s="1"/>
  <c r="W18" i="7" s="1"/>
  <c r="D18" i="8" s="1"/>
  <c r="U30" i="7"/>
  <c r="V30" i="7" s="1"/>
  <c r="W30" i="7" s="1"/>
  <c r="D30" i="8" s="1"/>
  <c r="U16" i="7"/>
  <c r="V16" i="7" s="1"/>
  <c r="W16" i="7" s="1"/>
  <c r="X16" i="7" s="1"/>
  <c r="E16" i="8" s="1"/>
  <c r="M206" i="4"/>
  <c r="N206" i="4" s="1"/>
  <c r="J13" i="4"/>
  <c r="L13" i="4" s="1"/>
  <c r="N13" i="4" s="1"/>
  <c r="U126" i="7"/>
  <c r="V126" i="7" s="1"/>
  <c r="W126" i="7" s="1"/>
  <c r="D126" i="8" s="1"/>
  <c r="N118" i="7"/>
  <c r="V118" i="7" s="1"/>
  <c r="W118" i="7" s="1"/>
  <c r="D118" i="8" s="1"/>
  <c r="U207" i="7"/>
  <c r="V207" i="7" s="1"/>
  <c r="W207" i="7" s="1"/>
  <c r="X207" i="7" s="1"/>
  <c r="E207" i="8" s="1"/>
  <c r="U101" i="7"/>
  <c r="V101" i="7" s="1"/>
  <c r="W101" i="7" s="1"/>
  <c r="X101" i="7" s="1"/>
  <c r="U168" i="7"/>
  <c r="V116" i="7"/>
  <c r="W116" i="7" s="1"/>
  <c r="D116" i="8" s="1"/>
  <c r="J97" i="7"/>
  <c r="L97" i="7" s="1"/>
  <c r="N97" i="7" s="1"/>
  <c r="N12" i="7"/>
  <c r="N104" i="7"/>
  <c r="V104" i="7" s="1"/>
  <c r="W104" i="7" s="1"/>
  <c r="D104" i="8" s="1"/>
  <c r="N84" i="7"/>
  <c r="U194" i="7"/>
  <c r="V194" i="7" s="1"/>
  <c r="W194" i="7" s="1"/>
  <c r="D194" i="8" s="1"/>
  <c r="U127" i="7"/>
  <c r="V127" i="7" s="1"/>
  <c r="W127" i="7" s="1"/>
  <c r="D127" i="8" s="1"/>
  <c r="U59" i="7"/>
  <c r="V59" i="7" s="1"/>
  <c r="W59" i="7" s="1"/>
  <c r="D59" i="8" s="1"/>
  <c r="U143" i="7"/>
  <c r="V143" i="7" s="1"/>
  <c r="W143" i="7" s="1"/>
  <c r="X143" i="7" s="1"/>
  <c r="E143" i="8" s="1"/>
  <c r="U191" i="7"/>
  <c r="V191" i="7" s="1"/>
  <c r="W191" i="7" s="1"/>
  <c r="U146" i="7"/>
  <c r="V146" i="7" s="1"/>
  <c r="W146" i="7" s="1"/>
  <c r="X146" i="7" s="1"/>
  <c r="E146" i="8" s="1"/>
  <c r="U199" i="7"/>
  <c r="U56" i="7"/>
  <c r="V56" i="7" s="1"/>
  <c r="W56" i="7" s="1"/>
  <c r="D56" i="8" s="1"/>
  <c r="V177" i="7"/>
  <c r="W177" i="7" s="1"/>
  <c r="X177" i="7" s="1"/>
  <c r="E177" i="8" s="1"/>
  <c r="S177" i="8" s="1"/>
  <c r="N48" i="7"/>
  <c r="U28" i="7"/>
  <c r="V28" i="7" s="1"/>
  <c r="W28" i="7" s="1"/>
  <c r="D28" i="8" s="1"/>
  <c r="U132" i="7"/>
  <c r="L182" i="4"/>
  <c r="J19" i="5"/>
  <c r="X19" i="4"/>
  <c r="U154" i="4"/>
  <c r="X154" i="4" s="1"/>
  <c r="Y154" i="4" s="1"/>
  <c r="F154" i="5" s="1"/>
  <c r="V193" i="7"/>
  <c r="W193" i="7" s="1"/>
  <c r="X193" i="7" s="1"/>
  <c r="E193" i="8" s="1"/>
  <c r="U17" i="7"/>
  <c r="V17" i="7" s="1"/>
  <c r="W17" i="7" s="1"/>
  <c r="D17" i="8" s="1"/>
  <c r="N125" i="7"/>
  <c r="U184" i="7"/>
  <c r="N190" i="7"/>
  <c r="M188" i="4"/>
  <c r="N188" i="4" s="1"/>
  <c r="X188" i="4" s="1"/>
  <c r="Y188" i="4" s="1"/>
  <c r="Z188" i="4" s="1"/>
  <c r="G188" i="5" s="1"/>
  <c r="M182" i="4"/>
  <c r="L147" i="4"/>
  <c r="M147" i="4"/>
  <c r="M208" i="4"/>
  <c r="L208" i="4"/>
  <c r="N87" i="4"/>
  <c r="N133" i="4"/>
  <c r="N83" i="4"/>
  <c r="U155" i="7"/>
  <c r="V155" i="7" s="1"/>
  <c r="W155" i="7" s="1"/>
  <c r="D155" i="8" s="1"/>
  <c r="U9" i="7"/>
  <c r="V9" i="7" s="1"/>
  <c r="W9" i="7" s="1"/>
  <c r="D9" i="8" s="1"/>
  <c r="U192" i="7"/>
  <c r="K172" i="4"/>
  <c r="M172" i="4" s="1"/>
  <c r="R172" i="4"/>
  <c r="T172" i="4" s="1"/>
  <c r="N83" i="7"/>
  <c r="V83" i="7" s="1"/>
  <c r="W83" i="7" s="1"/>
  <c r="J172" i="4"/>
  <c r="L172" i="4" s="1"/>
  <c r="Q172" i="4"/>
  <c r="S172" i="4" s="1"/>
  <c r="J172" i="7"/>
  <c r="L172" i="7" s="1"/>
  <c r="Q172" i="7"/>
  <c r="S172" i="7" s="1"/>
  <c r="U44" i="7"/>
  <c r="V44" i="7" s="1"/>
  <c r="W44" i="7" s="1"/>
  <c r="D44" i="8" s="1"/>
  <c r="U174" i="7"/>
  <c r="V174" i="7" s="1"/>
  <c r="W174" i="7" s="1"/>
  <c r="D174" i="8" s="1"/>
  <c r="K172" i="7"/>
  <c r="M172" i="7" s="1"/>
  <c r="R172" i="7"/>
  <c r="T172" i="7" s="1"/>
  <c r="U22" i="7"/>
  <c r="V22" i="7" s="1"/>
  <c r="W22" i="7" s="1"/>
  <c r="X22" i="7" s="1"/>
  <c r="E22" i="8" s="1"/>
  <c r="U190" i="7"/>
  <c r="N84" i="4"/>
  <c r="U170" i="7"/>
  <c r="V170" i="7" s="1"/>
  <c r="W170" i="7" s="1"/>
  <c r="D170" i="8" s="1"/>
  <c r="K128" i="7"/>
  <c r="M128" i="7" s="1"/>
  <c r="N128" i="7" s="1"/>
  <c r="U91" i="7"/>
  <c r="V91" i="7" s="1"/>
  <c r="W91" i="7" s="1"/>
  <c r="X91" i="7" s="1"/>
  <c r="E91" i="8" s="1"/>
  <c r="U212" i="7"/>
  <c r="V212" i="7" s="1"/>
  <c r="W212" i="7" s="1"/>
  <c r="X212" i="7" s="1"/>
  <c r="E212" i="8" s="1"/>
  <c r="N199" i="7"/>
  <c r="U23" i="7"/>
  <c r="V23" i="7" s="1"/>
  <c r="W23" i="7" s="1"/>
  <c r="U129" i="7"/>
  <c r="V129" i="7" s="1"/>
  <c r="W129" i="7" s="1"/>
  <c r="V175" i="7"/>
  <c r="W175" i="7" s="1"/>
  <c r="D175" i="8" s="1"/>
  <c r="U13" i="7"/>
  <c r="U12" i="7"/>
  <c r="U114" i="7"/>
  <c r="V114" i="7" s="1"/>
  <c r="W114" i="7" s="1"/>
  <c r="N182" i="7"/>
  <c r="U140" i="7"/>
  <c r="V140" i="7" s="1"/>
  <c r="W140" i="7" s="1"/>
  <c r="U209" i="7"/>
  <c r="U152" i="7"/>
  <c r="V111" i="7"/>
  <c r="W111" i="7" s="1"/>
  <c r="X111" i="7" s="1"/>
  <c r="E111" i="8" s="1"/>
  <c r="U156" i="7"/>
  <c r="V156" i="7" s="1"/>
  <c r="W156" i="7" s="1"/>
  <c r="D156" i="8" s="1"/>
  <c r="U4" i="7"/>
  <c r="V4" i="7" s="1"/>
  <c r="W4" i="7" s="1"/>
  <c r="N188" i="7"/>
  <c r="V188" i="7" s="1"/>
  <c r="W188" i="7" s="1"/>
  <c r="U154" i="7"/>
  <c r="V154" i="7" s="1"/>
  <c r="W154" i="7" s="1"/>
  <c r="D154" i="8" s="1"/>
  <c r="U142" i="7"/>
  <c r="V142" i="7" s="1"/>
  <c r="W142" i="7" s="1"/>
  <c r="X142" i="7" s="1"/>
  <c r="E142" i="8" s="1"/>
  <c r="U107" i="7"/>
  <c r="V107" i="7" s="1"/>
  <c r="W107" i="7" s="1"/>
  <c r="U167" i="7"/>
  <c r="V167" i="7" s="1"/>
  <c r="W167" i="7" s="1"/>
  <c r="D167" i="8" s="1"/>
  <c r="U26" i="7"/>
  <c r="V26" i="7" s="1"/>
  <c r="W26" i="7" s="1"/>
  <c r="D26" i="8" s="1"/>
  <c r="N113" i="7"/>
  <c r="U32" i="7"/>
  <c r="V32" i="7" s="1"/>
  <c r="W32" i="7" s="1"/>
  <c r="X32" i="7" s="1"/>
  <c r="U134" i="7"/>
  <c r="V134" i="7" s="1"/>
  <c r="W134" i="7" s="1"/>
  <c r="D134" i="8" s="1"/>
  <c r="N213" i="7"/>
  <c r="U27" i="7"/>
  <c r="V27" i="7" s="1"/>
  <c r="W27" i="7" s="1"/>
  <c r="D27" i="8" s="1"/>
  <c r="U186" i="7"/>
  <c r="V186" i="7" s="1"/>
  <c r="W186" i="7" s="1"/>
  <c r="U213" i="7"/>
  <c r="U125" i="7"/>
  <c r="L199" i="4"/>
  <c r="N89" i="4"/>
  <c r="U102" i="7"/>
  <c r="V102" i="7" s="1"/>
  <c r="W102" i="7" s="1"/>
  <c r="U208" i="7"/>
  <c r="U21" i="7"/>
  <c r="V21" i="7" s="1"/>
  <c r="W21" i="7" s="1"/>
  <c r="X21" i="7" s="1"/>
  <c r="E21" i="8" s="1"/>
  <c r="U87" i="7"/>
  <c r="K57" i="4"/>
  <c r="M57" i="4" s="1"/>
  <c r="N57" i="4" s="1"/>
  <c r="V50" i="7"/>
  <c r="W50" i="7" s="1"/>
  <c r="D50" i="8" s="1"/>
  <c r="U206" i="7"/>
  <c r="V206" i="7" s="1"/>
  <c r="W206" i="7" s="1"/>
  <c r="U10" i="7"/>
  <c r="V10" i="7" s="1"/>
  <c r="W10" i="7" s="1"/>
  <c r="U157" i="7"/>
  <c r="V157" i="7" s="1"/>
  <c r="W157" i="7" s="1"/>
  <c r="D157" i="8" s="1"/>
  <c r="U180" i="7"/>
  <c r="V180" i="7" s="1"/>
  <c r="W180" i="7" s="1"/>
  <c r="X180" i="7" s="1"/>
  <c r="E180" i="8" s="1"/>
  <c r="U54" i="7"/>
  <c r="V54" i="7" s="1"/>
  <c r="W54" i="7" s="1"/>
  <c r="D54" i="8" s="1"/>
  <c r="V171" i="7"/>
  <c r="W171" i="7" s="1"/>
  <c r="D171" i="8" s="1"/>
  <c r="U153" i="7"/>
  <c r="V153" i="7" s="1"/>
  <c r="W153" i="7" s="1"/>
  <c r="X153" i="7" s="1"/>
  <c r="E153" i="8" s="1"/>
  <c r="U201" i="7"/>
  <c r="V201" i="7" s="1"/>
  <c r="W201" i="7" s="1"/>
  <c r="D201" i="8" s="1"/>
  <c r="U29" i="7"/>
  <c r="V29" i="7" s="1"/>
  <c r="W29" i="7" s="1"/>
  <c r="X29" i="7" s="1"/>
  <c r="E29" i="8" s="1"/>
  <c r="U76" i="7"/>
  <c r="V76" i="7" s="1"/>
  <c r="W76" i="7" s="1"/>
  <c r="L192" i="4"/>
  <c r="M202" i="4"/>
  <c r="L200" i="4"/>
  <c r="L125" i="4"/>
  <c r="M125" i="4"/>
  <c r="M192" i="4"/>
  <c r="M198" i="4"/>
  <c r="L198" i="4"/>
  <c r="L118" i="4"/>
  <c r="L202" i="4"/>
  <c r="M137" i="4"/>
  <c r="N137" i="4" s="1"/>
  <c r="M118" i="4"/>
  <c r="M200" i="4"/>
  <c r="M190" i="4"/>
  <c r="M199" i="4"/>
  <c r="L190" i="4"/>
  <c r="U114" i="4"/>
  <c r="X114" i="4" s="1"/>
  <c r="Y114" i="4" s="1"/>
  <c r="F114" i="5" s="1"/>
  <c r="X116" i="4"/>
  <c r="Y116" i="4" s="1"/>
  <c r="F116" i="5" s="1"/>
  <c r="L213" i="4"/>
  <c r="N213" i="4" s="1"/>
  <c r="M197" i="4"/>
  <c r="M168" i="4"/>
  <c r="L12" i="4"/>
  <c r="M180" i="4"/>
  <c r="N180" i="4" s="1"/>
  <c r="M12" i="4"/>
  <c r="L168" i="4"/>
  <c r="M209" i="4"/>
  <c r="N209" i="4" s="1"/>
  <c r="L210" i="4"/>
  <c r="N210" i="4" s="1"/>
  <c r="M185" i="4"/>
  <c r="N185" i="4" s="1"/>
  <c r="X185" i="4" s="1"/>
  <c r="Y185" i="4" s="1"/>
  <c r="L197" i="4"/>
  <c r="U47" i="4"/>
  <c r="X47" i="4" s="1"/>
  <c r="Y47" i="4" s="1"/>
  <c r="F47" i="5" s="1"/>
  <c r="Q25" i="4"/>
  <c r="S25" i="4" s="1"/>
  <c r="U25" i="4" s="1"/>
  <c r="N25" i="4"/>
  <c r="U23" i="4"/>
  <c r="X23" i="4" s="1"/>
  <c r="Y23" i="4" s="1"/>
  <c r="F23" i="5" s="1"/>
  <c r="N209" i="7"/>
  <c r="N184" i="7"/>
  <c r="N202" i="7"/>
  <c r="J69" i="7"/>
  <c r="L69" i="7" s="1"/>
  <c r="N69" i="7" s="1"/>
  <c r="N113" i="4"/>
  <c r="V45" i="7"/>
  <c r="W45" i="7" s="1"/>
  <c r="X45" i="7" s="1"/>
  <c r="E45" i="8" s="1"/>
  <c r="U8" i="7"/>
  <c r="V8" i="7" s="1"/>
  <c r="W8" i="7" s="1"/>
  <c r="U170" i="4"/>
  <c r="X170" i="4" s="1"/>
  <c r="Y170" i="4" s="1"/>
  <c r="F170" i="5" s="1"/>
  <c r="U124" i="4"/>
  <c r="X124" i="4" s="1"/>
  <c r="Y124" i="4" s="1"/>
  <c r="Z124" i="4" s="1"/>
  <c r="U133" i="4"/>
  <c r="U112" i="4"/>
  <c r="X112" i="4" s="1"/>
  <c r="Y112" i="4" s="1"/>
  <c r="Z112" i="4" s="1"/>
  <c r="G112" i="5" s="1"/>
  <c r="N106" i="4"/>
  <c r="U131" i="7"/>
  <c r="V131" i="7" s="1"/>
  <c r="W131" i="7" s="1"/>
  <c r="U81" i="7"/>
  <c r="V81" i="7" s="1"/>
  <c r="W81" i="7" s="1"/>
  <c r="X81" i="7" s="1"/>
  <c r="E81" i="8" s="1"/>
  <c r="N152" i="7"/>
  <c r="V31" i="7"/>
  <c r="W31" i="7" s="1"/>
  <c r="D31" i="8" s="1"/>
  <c r="U11" i="7"/>
  <c r="V11" i="7" s="1"/>
  <c r="W11" i="7" s="1"/>
  <c r="D11" i="8" s="1"/>
  <c r="U20" i="7"/>
  <c r="V20" i="7" s="1"/>
  <c r="W20" i="7" s="1"/>
  <c r="X20" i="7" s="1"/>
  <c r="E20" i="8" s="1"/>
  <c r="U15" i="7"/>
  <c r="V15" i="7" s="1"/>
  <c r="W15" i="7" s="1"/>
  <c r="U47" i="7"/>
  <c r="V47" i="7" s="1"/>
  <c r="W47" i="7" s="1"/>
  <c r="X47" i="7" s="1"/>
  <c r="E47" i="8" s="1"/>
  <c r="N168" i="7"/>
  <c r="U86" i="7"/>
  <c r="V86" i="7" s="1"/>
  <c r="W86" i="7" s="1"/>
  <c r="D86" i="8" s="1"/>
  <c r="N192" i="7"/>
  <c r="U115" i="7"/>
  <c r="V115" i="7" s="1"/>
  <c r="W115" i="7" s="1"/>
  <c r="U33" i="7"/>
  <c r="V33" i="7" s="1"/>
  <c r="W33" i="7" s="1"/>
  <c r="D33" i="8" s="1"/>
  <c r="N200" i="7"/>
  <c r="V200" i="7" s="1"/>
  <c r="W200" i="7" s="1"/>
  <c r="N197" i="7"/>
  <c r="V197" i="7" s="1"/>
  <c r="W197" i="7" s="1"/>
  <c r="U187" i="7"/>
  <c r="U49" i="7"/>
  <c r="V49" i="7" s="1"/>
  <c r="W49" i="7" s="1"/>
  <c r="D49" i="8" s="1"/>
  <c r="U96" i="7"/>
  <c r="V96" i="7" s="1"/>
  <c r="W96" i="7" s="1"/>
  <c r="X96" i="7" s="1"/>
  <c r="E96" i="8" s="1"/>
  <c r="U69" i="7"/>
  <c r="U89" i="7"/>
  <c r="V89" i="7" s="1"/>
  <c r="W89" i="7" s="1"/>
  <c r="U62" i="7"/>
  <c r="V62" i="7" s="1"/>
  <c r="W62" i="7" s="1"/>
  <c r="X62" i="7" s="1"/>
  <c r="E62" i="8" s="1"/>
  <c r="U58" i="7"/>
  <c r="V58" i="7" s="1"/>
  <c r="W58" i="7" s="1"/>
  <c r="D58" i="8" s="1"/>
  <c r="U52" i="7"/>
  <c r="V52" i="7" s="1"/>
  <c r="W52" i="7" s="1"/>
  <c r="X52" i="7" s="1"/>
  <c r="E52" i="8" s="1"/>
  <c r="U35" i="7"/>
  <c r="V35" i="7" s="1"/>
  <c r="W35" i="7" s="1"/>
  <c r="U213" i="4"/>
  <c r="U119" i="4"/>
  <c r="X119" i="4" s="1"/>
  <c r="Y119" i="4" s="1"/>
  <c r="F119" i="5" s="1"/>
  <c r="U5" i="4"/>
  <c r="X5" i="4" s="1"/>
  <c r="Y5" i="4" s="1"/>
  <c r="F5" i="5" s="1"/>
  <c r="U156" i="4"/>
  <c r="X156" i="4" s="1"/>
  <c r="Y156" i="4" s="1"/>
  <c r="Z156" i="4" s="1"/>
  <c r="G156" i="5" s="1"/>
  <c r="U78" i="4"/>
  <c r="X78" i="4" s="1"/>
  <c r="Y78" i="4" s="1"/>
  <c r="Z78" i="4" s="1"/>
  <c r="G78" i="5" s="1"/>
  <c r="U4" i="4"/>
  <c r="X4" i="4" s="1"/>
  <c r="Y4" i="4" s="1"/>
  <c r="Z4" i="4" s="1"/>
  <c r="U146" i="4"/>
  <c r="X146" i="4" s="1"/>
  <c r="Y146" i="4" s="1"/>
  <c r="Z146" i="4" s="1"/>
  <c r="G146" i="5" s="1"/>
  <c r="U15" i="4"/>
  <c r="X15" i="4" s="1"/>
  <c r="Y15" i="4" s="1"/>
  <c r="F15" i="5" s="1"/>
  <c r="U7" i="4"/>
  <c r="X7" i="4" s="1"/>
  <c r="Y7" i="4" s="1"/>
  <c r="F7" i="5" s="1"/>
  <c r="U98" i="4"/>
  <c r="X98" i="4" s="1"/>
  <c r="Y98" i="4" s="1"/>
  <c r="U52" i="4"/>
  <c r="X52" i="4" s="1"/>
  <c r="Y52" i="4" s="1"/>
  <c r="Z52" i="4" s="1"/>
  <c r="G52" i="5" s="1"/>
  <c r="Q12" i="4"/>
  <c r="S12" i="4" s="1"/>
  <c r="U12" i="4" s="1"/>
  <c r="N184" i="4"/>
  <c r="U195" i="4"/>
  <c r="U74" i="4"/>
  <c r="X74" i="4" s="1"/>
  <c r="Y74" i="4" s="1"/>
  <c r="Z74" i="4" s="1"/>
  <c r="G74" i="5" s="1"/>
  <c r="U65" i="4"/>
  <c r="X65" i="4" s="1"/>
  <c r="Y65" i="4" s="1"/>
  <c r="U86" i="4"/>
  <c r="X86" i="4" s="1"/>
  <c r="Y86" i="4" s="1"/>
  <c r="U84" i="4"/>
  <c r="U96" i="4"/>
  <c r="X96" i="4" s="1"/>
  <c r="Y96" i="4" s="1"/>
  <c r="F96" i="5" s="1"/>
  <c r="U13" i="4"/>
  <c r="U132" i="4"/>
  <c r="U125" i="4"/>
  <c r="U50" i="4"/>
  <c r="X50" i="4" s="1"/>
  <c r="Y50" i="4" s="1"/>
  <c r="F50" i="5" s="1"/>
  <c r="U22" i="4"/>
  <c r="X22" i="4" s="1"/>
  <c r="Y22" i="4" s="1"/>
  <c r="F22" i="5" s="1"/>
  <c r="U27" i="4"/>
  <c r="X27" i="4" s="1"/>
  <c r="Y27" i="4" s="1"/>
  <c r="Z27" i="4" s="1"/>
  <c r="G27" i="5" s="1"/>
  <c r="U87" i="4"/>
  <c r="U46" i="4"/>
  <c r="X46" i="4" s="1"/>
  <c r="Y46" i="4" s="1"/>
  <c r="Z46" i="4" s="1"/>
  <c r="G46" i="5" s="1"/>
  <c r="U62" i="4"/>
  <c r="X62" i="4" s="1"/>
  <c r="Y62" i="4" s="1"/>
  <c r="Z62" i="4" s="1"/>
  <c r="G62" i="5" s="1"/>
  <c r="N104" i="4"/>
  <c r="X104" i="4" s="1"/>
  <c r="Y104" i="4" s="1"/>
  <c r="F104" i="5" s="1"/>
  <c r="U56" i="4"/>
  <c r="X56" i="4" s="1"/>
  <c r="Y56" i="4" s="1"/>
  <c r="F56" i="5" s="1"/>
  <c r="U201" i="4"/>
  <c r="X201" i="4" s="1"/>
  <c r="Y201" i="4" s="1"/>
  <c r="Z201" i="4" s="1"/>
  <c r="G201" i="5" s="1"/>
  <c r="U143" i="4"/>
  <c r="X143" i="4" s="1"/>
  <c r="Y143" i="4" s="1"/>
  <c r="F143" i="5" s="1"/>
  <c r="U180" i="4"/>
  <c r="U186" i="4"/>
  <c r="X186" i="4" s="1"/>
  <c r="Y186" i="4" s="1"/>
  <c r="F186" i="5" s="1"/>
  <c r="U60" i="4"/>
  <c r="X60" i="4" s="1"/>
  <c r="Y60" i="4" s="1"/>
  <c r="Z60" i="4" s="1"/>
  <c r="G60" i="5" s="1"/>
  <c r="U45" i="4"/>
  <c r="X45" i="4" s="1"/>
  <c r="Y45" i="4" s="1"/>
  <c r="Z45" i="4" s="1"/>
  <c r="G45" i="5" s="1"/>
  <c r="U82" i="4"/>
  <c r="X82" i="4" s="1"/>
  <c r="Y82" i="4" s="1"/>
  <c r="U81" i="4"/>
  <c r="X81" i="4" s="1"/>
  <c r="Y81" i="4" s="1"/>
  <c r="F81" i="5" s="1"/>
  <c r="U17" i="4"/>
  <c r="X17" i="4" s="1"/>
  <c r="Y17" i="4" s="1"/>
  <c r="F17" i="5" s="1"/>
  <c r="U91" i="4"/>
  <c r="X91" i="4" s="1"/>
  <c r="Y91" i="4" s="1"/>
  <c r="U168" i="4"/>
  <c r="U127" i="4"/>
  <c r="X127" i="4" s="1"/>
  <c r="Y127" i="4" s="1"/>
  <c r="F127" i="5" s="1"/>
  <c r="N195" i="4"/>
  <c r="U192" i="4"/>
  <c r="U182" i="4"/>
  <c r="U88" i="4"/>
  <c r="X88" i="4" s="1"/>
  <c r="Y88" i="4" s="1"/>
  <c r="Z88" i="4" s="1"/>
  <c r="G88" i="5" s="1"/>
  <c r="X31" i="4"/>
  <c r="Y31" i="4" s="1"/>
  <c r="F31" i="5" s="1"/>
  <c r="U191" i="4"/>
  <c r="X191" i="4" s="1"/>
  <c r="Y191" i="4" s="1"/>
  <c r="U76" i="4"/>
  <c r="X76" i="4" s="1"/>
  <c r="Y76" i="4" s="1"/>
  <c r="U193" i="4"/>
  <c r="X193" i="4" s="1"/>
  <c r="Y193" i="4" s="1"/>
  <c r="F193" i="5" s="1"/>
  <c r="U73" i="4"/>
  <c r="X73" i="4" s="1"/>
  <c r="Y73" i="4" s="1"/>
  <c r="U140" i="4"/>
  <c r="X140" i="4" s="1"/>
  <c r="Y140" i="4" s="1"/>
  <c r="F140" i="5" s="1"/>
  <c r="U32" i="4"/>
  <c r="X32" i="4" s="1"/>
  <c r="Y32" i="4" s="1"/>
  <c r="Z32" i="4" s="1"/>
  <c r="U194" i="4"/>
  <c r="X194" i="4" s="1"/>
  <c r="Y194" i="4" s="1"/>
  <c r="Z194" i="4" s="1"/>
  <c r="G194" i="5" s="1"/>
  <c r="U174" i="4"/>
  <c r="X174" i="4" s="1"/>
  <c r="Y174" i="4" s="1"/>
  <c r="Z174" i="4" s="1"/>
  <c r="G174" i="5" s="1"/>
  <c r="U92" i="4"/>
  <c r="X92" i="4" s="1"/>
  <c r="Y92" i="4" s="1"/>
  <c r="U51" i="4"/>
  <c r="X51" i="4" s="1"/>
  <c r="Y51" i="4" s="1"/>
  <c r="Z51" i="4" s="1"/>
  <c r="G51" i="5" s="1"/>
  <c r="U184" i="4"/>
  <c r="U157" i="4"/>
  <c r="X157" i="4" s="1"/>
  <c r="Y157" i="4" s="1"/>
  <c r="U102" i="4"/>
  <c r="X102" i="4" s="1"/>
  <c r="Y102" i="4" s="1"/>
  <c r="J6" i="4"/>
  <c r="L6" i="4" s="1"/>
  <c r="Q6" i="4"/>
  <c r="S6" i="4" s="1"/>
  <c r="K204" i="4"/>
  <c r="M204" i="4" s="1"/>
  <c r="R204" i="4"/>
  <c r="T204" i="4" s="1"/>
  <c r="Q97" i="4"/>
  <c r="S97" i="4" s="1"/>
  <c r="L97" i="4"/>
  <c r="J10" i="4"/>
  <c r="L10" i="4" s="1"/>
  <c r="Q10" i="4"/>
  <c r="S10" i="4" s="1"/>
  <c r="U129" i="4"/>
  <c r="X129" i="4" s="1"/>
  <c r="Y129" i="4" s="1"/>
  <c r="U26" i="4"/>
  <c r="X26" i="4" s="1"/>
  <c r="Y26" i="4" s="1"/>
  <c r="U35" i="4"/>
  <c r="X35" i="4" s="1"/>
  <c r="Y35" i="4" s="1"/>
  <c r="U89" i="4"/>
  <c r="J38" i="4"/>
  <c r="L38" i="4" s="1"/>
  <c r="R48" i="4"/>
  <c r="T48" i="4" s="1"/>
  <c r="K48" i="4"/>
  <c r="M48" i="4" s="1"/>
  <c r="U137" i="4"/>
  <c r="U211" i="4"/>
  <c r="X211" i="4" s="1"/>
  <c r="Y211" i="4" s="1"/>
  <c r="U152" i="4"/>
  <c r="U21" i="4"/>
  <c r="X21" i="4" s="1"/>
  <c r="Y21" i="4" s="1"/>
  <c r="U206" i="4"/>
  <c r="R85" i="4"/>
  <c r="T85" i="4" s="1"/>
  <c r="K85" i="4"/>
  <c r="M85" i="4" s="1"/>
  <c r="U208" i="4"/>
  <c r="U142" i="4"/>
  <c r="X142" i="4" s="1"/>
  <c r="Y142" i="4" s="1"/>
  <c r="R97" i="4"/>
  <c r="T97" i="4" s="1"/>
  <c r="M97" i="4"/>
  <c r="K10" i="4"/>
  <c r="M10" i="4" s="1"/>
  <c r="R10" i="4"/>
  <c r="T10" i="4" s="1"/>
  <c r="U40" i="4"/>
  <c r="U209" i="4"/>
  <c r="U199" i="4"/>
  <c r="U153" i="4"/>
  <c r="X153" i="4" s="1"/>
  <c r="Y153" i="4" s="1"/>
  <c r="U83" i="4"/>
  <c r="U197" i="4"/>
  <c r="J204" i="4"/>
  <c r="L204" i="4" s="1"/>
  <c r="Q204" i="4"/>
  <c r="S204" i="4" s="1"/>
  <c r="U175" i="4"/>
  <c r="X175" i="4" s="1"/>
  <c r="Y175" i="4" s="1"/>
  <c r="Q48" i="4"/>
  <c r="S48" i="4" s="1"/>
  <c r="J48" i="4"/>
  <c r="L48" i="4" s="1"/>
  <c r="K38" i="4"/>
  <c r="M38" i="4" s="1"/>
  <c r="U33" i="4"/>
  <c r="X33" i="4" s="1"/>
  <c r="Y33" i="4" s="1"/>
  <c r="K6" i="4"/>
  <c r="M6" i="4" s="1"/>
  <c r="R6" i="4"/>
  <c r="T6" i="4" s="1"/>
  <c r="U207" i="4"/>
  <c r="X207" i="4" s="1"/>
  <c r="Y207" i="4" s="1"/>
  <c r="U113" i="4"/>
  <c r="U111" i="4"/>
  <c r="X111" i="4" s="1"/>
  <c r="Y111" i="4" s="1"/>
  <c r="Z111" i="4" s="1"/>
  <c r="U49" i="4"/>
  <c r="X49" i="4" s="1"/>
  <c r="Y49" i="4" s="1"/>
  <c r="N132" i="4"/>
  <c r="U106" i="4"/>
  <c r="U101" i="4"/>
  <c r="X101" i="4" s="1"/>
  <c r="Y101" i="4" s="1"/>
  <c r="Z101" i="4" s="1"/>
  <c r="J90" i="4"/>
  <c r="L90" i="4" s="1"/>
  <c r="Q90" i="4"/>
  <c r="S90" i="4" s="1"/>
  <c r="U63" i="4"/>
  <c r="X63" i="4" s="1"/>
  <c r="Y63" i="4" s="1"/>
  <c r="U171" i="4"/>
  <c r="X171" i="4" s="1"/>
  <c r="Y171" i="4" s="1"/>
  <c r="U210" i="4"/>
  <c r="U64" i="4"/>
  <c r="X64" i="4" s="1"/>
  <c r="Y64" i="4" s="1"/>
  <c r="U14" i="4"/>
  <c r="X14" i="4" s="1"/>
  <c r="Y14" i="4" s="1"/>
  <c r="U95" i="4"/>
  <c r="X95" i="4" s="1"/>
  <c r="Y95" i="4" s="1"/>
  <c r="U30" i="4"/>
  <c r="X30" i="4" s="1"/>
  <c r="Y30" i="4" s="1"/>
  <c r="U20" i="4"/>
  <c r="X20" i="4" s="1"/>
  <c r="Y20" i="4" s="1"/>
  <c r="U57" i="4"/>
  <c r="J61" i="4"/>
  <c r="L61" i="4" s="1"/>
  <c r="Q61" i="4"/>
  <c r="S61" i="4" s="1"/>
  <c r="U144" i="4"/>
  <c r="X144" i="4" s="1"/>
  <c r="Y144" i="4" s="1"/>
  <c r="K90" i="4"/>
  <c r="M90" i="4" s="1"/>
  <c r="R90" i="4"/>
  <c r="T90" i="4" s="1"/>
  <c r="U167" i="4"/>
  <c r="X167" i="4" s="1"/>
  <c r="Y167" i="4" s="1"/>
  <c r="K61" i="4"/>
  <c r="M61" i="4" s="1"/>
  <c r="R61" i="4"/>
  <c r="T61" i="4" s="1"/>
  <c r="U54" i="4"/>
  <c r="X54" i="4" s="1"/>
  <c r="Y54" i="4" s="1"/>
  <c r="F54" i="5" s="1"/>
  <c r="U41" i="4"/>
  <c r="X41" i="4" s="1"/>
  <c r="Y41" i="4" s="1"/>
  <c r="U58" i="4"/>
  <c r="X58" i="4" s="1"/>
  <c r="Y58" i="4" s="1"/>
  <c r="U11" i="4"/>
  <c r="X11" i="4" s="1"/>
  <c r="Y11" i="4" s="1"/>
  <c r="J66" i="4"/>
  <c r="L66" i="4" s="1"/>
  <c r="Q66" i="4"/>
  <c r="S66" i="4" s="1"/>
  <c r="U196" i="4"/>
  <c r="U155" i="4"/>
  <c r="X155" i="4" s="1"/>
  <c r="Y155" i="4" s="1"/>
  <c r="N196" i="4"/>
  <c r="Q67" i="4"/>
  <c r="S67" i="4" s="1"/>
  <c r="J67" i="4"/>
  <c r="L67" i="4" s="1"/>
  <c r="J187" i="4"/>
  <c r="L187" i="4" s="1"/>
  <c r="Q187" i="4"/>
  <c r="S187" i="4" s="1"/>
  <c r="Q128" i="4"/>
  <c r="S128" i="4" s="1"/>
  <c r="J128" i="4"/>
  <c r="L128" i="4" s="1"/>
  <c r="U166" i="4"/>
  <c r="X166" i="4" s="1"/>
  <c r="Y166" i="4" s="1"/>
  <c r="U126" i="4"/>
  <c r="X126" i="4" s="1"/>
  <c r="Y126" i="4" s="1"/>
  <c r="U212" i="4"/>
  <c r="X212" i="4" s="1"/>
  <c r="Y212" i="4" s="1"/>
  <c r="K69" i="4"/>
  <c r="M69" i="4" s="1"/>
  <c r="R69" i="4"/>
  <c r="T69" i="4" s="1"/>
  <c r="U134" i="4"/>
  <c r="X134" i="4" s="1"/>
  <c r="Y134" i="4" s="1"/>
  <c r="R66" i="4"/>
  <c r="T66" i="4" s="1"/>
  <c r="K66" i="4"/>
  <c r="M66" i="4" s="1"/>
  <c r="Q8" i="4"/>
  <c r="S8" i="4" s="1"/>
  <c r="J8" i="4"/>
  <c r="L8" i="4" s="1"/>
  <c r="U28" i="4"/>
  <c r="X28" i="4" s="1"/>
  <c r="Y28" i="4" s="1"/>
  <c r="U115" i="4"/>
  <c r="X115" i="4" s="1"/>
  <c r="Y115" i="4" s="1"/>
  <c r="U190" i="4"/>
  <c r="U44" i="4"/>
  <c r="X44" i="4" s="1"/>
  <c r="Y44" i="4" s="1"/>
  <c r="U59" i="4"/>
  <c r="X59" i="4" s="1"/>
  <c r="Y59" i="4" s="1"/>
  <c r="R67" i="4"/>
  <c r="T67" i="4" s="1"/>
  <c r="K67" i="4"/>
  <c r="M67" i="4" s="1"/>
  <c r="K187" i="4"/>
  <c r="M187" i="4" s="1"/>
  <c r="R187" i="4"/>
  <c r="T187" i="4" s="1"/>
  <c r="K128" i="4"/>
  <c r="M128" i="4" s="1"/>
  <c r="R128" i="4"/>
  <c r="T128" i="4" s="1"/>
  <c r="J69" i="4"/>
  <c r="L69" i="4" s="1"/>
  <c r="Q69" i="4"/>
  <c r="S69" i="4" s="1"/>
  <c r="U9" i="4"/>
  <c r="X9" i="4" s="1"/>
  <c r="Y9" i="4" s="1"/>
  <c r="R8" i="4"/>
  <c r="T8" i="4" s="1"/>
  <c r="K8" i="4"/>
  <c r="M8" i="4" s="1"/>
  <c r="U131" i="4"/>
  <c r="X131" i="4" s="1"/>
  <c r="Y131" i="4" s="1"/>
  <c r="R117" i="4"/>
  <c r="T117" i="4" s="1"/>
  <c r="K117" i="4"/>
  <c r="M117" i="4" s="1"/>
  <c r="K130" i="4"/>
  <c r="M130" i="4" s="1"/>
  <c r="R130" i="4"/>
  <c r="T130" i="4" s="1"/>
  <c r="R80" i="4"/>
  <c r="T80" i="4" s="1"/>
  <c r="K80" i="4"/>
  <c r="M80" i="4" s="1"/>
  <c r="Q85" i="4"/>
  <c r="S85" i="4" s="1"/>
  <c r="J85" i="4"/>
  <c r="L85" i="4" s="1"/>
  <c r="U177" i="4"/>
  <c r="X177" i="4" s="1"/>
  <c r="Y177" i="4" s="1"/>
  <c r="U29" i="4"/>
  <c r="X29" i="4" s="1"/>
  <c r="Y29" i="4" s="1"/>
  <c r="Z29" i="4" s="1"/>
  <c r="N189" i="4"/>
  <c r="X189" i="4" s="1"/>
  <c r="Y189" i="4" s="1"/>
  <c r="N40" i="4"/>
  <c r="U18" i="4"/>
  <c r="X18" i="4" s="1"/>
  <c r="Y18" i="4" s="1"/>
  <c r="Z18" i="4" s="1"/>
  <c r="J117" i="4"/>
  <c r="L117" i="4" s="1"/>
  <c r="Q117" i="4"/>
  <c r="S117" i="4" s="1"/>
  <c r="U107" i="4"/>
  <c r="X107" i="4" s="1"/>
  <c r="Y107" i="4" s="1"/>
  <c r="J130" i="4"/>
  <c r="L130" i="4" s="1"/>
  <c r="Q130" i="4"/>
  <c r="S130" i="4" s="1"/>
  <c r="J80" i="4"/>
  <c r="L80" i="4" s="1"/>
  <c r="Q80" i="4"/>
  <c r="S80" i="4" s="1"/>
  <c r="U144" i="7"/>
  <c r="V144" i="7" s="1"/>
  <c r="W144" i="7" s="1"/>
  <c r="K204" i="7"/>
  <c r="M204" i="7" s="1"/>
  <c r="R204" i="7"/>
  <c r="T204" i="7" s="1"/>
  <c r="K66" i="7"/>
  <c r="M66" i="7" s="1"/>
  <c r="R66" i="7"/>
  <c r="T66" i="7" s="1"/>
  <c r="U60" i="7"/>
  <c r="V60" i="7" s="1"/>
  <c r="W60" i="7" s="1"/>
  <c r="Q6" i="7"/>
  <c r="S6" i="7" s="1"/>
  <c r="J6" i="7"/>
  <c r="L6" i="7" s="1"/>
  <c r="U78" i="7"/>
  <c r="V78" i="7" s="1"/>
  <c r="W78" i="7" s="1"/>
  <c r="Q80" i="7"/>
  <c r="S80" i="7" s="1"/>
  <c r="J80" i="7"/>
  <c r="L80" i="7" s="1"/>
  <c r="U128" i="7"/>
  <c r="N198" i="7"/>
  <c r="V198" i="7" s="1"/>
  <c r="W198" i="7" s="1"/>
  <c r="N196" i="7"/>
  <c r="U133" i="7"/>
  <c r="V133" i="7" s="1"/>
  <c r="W133" i="7" s="1"/>
  <c r="N132" i="7"/>
  <c r="U88" i="7"/>
  <c r="V88" i="7" s="1"/>
  <c r="W88" i="7" s="1"/>
  <c r="U112" i="7"/>
  <c r="V112" i="7" s="1"/>
  <c r="W112" i="7" s="1"/>
  <c r="U106" i="7"/>
  <c r="E162" i="8"/>
  <c r="K6" i="7"/>
  <c r="M6" i="7" s="1"/>
  <c r="R6" i="7"/>
  <c r="T6" i="7" s="1"/>
  <c r="K117" i="7"/>
  <c r="M117" i="7" s="1"/>
  <c r="R117" i="7"/>
  <c r="T117" i="7" s="1"/>
  <c r="U98" i="7"/>
  <c r="V98" i="7" s="1"/>
  <c r="W98" i="7" s="1"/>
  <c r="R80" i="7"/>
  <c r="T80" i="7" s="1"/>
  <c r="K80" i="7"/>
  <c r="M80" i="7" s="1"/>
  <c r="Q67" i="7"/>
  <c r="S67" i="7" s="1"/>
  <c r="J67" i="7"/>
  <c r="L67" i="7" s="1"/>
  <c r="Q117" i="7"/>
  <c r="S117" i="7" s="1"/>
  <c r="J117" i="7"/>
  <c r="L117" i="7" s="1"/>
  <c r="U46" i="7"/>
  <c r="V46" i="7" s="1"/>
  <c r="W46" i="7" s="1"/>
  <c r="J57" i="7"/>
  <c r="L57" i="7" s="1"/>
  <c r="Q57" i="7"/>
  <c r="S57" i="7" s="1"/>
  <c r="U82" i="7"/>
  <c r="V82" i="7" s="1"/>
  <c r="W82" i="7" s="1"/>
  <c r="Q61" i="7"/>
  <c r="S61" i="7" s="1"/>
  <c r="J61" i="7"/>
  <c r="L61" i="7" s="1"/>
  <c r="U65" i="7"/>
  <c r="V65" i="7" s="1"/>
  <c r="W65" i="7" s="1"/>
  <c r="K90" i="7"/>
  <c r="M90" i="7" s="1"/>
  <c r="R90" i="7"/>
  <c r="T90" i="7" s="1"/>
  <c r="U7" i="7"/>
  <c r="V7" i="7" s="1"/>
  <c r="W7" i="7" s="1"/>
  <c r="D7" i="8" s="1"/>
  <c r="U95" i="7"/>
  <c r="V95" i="7" s="1"/>
  <c r="W95" i="7" s="1"/>
  <c r="U74" i="7"/>
  <c r="V74" i="7" s="1"/>
  <c r="W74" i="7" s="1"/>
  <c r="X74" i="7" s="1"/>
  <c r="E74" i="8" s="1"/>
  <c r="K67" i="7"/>
  <c r="M67" i="7" s="1"/>
  <c r="R67" i="7"/>
  <c r="T67" i="7" s="1"/>
  <c r="U92" i="7"/>
  <c r="V92" i="7" s="1"/>
  <c r="W92" i="7" s="1"/>
  <c r="Q130" i="7"/>
  <c r="S130" i="7" s="1"/>
  <c r="J130" i="7"/>
  <c r="L130" i="7" s="1"/>
  <c r="Q38" i="7"/>
  <c r="S38" i="7" s="1"/>
  <c r="J38" i="7"/>
  <c r="L38" i="7" s="1"/>
  <c r="U40" i="7"/>
  <c r="V40" i="7" s="1"/>
  <c r="W40" i="7" s="1"/>
  <c r="X40" i="7" s="1"/>
  <c r="R61" i="7"/>
  <c r="T61" i="7" s="1"/>
  <c r="K61" i="7"/>
  <c r="M61" i="7" s="1"/>
  <c r="Q90" i="7"/>
  <c r="S90" i="7" s="1"/>
  <c r="J90" i="7"/>
  <c r="L90" i="7" s="1"/>
  <c r="N189" i="7"/>
  <c r="V189" i="7" s="1"/>
  <c r="W189" i="7" s="1"/>
  <c r="X189" i="7" s="1"/>
  <c r="E189" i="8" s="1"/>
  <c r="U84" i="7"/>
  <c r="N150" i="7"/>
  <c r="V150" i="7" s="1"/>
  <c r="W150" i="7" s="1"/>
  <c r="X150" i="7" s="1"/>
  <c r="U166" i="7"/>
  <c r="V166" i="7" s="1"/>
  <c r="W166" i="7" s="1"/>
  <c r="X166" i="7" s="1"/>
  <c r="U124" i="7"/>
  <c r="V124" i="7" s="1"/>
  <c r="W124" i="7" s="1"/>
  <c r="X124" i="7" s="1"/>
  <c r="K130" i="7"/>
  <c r="M130" i="7" s="1"/>
  <c r="R130" i="7"/>
  <c r="T130" i="7" s="1"/>
  <c r="U182" i="7"/>
  <c r="K38" i="7"/>
  <c r="M38" i="7" s="1"/>
  <c r="R38" i="7"/>
  <c r="T38" i="7" s="1"/>
  <c r="V179" i="7"/>
  <c r="W179" i="7" s="1"/>
  <c r="X179" i="7" s="1"/>
  <c r="E179" i="8" s="1"/>
  <c r="R85" i="7"/>
  <c r="T85" i="7" s="1"/>
  <c r="K85" i="7"/>
  <c r="M85" i="7" s="1"/>
  <c r="U137" i="7"/>
  <c r="V137" i="7" s="1"/>
  <c r="W137" i="7" s="1"/>
  <c r="J85" i="7"/>
  <c r="L85" i="7" s="1"/>
  <c r="Q85" i="7"/>
  <c r="S85" i="7" s="1"/>
  <c r="U119" i="7"/>
  <c r="V119" i="7" s="1"/>
  <c r="W119" i="7" s="1"/>
  <c r="J204" i="7"/>
  <c r="L204" i="7" s="1"/>
  <c r="Q204" i="7"/>
  <c r="S204" i="7" s="1"/>
  <c r="N208" i="7"/>
  <c r="K57" i="7"/>
  <c r="M57" i="7" s="1"/>
  <c r="R57" i="7"/>
  <c r="T57" i="7" s="1"/>
  <c r="Q66" i="7"/>
  <c r="S66" i="7" s="1"/>
  <c r="J66" i="7"/>
  <c r="L66" i="7" s="1"/>
  <c r="U113" i="7"/>
  <c r="N106" i="7"/>
  <c r="U97" i="7"/>
  <c r="U24" i="7" l="1"/>
  <c r="V24" i="7" s="1"/>
  <c r="W24" i="7" s="1"/>
  <c r="X24" i="7" s="1"/>
  <c r="E24" i="8" s="1"/>
  <c r="D93" i="8"/>
  <c r="Z75" i="4"/>
  <c r="G75" i="5" s="1"/>
  <c r="I75" i="5" s="1"/>
  <c r="O75" i="5" s="1"/>
  <c r="X75" i="7"/>
  <c r="E75" i="8" s="1"/>
  <c r="S75" i="8" s="1"/>
  <c r="F151" i="5"/>
  <c r="D55" i="8"/>
  <c r="U138" i="7"/>
  <c r="V138" i="7" s="1"/>
  <c r="W138" i="7" s="1"/>
  <c r="D138" i="8" s="1"/>
  <c r="N152" i="4"/>
  <c r="X152" i="4" s="1"/>
  <c r="Y152" i="4" s="1"/>
  <c r="F152" i="5" s="1"/>
  <c r="Z162" i="4"/>
  <c r="G162" i="5" s="1"/>
  <c r="U162" i="5" s="1"/>
  <c r="V141" i="7"/>
  <c r="W141" i="7" s="1"/>
  <c r="D141" i="8" s="1"/>
  <c r="D77" i="8"/>
  <c r="X43" i="7"/>
  <c r="E43" i="8" s="1"/>
  <c r="S43" i="8" s="1"/>
  <c r="U100" i="4"/>
  <c r="L100" i="4"/>
  <c r="D94" i="8"/>
  <c r="D68" i="8"/>
  <c r="Z179" i="4"/>
  <c r="G179" i="5" s="1"/>
  <c r="F179" i="5"/>
  <c r="N37" i="7"/>
  <c r="U36" i="4"/>
  <c r="U163" i="7"/>
  <c r="V163" i="7" s="1"/>
  <c r="W163" i="7" s="1"/>
  <c r="D163" i="8" s="1"/>
  <c r="U149" i="4"/>
  <c r="N37" i="4"/>
  <c r="D173" i="8"/>
  <c r="U24" i="4"/>
  <c r="X24" i="4" s="1"/>
  <c r="Y24" i="4" s="1"/>
  <c r="F24" i="5" s="1"/>
  <c r="X105" i="7"/>
  <c r="E105" i="8" s="1"/>
  <c r="G105" i="8" s="1"/>
  <c r="J105" i="8" s="1"/>
  <c r="U37" i="7"/>
  <c r="M150" i="4"/>
  <c r="N150" i="4" s="1"/>
  <c r="X150" i="4" s="1"/>
  <c r="Y150" i="4" s="1"/>
  <c r="F164" i="5"/>
  <c r="F173" i="5"/>
  <c r="U158" i="4"/>
  <c r="X158" i="4" s="1"/>
  <c r="Y158" i="4" s="1"/>
  <c r="F158" i="5" s="1"/>
  <c r="X138" i="7"/>
  <c r="E138" i="8" s="1"/>
  <c r="S138" i="8" s="1"/>
  <c r="V109" i="7"/>
  <c r="W109" i="7" s="1"/>
  <c r="X109" i="7" s="1"/>
  <c r="E109" i="8" s="1"/>
  <c r="N71" i="4"/>
  <c r="N135" i="4"/>
  <c r="U108" i="4"/>
  <c r="X108" i="4" s="1"/>
  <c r="Y108" i="4" s="1"/>
  <c r="Z108" i="4" s="1"/>
  <c r="G108" i="5" s="1"/>
  <c r="U79" i="4"/>
  <c r="N79" i="4"/>
  <c r="F77" i="5"/>
  <c r="Z165" i="4"/>
  <c r="G165" i="5" s="1"/>
  <c r="J165" i="5" s="1"/>
  <c r="N36" i="4"/>
  <c r="L148" i="4"/>
  <c r="N148" i="4" s="1"/>
  <c r="X148" i="4" s="1"/>
  <c r="Y148" i="4" s="1"/>
  <c r="F148" i="5" s="1"/>
  <c r="U163" i="4"/>
  <c r="X163" i="4" s="1"/>
  <c r="Y163" i="4" s="1"/>
  <c r="F163" i="5" s="1"/>
  <c r="X139" i="7"/>
  <c r="E139" i="8" s="1"/>
  <c r="S139" i="8" s="1"/>
  <c r="D139" i="8"/>
  <c r="N100" i="7"/>
  <c r="U72" i="4"/>
  <c r="U71" i="7"/>
  <c r="N53" i="7"/>
  <c r="U135" i="4"/>
  <c r="X120" i="7"/>
  <c r="E120" i="8" s="1"/>
  <c r="D120" i="8"/>
  <c r="Z122" i="4"/>
  <c r="G122" i="5" s="1"/>
  <c r="F122" i="5"/>
  <c r="Z139" i="4"/>
  <c r="G139" i="5" s="1"/>
  <c r="F139" i="5"/>
  <c r="Z120" i="4"/>
  <c r="G120" i="5" s="1"/>
  <c r="F120" i="5"/>
  <c r="U72" i="7"/>
  <c r="G77" i="8"/>
  <c r="H77" i="8"/>
  <c r="S77" i="8"/>
  <c r="Z70" i="4"/>
  <c r="G70" i="5" s="1"/>
  <c r="F70" i="5"/>
  <c r="F68" i="5"/>
  <c r="Z68" i="4"/>
  <c r="G68" i="5" s="1"/>
  <c r="D148" i="8"/>
  <c r="X148" i="7"/>
  <c r="E148" i="8" s="1"/>
  <c r="X164" i="7"/>
  <c r="E164" i="8" s="1"/>
  <c r="D164" i="8"/>
  <c r="F121" i="5"/>
  <c r="Z121" i="4"/>
  <c r="G121" i="5" s="1"/>
  <c r="X70" i="7"/>
  <c r="E70" i="8" s="1"/>
  <c r="D70" i="8"/>
  <c r="F136" i="5"/>
  <c r="Z136" i="4"/>
  <c r="G136" i="5" s="1"/>
  <c r="X122" i="7"/>
  <c r="E122" i="8" s="1"/>
  <c r="D122" i="8"/>
  <c r="N72" i="7"/>
  <c r="V72" i="7" s="1"/>
  <c r="W72" i="7" s="1"/>
  <c r="U36" i="7"/>
  <c r="U71" i="4"/>
  <c r="Z176" i="4"/>
  <c r="G176" i="5" s="1"/>
  <c r="F176" i="5"/>
  <c r="N135" i="7"/>
  <c r="U53" i="4"/>
  <c r="M100" i="4"/>
  <c r="N145" i="7"/>
  <c r="I77" i="5"/>
  <c r="U77" i="5"/>
  <c r="J77" i="5"/>
  <c r="G94" i="8"/>
  <c r="I94" i="8" s="1"/>
  <c r="S94" i="8"/>
  <c r="H94" i="8"/>
  <c r="J164" i="5"/>
  <c r="U164" i="5"/>
  <c r="I164" i="5"/>
  <c r="N36" i="7"/>
  <c r="X123" i="7"/>
  <c r="E123" i="8" s="1"/>
  <c r="D123" i="8"/>
  <c r="Z93" i="4"/>
  <c r="G93" i="5" s="1"/>
  <c r="F93" i="5"/>
  <c r="U135" i="7"/>
  <c r="Z43" i="4"/>
  <c r="G43" i="5" s="1"/>
  <c r="F43" i="5"/>
  <c r="N53" i="4"/>
  <c r="U145" i="7"/>
  <c r="J75" i="5"/>
  <c r="X110" i="7"/>
  <c r="E110" i="8" s="1"/>
  <c r="D110" i="8"/>
  <c r="X165" i="7"/>
  <c r="E165" i="8" s="1"/>
  <c r="D165" i="8"/>
  <c r="L109" i="4"/>
  <c r="M109" i="4"/>
  <c r="F39" i="5"/>
  <c r="Z39" i="4"/>
  <c r="G39" i="5" s="1"/>
  <c r="Z94" i="4"/>
  <c r="G94" i="5" s="1"/>
  <c r="F94" i="5"/>
  <c r="Z123" i="4"/>
  <c r="G123" i="5" s="1"/>
  <c r="F123" i="5"/>
  <c r="Z55" i="4"/>
  <c r="G55" i="5" s="1"/>
  <c r="F55" i="5"/>
  <c r="X121" i="7"/>
  <c r="E121" i="8" s="1"/>
  <c r="D121" i="8"/>
  <c r="G42" i="8"/>
  <c r="I42" i="8" s="1"/>
  <c r="S42" i="8"/>
  <c r="H42" i="8"/>
  <c r="F110" i="5"/>
  <c r="Z110" i="4"/>
  <c r="G110" i="5" s="1"/>
  <c r="D24" i="8"/>
  <c r="Z105" i="4"/>
  <c r="G105" i="5" s="1"/>
  <c r="F105" i="5"/>
  <c r="U151" i="5"/>
  <c r="I151" i="5"/>
  <c r="J151" i="5"/>
  <c r="U100" i="7"/>
  <c r="U149" i="7"/>
  <c r="N72" i="4"/>
  <c r="N71" i="7"/>
  <c r="U37" i="4"/>
  <c r="X151" i="7"/>
  <c r="E151" i="8" s="1"/>
  <c r="D151" i="8"/>
  <c r="G55" i="8"/>
  <c r="M55" i="8" s="1"/>
  <c r="S55" i="8"/>
  <c r="H55" i="8"/>
  <c r="M141" i="4"/>
  <c r="N141" i="4" s="1"/>
  <c r="X141" i="4" s="1"/>
  <c r="Y141" i="4" s="1"/>
  <c r="J173" i="5"/>
  <c r="U173" i="5"/>
  <c r="I173" i="5"/>
  <c r="U138" i="4"/>
  <c r="X138" i="4" s="1"/>
  <c r="Y138" i="4" s="1"/>
  <c r="U53" i="7"/>
  <c r="N79" i="7"/>
  <c r="X39" i="7"/>
  <c r="E39" i="8" s="1"/>
  <c r="D39" i="8"/>
  <c r="X95" i="7"/>
  <c r="E95" i="8" s="1"/>
  <c r="D95" i="8"/>
  <c r="G173" i="8"/>
  <c r="S173" i="8"/>
  <c r="H173" i="8"/>
  <c r="N149" i="7"/>
  <c r="X136" i="7"/>
  <c r="E136" i="8" s="1"/>
  <c r="D136" i="8"/>
  <c r="U108" i="7"/>
  <c r="V108" i="7" s="1"/>
  <c r="W108" i="7" s="1"/>
  <c r="D176" i="8"/>
  <c r="X176" i="7"/>
  <c r="E176" i="8" s="1"/>
  <c r="Z103" i="4"/>
  <c r="G103" i="5" s="1"/>
  <c r="F103" i="5"/>
  <c r="U145" i="4"/>
  <c r="U79" i="7"/>
  <c r="N149" i="4"/>
  <c r="G68" i="8"/>
  <c r="H68" i="8"/>
  <c r="S68" i="8"/>
  <c r="X103" i="7"/>
  <c r="E103" i="8" s="1"/>
  <c r="D103" i="8"/>
  <c r="Z42" i="4"/>
  <c r="G42" i="5" s="1"/>
  <c r="F42" i="5"/>
  <c r="N145" i="4"/>
  <c r="X158" i="7"/>
  <c r="E158" i="8" s="1"/>
  <c r="D158" i="8"/>
  <c r="G93" i="8"/>
  <c r="N93" i="8" s="1"/>
  <c r="S93" i="8"/>
  <c r="H93" i="8"/>
  <c r="S45" i="8"/>
  <c r="S91" i="8"/>
  <c r="S16" i="8"/>
  <c r="S81" i="8"/>
  <c r="U194" i="5"/>
  <c r="U88" i="5"/>
  <c r="U201" i="5"/>
  <c r="U74" i="5"/>
  <c r="U146" i="5"/>
  <c r="S52" i="8"/>
  <c r="S47" i="8"/>
  <c r="S185" i="8"/>
  <c r="S193" i="8"/>
  <c r="S5" i="8"/>
  <c r="S212" i="8"/>
  <c r="S162" i="8"/>
  <c r="U16" i="5"/>
  <c r="S29" i="8"/>
  <c r="S207" i="8"/>
  <c r="S73" i="8"/>
  <c r="S147" i="8"/>
  <c r="U78" i="5"/>
  <c r="S62" i="8"/>
  <c r="S20" i="8"/>
  <c r="U112" i="5"/>
  <c r="S111" i="8"/>
  <c r="S210" i="8"/>
  <c r="U27" i="5"/>
  <c r="S180" i="8"/>
  <c r="S179" i="8"/>
  <c r="U45" i="5"/>
  <c r="U62" i="5"/>
  <c r="U156" i="5"/>
  <c r="S153" i="8"/>
  <c r="U188" i="5"/>
  <c r="S146" i="8"/>
  <c r="S74" i="8"/>
  <c r="U51" i="5"/>
  <c r="U60" i="5"/>
  <c r="U46" i="5"/>
  <c r="U52" i="5"/>
  <c r="S22" i="8"/>
  <c r="U174" i="5"/>
  <c r="S189" i="8"/>
  <c r="S96" i="8"/>
  <c r="S21" i="8"/>
  <c r="S142" i="8"/>
  <c r="S143" i="8"/>
  <c r="V13" i="7"/>
  <c r="W13" i="7" s="1"/>
  <c r="X13" i="7" s="1"/>
  <c r="E13" i="8" s="1"/>
  <c r="V195" i="7"/>
  <c r="W195" i="7" s="1"/>
  <c r="X195" i="7" s="1"/>
  <c r="E195" i="8" s="1"/>
  <c r="V106" i="7"/>
  <c r="W106" i="7" s="1"/>
  <c r="X106" i="7" s="1"/>
  <c r="Z73" i="4"/>
  <c r="G73" i="5" s="1"/>
  <c r="F73" i="5"/>
  <c r="V202" i="7"/>
  <c r="W202" i="7" s="1"/>
  <c r="D202" i="8" s="1"/>
  <c r="X63" i="7"/>
  <c r="E63" i="8" s="1"/>
  <c r="V25" i="7"/>
  <c r="W25" i="7" s="1"/>
  <c r="X25" i="7" s="1"/>
  <c r="E25" i="8" s="1"/>
  <c r="X104" i="7"/>
  <c r="E104" i="8" s="1"/>
  <c r="V87" i="7"/>
  <c r="W87" i="7" s="1"/>
  <c r="X87" i="7" s="1"/>
  <c r="E87" i="8" s="1"/>
  <c r="V196" i="7"/>
  <c r="W196" i="7" s="1"/>
  <c r="X196" i="7" s="1"/>
  <c r="E196" i="8" s="1"/>
  <c r="V184" i="7"/>
  <c r="W184" i="7" s="1"/>
  <c r="X184" i="7" s="1"/>
  <c r="E184" i="8" s="1"/>
  <c r="V84" i="7"/>
  <c r="W84" i="7" s="1"/>
  <c r="D84" i="8" s="1"/>
  <c r="X25" i="4"/>
  <c r="Y25" i="4" s="1"/>
  <c r="Z25" i="4" s="1"/>
  <c r="G25" i="5" s="1"/>
  <c r="X40" i="4"/>
  <c r="Y40" i="4" s="1"/>
  <c r="Z40" i="4" s="1"/>
  <c r="G40" i="5" s="1"/>
  <c r="X14" i="7"/>
  <c r="E14" i="8" s="1"/>
  <c r="X64" i="7"/>
  <c r="E64" i="8" s="1"/>
  <c r="X54" i="7"/>
  <c r="E54" i="8" s="1"/>
  <c r="V12" i="7"/>
  <c r="W12" i="7" s="1"/>
  <c r="D12" i="8" s="1"/>
  <c r="D146" i="8"/>
  <c r="V182" i="7"/>
  <c r="W182" i="7" s="1"/>
  <c r="D182" i="8" s="1"/>
  <c r="V187" i="7"/>
  <c r="W187" i="7" s="1"/>
  <c r="X187" i="7" s="1"/>
  <c r="E187" i="8" s="1"/>
  <c r="X41" i="7"/>
  <c r="E41" i="8" s="1"/>
  <c r="V48" i="7"/>
  <c r="W48" i="7" s="1"/>
  <c r="D48" i="8" s="1"/>
  <c r="X18" i="7"/>
  <c r="E18" i="8" s="1"/>
  <c r="D111" i="8"/>
  <c r="X175" i="7"/>
  <c r="E175" i="8" s="1"/>
  <c r="X56" i="7"/>
  <c r="E56" i="8" s="1"/>
  <c r="D29" i="8"/>
  <c r="V168" i="7"/>
  <c r="W168" i="7" s="1"/>
  <c r="D168" i="8" s="1"/>
  <c r="X116" i="7"/>
  <c r="E116" i="8" s="1"/>
  <c r="G146" i="8"/>
  <c r="X30" i="7"/>
  <c r="E30" i="8" s="1"/>
  <c r="N147" i="4"/>
  <c r="X147" i="4" s="1"/>
  <c r="Y147" i="4" s="1"/>
  <c r="F147" i="5" s="1"/>
  <c r="G177" i="8"/>
  <c r="O177" i="8" s="1"/>
  <c r="X127" i="7"/>
  <c r="E127" i="8" s="1"/>
  <c r="D177" i="8"/>
  <c r="H177" i="8"/>
  <c r="N182" i="4"/>
  <c r="X182" i="4" s="1"/>
  <c r="Y182" i="4" s="1"/>
  <c r="F182" i="5" s="1"/>
  <c r="V132" i="7"/>
  <c r="W132" i="7" s="1"/>
  <c r="D132" i="8" s="1"/>
  <c r="V199" i="7"/>
  <c r="W199" i="7" s="1"/>
  <c r="D199" i="8" s="1"/>
  <c r="N172" i="7"/>
  <c r="D147" i="8"/>
  <c r="H146" i="8"/>
  <c r="X17" i="7"/>
  <c r="E17" i="8" s="1"/>
  <c r="D16" i="8"/>
  <c r="X126" i="7"/>
  <c r="E126" i="8" s="1"/>
  <c r="D193" i="8"/>
  <c r="U172" i="4"/>
  <c r="V192" i="7"/>
  <c r="W192" i="7" s="1"/>
  <c r="X192" i="7" s="1"/>
  <c r="E192" i="8" s="1"/>
  <c r="V190" i="7"/>
  <c r="W190" i="7" s="1"/>
  <c r="X170" i="7"/>
  <c r="E170" i="8" s="1"/>
  <c r="X50" i="7"/>
  <c r="E50" i="8" s="1"/>
  <c r="D81" i="8"/>
  <c r="X83" i="7"/>
  <c r="E83" i="8" s="1"/>
  <c r="D83" i="8"/>
  <c r="V152" i="7"/>
  <c r="W152" i="7" s="1"/>
  <c r="D152" i="8" s="1"/>
  <c r="V125" i="7"/>
  <c r="W125" i="7" s="1"/>
  <c r="D125" i="8" s="1"/>
  <c r="X133" i="4"/>
  <c r="Y133" i="4" s="1"/>
  <c r="F133" i="5" s="1"/>
  <c r="X87" i="4"/>
  <c r="Y87" i="4" s="1"/>
  <c r="F87" i="5" s="1"/>
  <c r="N208" i="4"/>
  <c r="X208" i="4" s="1"/>
  <c r="Y208" i="4" s="1"/>
  <c r="F208" i="5" s="1"/>
  <c r="X83" i="4"/>
  <c r="Y83" i="4" s="1"/>
  <c r="Z83" i="4" s="1"/>
  <c r="G83" i="5" s="1"/>
  <c r="X84" i="4"/>
  <c r="Y84" i="4" s="1"/>
  <c r="F84" i="5" s="1"/>
  <c r="X89" i="4"/>
  <c r="Y89" i="4" s="1"/>
  <c r="F89" i="5" s="1"/>
  <c r="D21" i="8"/>
  <c r="X174" i="7"/>
  <c r="E174" i="8" s="1"/>
  <c r="G179" i="8"/>
  <c r="L179" i="8" s="1"/>
  <c r="H179" i="8"/>
  <c r="G29" i="8"/>
  <c r="H29" i="8"/>
  <c r="G20" i="8"/>
  <c r="H20" i="8"/>
  <c r="H193" i="8"/>
  <c r="G193" i="8"/>
  <c r="G142" i="8"/>
  <c r="I142" i="8" s="1"/>
  <c r="H142" i="8"/>
  <c r="G143" i="8"/>
  <c r="I143" i="8" s="1"/>
  <c r="H143" i="8"/>
  <c r="H45" i="8"/>
  <c r="G45" i="8"/>
  <c r="L45" i="8" s="1"/>
  <c r="G21" i="8"/>
  <c r="I21" i="8" s="1"/>
  <c r="H21" i="8"/>
  <c r="G162" i="8"/>
  <c r="H162" i="8"/>
  <c r="G62" i="8"/>
  <c r="M62" i="8" s="1"/>
  <c r="H62" i="8"/>
  <c r="G73" i="8"/>
  <c r="M73" i="8" s="1"/>
  <c r="H73" i="8"/>
  <c r="H111" i="8"/>
  <c r="G111" i="8"/>
  <c r="G212" i="8"/>
  <c r="H212" i="8"/>
  <c r="G180" i="8"/>
  <c r="K180" i="8" s="1"/>
  <c r="H180" i="8"/>
  <c r="G189" i="8"/>
  <c r="M189" i="8" s="1"/>
  <c r="H189" i="8"/>
  <c r="H22" i="8"/>
  <c r="G22" i="8"/>
  <c r="L22" i="8" s="1"/>
  <c r="G5" i="8"/>
  <c r="M5" i="8" s="1"/>
  <c r="H5" i="8"/>
  <c r="G52" i="8"/>
  <c r="I52" i="8" s="1"/>
  <c r="H52" i="8"/>
  <c r="H207" i="8"/>
  <c r="G207" i="8"/>
  <c r="G147" i="8"/>
  <c r="H147" i="8"/>
  <c r="G16" i="8"/>
  <c r="N16" i="8" s="1"/>
  <c r="H16" i="8"/>
  <c r="G47" i="8"/>
  <c r="H47" i="8"/>
  <c r="G153" i="8"/>
  <c r="H153" i="8"/>
  <c r="G74" i="8"/>
  <c r="I74" i="8" s="1"/>
  <c r="H74" i="8"/>
  <c r="G81" i="8"/>
  <c r="H81" i="8"/>
  <c r="G91" i="8"/>
  <c r="I91" i="8" s="1"/>
  <c r="H91" i="8"/>
  <c r="H96" i="8"/>
  <c r="G96" i="8"/>
  <c r="I96" i="8" s="1"/>
  <c r="H185" i="8"/>
  <c r="G185" i="8"/>
  <c r="G210" i="8"/>
  <c r="M210" i="8" s="1"/>
  <c r="H210" i="8"/>
  <c r="L29" i="8"/>
  <c r="I29" i="8"/>
  <c r="R29" i="8"/>
  <c r="I174" i="5"/>
  <c r="J174" i="5"/>
  <c r="J194" i="5"/>
  <c r="I194" i="5"/>
  <c r="I88" i="5"/>
  <c r="J88" i="5"/>
  <c r="I201" i="5"/>
  <c r="N201" i="5" s="1"/>
  <c r="J201" i="5"/>
  <c r="I156" i="5"/>
  <c r="T156" i="5" s="1"/>
  <c r="J156" i="5"/>
  <c r="I52" i="5"/>
  <c r="K52" i="5" s="1"/>
  <c r="J52" i="5"/>
  <c r="I112" i="5"/>
  <c r="O112" i="5" s="1"/>
  <c r="J112" i="5"/>
  <c r="I74" i="5"/>
  <c r="K74" i="5" s="1"/>
  <c r="J74" i="5"/>
  <c r="I45" i="5"/>
  <c r="N45" i="5" s="1"/>
  <c r="J45" i="5"/>
  <c r="I62" i="5"/>
  <c r="O62" i="5" s="1"/>
  <c r="J62" i="5"/>
  <c r="I51" i="5"/>
  <c r="J51" i="5"/>
  <c r="J60" i="5"/>
  <c r="I60" i="5"/>
  <c r="K60" i="5" s="1"/>
  <c r="J46" i="5"/>
  <c r="I46" i="5"/>
  <c r="N46" i="5" s="1"/>
  <c r="I146" i="5"/>
  <c r="J146" i="5"/>
  <c r="J27" i="5"/>
  <c r="I27" i="5"/>
  <c r="S27" i="5" s="1"/>
  <c r="I188" i="5"/>
  <c r="O188" i="5" s="1"/>
  <c r="J188" i="5"/>
  <c r="I78" i="5"/>
  <c r="J78" i="5"/>
  <c r="J16" i="5"/>
  <c r="I16" i="5"/>
  <c r="P16" i="5" s="1"/>
  <c r="X155" i="7"/>
  <c r="E155" i="8" s="1"/>
  <c r="X9" i="7"/>
  <c r="E9" i="8" s="1"/>
  <c r="X129" i="7"/>
  <c r="E129" i="8" s="1"/>
  <c r="D129" i="8"/>
  <c r="X154" i="7"/>
  <c r="E154" i="8" s="1"/>
  <c r="U172" i="7"/>
  <c r="D22" i="8"/>
  <c r="D4" i="8"/>
  <c r="X4" i="7"/>
  <c r="E4" i="8" s="1"/>
  <c r="D114" i="8"/>
  <c r="X114" i="7"/>
  <c r="E114" i="8" s="1"/>
  <c r="D210" i="8"/>
  <c r="V209" i="7"/>
  <c r="W209" i="7" s="1"/>
  <c r="D209" i="8" s="1"/>
  <c r="X171" i="7"/>
  <c r="E171" i="8" s="1"/>
  <c r="V113" i="7"/>
  <c r="W113" i="7" s="1"/>
  <c r="X113" i="7" s="1"/>
  <c r="E113" i="8" s="1"/>
  <c r="D140" i="8"/>
  <c r="X140" i="7"/>
  <c r="E140" i="8" s="1"/>
  <c r="D142" i="8"/>
  <c r="D143" i="8"/>
  <c r="V208" i="7"/>
  <c r="W208" i="7" s="1"/>
  <c r="X208" i="7" s="1"/>
  <c r="E208" i="8" s="1"/>
  <c r="X167" i="7"/>
  <c r="E167" i="8" s="1"/>
  <c r="V213" i="7"/>
  <c r="W213" i="7" s="1"/>
  <c r="D213" i="8" s="1"/>
  <c r="X59" i="7"/>
  <c r="E59" i="8" s="1"/>
  <c r="D10" i="8"/>
  <c r="X10" i="7"/>
  <c r="E10" i="8" s="1"/>
  <c r="X186" i="7"/>
  <c r="E186" i="8" s="1"/>
  <c r="D186" i="8"/>
  <c r="X134" i="7"/>
  <c r="E134" i="8" s="1"/>
  <c r="X26" i="7"/>
  <c r="E26" i="8" s="1"/>
  <c r="D185" i="8"/>
  <c r="X211" i="7"/>
  <c r="E211" i="8" s="1"/>
  <c r="X156" i="7"/>
  <c r="E156" i="8" s="1"/>
  <c r="V128" i="7"/>
  <c r="W128" i="7" s="1"/>
  <c r="X128" i="7" s="1"/>
  <c r="E128" i="8" s="1"/>
  <c r="N66" i="7"/>
  <c r="D73" i="8"/>
  <c r="N199" i="4"/>
  <c r="X199" i="4" s="1"/>
  <c r="Y199" i="4" s="1"/>
  <c r="Z199" i="4" s="1"/>
  <c r="G199" i="5" s="1"/>
  <c r="D189" i="8"/>
  <c r="X57" i="4"/>
  <c r="Y57" i="4" s="1"/>
  <c r="Z57" i="4" s="1"/>
  <c r="G57" i="5" s="1"/>
  <c r="V69" i="7"/>
  <c r="W69" i="7" s="1"/>
  <c r="D69" i="8" s="1"/>
  <c r="D212" i="8"/>
  <c r="D91" i="8"/>
  <c r="N198" i="4"/>
  <c r="X198" i="4" s="1"/>
  <c r="Y198" i="4" s="1"/>
  <c r="Z198" i="4" s="1"/>
  <c r="G198" i="5" s="1"/>
  <c r="N192" i="4"/>
  <c r="X192" i="4" s="1"/>
  <c r="Y192" i="4" s="1"/>
  <c r="F192" i="5" s="1"/>
  <c r="N202" i="4"/>
  <c r="X202" i="4" s="1"/>
  <c r="Y202" i="4" s="1"/>
  <c r="F202" i="5" s="1"/>
  <c r="N200" i="4"/>
  <c r="X200" i="4" s="1"/>
  <c r="Y200" i="4" s="1"/>
  <c r="F200" i="5" s="1"/>
  <c r="N125" i="4"/>
  <c r="X125" i="4" s="1"/>
  <c r="Y125" i="4" s="1"/>
  <c r="F125" i="5" s="1"/>
  <c r="N118" i="4"/>
  <c r="X118" i="4" s="1"/>
  <c r="Y118" i="4" s="1"/>
  <c r="F118" i="5" s="1"/>
  <c r="X137" i="4"/>
  <c r="Y137" i="4" s="1"/>
  <c r="F137" i="5" s="1"/>
  <c r="X206" i="4"/>
  <c r="Y206" i="4" s="1"/>
  <c r="Z206" i="4" s="1"/>
  <c r="G206" i="5" s="1"/>
  <c r="N190" i="4"/>
  <c r="X190" i="4" s="1"/>
  <c r="Y190" i="4" s="1"/>
  <c r="F190" i="5" s="1"/>
  <c r="N197" i="4"/>
  <c r="X197" i="4" s="1"/>
  <c r="Y197" i="4" s="1"/>
  <c r="F197" i="5" s="1"/>
  <c r="N168" i="4"/>
  <c r="X168" i="4" s="1"/>
  <c r="Y168" i="4" s="1"/>
  <c r="F168" i="5" s="1"/>
  <c r="Z116" i="4"/>
  <c r="G116" i="5" s="1"/>
  <c r="F112" i="5"/>
  <c r="N172" i="4"/>
  <c r="N12" i="4"/>
  <c r="X12" i="4" s="1"/>
  <c r="Y12" i="4" s="1"/>
  <c r="F12" i="5" s="1"/>
  <c r="F146" i="5"/>
  <c r="F16" i="5"/>
  <c r="F185" i="5"/>
  <c r="Z185" i="4"/>
  <c r="G185" i="5" s="1"/>
  <c r="X209" i="4"/>
  <c r="Y209" i="4" s="1"/>
  <c r="Z209" i="4" s="1"/>
  <c r="G209" i="5" s="1"/>
  <c r="X210" i="4"/>
  <c r="Y210" i="4" s="1"/>
  <c r="Z210" i="4" s="1"/>
  <c r="G210" i="5" s="1"/>
  <c r="X106" i="4"/>
  <c r="Y106" i="4" s="1"/>
  <c r="F106" i="5" s="1"/>
  <c r="X180" i="4"/>
  <c r="Y180" i="4" s="1"/>
  <c r="F180" i="5" s="1"/>
  <c r="Z140" i="4"/>
  <c r="G140" i="5" s="1"/>
  <c r="X113" i="4"/>
  <c r="Y113" i="4" s="1"/>
  <c r="F113" i="5" s="1"/>
  <c r="X213" i="4"/>
  <c r="Y213" i="4" s="1"/>
  <c r="F213" i="5" s="1"/>
  <c r="Z170" i="4"/>
  <c r="G170" i="5" s="1"/>
  <c r="Z47" i="4"/>
  <c r="G47" i="5" s="1"/>
  <c r="X195" i="4"/>
  <c r="Y195" i="4" s="1"/>
  <c r="Z195" i="4" s="1"/>
  <c r="G195" i="5" s="1"/>
  <c r="Z23" i="4"/>
  <c r="G23" i="5" s="1"/>
  <c r="F51" i="5"/>
  <c r="D8" i="8"/>
  <c r="X8" i="7"/>
  <c r="E8" i="8" s="1"/>
  <c r="D188" i="8"/>
  <c r="X188" i="7"/>
  <c r="E188" i="8" s="1"/>
  <c r="D96" i="8"/>
  <c r="N117" i="7"/>
  <c r="X28" i="7"/>
  <c r="E28" i="8" s="1"/>
  <c r="X51" i="7"/>
  <c r="E51" i="8" s="1"/>
  <c r="D207" i="8"/>
  <c r="X13" i="4"/>
  <c r="Y13" i="4" s="1"/>
  <c r="Z13" i="4" s="1"/>
  <c r="Z5" i="4"/>
  <c r="G5" i="5" s="1"/>
  <c r="U130" i="4"/>
  <c r="Z15" i="4"/>
  <c r="G15" i="5" s="1"/>
  <c r="Z154" i="4"/>
  <c r="G154" i="5" s="1"/>
  <c r="U85" i="4"/>
  <c r="X184" i="4"/>
  <c r="Y184" i="4" s="1"/>
  <c r="F184" i="5" s="1"/>
  <c r="Z7" i="4"/>
  <c r="G7" i="5" s="1"/>
  <c r="F156" i="5"/>
  <c r="X58" i="7"/>
  <c r="E58" i="8" s="1"/>
  <c r="D47" i="8"/>
  <c r="X44" i="7"/>
  <c r="E44" i="8" s="1"/>
  <c r="D45" i="8"/>
  <c r="D74" i="8"/>
  <c r="N85" i="7"/>
  <c r="X157" i="7"/>
  <c r="E157" i="8" s="1"/>
  <c r="X31" i="7"/>
  <c r="E31" i="8" s="1"/>
  <c r="D153" i="8"/>
  <c r="X118" i="7"/>
  <c r="E118" i="8" s="1"/>
  <c r="N48" i="4"/>
  <c r="F27" i="5"/>
  <c r="F52" i="5"/>
  <c r="F188" i="5"/>
  <c r="F62" i="5"/>
  <c r="X132" i="4"/>
  <c r="Y132" i="4" s="1"/>
  <c r="F132" i="5" s="1"/>
  <c r="F74" i="5"/>
  <c r="F46" i="5"/>
  <c r="Z17" i="4"/>
  <c r="G17" i="5" s="1"/>
  <c r="D131" i="8"/>
  <c r="X131" i="7"/>
  <c r="E131" i="8" s="1"/>
  <c r="X194" i="7"/>
  <c r="E194" i="8" s="1"/>
  <c r="D20" i="8"/>
  <c r="X33" i="7"/>
  <c r="E33" i="8" s="1"/>
  <c r="D180" i="8"/>
  <c r="X11" i="7"/>
  <c r="E11" i="8" s="1"/>
  <c r="U204" i="7"/>
  <c r="D62" i="8"/>
  <c r="X102" i="7"/>
  <c r="E102" i="8" s="1"/>
  <c r="D102" i="8"/>
  <c r="X7" i="7"/>
  <c r="E7" i="8" s="1"/>
  <c r="U6" i="7"/>
  <c r="X49" i="7"/>
  <c r="E49" i="8" s="1"/>
  <c r="X86" i="7"/>
  <c r="E86" i="8" s="1"/>
  <c r="U117" i="7"/>
  <c r="N38" i="7"/>
  <c r="D35" i="8"/>
  <c r="X35" i="7"/>
  <c r="E35" i="8" s="1"/>
  <c r="D89" i="8"/>
  <c r="X89" i="7"/>
  <c r="E89" i="8" s="1"/>
  <c r="X197" i="7"/>
  <c r="E197" i="8" s="1"/>
  <c r="D197" i="8"/>
  <c r="X27" i="7"/>
  <c r="E27" i="8" s="1"/>
  <c r="D5" i="8"/>
  <c r="N90" i="7"/>
  <c r="E101" i="8"/>
  <c r="D101" i="8"/>
  <c r="X201" i="7"/>
  <c r="E201" i="8" s="1"/>
  <c r="D179" i="8"/>
  <c r="D200" i="8"/>
  <c r="X200" i="7"/>
  <c r="E200" i="8" s="1"/>
  <c r="V97" i="7"/>
  <c r="W97" i="7" s="1"/>
  <c r="X97" i="7" s="1"/>
  <c r="E97" i="8" s="1"/>
  <c r="N204" i="7"/>
  <c r="U90" i="7"/>
  <c r="X82" i="7"/>
  <c r="E82" i="8" s="1"/>
  <c r="D82" i="8"/>
  <c r="D52" i="8"/>
  <c r="D115" i="8"/>
  <c r="X115" i="7"/>
  <c r="E115" i="8" s="1"/>
  <c r="Z143" i="4"/>
  <c r="G143" i="5" s="1"/>
  <c r="F78" i="5"/>
  <c r="Z114" i="4"/>
  <c r="G114" i="5" s="1"/>
  <c r="F98" i="5"/>
  <c r="Z98" i="4"/>
  <c r="G98" i="5" s="1"/>
  <c r="Z50" i="4"/>
  <c r="G50" i="5" s="1"/>
  <c r="Z65" i="4"/>
  <c r="G65" i="5" s="1"/>
  <c r="F65" i="5"/>
  <c r="F174" i="5"/>
  <c r="F88" i="5"/>
  <c r="F92" i="5"/>
  <c r="Z92" i="4"/>
  <c r="G92" i="5" s="1"/>
  <c r="N69" i="4"/>
  <c r="N80" i="4"/>
  <c r="Z22" i="4"/>
  <c r="G22" i="5" s="1"/>
  <c r="Z86" i="4"/>
  <c r="G86" i="5" s="1"/>
  <c r="F86" i="5"/>
  <c r="U128" i="4"/>
  <c r="F201" i="5"/>
  <c r="Z96" i="4"/>
  <c r="G96" i="5" s="1"/>
  <c r="F45" i="5"/>
  <c r="G124" i="5"/>
  <c r="F124" i="5"/>
  <c r="Z104" i="4"/>
  <c r="G104" i="5" s="1"/>
  <c r="Z186" i="4"/>
  <c r="G186" i="5" s="1"/>
  <c r="Z31" i="4"/>
  <c r="G31" i="5" s="1"/>
  <c r="F102" i="5"/>
  <c r="Z102" i="4"/>
  <c r="G102" i="5" s="1"/>
  <c r="F144" i="5"/>
  <c r="Z144" i="4"/>
  <c r="G144" i="5" s="1"/>
  <c r="F212" i="5"/>
  <c r="Z212" i="4"/>
  <c r="G212" i="5" s="1"/>
  <c r="F76" i="5"/>
  <c r="Z76" i="4"/>
  <c r="G76" i="5" s="1"/>
  <c r="U187" i="4"/>
  <c r="F157" i="5"/>
  <c r="Z157" i="4"/>
  <c r="G157" i="5" s="1"/>
  <c r="Z56" i="4"/>
  <c r="G56" i="5" s="1"/>
  <c r="U10" i="4"/>
  <c r="N67" i="4"/>
  <c r="U48" i="4"/>
  <c r="F194" i="5"/>
  <c r="F60" i="5"/>
  <c r="Z127" i="4"/>
  <c r="G127" i="5" s="1"/>
  <c r="N97" i="4"/>
  <c r="U97" i="4"/>
  <c r="Z81" i="4"/>
  <c r="G81" i="5" s="1"/>
  <c r="F191" i="5"/>
  <c r="Z191" i="4"/>
  <c r="G191" i="5" s="1"/>
  <c r="F82" i="5"/>
  <c r="Z82" i="4"/>
  <c r="G82" i="5" s="1"/>
  <c r="Z119" i="4"/>
  <c r="G119" i="5" s="1"/>
  <c r="N8" i="4"/>
  <c r="N6" i="4"/>
  <c r="F131" i="5"/>
  <c r="Z131" i="4"/>
  <c r="G131" i="5" s="1"/>
  <c r="Z166" i="4"/>
  <c r="G166" i="5" s="1"/>
  <c r="F166" i="5"/>
  <c r="F14" i="5"/>
  <c r="Z14" i="4"/>
  <c r="G14" i="5" s="1"/>
  <c r="Z115" i="4"/>
  <c r="G115" i="5" s="1"/>
  <c r="F115" i="5"/>
  <c r="Z44" i="4"/>
  <c r="G44" i="5" s="1"/>
  <c r="F44" i="5"/>
  <c r="F63" i="5"/>
  <c r="Z63" i="4"/>
  <c r="G63" i="5" s="1"/>
  <c r="F111" i="5"/>
  <c r="G111" i="5"/>
  <c r="N130" i="4"/>
  <c r="N187" i="4"/>
  <c r="U66" i="4"/>
  <c r="F95" i="5"/>
  <c r="Z95" i="4"/>
  <c r="G95" i="5" s="1"/>
  <c r="U90" i="4"/>
  <c r="N10" i="4"/>
  <c r="N204" i="4"/>
  <c r="F189" i="5"/>
  <c r="Z189" i="4"/>
  <c r="G189" i="5" s="1"/>
  <c r="N66" i="4"/>
  <c r="U61" i="4"/>
  <c r="N90" i="4"/>
  <c r="Z207" i="4"/>
  <c r="G207" i="5" s="1"/>
  <c r="F207" i="5"/>
  <c r="N38" i="4"/>
  <c r="X38" i="4" s="1"/>
  <c r="Y38" i="4" s="1"/>
  <c r="Z38" i="4" s="1"/>
  <c r="F171" i="5"/>
  <c r="Z171" i="4"/>
  <c r="G171" i="5" s="1"/>
  <c r="U67" i="4"/>
  <c r="Z11" i="4"/>
  <c r="G11" i="5" s="1"/>
  <c r="F11" i="5"/>
  <c r="F153" i="5"/>
  <c r="Z153" i="4"/>
  <c r="G153" i="5" s="1"/>
  <c r="N61" i="4"/>
  <c r="Z211" i="4"/>
  <c r="G211" i="5" s="1"/>
  <c r="F211" i="5"/>
  <c r="F21" i="5"/>
  <c r="Z21" i="4"/>
  <c r="G21" i="5" s="1"/>
  <c r="F35" i="5"/>
  <c r="Z35" i="4"/>
  <c r="G35" i="5" s="1"/>
  <c r="F134" i="5"/>
  <c r="Z134" i="4"/>
  <c r="G134" i="5" s="1"/>
  <c r="F107" i="5"/>
  <c r="Z107" i="4"/>
  <c r="G107" i="5" s="1"/>
  <c r="Z9" i="4"/>
  <c r="G9" i="5" s="1"/>
  <c r="F9" i="5"/>
  <c r="U117" i="4"/>
  <c r="F177" i="5"/>
  <c r="Z177" i="4"/>
  <c r="G177" i="5" s="1"/>
  <c r="F167" i="5"/>
  <c r="Z167" i="4"/>
  <c r="G167" i="5" s="1"/>
  <c r="Z91" i="4"/>
  <c r="G91" i="5" s="1"/>
  <c r="F91" i="5"/>
  <c r="Z58" i="4"/>
  <c r="G58" i="5" s="1"/>
  <c r="F58" i="5"/>
  <c r="F64" i="5"/>
  <c r="Z64" i="4"/>
  <c r="G64" i="5" s="1"/>
  <c r="F101" i="5"/>
  <c r="G101" i="5"/>
  <c r="F26" i="5"/>
  <c r="Z26" i="4"/>
  <c r="G26" i="5" s="1"/>
  <c r="F28" i="5"/>
  <c r="Z28" i="4"/>
  <c r="G28" i="5" s="1"/>
  <c r="Z193" i="4"/>
  <c r="G193" i="5" s="1"/>
  <c r="N117" i="4"/>
  <c r="N85" i="4"/>
  <c r="U69" i="4"/>
  <c r="U8" i="4"/>
  <c r="X196" i="4"/>
  <c r="Y196" i="4" s="1"/>
  <c r="Z41" i="4"/>
  <c r="G41" i="5" s="1"/>
  <c r="F41" i="5"/>
  <c r="U80" i="4"/>
  <c r="Z126" i="4"/>
  <c r="G126" i="5" s="1"/>
  <c r="F126" i="5"/>
  <c r="N128" i="4"/>
  <c r="Z54" i="4"/>
  <c r="Z20" i="4"/>
  <c r="G20" i="5" s="1"/>
  <c r="F20" i="5"/>
  <c r="F33" i="5"/>
  <c r="Z33" i="4"/>
  <c r="G33" i="5" s="1"/>
  <c r="F175" i="5"/>
  <c r="Z175" i="4"/>
  <c r="G175" i="5" s="1"/>
  <c r="Z142" i="4"/>
  <c r="G142" i="5" s="1"/>
  <c r="F142" i="5"/>
  <c r="U6" i="4"/>
  <c r="F59" i="5"/>
  <c r="Z59" i="4"/>
  <c r="G59" i="5" s="1"/>
  <c r="Z155" i="4"/>
  <c r="G155" i="5" s="1"/>
  <c r="F155" i="5"/>
  <c r="F30" i="5"/>
  <c r="Z30" i="4"/>
  <c r="G30" i="5" s="1"/>
  <c r="F49" i="5"/>
  <c r="Z49" i="4"/>
  <c r="G49" i="5" s="1"/>
  <c r="U204" i="4"/>
  <c r="F129" i="5"/>
  <c r="Z129" i="4"/>
  <c r="G129" i="5" s="1"/>
  <c r="D137" i="8"/>
  <c r="X137" i="7"/>
  <c r="E137" i="8" s="1"/>
  <c r="D119" i="8"/>
  <c r="X119" i="7"/>
  <c r="E119" i="8" s="1"/>
  <c r="X144" i="7"/>
  <c r="E144" i="8" s="1"/>
  <c r="D144" i="8"/>
  <c r="N6" i="7"/>
  <c r="D162" i="8"/>
  <c r="U85" i="7"/>
  <c r="E166" i="8"/>
  <c r="D166" i="8"/>
  <c r="U38" i="7"/>
  <c r="N61" i="7"/>
  <c r="D206" i="8"/>
  <c r="X206" i="7"/>
  <c r="E206" i="8" s="1"/>
  <c r="D60" i="8"/>
  <c r="X60" i="7"/>
  <c r="E60" i="8" s="1"/>
  <c r="X198" i="7"/>
  <c r="E198" i="8" s="1"/>
  <c r="D198" i="8"/>
  <c r="E150" i="8"/>
  <c r="D150" i="8"/>
  <c r="D107" i="8"/>
  <c r="X107" i="7"/>
  <c r="E107" i="8" s="1"/>
  <c r="U61" i="7"/>
  <c r="N67" i="7"/>
  <c r="D23" i="8"/>
  <c r="X23" i="7"/>
  <c r="E23" i="8" s="1"/>
  <c r="U66" i="7"/>
  <c r="D124" i="8"/>
  <c r="E124" i="8"/>
  <c r="D76" i="8"/>
  <c r="X76" i="7"/>
  <c r="E76" i="8" s="1"/>
  <c r="N130" i="7"/>
  <c r="U67" i="7"/>
  <c r="D98" i="8"/>
  <c r="X98" i="7"/>
  <c r="E98" i="8" s="1"/>
  <c r="D112" i="8"/>
  <c r="X112" i="7"/>
  <c r="E112" i="8" s="1"/>
  <c r="X191" i="7"/>
  <c r="E191" i="8" s="1"/>
  <c r="D191" i="8"/>
  <c r="U130" i="7"/>
  <c r="U57" i="7"/>
  <c r="X88" i="7"/>
  <c r="E88" i="8" s="1"/>
  <c r="D88" i="8"/>
  <c r="N80" i="7"/>
  <c r="D15" i="8"/>
  <c r="X15" i="7"/>
  <c r="E15" i="8" s="1"/>
  <c r="X92" i="7"/>
  <c r="E92" i="8" s="1"/>
  <c r="D92" i="8"/>
  <c r="N57" i="7"/>
  <c r="U80" i="7"/>
  <c r="X133" i="7"/>
  <c r="E133" i="8" s="1"/>
  <c r="D133" i="8"/>
  <c r="D40" i="8"/>
  <c r="E40" i="8"/>
  <c r="D65" i="8"/>
  <c r="X65" i="7"/>
  <c r="E65" i="8" s="1"/>
  <c r="D46" i="8"/>
  <c r="X46" i="7"/>
  <c r="E46" i="8" s="1"/>
  <c r="X78" i="7"/>
  <c r="E78" i="8" s="1"/>
  <c r="D78" i="8"/>
  <c r="H43" i="8" l="1"/>
  <c r="H75" i="8"/>
  <c r="G75" i="8"/>
  <c r="M75" i="8" s="1"/>
  <c r="U75" i="5"/>
  <c r="V100" i="7"/>
  <c r="W100" i="7" s="1"/>
  <c r="G43" i="8"/>
  <c r="L43" i="8" s="1"/>
  <c r="X141" i="7"/>
  <c r="E141" i="8" s="1"/>
  <c r="X72" i="4"/>
  <c r="Y72" i="4" s="1"/>
  <c r="Z72" i="4" s="1"/>
  <c r="G72" i="5" s="1"/>
  <c r="Z24" i="4"/>
  <c r="G24" i="5" s="1"/>
  <c r="I24" i="5" s="1"/>
  <c r="H105" i="8"/>
  <c r="V71" i="7"/>
  <c r="W71" i="7" s="1"/>
  <c r="X71" i="7" s="1"/>
  <c r="E71" i="8" s="1"/>
  <c r="X71" i="4"/>
  <c r="Y71" i="4" s="1"/>
  <c r="F71" i="5" s="1"/>
  <c r="S105" i="8"/>
  <c r="I162" i="5"/>
  <c r="P162" i="5" s="1"/>
  <c r="J162" i="5"/>
  <c r="X149" i="4"/>
  <c r="Y149" i="4" s="1"/>
  <c r="Z149" i="4" s="1"/>
  <c r="G149" i="5" s="1"/>
  <c r="X37" i="4"/>
  <c r="Y37" i="4" s="1"/>
  <c r="Z37" i="4" s="1"/>
  <c r="G37" i="5" s="1"/>
  <c r="V37" i="7"/>
  <c r="W37" i="7" s="1"/>
  <c r="X37" i="7" s="1"/>
  <c r="E37" i="8" s="1"/>
  <c r="S37" i="8" s="1"/>
  <c r="O51" i="5"/>
  <c r="Q51" i="5"/>
  <c r="I179" i="5"/>
  <c r="N179" i="5" s="1"/>
  <c r="J179" i="5"/>
  <c r="U179" i="5"/>
  <c r="X135" i="4"/>
  <c r="Y135" i="4" s="1"/>
  <c r="F135" i="5" s="1"/>
  <c r="Z148" i="4"/>
  <c r="G148" i="5" s="1"/>
  <c r="I148" i="5" s="1"/>
  <c r="X163" i="7"/>
  <c r="E163" i="8" s="1"/>
  <c r="S163" i="8" s="1"/>
  <c r="I165" i="5"/>
  <c r="T165" i="5" s="1"/>
  <c r="G138" i="8"/>
  <c r="O138" i="8" s="1"/>
  <c r="N100" i="4"/>
  <c r="X100" i="4" s="1"/>
  <c r="Y100" i="4" s="1"/>
  <c r="Z100" i="4" s="1"/>
  <c r="G100" i="5" s="1"/>
  <c r="X36" i="4"/>
  <c r="Y36" i="4" s="1"/>
  <c r="Z36" i="4" s="1"/>
  <c r="G36" i="5" s="1"/>
  <c r="D106" i="8"/>
  <c r="D13" i="8"/>
  <c r="H138" i="8"/>
  <c r="V53" i="7"/>
  <c r="W53" i="7" s="1"/>
  <c r="X53" i="7" s="1"/>
  <c r="E53" i="8" s="1"/>
  <c r="V36" i="7"/>
  <c r="W36" i="7" s="1"/>
  <c r="X36" i="7" s="1"/>
  <c r="E36" i="8" s="1"/>
  <c r="X53" i="4"/>
  <c r="Y53" i="4" s="1"/>
  <c r="Z53" i="4" s="1"/>
  <c r="G53" i="5" s="1"/>
  <c r="F108" i="5"/>
  <c r="X79" i="4"/>
  <c r="Y79" i="4" s="1"/>
  <c r="Z79" i="4" s="1"/>
  <c r="G79" i="5" s="1"/>
  <c r="Z150" i="4"/>
  <c r="G150" i="5" s="1"/>
  <c r="I150" i="5" s="1"/>
  <c r="F150" i="5"/>
  <c r="D109" i="8"/>
  <c r="Z163" i="4"/>
  <c r="G163" i="5" s="1"/>
  <c r="Z158" i="4"/>
  <c r="G158" i="5" s="1"/>
  <c r="J158" i="5" s="1"/>
  <c r="U165" i="5"/>
  <c r="H139" i="8"/>
  <c r="G139" i="8"/>
  <c r="M139" i="8" s="1"/>
  <c r="V79" i="7"/>
  <c r="W79" i="7" s="1"/>
  <c r="D79" i="8" s="1"/>
  <c r="X145" i="4"/>
  <c r="Y145" i="4" s="1"/>
  <c r="Z145" i="4" s="1"/>
  <c r="G145" i="5" s="1"/>
  <c r="V149" i="7"/>
  <c r="W149" i="7" s="1"/>
  <c r="D149" i="8" s="1"/>
  <c r="D100" i="8"/>
  <c r="X100" i="7"/>
  <c r="E100" i="8" s="1"/>
  <c r="L153" i="8"/>
  <c r="R153" i="8"/>
  <c r="S136" i="8"/>
  <c r="G136" i="8"/>
  <c r="O136" i="8" s="1"/>
  <c r="H136" i="8"/>
  <c r="U24" i="5"/>
  <c r="J24" i="5"/>
  <c r="H164" i="8"/>
  <c r="S164" i="8"/>
  <c r="G164" i="8"/>
  <c r="I105" i="5"/>
  <c r="L105" i="5" s="1"/>
  <c r="J105" i="5"/>
  <c r="U105" i="5"/>
  <c r="U122" i="5"/>
  <c r="J122" i="5"/>
  <c r="I122" i="5"/>
  <c r="M122" i="5" s="1"/>
  <c r="I103" i="5"/>
  <c r="O103" i="5" s="1"/>
  <c r="J103" i="5"/>
  <c r="U103" i="5"/>
  <c r="S24" i="8"/>
  <c r="H24" i="8"/>
  <c r="G24" i="8"/>
  <c r="S121" i="8"/>
  <c r="G121" i="8"/>
  <c r="K121" i="8" s="1"/>
  <c r="H121" i="8"/>
  <c r="G165" i="8"/>
  <c r="R165" i="8" s="1"/>
  <c r="H165" i="8"/>
  <c r="S165" i="8"/>
  <c r="I108" i="5"/>
  <c r="J108" i="5"/>
  <c r="U108" i="5"/>
  <c r="S103" i="8"/>
  <c r="G103" i="8"/>
  <c r="M103" i="8" s="1"/>
  <c r="H103" i="8"/>
  <c r="F141" i="5"/>
  <c r="Z141" i="4"/>
  <c r="G141" i="5" s="1"/>
  <c r="I77" i="8"/>
  <c r="O77" i="8"/>
  <c r="S39" i="8"/>
  <c r="G39" i="8"/>
  <c r="M39" i="8" s="1"/>
  <c r="H39" i="8"/>
  <c r="H141" i="8"/>
  <c r="S141" i="8"/>
  <c r="G141" i="8"/>
  <c r="M141" i="8" s="1"/>
  <c r="N151" i="5"/>
  <c r="O151" i="5"/>
  <c r="U93" i="5"/>
  <c r="I93" i="5"/>
  <c r="P93" i="5" s="1"/>
  <c r="J93" i="5"/>
  <c r="N164" i="5"/>
  <c r="O164" i="5"/>
  <c r="Q77" i="5"/>
  <c r="K77" i="5"/>
  <c r="U68" i="5"/>
  <c r="J68" i="5"/>
  <c r="I68" i="5"/>
  <c r="S120" i="8"/>
  <c r="G120" i="8"/>
  <c r="H120" i="8"/>
  <c r="G151" i="8"/>
  <c r="H151" i="8"/>
  <c r="S151" i="8"/>
  <c r="G148" i="8"/>
  <c r="S148" i="8"/>
  <c r="H148" i="8"/>
  <c r="L68" i="8"/>
  <c r="M68" i="8"/>
  <c r="S176" i="8"/>
  <c r="G176" i="8"/>
  <c r="O176" i="8" s="1"/>
  <c r="H176" i="8"/>
  <c r="O173" i="8"/>
  <c r="M173" i="8"/>
  <c r="U110" i="5"/>
  <c r="J110" i="5"/>
  <c r="I110" i="5"/>
  <c r="P110" i="5" s="1"/>
  <c r="U55" i="5"/>
  <c r="J55" i="5"/>
  <c r="I55" i="5"/>
  <c r="O55" i="5" s="1"/>
  <c r="U94" i="5"/>
  <c r="J94" i="5"/>
  <c r="I94" i="5"/>
  <c r="K94" i="5" s="1"/>
  <c r="V145" i="7"/>
  <c r="W145" i="7" s="1"/>
  <c r="D72" i="8"/>
  <c r="X72" i="7"/>
  <c r="E72" i="8" s="1"/>
  <c r="S70" i="8"/>
  <c r="G70" i="8"/>
  <c r="H70" i="8"/>
  <c r="U120" i="5"/>
  <c r="J120" i="5"/>
  <c r="I120" i="5"/>
  <c r="O93" i="8"/>
  <c r="L93" i="8"/>
  <c r="M93" i="8"/>
  <c r="H158" i="8"/>
  <c r="G158" i="8"/>
  <c r="S158" i="8"/>
  <c r="I42" i="5"/>
  <c r="K42" i="5" s="1"/>
  <c r="U42" i="5"/>
  <c r="J42" i="5"/>
  <c r="J39" i="5"/>
  <c r="I39" i="5"/>
  <c r="O39" i="5" s="1"/>
  <c r="U39" i="5"/>
  <c r="H110" i="8"/>
  <c r="G110" i="8"/>
  <c r="N110" i="8" s="1"/>
  <c r="S110" i="8"/>
  <c r="J121" i="5"/>
  <c r="U121" i="5"/>
  <c r="I121" i="5"/>
  <c r="M121" i="5" s="1"/>
  <c r="U136" i="5"/>
  <c r="J136" i="5"/>
  <c r="I136" i="5"/>
  <c r="Q136" i="5" s="1"/>
  <c r="D108" i="8"/>
  <c r="X108" i="7"/>
  <c r="E108" i="8" s="1"/>
  <c r="F138" i="5"/>
  <c r="Z138" i="4"/>
  <c r="G138" i="5" s="1"/>
  <c r="G123" i="8"/>
  <c r="H123" i="8"/>
  <c r="S123" i="8"/>
  <c r="G122" i="8"/>
  <c r="K122" i="8" s="1"/>
  <c r="H122" i="8"/>
  <c r="S122" i="8"/>
  <c r="I70" i="5"/>
  <c r="J70" i="5"/>
  <c r="U70" i="5"/>
  <c r="U176" i="5"/>
  <c r="I176" i="5"/>
  <c r="Q176" i="5" s="1"/>
  <c r="J176" i="5"/>
  <c r="Q173" i="5"/>
  <c r="O173" i="5"/>
  <c r="U123" i="5"/>
  <c r="I123" i="5"/>
  <c r="J123" i="5"/>
  <c r="N109" i="4"/>
  <c r="X109" i="4" s="1"/>
  <c r="Y109" i="4" s="1"/>
  <c r="I43" i="5"/>
  <c r="N43" i="5" s="1"/>
  <c r="U43" i="5"/>
  <c r="J43" i="5"/>
  <c r="V135" i="7"/>
  <c r="W135" i="7" s="1"/>
  <c r="I139" i="5"/>
  <c r="O139" i="5" s="1"/>
  <c r="U139" i="5"/>
  <c r="J139" i="5"/>
  <c r="G109" i="8"/>
  <c r="J109" i="8" s="1"/>
  <c r="H109" i="8"/>
  <c r="S109" i="8"/>
  <c r="N162" i="5"/>
  <c r="L162" i="5"/>
  <c r="S144" i="8"/>
  <c r="U9" i="5"/>
  <c r="S82" i="8"/>
  <c r="S76" i="8"/>
  <c r="S78" i="8"/>
  <c r="S133" i="8"/>
  <c r="S98" i="8"/>
  <c r="S150" i="8"/>
  <c r="S95" i="8"/>
  <c r="U41" i="5"/>
  <c r="U58" i="5"/>
  <c r="U21" i="5"/>
  <c r="U11" i="5"/>
  <c r="U63" i="5"/>
  <c r="U76" i="5"/>
  <c r="U31" i="5"/>
  <c r="S201" i="8"/>
  <c r="S89" i="8"/>
  <c r="S49" i="8"/>
  <c r="S58" i="8"/>
  <c r="U5" i="5"/>
  <c r="S114" i="8"/>
  <c r="S129" i="8"/>
  <c r="U83" i="5"/>
  <c r="S187" i="8"/>
  <c r="U25" i="5"/>
  <c r="U20" i="5"/>
  <c r="U198" i="5"/>
  <c r="S50" i="8"/>
  <c r="S198" i="8"/>
  <c r="S119" i="8"/>
  <c r="U91" i="5"/>
  <c r="U107" i="5"/>
  <c r="U171" i="5"/>
  <c r="U131" i="5"/>
  <c r="U212" i="5"/>
  <c r="U104" i="5"/>
  <c r="S101" i="8"/>
  <c r="S35" i="8"/>
  <c r="S7" i="8"/>
  <c r="S157" i="8"/>
  <c r="U7" i="5"/>
  <c r="U140" i="5"/>
  <c r="U206" i="5"/>
  <c r="S128" i="8"/>
  <c r="S10" i="8"/>
  <c r="S140" i="8"/>
  <c r="S4" i="8"/>
  <c r="S155" i="8"/>
  <c r="O88" i="5"/>
  <c r="P88" i="5"/>
  <c r="S170" i="8"/>
  <c r="S127" i="8"/>
  <c r="S56" i="8"/>
  <c r="S184" i="8"/>
  <c r="U73" i="5"/>
  <c r="S88" i="8"/>
  <c r="U26" i="5"/>
  <c r="U166" i="5"/>
  <c r="S9" i="8"/>
  <c r="S65" i="8"/>
  <c r="S60" i="8"/>
  <c r="U30" i="5"/>
  <c r="U142" i="5"/>
  <c r="U101" i="5"/>
  <c r="U167" i="5"/>
  <c r="U211" i="5"/>
  <c r="U44" i="5"/>
  <c r="U81" i="5"/>
  <c r="U86" i="5"/>
  <c r="U143" i="5"/>
  <c r="S194" i="8"/>
  <c r="S51" i="8"/>
  <c r="S156" i="8"/>
  <c r="L81" i="8"/>
  <c r="M81" i="8"/>
  <c r="N81" i="8"/>
  <c r="S175" i="8"/>
  <c r="S196" i="8"/>
  <c r="U114" i="5"/>
  <c r="U175" i="5"/>
  <c r="U189" i="5"/>
  <c r="U56" i="5"/>
  <c r="U144" i="5"/>
  <c r="U124" i="5"/>
  <c r="U22" i="5"/>
  <c r="S115" i="8"/>
  <c r="S97" i="8"/>
  <c r="S102" i="8"/>
  <c r="S131" i="8"/>
  <c r="S28" i="8"/>
  <c r="U23" i="5"/>
  <c r="S211" i="8"/>
  <c r="S59" i="8"/>
  <c r="S113" i="8"/>
  <c r="I22" i="8"/>
  <c r="K22" i="8"/>
  <c r="S174" i="8"/>
  <c r="S192" i="8"/>
  <c r="S54" i="8"/>
  <c r="S87" i="8"/>
  <c r="S195" i="8"/>
  <c r="U49" i="5"/>
  <c r="U95" i="5"/>
  <c r="U186" i="5"/>
  <c r="S31" i="8"/>
  <c r="S186" i="8"/>
  <c r="U134" i="5"/>
  <c r="S40" i="8"/>
  <c r="S107" i="8"/>
  <c r="U126" i="5"/>
  <c r="U64" i="5"/>
  <c r="U177" i="5"/>
  <c r="U153" i="5"/>
  <c r="U115" i="5"/>
  <c r="U157" i="5"/>
  <c r="U65" i="5"/>
  <c r="S200" i="8"/>
  <c r="S27" i="8"/>
  <c r="U154" i="5"/>
  <c r="U195" i="5"/>
  <c r="U210" i="5"/>
  <c r="U57" i="5"/>
  <c r="S171" i="8"/>
  <c r="S30" i="8"/>
  <c r="S18" i="8"/>
  <c r="S64" i="8"/>
  <c r="S104" i="8"/>
  <c r="S13" i="8"/>
  <c r="S92" i="8"/>
  <c r="S166" i="8"/>
  <c r="S15" i="8"/>
  <c r="S206" i="8"/>
  <c r="S112" i="8"/>
  <c r="S124" i="8"/>
  <c r="U129" i="5"/>
  <c r="U155" i="5"/>
  <c r="U33" i="5"/>
  <c r="U193" i="5"/>
  <c r="U35" i="5"/>
  <c r="U207" i="5"/>
  <c r="U111" i="5"/>
  <c r="U14" i="5"/>
  <c r="U119" i="5"/>
  <c r="U127" i="5"/>
  <c r="U102" i="5"/>
  <c r="U96" i="5"/>
  <c r="U50" i="5"/>
  <c r="U17" i="5"/>
  <c r="S44" i="8"/>
  <c r="U15" i="5"/>
  <c r="U47" i="5"/>
  <c r="U209" i="5"/>
  <c r="U116" i="5"/>
  <c r="S26" i="8"/>
  <c r="S167" i="8"/>
  <c r="S154" i="8"/>
  <c r="S14" i="8"/>
  <c r="S25" i="8"/>
  <c r="S46" i="8"/>
  <c r="S23" i="8"/>
  <c r="U191" i="5"/>
  <c r="S33" i="8"/>
  <c r="S8" i="8"/>
  <c r="N47" i="8"/>
  <c r="I47" i="8"/>
  <c r="S17" i="8"/>
  <c r="S137" i="8"/>
  <c r="S191" i="8"/>
  <c r="U59" i="5"/>
  <c r="U28" i="5"/>
  <c r="U82" i="5"/>
  <c r="U92" i="5"/>
  <c r="U98" i="5"/>
  <c r="S197" i="8"/>
  <c r="S86" i="8"/>
  <c r="S11" i="8"/>
  <c r="S118" i="8"/>
  <c r="S188" i="8"/>
  <c r="U170" i="5"/>
  <c r="U185" i="5"/>
  <c r="U199" i="5"/>
  <c r="S134" i="8"/>
  <c r="S208" i="8"/>
  <c r="N20" i="8"/>
  <c r="I20" i="8"/>
  <c r="J20" i="8"/>
  <c r="L20" i="8"/>
  <c r="S83" i="8"/>
  <c r="S126" i="8"/>
  <c r="S116" i="8"/>
  <c r="S41" i="8"/>
  <c r="U40" i="5"/>
  <c r="S63" i="8"/>
  <c r="G13" i="8"/>
  <c r="J13" i="8" s="1"/>
  <c r="H13" i="8"/>
  <c r="H195" i="8"/>
  <c r="G195" i="8"/>
  <c r="D25" i="8"/>
  <c r="X182" i="7"/>
  <c r="E182" i="8" s="1"/>
  <c r="D195" i="8"/>
  <c r="H63" i="8"/>
  <c r="D87" i="8"/>
  <c r="I73" i="5"/>
  <c r="O73" i="5" s="1"/>
  <c r="J73" i="5"/>
  <c r="D196" i="8"/>
  <c r="X202" i="7"/>
  <c r="E202" i="8" s="1"/>
  <c r="G54" i="5"/>
  <c r="G63" i="8"/>
  <c r="X12" i="7"/>
  <c r="E12" i="8" s="1"/>
  <c r="X84" i="7"/>
  <c r="E84" i="8" s="1"/>
  <c r="X80" i="4"/>
  <c r="Y80" i="4" s="1"/>
  <c r="Z80" i="4" s="1"/>
  <c r="G196" i="8"/>
  <c r="M196" i="8" s="1"/>
  <c r="H104" i="8"/>
  <c r="G104" i="8"/>
  <c r="Z89" i="4"/>
  <c r="G89" i="5" s="1"/>
  <c r="H196" i="8"/>
  <c r="Z147" i="4"/>
  <c r="G147" i="5" s="1"/>
  <c r="H14" i="8"/>
  <c r="D184" i="8"/>
  <c r="G14" i="8"/>
  <c r="M14" i="8" s="1"/>
  <c r="V172" i="7"/>
  <c r="W172" i="7" s="1"/>
  <c r="X172" i="7" s="1"/>
  <c r="E172" i="8" s="1"/>
  <c r="G64" i="8"/>
  <c r="K64" i="8" s="1"/>
  <c r="H184" i="8"/>
  <c r="G184" i="8"/>
  <c r="G54" i="8"/>
  <c r="V38" i="7"/>
  <c r="W38" i="7" s="1"/>
  <c r="X38" i="7" s="1"/>
  <c r="D187" i="8"/>
  <c r="H54" i="8"/>
  <c r="H41" i="8"/>
  <c r="G41" i="8"/>
  <c r="D113" i="8"/>
  <c r="H64" i="8"/>
  <c r="G18" i="8"/>
  <c r="M18" i="8" s="1"/>
  <c r="H18" i="8"/>
  <c r="H30" i="8"/>
  <c r="G56" i="8"/>
  <c r="L56" i="8" s="1"/>
  <c r="X48" i="7"/>
  <c r="E48" i="8" s="1"/>
  <c r="G175" i="8"/>
  <c r="K175" i="8" s="1"/>
  <c r="G116" i="8"/>
  <c r="X152" i="7"/>
  <c r="E152" i="8" s="1"/>
  <c r="H56" i="8"/>
  <c r="H175" i="8"/>
  <c r="H116" i="8"/>
  <c r="G127" i="8"/>
  <c r="M127" i="8" s="1"/>
  <c r="H127" i="8"/>
  <c r="X168" i="7"/>
  <c r="E168" i="8" s="1"/>
  <c r="X132" i="7"/>
  <c r="E132" i="8" s="1"/>
  <c r="V85" i="7"/>
  <c r="W85" i="7" s="1"/>
  <c r="D85" i="8" s="1"/>
  <c r="G30" i="8"/>
  <c r="J30" i="8" s="1"/>
  <c r="X172" i="4"/>
  <c r="Y172" i="4" s="1"/>
  <c r="Z172" i="4" s="1"/>
  <c r="X199" i="7"/>
  <c r="E199" i="8" s="1"/>
  <c r="X125" i="7"/>
  <c r="E125" i="8" s="1"/>
  <c r="H126" i="8"/>
  <c r="H17" i="8"/>
  <c r="G126" i="8"/>
  <c r="G17" i="8"/>
  <c r="M17" i="8" s="1"/>
  <c r="G174" i="8"/>
  <c r="L174" i="8" s="1"/>
  <c r="G170" i="8"/>
  <c r="D192" i="8"/>
  <c r="X69" i="7"/>
  <c r="E69" i="8" s="1"/>
  <c r="H83" i="8"/>
  <c r="H192" i="8"/>
  <c r="G192" i="8"/>
  <c r="I192" i="8" s="1"/>
  <c r="M195" i="8"/>
  <c r="F83" i="5"/>
  <c r="X209" i="7"/>
  <c r="E209" i="8" s="1"/>
  <c r="H170" i="8"/>
  <c r="H174" i="8"/>
  <c r="D190" i="8"/>
  <c r="X190" i="7"/>
  <c r="E190" i="8" s="1"/>
  <c r="S190" i="8" s="1"/>
  <c r="H50" i="8"/>
  <c r="G50" i="8"/>
  <c r="N50" i="8" s="1"/>
  <c r="Z87" i="4"/>
  <c r="G87" i="5" s="1"/>
  <c r="Z133" i="4"/>
  <c r="G133" i="5" s="1"/>
  <c r="D128" i="8"/>
  <c r="J29" i="8"/>
  <c r="Q29" i="8"/>
  <c r="G83" i="8"/>
  <c r="Z84" i="4"/>
  <c r="G84" i="5" s="1"/>
  <c r="F57" i="5"/>
  <c r="X213" i="7"/>
  <c r="E213" i="8" s="1"/>
  <c r="H76" i="8"/>
  <c r="G76" i="8"/>
  <c r="G200" i="8"/>
  <c r="H200" i="8"/>
  <c r="G40" i="8"/>
  <c r="H40" i="8"/>
  <c r="G150" i="8"/>
  <c r="H150" i="8"/>
  <c r="G44" i="8"/>
  <c r="M44" i="8" s="1"/>
  <c r="H44" i="8"/>
  <c r="G51" i="8"/>
  <c r="H51" i="8"/>
  <c r="G186" i="8"/>
  <c r="M186" i="8" s="1"/>
  <c r="H186" i="8"/>
  <c r="G92" i="8"/>
  <c r="I92" i="8" s="1"/>
  <c r="H92" i="8"/>
  <c r="G23" i="8"/>
  <c r="H23" i="8"/>
  <c r="G128" i="8"/>
  <c r="N128" i="8" s="1"/>
  <c r="H128" i="8"/>
  <c r="G35" i="8"/>
  <c r="H35" i="8"/>
  <c r="G33" i="8"/>
  <c r="J33" i="8" s="1"/>
  <c r="H33" i="8"/>
  <c r="H10" i="8"/>
  <c r="G10" i="8"/>
  <c r="M10" i="8" s="1"/>
  <c r="G140" i="8"/>
  <c r="H140" i="8"/>
  <c r="G129" i="8"/>
  <c r="H129" i="8"/>
  <c r="G15" i="8"/>
  <c r="H15" i="8"/>
  <c r="G198" i="8"/>
  <c r="H198" i="8"/>
  <c r="G95" i="8"/>
  <c r="I95" i="8" s="1"/>
  <c r="H95" i="8"/>
  <c r="G97" i="8"/>
  <c r="M97" i="8" s="1"/>
  <c r="H97" i="8"/>
  <c r="G58" i="8"/>
  <c r="J58" i="8" s="1"/>
  <c r="H58" i="8"/>
  <c r="G28" i="8"/>
  <c r="H28" i="8"/>
  <c r="H156" i="8"/>
  <c r="G156" i="8"/>
  <c r="G9" i="8"/>
  <c r="O9" i="8" s="1"/>
  <c r="H9" i="8"/>
  <c r="H31" i="8"/>
  <c r="G31" i="8"/>
  <c r="O31" i="8" s="1"/>
  <c r="H211" i="8"/>
  <c r="G211" i="8"/>
  <c r="M211" i="8" s="1"/>
  <c r="G59" i="8"/>
  <c r="H59" i="8"/>
  <c r="H4" i="8"/>
  <c r="G4" i="8"/>
  <c r="I4" i="8" s="1"/>
  <c r="G155" i="8"/>
  <c r="L155" i="8" s="1"/>
  <c r="H155" i="8"/>
  <c r="G25" i="8"/>
  <c r="H25" i="8"/>
  <c r="G46" i="8"/>
  <c r="L46" i="8" s="1"/>
  <c r="H46" i="8"/>
  <c r="G191" i="8"/>
  <c r="I191" i="8" s="1"/>
  <c r="H191" i="8"/>
  <c r="H144" i="8"/>
  <c r="G144" i="8"/>
  <c r="N144" i="8" s="1"/>
  <c r="G131" i="8"/>
  <c r="M131" i="8" s="1"/>
  <c r="H131" i="8"/>
  <c r="G157" i="8"/>
  <c r="H157" i="8"/>
  <c r="G171" i="8"/>
  <c r="H171" i="8"/>
  <c r="G78" i="8"/>
  <c r="H78" i="8"/>
  <c r="G133" i="8"/>
  <c r="L133" i="8" s="1"/>
  <c r="H133" i="8"/>
  <c r="H27" i="8"/>
  <c r="G27" i="8"/>
  <c r="Q27" i="8" s="1"/>
  <c r="G112" i="8"/>
  <c r="M112" i="8" s="1"/>
  <c r="H112" i="8"/>
  <c r="G206" i="8"/>
  <c r="H206" i="8"/>
  <c r="H119" i="8"/>
  <c r="G119" i="8"/>
  <c r="K119" i="8" s="1"/>
  <c r="G26" i="8"/>
  <c r="H26" i="8"/>
  <c r="G65" i="8"/>
  <c r="M65" i="8" s="1"/>
  <c r="H65" i="8"/>
  <c r="H86" i="8"/>
  <c r="G86" i="8"/>
  <c r="G134" i="8"/>
  <c r="O134" i="8" s="1"/>
  <c r="H134" i="8"/>
  <c r="H137" i="8"/>
  <c r="G137" i="8"/>
  <c r="H102" i="8"/>
  <c r="G102" i="8"/>
  <c r="G107" i="8"/>
  <c r="H107" i="8"/>
  <c r="H167" i="8"/>
  <c r="G167" i="8"/>
  <c r="G187" i="8"/>
  <c r="H187" i="8"/>
  <c r="G88" i="8"/>
  <c r="H88" i="8"/>
  <c r="G124" i="8"/>
  <c r="H124" i="8"/>
  <c r="G166" i="8"/>
  <c r="M166" i="8" s="1"/>
  <c r="H166" i="8"/>
  <c r="H201" i="8"/>
  <c r="G201" i="8"/>
  <c r="L201" i="8" s="1"/>
  <c r="H197" i="8"/>
  <c r="G197" i="8"/>
  <c r="M197" i="8" s="1"/>
  <c r="G188" i="8"/>
  <c r="M188" i="8" s="1"/>
  <c r="H188" i="8"/>
  <c r="G208" i="8"/>
  <c r="H208" i="8"/>
  <c r="G98" i="8"/>
  <c r="H98" i="8"/>
  <c r="G87" i="8"/>
  <c r="H87" i="8"/>
  <c r="G113" i="8"/>
  <c r="H113" i="8"/>
  <c r="G115" i="8"/>
  <c r="H115" i="8"/>
  <c r="H82" i="8"/>
  <c r="G82" i="8"/>
  <c r="G89" i="8"/>
  <c r="O89" i="8" s="1"/>
  <c r="H89" i="8"/>
  <c r="H49" i="8"/>
  <c r="G49" i="8"/>
  <c r="G11" i="8"/>
  <c r="H11" i="8"/>
  <c r="G154" i="8"/>
  <c r="H154" i="8"/>
  <c r="G60" i="8"/>
  <c r="I60" i="8" s="1"/>
  <c r="H60" i="8"/>
  <c r="G194" i="8"/>
  <c r="H194" i="8"/>
  <c r="G101" i="8"/>
  <c r="H101" i="8"/>
  <c r="G118" i="8"/>
  <c r="H118" i="8"/>
  <c r="G8" i="8"/>
  <c r="M8" i="8" s="1"/>
  <c r="H8" i="8"/>
  <c r="G7" i="8"/>
  <c r="H7" i="8"/>
  <c r="G114" i="8"/>
  <c r="N114" i="8" s="1"/>
  <c r="H114" i="8"/>
  <c r="J207" i="8"/>
  <c r="K207" i="8"/>
  <c r="K212" i="8"/>
  <c r="J212" i="8"/>
  <c r="L162" i="8"/>
  <c r="M162" i="8"/>
  <c r="I162" i="8"/>
  <c r="N162" i="8"/>
  <c r="J162" i="8"/>
  <c r="O10" i="8"/>
  <c r="M199" i="8"/>
  <c r="O180" i="8"/>
  <c r="M180" i="8"/>
  <c r="J180" i="8"/>
  <c r="L180" i="8"/>
  <c r="I193" i="8"/>
  <c r="J193" i="8"/>
  <c r="L193" i="8"/>
  <c r="J5" i="8"/>
  <c r="O5" i="8"/>
  <c r="I107" i="5"/>
  <c r="T107" i="5" s="1"/>
  <c r="J107" i="5"/>
  <c r="I96" i="5"/>
  <c r="K96" i="5" s="1"/>
  <c r="J96" i="5"/>
  <c r="I185" i="5"/>
  <c r="J185" i="5"/>
  <c r="I193" i="5"/>
  <c r="L193" i="5" s="1"/>
  <c r="J193" i="5"/>
  <c r="I64" i="5"/>
  <c r="M64" i="5" s="1"/>
  <c r="J64" i="5"/>
  <c r="I177" i="5"/>
  <c r="Q177" i="5" s="1"/>
  <c r="J177" i="5"/>
  <c r="I83" i="5"/>
  <c r="J83" i="5"/>
  <c r="I207" i="5"/>
  <c r="J207" i="5"/>
  <c r="I115" i="5"/>
  <c r="J115" i="5"/>
  <c r="I81" i="5"/>
  <c r="J81" i="5"/>
  <c r="I104" i="5"/>
  <c r="J104" i="5"/>
  <c r="I98" i="5"/>
  <c r="J98" i="5"/>
  <c r="J7" i="5"/>
  <c r="I7" i="5"/>
  <c r="J140" i="5"/>
  <c r="I140" i="5"/>
  <c r="R140" i="5" s="1"/>
  <c r="I206" i="5"/>
  <c r="J206" i="5"/>
  <c r="I20" i="5"/>
  <c r="J20" i="5"/>
  <c r="I35" i="5"/>
  <c r="J35" i="5"/>
  <c r="J14" i="5"/>
  <c r="I14" i="5"/>
  <c r="O14" i="5" s="1"/>
  <c r="I195" i="5"/>
  <c r="P195" i="5" s="1"/>
  <c r="J195" i="5"/>
  <c r="I41" i="5"/>
  <c r="J41" i="5"/>
  <c r="I211" i="5"/>
  <c r="O211" i="5" s="1"/>
  <c r="J211" i="5"/>
  <c r="I157" i="5"/>
  <c r="J157" i="5"/>
  <c r="J124" i="5"/>
  <c r="I124" i="5"/>
  <c r="I86" i="5"/>
  <c r="J86" i="5"/>
  <c r="I114" i="5"/>
  <c r="P114" i="5" s="1"/>
  <c r="J114" i="5"/>
  <c r="I47" i="5"/>
  <c r="J47" i="5"/>
  <c r="J198" i="5"/>
  <c r="I198" i="5"/>
  <c r="I49" i="5"/>
  <c r="J49" i="5"/>
  <c r="I28" i="5"/>
  <c r="P28" i="5" s="1"/>
  <c r="J28" i="5"/>
  <c r="J56" i="5"/>
  <c r="I56" i="5"/>
  <c r="N56" i="5" s="1"/>
  <c r="J17" i="5"/>
  <c r="I17" i="5"/>
  <c r="O17" i="5" s="1"/>
  <c r="J30" i="5"/>
  <c r="I30" i="5"/>
  <c r="L30" i="5" s="1"/>
  <c r="I142" i="5"/>
  <c r="K142" i="5" s="1"/>
  <c r="J142" i="5"/>
  <c r="I58" i="5"/>
  <c r="L58" i="5" s="1"/>
  <c r="J58" i="5"/>
  <c r="I63" i="5"/>
  <c r="M63" i="5" s="1"/>
  <c r="J63" i="5"/>
  <c r="I119" i="5"/>
  <c r="M119" i="5" s="1"/>
  <c r="J119" i="5"/>
  <c r="I127" i="5"/>
  <c r="O127" i="5" s="1"/>
  <c r="J127" i="5"/>
  <c r="I102" i="5"/>
  <c r="J102" i="5"/>
  <c r="I40" i="5"/>
  <c r="J40" i="5"/>
  <c r="J22" i="5"/>
  <c r="I22" i="5"/>
  <c r="I154" i="5"/>
  <c r="J154" i="5"/>
  <c r="I170" i="5"/>
  <c r="J170" i="5"/>
  <c r="I210" i="5"/>
  <c r="O210" i="5" s="1"/>
  <c r="J210" i="5"/>
  <c r="I171" i="5"/>
  <c r="J171" i="5"/>
  <c r="I111" i="5"/>
  <c r="J111" i="5"/>
  <c r="I144" i="5"/>
  <c r="J144" i="5"/>
  <c r="I175" i="5"/>
  <c r="J175" i="5"/>
  <c r="J26" i="5"/>
  <c r="I26" i="5"/>
  <c r="J9" i="5"/>
  <c r="I9" i="5"/>
  <c r="J153" i="5"/>
  <c r="I153" i="5"/>
  <c r="I95" i="5"/>
  <c r="K95" i="5" s="1"/>
  <c r="J95" i="5"/>
  <c r="I166" i="5"/>
  <c r="O166" i="5" s="1"/>
  <c r="J166" i="5"/>
  <c r="I82" i="5"/>
  <c r="J82" i="5"/>
  <c r="J15" i="5"/>
  <c r="I15" i="5"/>
  <c r="I209" i="5"/>
  <c r="J209" i="5"/>
  <c r="I116" i="5"/>
  <c r="J116" i="5"/>
  <c r="I199" i="5"/>
  <c r="L199" i="5" s="1"/>
  <c r="J199" i="5"/>
  <c r="J21" i="5"/>
  <c r="I21" i="5"/>
  <c r="K21" i="5" s="1"/>
  <c r="I131" i="5"/>
  <c r="O131" i="5" s="1"/>
  <c r="J131" i="5"/>
  <c r="I76" i="5"/>
  <c r="P76" i="5" s="1"/>
  <c r="J76" i="5"/>
  <c r="I65" i="5"/>
  <c r="O65" i="5" s="1"/>
  <c r="J65" i="5"/>
  <c r="I129" i="5"/>
  <c r="J129" i="5"/>
  <c r="I155" i="5"/>
  <c r="N155" i="5" s="1"/>
  <c r="J155" i="5"/>
  <c r="I33" i="5"/>
  <c r="L33" i="5" s="1"/>
  <c r="J33" i="5"/>
  <c r="I126" i="5"/>
  <c r="J126" i="5"/>
  <c r="I101" i="5"/>
  <c r="J101" i="5"/>
  <c r="I167" i="5"/>
  <c r="J167" i="5"/>
  <c r="I189" i="5"/>
  <c r="O189" i="5" s="1"/>
  <c r="J189" i="5"/>
  <c r="I44" i="5"/>
  <c r="O44" i="5" s="1"/>
  <c r="J44" i="5"/>
  <c r="I191" i="5"/>
  <c r="K191" i="5" s="1"/>
  <c r="J191" i="5"/>
  <c r="J31" i="5"/>
  <c r="I31" i="5"/>
  <c r="Q31" i="5" s="1"/>
  <c r="I92" i="5"/>
  <c r="K92" i="5" s="1"/>
  <c r="J92" i="5"/>
  <c r="J50" i="5"/>
  <c r="I50" i="5"/>
  <c r="P50" i="5" s="1"/>
  <c r="J91" i="5"/>
  <c r="I91" i="5"/>
  <c r="K91" i="5" s="1"/>
  <c r="I143" i="5"/>
  <c r="K143" i="5" s="1"/>
  <c r="J143" i="5"/>
  <c r="I59" i="5"/>
  <c r="J59" i="5"/>
  <c r="I134" i="5"/>
  <c r="Q134" i="5" s="1"/>
  <c r="J134" i="5"/>
  <c r="I11" i="5"/>
  <c r="J11" i="5"/>
  <c r="J212" i="5"/>
  <c r="I212" i="5"/>
  <c r="J186" i="5"/>
  <c r="I186" i="5"/>
  <c r="O186" i="5" s="1"/>
  <c r="J5" i="5"/>
  <c r="I5" i="5"/>
  <c r="J23" i="5"/>
  <c r="I23" i="5"/>
  <c r="J25" i="5"/>
  <c r="I25" i="5"/>
  <c r="I57" i="5"/>
  <c r="M57" i="5" s="1"/>
  <c r="J57" i="5"/>
  <c r="O194" i="5"/>
  <c r="K194" i="5"/>
  <c r="P156" i="5"/>
  <c r="O156" i="5"/>
  <c r="M156" i="5"/>
  <c r="N156" i="5"/>
  <c r="O140" i="5"/>
  <c r="R78" i="5"/>
  <c r="O78" i="5"/>
  <c r="P78" i="5"/>
  <c r="N174" i="5"/>
  <c r="O174" i="5"/>
  <c r="D208" i="8"/>
  <c r="V66" i="7"/>
  <c r="W66" i="7" s="1"/>
  <c r="D66" i="8" s="1"/>
  <c r="Z202" i="4"/>
  <c r="G202" i="5" s="1"/>
  <c r="F198" i="5"/>
  <c r="X85" i="4"/>
  <c r="Y85" i="4" s="1"/>
  <c r="F85" i="5" s="1"/>
  <c r="Z137" i="4"/>
  <c r="G137" i="5" s="1"/>
  <c r="D97" i="8"/>
  <c r="F206" i="5"/>
  <c r="Z200" i="4"/>
  <c r="G200" i="5" s="1"/>
  <c r="F210" i="5"/>
  <c r="Z113" i="4"/>
  <c r="G113" i="5" s="1"/>
  <c r="Z208" i="4"/>
  <c r="G208" i="5" s="1"/>
  <c r="Z180" i="4"/>
  <c r="G180" i="5" s="1"/>
  <c r="Z118" i="4"/>
  <c r="G118" i="5" s="1"/>
  <c r="Z182" i="4"/>
  <c r="G182" i="5" s="1"/>
  <c r="F25" i="5"/>
  <c r="F209" i="5"/>
  <c r="Z213" i="4"/>
  <c r="G213" i="5" s="1"/>
  <c r="Z106" i="4"/>
  <c r="G106" i="5" s="1"/>
  <c r="F195" i="5"/>
  <c r="X130" i="4"/>
  <c r="Y130" i="4" s="1"/>
  <c r="Z130" i="4" s="1"/>
  <c r="G130" i="5" s="1"/>
  <c r="Z168" i="4"/>
  <c r="G168" i="5" s="1"/>
  <c r="Z125" i="4"/>
  <c r="G125" i="5" s="1"/>
  <c r="X61" i="4"/>
  <c r="Y61" i="4" s="1"/>
  <c r="Z61" i="4" s="1"/>
  <c r="G61" i="5" s="1"/>
  <c r="X69" i="4"/>
  <c r="Y69" i="4" s="1"/>
  <c r="F69" i="5" s="1"/>
  <c r="Z132" i="4"/>
  <c r="G132" i="5" s="1"/>
  <c r="X48" i="4"/>
  <c r="Y48" i="4" s="1"/>
  <c r="F48" i="5" s="1"/>
  <c r="V117" i="7"/>
  <c r="W117" i="7" s="1"/>
  <c r="D117" i="8" s="1"/>
  <c r="Z12" i="4"/>
  <c r="G12" i="5" s="1"/>
  <c r="F40" i="5"/>
  <c r="Z184" i="4"/>
  <c r="G184" i="5" s="1"/>
  <c r="V6" i="7"/>
  <c r="W6" i="7" s="1"/>
  <c r="X6" i="7" s="1"/>
  <c r="Z192" i="4"/>
  <c r="G192" i="5" s="1"/>
  <c r="X67" i="4"/>
  <c r="Y67" i="4" s="1"/>
  <c r="F67" i="5" s="1"/>
  <c r="E106" i="8"/>
  <c r="V204" i="7"/>
  <c r="W204" i="7" s="1"/>
  <c r="D204" i="8" s="1"/>
  <c r="V90" i="7"/>
  <c r="W90" i="7" s="1"/>
  <c r="V57" i="7"/>
  <c r="W57" i="7" s="1"/>
  <c r="D57" i="8" s="1"/>
  <c r="V80" i="7"/>
  <c r="W80" i="7" s="1"/>
  <c r="X80" i="7" s="1"/>
  <c r="E80" i="8" s="1"/>
  <c r="Z197" i="4"/>
  <c r="G197" i="5" s="1"/>
  <c r="Z152" i="4"/>
  <c r="G152" i="5" s="1"/>
  <c r="X90" i="4"/>
  <c r="Y90" i="4" s="1"/>
  <c r="F90" i="5" s="1"/>
  <c r="X128" i="4"/>
  <c r="Y128" i="4" s="1"/>
  <c r="F128" i="5" s="1"/>
  <c r="X10" i="4"/>
  <c r="Y10" i="4" s="1"/>
  <c r="F10" i="5" s="1"/>
  <c r="F199" i="5"/>
  <c r="X117" i="4"/>
  <c r="Y117" i="4" s="1"/>
  <c r="Z117" i="4" s="1"/>
  <c r="G117" i="5" s="1"/>
  <c r="Z190" i="4"/>
  <c r="G190" i="5" s="1"/>
  <c r="X66" i="4"/>
  <c r="Y66" i="4" s="1"/>
  <c r="F66" i="5" s="1"/>
  <c r="X187" i="4"/>
  <c r="Y187" i="4" s="1"/>
  <c r="Z187" i="4" s="1"/>
  <c r="G187" i="5" s="1"/>
  <c r="F38" i="5"/>
  <c r="X6" i="4"/>
  <c r="Y6" i="4" s="1"/>
  <c r="Z6" i="4" s="1"/>
  <c r="X8" i="4"/>
  <c r="Y8" i="4" s="1"/>
  <c r="F8" i="5" s="1"/>
  <c r="X204" i="4"/>
  <c r="Y204" i="4" s="1"/>
  <c r="Z204" i="4" s="1"/>
  <c r="X97" i="4"/>
  <c r="Y97" i="4" s="1"/>
  <c r="F196" i="5"/>
  <c r="Z196" i="4"/>
  <c r="G196" i="5" s="1"/>
  <c r="V130" i="7"/>
  <c r="W130" i="7" s="1"/>
  <c r="V67" i="7"/>
  <c r="W67" i="7" s="1"/>
  <c r="V61" i="7"/>
  <c r="W61" i="7" s="1"/>
  <c r="D71" i="8" l="1"/>
  <c r="O162" i="5"/>
  <c r="Z71" i="4"/>
  <c r="G71" i="5" s="1"/>
  <c r="K162" i="5"/>
  <c r="F72" i="5"/>
  <c r="O25" i="5"/>
  <c r="M25" i="5"/>
  <c r="O170" i="5"/>
  <c r="N170" i="5"/>
  <c r="M25" i="8"/>
  <c r="K25" i="8"/>
  <c r="M170" i="8"/>
  <c r="L170" i="8"/>
  <c r="L63" i="8"/>
  <c r="K63" i="8"/>
  <c r="M113" i="8"/>
  <c r="R113" i="8"/>
  <c r="Q144" i="5"/>
  <c r="P144" i="5"/>
  <c r="D36" i="8"/>
  <c r="M157" i="5"/>
  <c r="P157" i="5"/>
  <c r="N157" i="8"/>
  <c r="K157" i="8"/>
  <c r="F53" i="5"/>
  <c r="Z135" i="4"/>
  <c r="G135" i="5" s="1"/>
  <c r="U135" i="5" s="1"/>
  <c r="P7" i="5"/>
  <c r="O7" i="5"/>
  <c r="L7" i="8"/>
  <c r="M7" i="8"/>
  <c r="F37" i="5"/>
  <c r="F149" i="5"/>
  <c r="U150" i="5"/>
  <c r="I198" i="8"/>
  <c r="M198" i="8"/>
  <c r="H37" i="8"/>
  <c r="K195" i="8"/>
  <c r="N195" i="8"/>
  <c r="G37" i="8"/>
  <c r="I37" i="8" s="1"/>
  <c r="M187" i="8"/>
  <c r="N187" i="8"/>
  <c r="J150" i="5"/>
  <c r="O198" i="5"/>
  <c r="K198" i="5"/>
  <c r="M199" i="5"/>
  <c r="P199" i="5"/>
  <c r="F79" i="5"/>
  <c r="D37" i="8"/>
  <c r="M184" i="8"/>
  <c r="J184" i="8"/>
  <c r="J148" i="5"/>
  <c r="U148" i="5"/>
  <c r="X79" i="7"/>
  <c r="E79" i="8" s="1"/>
  <c r="H79" i="8" s="1"/>
  <c r="M40" i="8"/>
  <c r="N40" i="8"/>
  <c r="H163" i="8"/>
  <c r="M51" i="8"/>
  <c r="O51" i="8"/>
  <c r="M22" i="5"/>
  <c r="N22" i="5"/>
  <c r="O40" i="5"/>
  <c r="P40" i="5"/>
  <c r="G163" i="8"/>
  <c r="O163" i="8" s="1"/>
  <c r="L5" i="5"/>
  <c r="O5" i="5"/>
  <c r="L138" i="8"/>
  <c r="F100" i="5"/>
  <c r="F36" i="5"/>
  <c r="D53" i="8"/>
  <c r="I163" i="5"/>
  <c r="J163" i="5"/>
  <c r="U163" i="5"/>
  <c r="U158" i="5"/>
  <c r="I158" i="5"/>
  <c r="O158" i="5" s="1"/>
  <c r="X149" i="7"/>
  <c r="E149" i="8" s="1"/>
  <c r="S149" i="8" s="1"/>
  <c r="F145" i="5"/>
  <c r="J79" i="5"/>
  <c r="U79" i="5"/>
  <c r="I79" i="5"/>
  <c r="H108" i="8"/>
  <c r="G108" i="8"/>
  <c r="S108" i="8"/>
  <c r="J71" i="5"/>
  <c r="I71" i="5"/>
  <c r="N71" i="5" s="1"/>
  <c r="U71" i="5"/>
  <c r="L151" i="8"/>
  <c r="M151" i="8"/>
  <c r="H36" i="8"/>
  <c r="G36" i="8"/>
  <c r="M36" i="8" s="1"/>
  <c r="S36" i="8"/>
  <c r="N153" i="5"/>
  <c r="T153" i="5"/>
  <c r="M158" i="8"/>
  <c r="O158" i="8"/>
  <c r="U36" i="5"/>
  <c r="J36" i="5"/>
  <c r="I36" i="5"/>
  <c r="O36" i="5" s="1"/>
  <c r="M164" i="8"/>
  <c r="L164" i="8"/>
  <c r="J53" i="5"/>
  <c r="I53" i="5"/>
  <c r="U53" i="5"/>
  <c r="J37" i="5"/>
  <c r="U37" i="5"/>
  <c r="I37" i="5"/>
  <c r="K37" i="5" s="1"/>
  <c r="I70" i="8"/>
  <c r="M70" i="8"/>
  <c r="M156" i="8"/>
  <c r="R156" i="8"/>
  <c r="J72" i="5"/>
  <c r="I72" i="5"/>
  <c r="U72" i="5"/>
  <c r="P108" i="5"/>
  <c r="Q108" i="5"/>
  <c r="I100" i="5"/>
  <c r="J100" i="5"/>
  <c r="U100" i="5"/>
  <c r="Z109" i="4"/>
  <c r="G109" i="5" s="1"/>
  <c r="F109" i="5"/>
  <c r="S71" i="8"/>
  <c r="G71" i="8"/>
  <c r="L71" i="8" s="1"/>
  <c r="H71" i="8"/>
  <c r="U149" i="5"/>
  <c r="I149" i="5"/>
  <c r="J149" i="5"/>
  <c r="S72" i="8"/>
  <c r="G72" i="8"/>
  <c r="H72" i="8"/>
  <c r="N68" i="5"/>
  <c r="O68" i="5"/>
  <c r="N93" i="5"/>
  <c r="Q93" i="5"/>
  <c r="O93" i="5"/>
  <c r="I141" i="5"/>
  <c r="O141" i="5" s="1"/>
  <c r="J141" i="5"/>
  <c r="U141" i="5"/>
  <c r="Q24" i="5"/>
  <c r="N24" i="5"/>
  <c r="H100" i="8"/>
  <c r="S100" i="8"/>
  <c r="G100" i="8"/>
  <c r="K70" i="5"/>
  <c r="O70" i="5"/>
  <c r="O24" i="8"/>
  <c r="L24" i="8"/>
  <c r="I145" i="5"/>
  <c r="J145" i="5"/>
  <c r="U145" i="5"/>
  <c r="X135" i="7"/>
  <c r="E135" i="8" s="1"/>
  <c r="D135" i="8"/>
  <c r="I138" i="5"/>
  <c r="U138" i="5"/>
  <c r="J138" i="5"/>
  <c r="D145" i="8"/>
  <c r="X145" i="7"/>
  <c r="E145" i="8" s="1"/>
  <c r="J135" i="5"/>
  <c r="G53" i="8"/>
  <c r="H53" i="8"/>
  <c r="S53" i="8"/>
  <c r="I98" i="8"/>
  <c r="L98" i="8"/>
  <c r="N98" i="8"/>
  <c r="S172" i="8"/>
  <c r="U213" i="5"/>
  <c r="U117" i="5"/>
  <c r="U168" i="5"/>
  <c r="U118" i="5"/>
  <c r="U137" i="5"/>
  <c r="I82" i="8"/>
  <c r="J82" i="8"/>
  <c r="M82" i="8"/>
  <c r="M137" i="8"/>
  <c r="N137" i="8"/>
  <c r="L137" i="8"/>
  <c r="S168" i="8"/>
  <c r="O41" i="8"/>
  <c r="M41" i="8"/>
  <c r="S202" i="8"/>
  <c r="U130" i="5"/>
  <c r="K82" i="5"/>
  <c r="O82" i="5"/>
  <c r="L82" i="5"/>
  <c r="M154" i="8"/>
  <c r="N154" i="8"/>
  <c r="J154" i="8"/>
  <c r="R154" i="8"/>
  <c r="I26" i="8"/>
  <c r="Q26" i="8"/>
  <c r="Q214" i="8" s="1"/>
  <c r="J26" i="8"/>
  <c r="M26" i="8"/>
  <c r="M128" i="8"/>
  <c r="O128" i="8"/>
  <c r="L128" i="8"/>
  <c r="U208" i="5"/>
  <c r="N76" i="8"/>
  <c r="P76" i="8"/>
  <c r="S69" i="8"/>
  <c r="S125" i="8"/>
  <c r="U180" i="5"/>
  <c r="S106" i="8"/>
  <c r="U106" i="5"/>
  <c r="U113" i="5"/>
  <c r="U202" i="5"/>
  <c r="Q57" i="5"/>
  <c r="O57" i="5"/>
  <c r="P57" i="5"/>
  <c r="O81" i="5"/>
  <c r="P81" i="5"/>
  <c r="N81" i="5"/>
  <c r="N25" i="8"/>
  <c r="O25" i="8"/>
  <c r="J25" i="8"/>
  <c r="N28" i="8"/>
  <c r="P28" i="8"/>
  <c r="I23" i="8"/>
  <c r="N23" i="8"/>
  <c r="U133" i="5"/>
  <c r="S209" i="8"/>
  <c r="S199" i="8"/>
  <c r="I140" i="8"/>
  <c r="N140" i="8"/>
  <c r="L49" i="8"/>
  <c r="M49" i="8"/>
  <c r="I86" i="8"/>
  <c r="K86" i="8"/>
  <c r="L86" i="8"/>
  <c r="M86" i="8"/>
  <c r="O144" i="8"/>
  <c r="I144" i="8"/>
  <c r="S213" i="8"/>
  <c r="U87" i="5"/>
  <c r="S84" i="8"/>
  <c r="O13" i="8"/>
  <c r="R13" i="8"/>
  <c r="U12" i="5"/>
  <c r="U187" i="5"/>
  <c r="U152" i="5"/>
  <c r="U192" i="5"/>
  <c r="U200" i="5"/>
  <c r="K86" i="5"/>
  <c r="M86" i="5"/>
  <c r="N86" i="5"/>
  <c r="O86" i="5"/>
  <c r="M124" i="8"/>
  <c r="L124" i="8"/>
  <c r="R107" i="8"/>
  <c r="N107" i="8"/>
  <c r="M78" i="8"/>
  <c r="N78" i="8"/>
  <c r="P78" i="8"/>
  <c r="R155" i="8"/>
  <c r="K155" i="8"/>
  <c r="M155" i="8"/>
  <c r="N155" i="8"/>
  <c r="M15" i="8"/>
  <c r="L15" i="8"/>
  <c r="U147" i="5"/>
  <c r="S12" i="8"/>
  <c r="S48" i="8"/>
  <c r="U132" i="5"/>
  <c r="U197" i="5"/>
  <c r="U61" i="5"/>
  <c r="O124" i="5"/>
  <c r="N124" i="5"/>
  <c r="U84" i="5"/>
  <c r="O17" i="8"/>
  <c r="P17" i="8"/>
  <c r="S152" i="8"/>
  <c r="K126" i="5"/>
  <c r="L126" i="5"/>
  <c r="U196" i="5"/>
  <c r="U190" i="5"/>
  <c r="S80" i="8"/>
  <c r="U184" i="5"/>
  <c r="U125" i="5"/>
  <c r="U182" i="5"/>
  <c r="P129" i="5"/>
  <c r="Q129" i="5"/>
  <c r="N129" i="5"/>
  <c r="P47" i="5"/>
  <c r="K47" i="5"/>
  <c r="K20" i="5"/>
  <c r="L20" i="5"/>
  <c r="N20" i="5"/>
  <c r="P20" i="5"/>
  <c r="P98" i="5"/>
  <c r="K98" i="5"/>
  <c r="N98" i="5"/>
  <c r="M87" i="8"/>
  <c r="L87" i="8"/>
  <c r="M88" i="8"/>
  <c r="N88" i="8"/>
  <c r="N129" i="8"/>
  <c r="O129" i="8"/>
  <c r="L129" i="8"/>
  <c r="I35" i="8"/>
  <c r="J35" i="8"/>
  <c r="L35" i="8"/>
  <c r="M35" i="8"/>
  <c r="M83" i="8"/>
  <c r="L83" i="8"/>
  <c r="I126" i="8"/>
  <c r="J126" i="8"/>
  <c r="S132" i="8"/>
  <c r="U89" i="5"/>
  <c r="U54" i="5"/>
  <c r="S182" i="8"/>
  <c r="H182" i="8"/>
  <c r="F80" i="5"/>
  <c r="G182" i="8"/>
  <c r="N182" i="8" s="1"/>
  <c r="H202" i="8"/>
  <c r="G202" i="8"/>
  <c r="D38" i="8"/>
  <c r="I54" i="5"/>
  <c r="J54" i="5"/>
  <c r="I89" i="5"/>
  <c r="Q89" i="5" s="1"/>
  <c r="H12" i="8"/>
  <c r="G12" i="8"/>
  <c r="G84" i="8"/>
  <c r="M84" i="8" s="1"/>
  <c r="H84" i="8"/>
  <c r="J147" i="5"/>
  <c r="I147" i="5"/>
  <c r="J89" i="5"/>
  <c r="M192" i="8"/>
  <c r="D172" i="8"/>
  <c r="H172" i="8"/>
  <c r="G172" i="8"/>
  <c r="N172" i="8" s="1"/>
  <c r="H199" i="8"/>
  <c r="X85" i="7"/>
  <c r="E85" i="8" s="1"/>
  <c r="G168" i="8"/>
  <c r="N168" i="8" s="1"/>
  <c r="H132" i="8"/>
  <c r="G132" i="8"/>
  <c r="N132" i="8" s="1"/>
  <c r="H152" i="8"/>
  <c r="H48" i="8"/>
  <c r="G152" i="8"/>
  <c r="G48" i="8"/>
  <c r="J175" i="8"/>
  <c r="H168" i="8"/>
  <c r="M174" i="8"/>
  <c r="N7" i="8"/>
  <c r="G125" i="8"/>
  <c r="N125" i="8" s="1"/>
  <c r="G199" i="8"/>
  <c r="J199" i="8" s="1"/>
  <c r="I133" i="5"/>
  <c r="N133" i="5" s="1"/>
  <c r="H125" i="8"/>
  <c r="J89" i="8"/>
  <c r="H213" i="8"/>
  <c r="H69" i="8"/>
  <c r="G69" i="8"/>
  <c r="L69" i="8" s="1"/>
  <c r="M89" i="8"/>
  <c r="N9" i="8"/>
  <c r="H209" i="8"/>
  <c r="G209" i="8"/>
  <c r="M209" i="8" s="1"/>
  <c r="G190" i="8"/>
  <c r="M190" i="8" s="1"/>
  <c r="H190" i="8"/>
  <c r="G213" i="8"/>
  <c r="M213" i="8" s="1"/>
  <c r="Q25" i="5"/>
  <c r="P25" i="5"/>
  <c r="L199" i="8"/>
  <c r="L10" i="8"/>
  <c r="P10" i="8"/>
  <c r="L175" i="5"/>
  <c r="M175" i="5"/>
  <c r="O195" i="5"/>
  <c r="M195" i="5"/>
  <c r="I87" i="5"/>
  <c r="J87" i="5"/>
  <c r="I84" i="5"/>
  <c r="O84" i="5" s="1"/>
  <c r="J133" i="5"/>
  <c r="X57" i="7"/>
  <c r="E57" i="8" s="1"/>
  <c r="N206" i="8"/>
  <c r="I206" i="8"/>
  <c r="J84" i="5"/>
  <c r="P107" i="5"/>
  <c r="Z85" i="4"/>
  <c r="G85" i="5" s="1"/>
  <c r="R28" i="5"/>
  <c r="K140" i="5"/>
  <c r="K22" i="5"/>
  <c r="P206" i="5"/>
  <c r="K206" i="5"/>
  <c r="N7" i="5"/>
  <c r="L25" i="5"/>
  <c r="K193" i="5"/>
  <c r="N193" i="5"/>
  <c r="N156" i="8"/>
  <c r="L156" i="8"/>
  <c r="K156" i="8"/>
  <c r="O8" i="8"/>
  <c r="K8" i="8"/>
  <c r="Q5" i="5"/>
  <c r="I209" i="8"/>
  <c r="G106" i="8"/>
  <c r="M106" i="8" s="1"/>
  <c r="H106" i="8"/>
  <c r="G80" i="8"/>
  <c r="H80" i="8"/>
  <c r="I208" i="8"/>
  <c r="M208" i="8"/>
  <c r="J208" i="8"/>
  <c r="I194" i="8"/>
  <c r="M194" i="8"/>
  <c r="M167" i="8"/>
  <c r="L167" i="8"/>
  <c r="M157" i="8"/>
  <c r="R157" i="8"/>
  <c r="I117" i="5"/>
  <c r="J117" i="5"/>
  <c r="J168" i="5"/>
  <c r="I168" i="5"/>
  <c r="P168" i="5" s="1"/>
  <c r="I192" i="5"/>
  <c r="J192" i="5"/>
  <c r="I200" i="5"/>
  <c r="J200" i="5"/>
  <c r="I202" i="5"/>
  <c r="J202" i="5"/>
  <c r="P140" i="5"/>
  <c r="I208" i="5"/>
  <c r="O208" i="5" s="1"/>
  <c r="J208" i="5"/>
  <c r="I213" i="5"/>
  <c r="O213" i="5" s="1"/>
  <c r="J213" i="5"/>
  <c r="K144" i="5"/>
  <c r="I125" i="5"/>
  <c r="P125" i="5" s="1"/>
  <c r="J125" i="5"/>
  <c r="I106" i="5"/>
  <c r="O106" i="5" s="1"/>
  <c r="J106" i="5"/>
  <c r="I190" i="5"/>
  <c r="O190" i="5" s="1"/>
  <c r="J190" i="5"/>
  <c r="I152" i="5"/>
  <c r="J152" i="5"/>
  <c r="I61" i="5"/>
  <c r="J61" i="5"/>
  <c r="I118" i="5"/>
  <c r="J118" i="5"/>
  <c r="I196" i="5"/>
  <c r="O196" i="5" s="1"/>
  <c r="J196" i="5"/>
  <c r="I182" i="5"/>
  <c r="P182" i="5" s="1"/>
  <c r="J182" i="5"/>
  <c r="I187" i="5"/>
  <c r="J187" i="5"/>
  <c r="I132" i="5"/>
  <c r="P132" i="5" s="1"/>
  <c r="J132" i="5"/>
  <c r="I197" i="5"/>
  <c r="O197" i="5" s="1"/>
  <c r="J197" i="5"/>
  <c r="I184" i="5"/>
  <c r="J184" i="5"/>
  <c r="J180" i="5"/>
  <c r="I180" i="5"/>
  <c r="I12" i="5"/>
  <c r="J12" i="5"/>
  <c r="I137" i="5"/>
  <c r="O137" i="5" s="1"/>
  <c r="J137" i="5"/>
  <c r="I113" i="5"/>
  <c r="J113" i="5"/>
  <c r="R76" i="5"/>
  <c r="I130" i="5"/>
  <c r="J130" i="5"/>
  <c r="L207" i="5"/>
  <c r="M207" i="5"/>
  <c r="N63" i="5"/>
  <c r="O63" i="5"/>
  <c r="Q63" i="5"/>
  <c r="T155" i="5"/>
  <c r="M155" i="5"/>
  <c r="O155" i="5"/>
  <c r="P155" i="5"/>
  <c r="M212" i="5"/>
  <c r="L212" i="5"/>
  <c r="L154" i="5"/>
  <c r="T154" i="5"/>
  <c r="O154" i="5"/>
  <c r="P154" i="5"/>
  <c r="Q41" i="5"/>
  <c r="O41" i="5"/>
  <c r="N49" i="5"/>
  <c r="O49" i="5"/>
  <c r="N199" i="5"/>
  <c r="O199" i="5"/>
  <c r="N35" i="5"/>
  <c r="O35" i="5"/>
  <c r="K35" i="5"/>
  <c r="L35" i="5"/>
  <c r="L209" i="5"/>
  <c r="O209" i="5"/>
  <c r="K209" i="5"/>
  <c r="Q9" i="5"/>
  <c r="P9" i="5"/>
  <c r="N83" i="5"/>
  <c r="O83" i="5"/>
  <c r="P23" i="5"/>
  <c r="K23" i="5"/>
  <c r="O167" i="5"/>
  <c r="N167" i="5"/>
  <c r="L26" i="5"/>
  <c r="S26" i="5"/>
  <c r="S214" i="5" s="1"/>
  <c r="O26" i="5"/>
  <c r="K26" i="5"/>
  <c r="N15" i="5"/>
  <c r="O15" i="5"/>
  <c r="O157" i="5"/>
  <c r="T157" i="5"/>
  <c r="Q17" i="5"/>
  <c r="R17" i="5"/>
  <c r="X117" i="7"/>
  <c r="E117" i="8" s="1"/>
  <c r="X66" i="7"/>
  <c r="E66" i="8" s="1"/>
  <c r="F130" i="5"/>
  <c r="Z48" i="4"/>
  <c r="G48" i="5" s="1"/>
  <c r="F61" i="5"/>
  <c r="Z69" i="4"/>
  <c r="G69" i="5" s="1"/>
  <c r="Z10" i="4"/>
  <c r="G10" i="5" s="1"/>
  <c r="G80" i="5"/>
  <c r="G38" i="5"/>
  <c r="E38" i="8"/>
  <c r="F117" i="5"/>
  <c r="Z67" i="4"/>
  <c r="G67" i="5" s="1"/>
  <c r="Z90" i="4"/>
  <c r="G90" i="5" s="1"/>
  <c r="Z128" i="4"/>
  <c r="G128" i="5" s="1"/>
  <c r="F187" i="5"/>
  <c r="X204" i="7"/>
  <c r="E204" i="8" s="1"/>
  <c r="X90" i="7"/>
  <c r="E90" i="8" s="1"/>
  <c r="D90" i="8"/>
  <c r="D80" i="8"/>
  <c r="Z66" i="4"/>
  <c r="G66" i="5" s="1"/>
  <c r="Z8" i="4"/>
  <c r="G8" i="5" s="1"/>
  <c r="Z97" i="4"/>
  <c r="G97" i="5" s="1"/>
  <c r="F97" i="5"/>
  <c r="D130" i="8"/>
  <c r="X130" i="7"/>
  <c r="E130" i="8" s="1"/>
  <c r="D67" i="8"/>
  <c r="X67" i="7"/>
  <c r="E67" i="8" s="1"/>
  <c r="D61" i="8"/>
  <c r="X61" i="7"/>
  <c r="E61" i="8" s="1"/>
  <c r="I135" i="5" l="1"/>
  <c r="O113" i="5"/>
  <c r="T113" i="5"/>
  <c r="L163" i="8"/>
  <c r="R202" i="8"/>
  <c r="I202" i="8"/>
  <c r="T202" i="5"/>
  <c r="K202" i="5"/>
  <c r="O187" i="5"/>
  <c r="P187" i="5"/>
  <c r="K199" i="8"/>
  <c r="N199" i="8"/>
  <c r="G79" i="8"/>
  <c r="M79" i="8" s="1"/>
  <c r="S79" i="8"/>
  <c r="O184" i="5"/>
  <c r="L184" i="5"/>
  <c r="H149" i="8"/>
  <c r="P149" i="5"/>
  <c r="O149" i="5"/>
  <c r="O12" i="8"/>
  <c r="M12" i="8"/>
  <c r="Q12" i="5"/>
  <c r="O12" i="5"/>
  <c r="G149" i="8"/>
  <c r="N163" i="5"/>
  <c r="Q163" i="5"/>
  <c r="Q158" i="5"/>
  <c r="J109" i="5"/>
  <c r="U109" i="5"/>
  <c r="I109" i="5"/>
  <c r="L109" i="5" s="1"/>
  <c r="P36" i="5"/>
  <c r="Q36" i="5"/>
  <c r="L145" i="5"/>
  <c r="Q145" i="5"/>
  <c r="K145" i="5"/>
  <c r="Q72" i="5"/>
  <c r="P72" i="5"/>
  <c r="K53" i="8"/>
  <c r="I53" i="8"/>
  <c r="O53" i="8"/>
  <c r="L100" i="5"/>
  <c r="M100" i="5"/>
  <c r="N36" i="8"/>
  <c r="O36" i="8"/>
  <c r="O108" i="8"/>
  <c r="N108" i="8"/>
  <c r="K135" i="5"/>
  <c r="N135" i="5"/>
  <c r="Q53" i="5"/>
  <c r="M53" i="5"/>
  <c r="K53" i="5"/>
  <c r="N138" i="5"/>
  <c r="Q138" i="5"/>
  <c r="O72" i="8"/>
  <c r="N72" i="8"/>
  <c r="O79" i="5"/>
  <c r="N79" i="5"/>
  <c r="S145" i="8"/>
  <c r="G145" i="8"/>
  <c r="H145" i="8"/>
  <c r="H135" i="8"/>
  <c r="S135" i="8"/>
  <c r="G135" i="8"/>
  <c r="J100" i="8"/>
  <c r="K100" i="8"/>
  <c r="S67" i="8"/>
  <c r="S38" i="8"/>
  <c r="S66" i="8"/>
  <c r="K48" i="8"/>
  <c r="M48" i="8"/>
  <c r="S117" i="8"/>
  <c r="O130" i="5"/>
  <c r="Q130" i="5"/>
  <c r="U85" i="5"/>
  <c r="M152" i="8"/>
  <c r="R152" i="8"/>
  <c r="K152" i="8"/>
  <c r="N152" i="8"/>
  <c r="S85" i="8"/>
  <c r="S204" i="8"/>
  <c r="U80" i="5"/>
  <c r="M117" i="5"/>
  <c r="O117" i="5"/>
  <c r="P117" i="5"/>
  <c r="Q117" i="5"/>
  <c r="K117" i="5"/>
  <c r="L117" i="5"/>
  <c r="T117" i="5"/>
  <c r="N117" i="5"/>
  <c r="N87" i="5"/>
  <c r="O87" i="5"/>
  <c r="U10" i="5"/>
  <c r="S90" i="8"/>
  <c r="U38" i="5"/>
  <c r="U97" i="5"/>
  <c r="U128" i="5"/>
  <c r="U69" i="5"/>
  <c r="M69" i="8"/>
  <c r="N69" i="8"/>
  <c r="S61" i="8"/>
  <c r="U90" i="5"/>
  <c r="S130" i="8"/>
  <c r="U8" i="5"/>
  <c r="U66" i="5"/>
  <c r="U67" i="5"/>
  <c r="U48" i="5"/>
  <c r="K80" i="8"/>
  <c r="O80" i="8"/>
  <c r="I80" i="8"/>
  <c r="J80" i="8"/>
  <c r="S57" i="8"/>
  <c r="L89" i="5"/>
  <c r="O89" i="5"/>
  <c r="P137" i="5"/>
  <c r="G85" i="8"/>
  <c r="I85" i="8" s="1"/>
  <c r="I172" i="8"/>
  <c r="H85" i="8"/>
  <c r="J209" i="8"/>
  <c r="H57" i="8"/>
  <c r="G57" i="8"/>
  <c r="O180" i="5"/>
  <c r="M180" i="5"/>
  <c r="I85" i="5"/>
  <c r="K85" i="5" s="1"/>
  <c r="J85" i="5"/>
  <c r="N137" i="5"/>
  <c r="N180" i="5"/>
  <c r="L208" i="5"/>
  <c r="K208" i="5"/>
  <c r="G61" i="8"/>
  <c r="H61" i="8"/>
  <c r="G204" i="8"/>
  <c r="H204" i="8"/>
  <c r="H67" i="8"/>
  <c r="G67" i="8"/>
  <c r="G66" i="8"/>
  <c r="M66" i="8" s="1"/>
  <c r="H66" i="8"/>
  <c r="G117" i="8"/>
  <c r="H117" i="8"/>
  <c r="G90" i="8"/>
  <c r="H90" i="8"/>
  <c r="G130" i="8"/>
  <c r="H130" i="8"/>
  <c r="H38" i="8"/>
  <c r="G38" i="8"/>
  <c r="I90" i="5"/>
  <c r="J90" i="5"/>
  <c r="I48" i="5"/>
  <c r="J48" i="5"/>
  <c r="I67" i="5"/>
  <c r="J67" i="5"/>
  <c r="J97" i="5"/>
  <c r="I97" i="5"/>
  <c r="O97" i="5" s="1"/>
  <c r="I80" i="5"/>
  <c r="M80" i="5" s="1"/>
  <c r="J80" i="5"/>
  <c r="L180" i="5"/>
  <c r="I66" i="5"/>
  <c r="O66" i="5" s="1"/>
  <c r="J66" i="5"/>
  <c r="J8" i="5"/>
  <c r="I8" i="5"/>
  <c r="Q180" i="5"/>
  <c r="I69" i="5"/>
  <c r="N69" i="5" s="1"/>
  <c r="J69" i="5"/>
  <c r="I38" i="5"/>
  <c r="J38" i="5"/>
  <c r="J128" i="5"/>
  <c r="I128" i="5"/>
  <c r="P128" i="5" s="1"/>
  <c r="I10" i="5"/>
  <c r="O10" i="5" s="1"/>
  <c r="J10" i="5"/>
  <c r="K192" i="5"/>
  <c r="O192" i="5"/>
  <c r="N61" i="5"/>
  <c r="O61" i="5"/>
  <c r="K61" i="5"/>
  <c r="P152" i="5"/>
  <c r="O152" i="5"/>
  <c r="T152" i="5"/>
  <c r="M152" i="5"/>
  <c r="J67" i="8" l="1"/>
  <c r="N67" i="8"/>
  <c r="I67" i="8"/>
  <c r="M67" i="8"/>
  <c r="K67" i="5"/>
  <c r="P67" i="5"/>
  <c r="L79" i="8"/>
  <c r="R67" i="5"/>
  <c r="L67" i="5"/>
  <c r="N149" i="8"/>
  <c r="M149" i="8"/>
  <c r="L38" i="5"/>
  <c r="P38" i="5"/>
  <c r="J38" i="8"/>
  <c r="N38" i="8"/>
  <c r="M57" i="8"/>
  <c r="K57" i="8"/>
  <c r="O145" i="8"/>
  <c r="I145" i="8"/>
  <c r="J145" i="8"/>
  <c r="L135" i="8"/>
  <c r="I135" i="8"/>
  <c r="K117" i="8"/>
  <c r="M117" i="8"/>
  <c r="N117" i="8"/>
  <c r="O117" i="8"/>
  <c r="I117" i="8"/>
  <c r="J117" i="8"/>
  <c r="R117" i="8"/>
  <c r="R214" i="8" s="1"/>
  <c r="L117" i="8"/>
  <c r="I61" i="8"/>
  <c r="L61" i="8"/>
  <c r="M61" i="8"/>
  <c r="O67" i="8"/>
  <c r="P67" i="8"/>
  <c r="P214" i="8" s="1"/>
  <c r="O128" i="5"/>
  <c r="Q128" i="5"/>
  <c r="N128" i="5"/>
  <c r="M130" i="8"/>
  <c r="O130" i="8"/>
  <c r="O57" i="8"/>
  <c r="N57" i="8"/>
  <c r="Q10" i="5"/>
  <c r="R10" i="5"/>
  <c r="N204" i="8"/>
  <c r="O204" i="8"/>
  <c r="M204" i="8"/>
  <c r="J204" i="8"/>
  <c r="M38" i="5"/>
  <c r="J214" i="5"/>
  <c r="H214" i="8"/>
  <c r="K38" i="8"/>
  <c r="K90" i="8"/>
  <c r="N90" i="8"/>
  <c r="N10" i="5"/>
  <c r="T214" i="5"/>
  <c r="M48" i="5"/>
  <c r="O48" i="5"/>
  <c r="P69" i="5"/>
  <c r="O69" i="5"/>
  <c r="M8" i="5"/>
  <c r="O8" i="5"/>
  <c r="Q8" i="5"/>
  <c r="Q67" i="5"/>
  <c r="O67" i="5"/>
  <c r="M90" i="5"/>
  <c r="P90" i="5"/>
  <c r="Q80" i="5"/>
  <c r="K80" i="5"/>
  <c r="K214" i="5" s="1"/>
  <c r="L80" i="5"/>
  <c r="L214" i="5" l="1"/>
  <c r="R214" i="5"/>
  <c r="I214" i="8"/>
  <c r="J214" i="8"/>
  <c r="N214" i="5"/>
  <c r="P214" i="5"/>
  <c r="N214" i="8"/>
  <c r="L214" i="8"/>
  <c r="M214" i="8"/>
  <c r="K214" i="8"/>
  <c r="O214" i="8"/>
  <c r="M214" i="5"/>
  <c r="Q214" i="5"/>
  <c r="O214" i="5"/>
</calcChain>
</file>

<file path=xl/sharedStrings.xml><?xml version="1.0" encoding="utf-8"?>
<sst xmlns="http://schemas.openxmlformats.org/spreadsheetml/2006/main" count="7865" uniqueCount="1741">
  <si>
    <t>75-71-8</t>
  </si>
  <si>
    <t>72-54-8</t>
  </si>
  <si>
    <t>72-55-9</t>
  </si>
  <si>
    <t>50-29-3</t>
  </si>
  <si>
    <t>Diazinon</t>
  </si>
  <si>
    <t>333-41-5</t>
  </si>
  <si>
    <t>Dieldrin</t>
  </si>
  <si>
    <t>60-57-1</t>
  </si>
  <si>
    <t>Ethylene glycol</t>
  </si>
  <si>
    <t>107-21-1</t>
  </si>
  <si>
    <t>Heptachlor epoxide</t>
  </si>
  <si>
    <t>1024-57-3</t>
  </si>
  <si>
    <t>Heptachlor</t>
  </si>
  <si>
    <t>76-44-8</t>
  </si>
  <si>
    <t>Cumene (isopropylbenzene)</t>
  </si>
  <si>
    <t>98-82-8</t>
  </si>
  <si>
    <t>Chlordane</t>
  </si>
  <si>
    <t>n-Butylbenzene</t>
  </si>
  <si>
    <t>104-51-8</t>
  </si>
  <si>
    <t>Chlorobenzene</t>
  </si>
  <si>
    <t>108-90-7</t>
  </si>
  <si>
    <t>75-00-3</t>
  </si>
  <si>
    <t>Hexachlorobenzene</t>
  </si>
  <si>
    <t>118-74-1</t>
  </si>
  <si>
    <t>Hexachlorocyclopentadiene</t>
  </si>
  <si>
    <t>77-47-4</t>
  </si>
  <si>
    <t xml:space="preserve">Chemical  </t>
  </si>
  <si>
    <t>75-09-2</t>
  </si>
  <si>
    <t>Aluminum</t>
  </si>
  <si>
    <t>7429-90-5</t>
  </si>
  <si>
    <t>Default</t>
  </si>
  <si>
    <t>NA</t>
  </si>
  <si>
    <t>Antimony</t>
  </si>
  <si>
    <t>7440-36-0</t>
  </si>
  <si>
    <t>108-10-1</t>
  </si>
  <si>
    <t>91-57-6</t>
  </si>
  <si>
    <t>91-20-3</t>
  </si>
  <si>
    <t>206-44-0</t>
  </si>
  <si>
    <t>DNT Mixture (2,4- and 2,6-)</t>
  </si>
  <si>
    <t xml:space="preserve">NA </t>
  </si>
  <si>
    <t>Butyl benzylphthalate</t>
  </si>
  <si>
    <t>85-68-7</t>
  </si>
  <si>
    <t>Dibenzofuran (unsubstituted)</t>
  </si>
  <si>
    <t>132-64-9</t>
  </si>
  <si>
    <t>106-37-6</t>
  </si>
  <si>
    <t>Aldrin</t>
  </si>
  <si>
    <t>309-00-2</t>
  </si>
  <si>
    <t>Styrene</t>
  </si>
  <si>
    <t>100-42-5</t>
  </si>
  <si>
    <t>630-20-6</t>
  </si>
  <si>
    <t>Boron</t>
  </si>
  <si>
    <t>7440-42-8</t>
  </si>
  <si>
    <t>Cadmium</t>
  </si>
  <si>
    <t>7440-43-9</t>
  </si>
  <si>
    <t>Tin</t>
  </si>
  <si>
    <t>7440-32-6</t>
  </si>
  <si>
    <t>7440-66-6</t>
  </si>
  <si>
    <t>Perfluorooctanoic acid (PFOA)</t>
  </si>
  <si>
    <t>1763-23-1</t>
  </si>
  <si>
    <t>335-67-1</t>
  </si>
  <si>
    <t>621-64-7</t>
  </si>
  <si>
    <t>58-90-2</t>
  </si>
  <si>
    <t>95-95-4</t>
  </si>
  <si>
    <t>n-Hexane</t>
  </si>
  <si>
    <t>110-54-3</t>
  </si>
  <si>
    <t>111-44-4</t>
  </si>
  <si>
    <t>75-25-2</t>
  </si>
  <si>
    <t>Dibromochloromethane</t>
  </si>
  <si>
    <t>124-48-1</t>
  </si>
  <si>
    <t>Chromium VI (particulates)</t>
  </si>
  <si>
    <t>Hexachlorobutadiene</t>
  </si>
  <si>
    <t>Chromium VI</t>
  </si>
  <si>
    <t>18540-29-9</t>
  </si>
  <si>
    <t>22967-92-6</t>
  </si>
  <si>
    <t>Mercury (inorganic)</t>
  </si>
  <si>
    <t>7439-97-6</t>
  </si>
  <si>
    <t>Yes</t>
  </si>
  <si>
    <t>Beryllium</t>
  </si>
  <si>
    <t>7440-41-7</t>
  </si>
  <si>
    <t>93-65-2</t>
  </si>
  <si>
    <t>83-32-9</t>
  </si>
  <si>
    <t>120-12-7</t>
  </si>
  <si>
    <t>88-06-2</t>
  </si>
  <si>
    <t>Chromium III</t>
  </si>
  <si>
    <t>16065-83-1</t>
  </si>
  <si>
    <t>71-55-6</t>
  </si>
  <si>
    <t>79-00-5</t>
  </si>
  <si>
    <t>Trichloroethylene (TCE)</t>
  </si>
  <si>
    <t>79-01-6</t>
  </si>
  <si>
    <t>Furfural</t>
  </si>
  <si>
    <t>98-01-1</t>
  </si>
  <si>
    <t>99-65-0</t>
  </si>
  <si>
    <t>121-14-2</t>
  </si>
  <si>
    <t>118-96-7</t>
  </si>
  <si>
    <t>Cyanide</t>
  </si>
  <si>
    <t>57-12-5</t>
  </si>
  <si>
    <t>87-68-3</t>
  </si>
  <si>
    <t>Fluorine (soluble fluoride)</t>
  </si>
  <si>
    <t>7782-41-4</t>
  </si>
  <si>
    <t>50-32-8</t>
  </si>
  <si>
    <t>127-18-4</t>
  </si>
  <si>
    <t>Toluene</t>
  </si>
  <si>
    <t>108-88-3</t>
  </si>
  <si>
    <t>120-82-1</t>
  </si>
  <si>
    <t>1746-01-6</t>
  </si>
  <si>
    <t>Iron</t>
  </si>
  <si>
    <t>7439-89-6</t>
  </si>
  <si>
    <t>Lead</t>
  </si>
  <si>
    <t>7439-92-1</t>
  </si>
  <si>
    <t>Lithium</t>
  </si>
  <si>
    <t>7439-93-2</t>
  </si>
  <si>
    <t>Manganese</t>
  </si>
  <si>
    <t>7439-96-5</t>
  </si>
  <si>
    <t>156-59-2</t>
  </si>
  <si>
    <t>various</t>
  </si>
  <si>
    <t>Xylenes (mixed)</t>
  </si>
  <si>
    <t>Toxaphene</t>
  </si>
  <si>
    <t>8001-35-2</t>
  </si>
  <si>
    <t>319-84-6</t>
  </si>
  <si>
    <t>319-85-7</t>
  </si>
  <si>
    <t>58-89-9</t>
  </si>
  <si>
    <t>86-73-7</t>
  </si>
  <si>
    <t>Hexachlorocyclohexane, technical grade</t>
  </si>
  <si>
    <t>78-87-5</t>
  </si>
  <si>
    <t>Ethyl benzene</t>
  </si>
  <si>
    <t>100-41-4</t>
  </si>
  <si>
    <t>106-93-4</t>
  </si>
  <si>
    <t>Trichlorofluoromethane</t>
  </si>
  <si>
    <t>75-69-4</t>
  </si>
  <si>
    <t>2691-41-0</t>
  </si>
  <si>
    <t>121-82-4</t>
  </si>
  <si>
    <t>99-35-4</t>
  </si>
  <si>
    <t>74-87-3</t>
  </si>
  <si>
    <t>95-49-8</t>
  </si>
  <si>
    <t>Endosulfan</t>
  </si>
  <si>
    <t>115-29-7</t>
  </si>
  <si>
    <t>Endrin</t>
  </si>
  <si>
    <t>72-20-8</t>
  </si>
  <si>
    <t>108-39-4</t>
  </si>
  <si>
    <t>106-44-5</t>
  </si>
  <si>
    <t>100-02-7</t>
  </si>
  <si>
    <t>N-Nitrosodiphenylamine</t>
  </si>
  <si>
    <t>86-30-6</t>
  </si>
  <si>
    <t>N-Nitroso-di-n-propylamine</t>
  </si>
  <si>
    <t>sec-Butylbenzene</t>
  </si>
  <si>
    <t>135-98-8</t>
  </si>
  <si>
    <t>tert-Butylbenzene</t>
  </si>
  <si>
    <t>98-06-6</t>
  </si>
  <si>
    <t>Carbon Disulfide</t>
  </si>
  <si>
    <t>75-15-0</t>
  </si>
  <si>
    <t>Carbon Tetrachloride</t>
  </si>
  <si>
    <t>56-23-5</t>
  </si>
  <si>
    <t>156-60-5</t>
  </si>
  <si>
    <t>540-59-0</t>
  </si>
  <si>
    <t>Chloroform (trichloromethane)</t>
  </si>
  <si>
    <t>67-66-3</t>
  </si>
  <si>
    <t>84-74-2</t>
  </si>
  <si>
    <t>95-50-1</t>
  </si>
  <si>
    <t>Naphthalene</t>
  </si>
  <si>
    <t>Methyl mercury</t>
  </si>
  <si>
    <t>75-34-3</t>
  </si>
  <si>
    <t>107-06-2</t>
  </si>
  <si>
    <t>75-35-4</t>
  </si>
  <si>
    <t>123-91-1</t>
  </si>
  <si>
    <t>Formaldehyde</t>
  </si>
  <si>
    <t>50-00-0</t>
  </si>
  <si>
    <t>Furan</t>
  </si>
  <si>
    <t>110-00-9</t>
  </si>
  <si>
    <t>Cobalt</t>
  </si>
  <si>
    <t>7440-48-4</t>
  </si>
  <si>
    <t>Copper</t>
  </si>
  <si>
    <t>7440-50-8</t>
  </si>
  <si>
    <t>Copper cyanide</t>
  </si>
  <si>
    <t>544-92-3</t>
  </si>
  <si>
    <t>105-67-9</t>
  </si>
  <si>
    <t>76-13-1</t>
  </si>
  <si>
    <t>74-95-3</t>
  </si>
  <si>
    <t>Pyrene</t>
  </si>
  <si>
    <t>Quinoline</t>
  </si>
  <si>
    <t>Fluorene</t>
  </si>
  <si>
    <t>Fluoranthene</t>
  </si>
  <si>
    <t>Anthracene</t>
  </si>
  <si>
    <t>Acenaphthene</t>
  </si>
  <si>
    <t>79-34-5</t>
  </si>
  <si>
    <t>Selenium</t>
  </si>
  <si>
    <t>7782-49-2</t>
  </si>
  <si>
    <t>Silver</t>
  </si>
  <si>
    <t>7440-22-4</t>
  </si>
  <si>
    <t>Strontium</t>
  </si>
  <si>
    <t>7440-24-6</t>
  </si>
  <si>
    <t>Thallium</t>
  </si>
  <si>
    <t>Carbazole</t>
  </si>
  <si>
    <t>86-74-8</t>
  </si>
  <si>
    <t>Chloramben</t>
  </si>
  <si>
    <t>133-90-4</t>
  </si>
  <si>
    <t>Acetone</t>
  </si>
  <si>
    <t>67-64-1</t>
  </si>
  <si>
    <t>EPA Dermal Guidance (2004). Default for organics</t>
  </si>
  <si>
    <t>541-73-1</t>
  </si>
  <si>
    <t>106-46-7</t>
  </si>
  <si>
    <t>91-94-1</t>
  </si>
  <si>
    <t>120-83-2</t>
  </si>
  <si>
    <t>74-83-9</t>
  </si>
  <si>
    <t>1330-20-7</t>
  </si>
  <si>
    <t>CAS No.</t>
  </si>
  <si>
    <t>Benzoic acid</t>
  </si>
  <si>
    <t>65-85-0</t>
  </si>
  <si>
    <t>Benzyl alcohol</t>
  </si>
  <si>
    <t>608-73-1</t>
  </si>
  <si>
    <t>95-63-6</t>
  </si>
  <si>
    <t>108-67-8</t>
  </si>
  <si>
    <t>Vinyl chloride</t>
  </si>
  <si>
    <t>75-01-4</t>
  </si>
  <si>
    <t>Arsenic</t>
  </si>
  <si>
    <t>7440-38-2</t>
  </si>
  <si>
    <t>Barium</t>
  </si>
  <si>
    <t>7440-39-3</t>
  </si>
  <si>
    <t>Diphenylamine</t>
  </si>
  <si>
    <t>122-39-4</t>
  </si>
  <si>
    <t>Di - n - octyl phthalate</t>
  </si>
  <si>
    <t>117-84-0</t>
  </si>
  <si>
    <t>117-81-7</t>
  </si>
  <si>
    <t>Methanol</t>
  </si>
  <si>
    <t>67-56-1</t>
  </si>
  <si>
    <t>95-48-7</t>
  </si>
  <si>
    <t>78-93-3</t>
  </si>
  <si>
    <t>Benzene</t>
  </si>
  <si>
    <t>71-43-2</t>
  </si>
  <si>
    <t>Bromodichloromethane</t>
  </si>
  <si>
    <t>75-27-4</t>
  </si>
  <si>
    <t>606-20-2</t>
  </si>
  <si>
    <t>91-22-5</t>
  </si>
  <si>
    <t>PCBs (Polychlorinated Biphenyls)</t>
  </si>
  <si>
    <t>1336-36-3</t>
  </si>
  <si>
    <t>375-22-4</t>
  </si>
  <si>
    <t>Isophorone</t>
  </si>
  <si>
    <t>78-59-1</t>
  </si>
  <si>
    <t>129-00-0</t>
  </si>
  <si>
    <t>87-86-5</t>
  </si>
  <si>
    <t>Phenol</t>
  </si>
  <si>
    <t>108-95-2</t>
  </si>
  <si>
    <t>Notes</t>
  </si>
  <si>
    <t>375-73-5</t>
  </si>
  <si>
    <t>7440-62-2</t>
  </si>
  <si>
    <t xml:space="preserve">SRVs for Lead are based in the IEUBK model for residential, and the ALM for industrial.  MPCA has chose to be slightly more strict than current EPA values. </t>
  </si>
  <si>
    <t>Exposure Parameter</t>
  </si>
  <si>
    <t>Value</t>
  </si>
  <si>
    <t>Units</t>
  </si>
  <si>
    <t>Reference</t>
  </si>
  <si>
    <t>none</t>
  </si>
  <si>
    <t>AT-Averaging Time</t>
  </si>
  <si>
    <t>days</t>
  </si>
  <si>
    <t>CSF-Cancer Slope Factor</t>
  </si>
  <si>
    <t>(mg/kg-day)-1</t>
  </si>
  <si>
    <t>Refer to "Chemical Info" worksheet</t>
  </si>
  <si>
    <t>CF-Conversion Factor</t>
  </si>
  <si>
    <t>ED-Exposure Duration</t>
  </si>
  <si>
    <t>years</t>
  </si>
  <si>
    <t>HQ-Hazard Quotient</t>
  </si>
  <si>
    <t>IR-Ingestion Rate</t>
  </si>
  <si>
    <t>mg/day</t>
  </si>
  <si>
    <t>BW-Body Weight</t>
  </si>
  <si>
    <t>kg</t>
  </si>
  <si>
    <t>days/year</t>
  </si>
  <si>
    <t>RfD-Reference Dose</t>
  </si>
  <si>
    <t>mg/kg-day</t>
  </si>
  <si>
    <t>SA-Surface Area</t>
  </si>
  <si>
    <r>
      <t>cm</t>
    </r>
    <r>
      <rPr>
        <vertAlign val="superscript"/>
        <sz val="10"/>
        <rFont val="Arial"/>
        <family val="2"/>
      </rPr>
      <t>2</t>
    </r>
  </si>
  <si>
    <r>
      <t>mg/cm</t>
    </r>
    <r>
      <rPr>
        <vertAlign val="superscript"/>
        <sz val="10"/>
        <rFont val="Arial"/>
        <family val="2"/>
      </rPr>
      <t>2</t>
    </r>
  </si>
  <si>
    <t>EPA 2002</t>
  </si>
  <si>
    <t>ED * 365 days/year</t>
  </si>
  <si>
    <t>1/6 yr VF-Volatilization Factor</t>
  </si>
  <si>
    <r>
      <t>m</t>
    </r>
    <r>
      <rPr>
        <vertAlign val="superscript"/>
        <sz val="10"/>
        <rFont val="Arial"/>
        <family val="2"/>
      </rPr>
      <t>3</t>
    </r>
    <r>
      <rPr>
        <sz val="10"/>
        <rFont val="Arial"/>
        <family val="2"/>
      </rPr>
      <t>/kg</t>
    </r>
  </si>
  <si>
    <t>MPCA Cancer Risk</t>
  </si>
  <si>
    <t>70 * 365 days/year</t>
  </si>
  <si>
    <t>CR-Cancer Risk</t>
  </si>
  <si>
    <t>IUR-Inhalation Unit Risk</t>
  </si>
  <si>
    <t>Q/C-Inverse of mean concentration*</t>
  </si>
  <si>
    <t>*Inverse of mean concentration at the center of a 0.5 acre square source</t>
  </si>
  <si>
    <r>
      <t>g/m</t>
    </r>
    <r>
      <rPr>
        <vertAlign val="superscript"/>
        <sz val="10"/>
        <rFont val="Arial"/>
        <family val="2"/>
      </rPr>
      <t>2</t>
    </r>
    <r>
      <rPr>
        <sz val="10"/>
        <rFont val="Arial"/>
        <family val="2"/>
      </rPr>
      <t>-s / kg/m</t>
    </r>
    <r>
      <rPr>
        <vertAlign val="superscript"/>
        <sz val="10"/>
        <rFont val="Arial"/>
        <family val="2"/>
      </rPr>
      <t>3</t>
    </r>
  </si>
  <si>
    <t xml:space="preserve">Da-Apparent Diffusitivity </t>
  </si>
  <si>
    <r>
      <t>cm</t>
    </r>
    <r>
      <rPr>
        <vertAlign val="superscript"/>
        <sz val="10"/>
        <rFont val="Arial"/>
        <family val="2"/>
      </rPr>
      <t>2</t>
    </r>
    <r>
      <rPr>
        <sz val="10"/>
        <rFont val="Arial"/>
        <family val="2"/>
      </rPr>
      <t>/s</t>
    </r>
  </si>
  <si>
    <t>EPA 2002, refer to equation below</t>
  </si>
  <si>
    <t>s</t>
  </si>
  <si>
    <t>T-Time of Exposure Interval</t>
  </si>
  <si>
    <t>pb-Dry Soil Bulk Density</t>
  </si>
  <si>
    <r>
      <t>g/cm</t>
    </r>
    <r>
      <rPr>
        <vertAlign val="superscript"/>
        <sz val="10"/>
        <rFont val="Arial"/>
        <family val="2"/>
      </rPr>
      <t>3</t>
    </r>
  </si>
  <si>
    <t>m</t>
  </si>
  <si>
    <t>g/cm3</t>
  </si>
  <si>
    <t>Oa-Air Filled Soil Porosity</t>
  </si>
  <si>
    <t>EPA 2002, n-Ow, 0.43-0.15</t>
  </si>
  <si>
    <t>Di-Diffusivity in Air</t>
  </si>
  <si>
    <t>Refer to "Chemical Info" worksheet, multiply by 41</t>
  </si>
  <si>
    <t>H'-Henry's Law Dimensionless Constant</t>
  </si>
  <si>
    <t>Ow-Water Filled Soil Porosity</t>
  </si>
  <si>
    <r>
      <t>L</t>
    </r>
    <r>
      <rPr>
        <vertAlign val="subscript"/>
        <sz val="10"/>
        <rFont val="Arial"/>
        <family val="2"/>
      </rPr>
      <t>air</t>
    </r>
    <r>
      <rPr>
        <sz val="10"/>
        <rFont val="Arial"/>
        <family val="2"/>
      </rPr>
      <t>/L</t>
    </r>
    <r>
      <rPr>
        <vertAlign val="subscript"/>
        <sz val="10"/>
        <rFont val="Arial"/>
        <family val="2"/>
      </rPr>
      <t>soil</t>
    </r>
  </si>
  <si>
    <r>
      <t>L</t>
    </r>
    <r>
      <rPr>
        <vertAlign val="subscript"/>
        <sz val="10"/>
        <rFont val="Arial"/>
        <family val="2"/>
      </rPr>
      <t>water</t>
    </r>
    <r>
      <rPr>
        <sz val="10"/>
        <rFont val="Arial"/>
        <family val="2"/>
      </rPr>
      <t>/L</t>
    </r>
    <r>
      <rPr>
        <vertAlign val="subscript"/>
        <sz val="10"/>
        <rFont val="Arial"/>
        <family val="2"/>
      </rPr>
      <t>soil</t>
    </r>
  </si>
  <si>
    <t>Dw-Diffusivity in Water</t>
  </si>
  <si>
    <t>n-Total Soil Porosity</t>
  </si>
  <si>
    <r>
      <t>L</t>
    </r>
    <r>
      <rPr>
        <vertAlign val="subscript"/>
        <sz val="10"/>
        <rFont val="Arial"/>
        <family val="2"/>
      </rPr>
      <t>pore</t>
    </r>
    <r>
      <rPr>
        <sz val="10"/>
        <rFont val="Arial"/>
        <family val="2"/>
      </rPr>
      <t>/L</t>
    </r>
    <r>
      <rPr>
        <vertAlign val="subscript"/>
        <sz val="10"/>
        <rFont val="Arial"/>
        <family val="2"/>
      </rPr>
      <t>soil</t>
    </r>
  </si>
  <si>
    <t>Kd-Soil Water Partition Coefficient</t>
  </si>
  <si>
    <r>
      <t>cm</t>
    </r>
    <r>
      <rPr>
        <vertAlign val="superscript"/>
        <sz val="10"/>
        <rFont val="Arial"/>
        <family val="2"/>
      </rPr>
      <t>3</t>
    </r>
    <r>
      <rPr>
        <sz val="10"/>
        <rFont val="Arial"/>
        <family val="2"/>
      </rPr>
      <t>/g</t>
    </r>
  </si>
  <si>
    <t>Refer to "Chemical Info" worksheet, Koc * foc</t>
  </si>
  <si>
    <t>EPA 2002, 1-(pb/ps), 1-(1.5/2.65)</t>
  </si>
  <si>
    <t>ps-Soil Particle Density</t>
  </si>
  <si>
    <t>Koc-Soil Organic Carbon Partition Coefficient</t>
  </si>
  <si>
    <t>foc-Fraction of Organic Carbon in soil</t>
  </si>
  <si>
    <t>V-Fraction of Vegetative Cover</t>
  </si>
  <si>
    <t>Um-Mean Annual Windspeed</t>
  </si>
  <si>
    <t>m/s</t>
  </si>
  <si>
    <t>Ut-Equivalent Threshold Value*</t>
  </si>
  <si>
    <t>F(x)-Function Dependent on Um/Ut**</t>
  </si>
  <si>
    <t>**Derived using Cowhert et al. 1985</t>
  </si>
  <si>
    <t>S-Solubility in Water</t>
  </si>
  <si>
    <t>mg/L-water</t>
  </si>
  <si>
    <t>kg/L</t>
  </si>
  <si>
    <t>L/kg</t>
  </si>
  <si>
    <t>EPA 2002.  Supplemental Guidance for Developing Soil Screening Levels for Superfund Sites.</t>
  </si>
  <si>
    <r>
      <t xml:space="preserve">Bromoform </t>
    </r>
    <r>
      <rPr>
        <i/>
        <sz val="8"/>
        <rFont val="Arial"/>
        <family val="2"/>
      </rPr>
      <t>(tribromomethane</t>
    </r>
    <r>
      <rPr>
        <sz val="8"/>
        <rFont val="Arial"/>
        <family val="2"/>
      </rPr>
      <t>)</t>
    </r>
  </si>
  <si>
    <r>
      <t xml:space="preserve">Bromomethane </t>
    </r>
    <r>
      <rPr>
        <i/>
        <sz val="8"/>
        <rFont val="Arial"/>
        <family val="2"/>
      </rPr>
      <t>(methyl bromide)</t>
    </r>
  </si>
  <si>
    <r>
      <t xml:space="preserve">Chloroethane </t>
    </r>
    <r>
      <rPr>
        <i/>
        <sz val="8"/>
        <rFont val="Arial"/>
        <family val="2"/>
      </rPr>
      <t>(ethyl chloride)</t>
    </r>
  </si>
  <si>
    <r>
      <t xml:space="preserve">Chloromethane </t>
    </r>
    <r>
      <rPr>
        <i/>
        <sz val="8"/>
        <rFont val="Arial"/>
        <family val="2"/>
      </rPr>
      <t>(methyl chloride)</t>
    </r>
  </si>
  <si>
    <r>
      <t xml:space="preserve">Dibromomethane </t>
    </r>
    <r>
      <rPr>
        <i/>
        <sz val="8"/>
        <rFont val="Arial"/>
        <family val="2"/>
      </rPr>
      <t>(methylene bromide)</t>
    </r>
  </si>
  <si>
    <r>
      <t xml:space="preserve">Dichlorodifluoromethane </t>
    </r>
    <r>
      <rPr>
        <i/>
        <sz val="8"/>
        <rFont val="Arial"/>
        <family val="2"/>
      </rPr>
      <t>(Freon 12)</t>
    </r>
  </si>
  <si>
    <r>
      <t xml:space="preserve">Dichloromethane </t>
    </r>
    <r>
      <rPr>
        <i/>
        <sz val="8"/>
        <rFont val="Arial"/>
        <family val="2"/>
      </rPr>
      <t>(methylene chloride)</t>
    </r>
  </si>
  <si>
    <r>
      <t xml:space="preserve">Methyl ethyl ketone </t>
    </r>
    <r>
      <rPr>
        <i/>
        <sz val="8"/>
        <rFont val="Arial"/>
        <family val="2"/>
      </rPr>
      <t>(2-butanone)</t>
    </r>
  </si>
  <si>
    <r>
      <t>Diffusivity
Air
cm</t>
    </r>
    <r>
      <rPr>
        <b/>
        <vertAlign val="superscript"/>
        <sz val="8"/>
        <rFont val="Arial"/>
        <family val="2"/>
      </rPr>
      <t>2</t>
    </r>
    <r>
      <rPr>
        <b/>
        <sz val="8"/>
        <rFont val="Arial"/>
        <family val="2"/>
      </rPr>
      <t>/s</t>
    </r>
  </si>
  <si>
    <r>
      <t>Diffusivity 
Water
cm</t>
    </r>
    <r>
      <rPr>
        <b/>
        <vertAlign val="superscript"/>
        <sz val="8"/>
        <rFont val="Arial"/>
        <family val="2"/>
      </rPr>
      <t>2</t>
    </r>
    <r>
      <rPr>
        <b/>
        <sz val="8"/>
        <rFont val="Arial"/>
        <family val="2"/>
      </rPr>
      <t>/s</t>
    </r>
  </si>
  <si>
    <t>Solubility
mg/L</t>
  </si>
  <si>
    <t xml:space="preserve">Relative Bioavailability </t>
  </si>
  <si>
    <t xml:space="preserve">Dermal Absorption </t>
  </si>
  <si>
    <t xml:space="preserve">Gastrointestinal Absorption </t>
  </si>
  <si>
    <t>Age
years</t>
  </si>
  <si>
    <t>Cancer</t>
  </si>
  <si>
    <t>Noncancer</t>
  </si>
  <si>
    <t>Parameters</t>
  </si>
  <si>
    <t>Basis</t>
  </si>
  <si>
    <t>FINAL
SRV
2 Significant Figures
(mg/kg)</t>
  </si>
  <si>
    <t>Noncancer Acute
SRV
(mg/kg)</t>
  </si>
  <si>
    <t>Soil Saturation Limit 
Csat
(mg/kg)</t>
  </si>
  <si>
    <t>Final
Cancer
Mass Limit
SRV
(mg/kg)</t>
  </si>
  <si>
    <t>Final
Cancer
Standard 
SRV
(mg/kg)</t>
  </si>
  <si>
    <r>
      <t>Apparent Diffusivity
Da
(cm</t>
    </r>
    <r>
      <rPr>
        <b/>
        <vertAlign val="superscript"/>
        <sz val="8"/>
        <rFont val="Arial"/>
        <family val="2"/>
      </rPr>
      <t>2</t>
    </r>
    <r>
      <rPr>
        <b/>
        <sz val="8"/>
        <rFont val="Arial"/>
        <family val="2"/>
      </rPr>
      <t>/s)</t>
    </r>
  </si>
  <si>
    <t>Cv/Bld</t>
  </si>
  <si>
    <t>Imm</t>
  </si>
  <si>
    <t>Kid</t>
  </si>
  <si>
    <t>Liv/Gi</t>
  </si>
  <si>
    <t>Res</t>
  </si>
  <si>
    <t>Ske</t>
  </si>
  <si>
    <t>Ski</t>
  </si>
  <si>
    <t>Thy</t>
  </si>
  <si>
    <t>X</t>
  </si>
  <si>
    <t>Noncancer Target Endpoints</t>
  </si>
  <si>
    <t>Cns/Pns</t>
  </si>
  <si>
    <t>Cv/Bld - Cardiovascular/Blood system</t>
  </si>
  <si>
    <t>Imm - Immune system</t>
  </si>
  <si>
    <t>Kid - Kidney</t>
  </si>
  <si>
    <t>Liv/Gi - Liver, Gastrointestinal system</t>
  </si>
  <si>
    <t>Res - Respiratory system</t>
  </si>
  <si>
    <t>Ske - Skeletal system</t>
  </si>
  <si>
    <t>Ski - Skin</t>
  </si>
  <si>
    <t>Thy - Thyroid</t>
  </si>
  <si>
    <t xml:space="preserve">EPA 2002 </t>
  </si>
  <si>
    <t>Inorganics</t>
  </si>
  <si>
    <t>Volatile Organics</t>
  </si>
  <si>
    <t xml:space="preserve">2-Chlorotoluene </t>
  </si>
  <si>
    <t>1,2-Dibromoethane (ethylene dibromide)</t>
  </si>
  <si>
    <t xml:space="preserve">1,1-Dichloroethane </t>
  </si>
  <si>
    <t xml:space="preserve">1,2-Dichloroethane </t>
  </si>
  <si>
    <t>1,1-Dichloroethylene</t>
  </si>
  <si>
    <t xml:space="preserve">cis-1,2-Dichloroethylene </t>
  </si>
  <si>
    <t xml:space="preserve">trans-1,2-Dichloroethylene </t>
  </si>
  <si>
    <t xml:space="preserve">1,2-Dichloroethylene (mixed isomers) </t>
  </si>
  <si>
    <t>1,2-Dichloropropane</t>
  </si>
  <si>
    <t xml:space="preserve">1,1,1,2-Tetrachloroethane </t>
  </si>
  <si>
    <t xml:space="preserve">1,1,2,2-Tetrachloroethane </t>
  </si>
  <si>
    <t xml:space="preserve">1,2,4-Trichlorobenzene </t>
  </si>
  <si>
    <t>1,1,1-Trichloroethane</t>
  </si>
  <si>
    <t>1,1,2-Trichloroethane</t>
  </si>
  <si>
    <t>Non and Semi Volatile Organics</t>
  </si>
  <si>
    <t xml:space="preserve">1,2,4-Trimethylbenzene </t>
  </si>
  <si>
    <t xml:space="preserve">1,3,5-Trimethylbenzene </t>
  </si>
  <si>
    <t>1,2-Dichlorobenzene</t>
  </si>
  <si>
    <t>1,3-Dichlorobenzene</t>
  </si>
  <si>
    <t xml:space="preserve">2,4-Dimethylphenol </t>
  </si>
  <si>
    <t xml:space="preserve">1,4-Dioxane </t>
  </si>
  <si>
    <t xml:space="preserve">2-Methylphenol (o-cresol) </t>
  </si>
  <si>
    <t xml:space="preserve">3-Methylphenol (m-cresol) </t>
  </si>
  <si>
    <t xml:space="preserve">4-Methylphenol (p-cresol) </t>
  </si>
  <si>
    <t>Polychlorinated Biphenyls</t>
  </si>
  <si>
    <t xml:space="preserve">4,4-DDE </t>
  </si>
  <si>
    <t>beta-Hexachlorocyclohexane (beta-BHC or beta-HCH)</t>
  </si>
  <si>
    <t>gamma-Hexachlorocyclohexane (gamma-BHC, Lindane)</t>
  </si>
  <si>
    <t>2-(2-Methyl-4-chlorophenoxy)propionic acid (MCPP)</t>
  </si>
  <si>
    <t>Dioxins and Furans</t>
  </si>
  <si>
    <t>Explosives</t>
  </si>
  <si>
    <t>4-Nitrophenol</t>
  </si>
  <si>
    <t xml:space="preserve">n-Butylbenzene </t>
  </si>
  <si>
    <t xml:space="preserve">1,2-Dichloropropane </t>
  </si>
  <si>
    <t>1,1,1,2-Tetrachloroethane</t>
  </si>
  <si>
    <t xml:space="preserve">1,1,1-Trichloroethane </t>
  </si>
  <si>
    <t xml:space="preserve">1,4-Dibromobenzene </t>
  </si>
  <si>
    <t xml:space="preserve">1,2-Dichlorobenzene </t>
  </si>
  <si>
    <t xml:space="preserve">1,3-Dichlorobenzene </t>
  </si>
  <si>
    <t xml:space="preserve">1,4-Dichlorobenzene </t>
  </si>
  <si>
    <t xml:space="preserve">3,3-Dichlorobenzidine </t>
  </si>
  <si>
    <t xml:space="preserve">2,4-Dichlorophenol </t>
  </si>
  <si>
    <t>2,4-Dimethylphenol</t>
  </si>
  <si>
    <t xml:space="preserve">2,3,4,6-Tetrachlorophenol </t>
  </si>
  <si>
    <t xml:space="preserve">4,4-DDT </t>
  </si>
  <si>
    <t>2-(2-Methyl-4-chlorophenoxy)propionic acid (2-(2-) (MCPP)</t>
  </si>
  <si>
    <t>1,3-Dinitrobenzene (1,3-DNB )</t>
  </si>
  <si>
    <t>Dinitrotoluene Mixture 
(2,4- and 2,6-DNT)</t>
  </si>
  <si>
    <t>Cyclotrimethylenetrinitramine (RDX)</t>
  </si>
  <si>
    <t>1,3,5-Trinitrobenzene (1,3,5-TNB)</t>
  </si>
  <si>
    <t>2,4,6-Trinitrotoluene (2,4,6-TNT)</t>
  </si>
  <si>
    <t xml:space="preserve">1,1-Dichloroethylene </t>
  </si>
  <si>
    <t xml:space="preserve">1,1,2-Trichloroethane </t>
  </si>
  <si>
    <t xml:space="preserve">4-Nitrophenol </t>
  </si>
  <si>
    <t xml:space="preserve">2,4,5-Trichlorophenol </t>
  </si>
  <si>
    <t xml:space="preserve">2,4,6-Trichlorophenol </t>
  </si>
  <si>
    <t>Bis (2-chloroethyl) ether</t>
  </si>
  <si>
    <t>1 - Ingestion pathway is evaluated differently for VOCs and non VOCs.  An exposure frequency of 250 days per year is used for VOCs and 350 days per year for non VOCs.</t>
  </si>
  <si>
    <t>2 - Dermal pathway is not included for VOCs.</t>
  </si>
  <si>
    <t>Chloromethane (methyl chloride)</t>
  </si>
  <si>
    <t>Cyclotrimethylenetrinitramine (RDX) (Hexahydro‐1,3,5‐trinitro‐1,3,5‐triazine)</t>
  </si>
  <si>
    <t xml:space="preserve">12789-03-6 </t>
  </si>
  <si>
    <t>25321-14-6</t>
  </si>
  <si>
    <t>N-Nitrosodi-n-propylamine</t>
  </si>
  <si>
    <r>
      <t>Naphthalene</t>
    </r>
    <r>
      <rPr>
        <vertAlign val="superscript"/>
        <sz val="8"/>
        <rFont val="Arial"/>
        <family val="2"/>
      </rPr>
      <t xml:space="preserve"> 4</t>
    </r>
  </si>
  <si>
    <r>
      <rPr>
        <u/>
        <sz val="8"/>
        <rFont val="Arial"/>
        <family val="2"/>
      </rPr>
      <t>1,4-Dichlorobenzene</t>
    </r>
    <r>
      <rPr>
        <vertAlign val="superscript"/>
        <sz val="8"/>
        <rFont val="Arial"/>
        <family val="2"/>
      </rPr>
      <t xml:space="preserve"> 4</t>
    </r>
  </si>
  <si>
    <r>
      <rPr>
        <u/>
        <sz val="8"/>
        <rFont val="Arial"/>
        <family val="2"/>
      </rPr>
      <t>Acenaphthene</t>
    </r>
    <r>
      <rPr>
        <sz val="8"/>
        <rFont val="Arial"/>
        <family val="2"/>
      </rPr>
      <t xml:space="preserve"> </t>
    </r>
    <r>
      <rPr>
        <vertAlign val="superscript"/>
        <sz val="8"/>
        <rFont val="Arial"/>
        <family val="2"/>
      </rPr>
      <t>4</t>
    </r>
  </si>
  <si>
    <r>
      <rPr>
        <u/>
        <sz val="8"/>
        <rFont val="Arial"/>
        <family val="2"/>
      </rPr>
      <t>Anthracene</t>
    </r>
    <r>
      <rPr>
        <sz val="8"/>
        <rFont val="Arial"/>
        <family val="2"/>
      </rPr>
      <t xml:space="preserve"> </t>
    </r>
    <r>
      <rPr>
        <vertAlign val="superscript"/>
        <sz val="8"/>
        <rFont val="Arial"/>
        <family val="2"/>
      </rPr>
      <t>4</t>
    </r>
  </si>
  <si>
    <r>
      <rPr>
        <u/>
        <sz val="8"/>
        <rFont val="Arial"/>
        <family val="2"/>
      </rPr>
      <t>Fluorene</t>
    </r>
    <r>
      <rPr>
        <sz val="8"/>
        <rFont val="Arial"/>
        <family val="2"/>
      </rPr>
      <t xml:space="preserve"> </t>
    </r>
    <r>
      <rPr>
        <vertAlign val="superscript"/>
        <sz val="8"/>
        <rFont val="Arial"/>
        <family val="2"/>
      </rPr>
      <t>4</t>
    </r>
  </si>
  <si>
    <t>100-51-6</t>
  </si>
  <si>
    <r>
      <t xml:space="preserve">Cancer 
Ingestion
Pathway </t>
    </r>
    <r>
      <rPr>
        <b/>
        <vertAlign val="superscript"/>
        <sz val="8"/>
        <rFont val="Arial"/>
        <family val="2"/>
      </rPr>
      <t>1</t>
    </r>
  </si>
  <si>
    <r>
      <t xml:space="preserve">Cancer 
Dermal
Pathway </t>
    </r>
    <r>
      <rPr>
        <b/>
        <vertAlign val="superscript"/>
        <sz val="8"/>
        <rFont val="Arial"/>
        <family val="2"/>
      </rPr>
      <t>2</t>
    </r>
  </si>
  <si>
    <r>
      <t xml:space="preserve">Standard VF
Cancer 
Inhalation
Pathway </t>
    </r>
    <r>
      <rPr>
        <b/>
        <vertAlign val="superscript"/>
        <sz val="8"/>
        <rFont val="Arial"/>
        <family val="2"/>
      </rPr>
      <t>3</t>
    </r>
  </si>
  <si>
    <r>
      <t xml:space="preserve">Mass Limit VF
Cancer 
Inhalation
Pathway </t>
    </r>
    <r>
      <rPr>
        <b/>
        <vertAlign val="superscript"/>
        <sz val="8"/>
        <rFont val="Arial"/>
        <family val="2"/>
      </rPr>
      <t>3</t>
    </r>
  </si>
  <si>
    <t>Final  
Cancer
SRV
(mg/kg)</t>
  </si>
  <si>
    <t>*Ut-Equivalent threshold value of windspeed at 7 m</t>
  </si>
  <si>
    <t>Cns/Pns - Central nervous system/Peripheral nervous system</t>
  </si>
  <si>
    <t>n-Propylbenzene</t>
  </si>
  <si>
    <t>103-65-1</t>
  </si>
  <si>
    <r>
      <t xml:space="preserve"> 
Cancer 
Oral
Slope Factor
(mg/kg-day)</t>
    </r>
    <r>
      <rPr>
        <b/>
        <vertAlign val="superscript"/>
        <sz val="8"/>
        <rFont val="Arial"/>
        <family val="2"/>
      </rPr>
      <t>-1</t>
    </r>
  </si>
  <si>
    <t>Basis of Cancer Oral Slope Factor</t>
  </si>
  <si>
    <t xml:space="preserve">Basis of Cancer Inhalation Unit Risk </t>
  </si>
  <si>
    <t>Cancer Toxicity Values</t>
  </si>
  <si>
    <t>Noncancer Chronic Toxicity Values</t>
  </si>
  <si>
    <t>Chemical Specific Parameters</t>
  </si>
  <si>
    <t xml:space="preserve">RBA </t>
  </si>
  <si>
    <r>
      <t>ABS</t>
    </r>
    <r>
      <rPr>
        <b/>
        <vertAlign val="subscript"/>
        <sz val="8"/>
        <rFont val="Arial"/>
        <family val="2"/>
      </rPr>
      <t>d</t>
    </r>
  </si>
  <si>
    <r>
      <t>ABS</t>
    </r>
    <r>
      <rPr>
        <b/>
        <vertAlign val="subscript"/>
        <sz val="8"/>
        <rFont val="Arial"/>
        <family val="2"/>
      </rPr>
      <t>GI</t>
    </r>
  </si>
  <si>
    <t>Cancer
Classification</t>
  </si>
  <si>
    <t>2-Chlorotoluene (o-Chlorotoluene)</t>
  </si>
  <si>
    <t xml:space="preserve">Lead SRVs are calculated using EPA's Integrated Exposure Uptake Biokinetic Model for Lead in Children (IEUBK) and the Adult Lead Model (ALM).  </t>
  </si>
  <si>
    <t>WATER9</t>
  </si>
  <si>
    <t>No Value WATER9</t>
  </si>
  <si>
    <t>EPA 2004, Exhibit 3-4</t>
  </si>
  <si>
    <t>EPA 2004, Exhibit 3-4, PAH default</t>
  </si>
  <si>
    <t>EPA 2004, Exhibit 3-4, PCB default</t>
  </si>
  <si>
    <t>EPA 2004, Section 3.2.2.4 - NO default for inorganics</t>
  </si>
  <si>
    <t xml:space="preserve">EPA 2004, Exhibit 3-4, sVOC default </t>
  </si>
  <si>
    <t>EPA 2004, Exhibit 3-4, sVOC default</t>
  </si>
  <si>
    <t xml:space="preserve">EPA 2004, inorganic default </t>
  </si>
  <si>
    <t>EPA 2004, Exhibit 4-1</t>
  </si>
  <si>
    <t xml:space="preserve">EPA 2004, organic default </t>
  </si>
  <si>
    <t>EPA 2004, Exhibit 4-1, PAH default</t>
  </si>
  <si>
    <t>EPA 2004, Exhibit 4-1, PCB default</t>
  </si>
  <si>
    <t>PPRTV</t>
  </si>
  <si>
    <t xml:space="preserve">Inadequate information </t>
  </si>
  <si>
    <t>A
Human 
Carcinogen</t>
  </si>
  <si>
    <t>IRIS</t>
  </si>
  <si>
    <t>D
Not
Classifiable</t>
  </si>
  <si>
    <t>EPA 2002:  EPA's 2002 Supplemental Guidance for Developing Soil Screening Levels for Superfund Sites available at:  http://www.epa.gov/superfund/health/conmedia/soil/pdfs/ssg_main.pdf.</t>
  </si>
  <si>
    <t>EPA 2004:  EPA's 2004 RAGS E, Risk Assessment Guidance for Superfund Volume 1: Human Health Evaluation Manual (Part E:  Supplemental Guidance for Dermal Risk Assessment) available at:  http://www.epa.gov/oswer/riskassessment/ragse/index.htm.</t>
  </si>
  <si>
    <t>B1
Probable Human Carcinogen</t>
  </si>
  <si>
    <t>D
Not Classifiable</t>
  </si>
  <si>
    <t>No Assessed</t>
  </si>
  <si>
    <t xml:space="preserve">Inadequate Information </t>
  </si>
  <si>
    <t>Not Assessed</t>
  </si>
  <si>
    <t>Inadequate Information</t>
  </si>
  <si>
    <t xml:space="preserve">D
Not Classifiable </t>
  </si>
  <si>
    <t>Bis (2-chloroethyl) ether (BCEE)</t>
  </si>
  <si>
    <r>
      <t>SA</t>
    </r>
    <r>
      <rPr>
        <sz val="10"/>
        <rFont val="Arial"/>
        <family val="2"/>
      </rPr>
      <t>-Surface Area</t>
    </r>
  </si>
  <si>
    <t xml:space="preserve">TCDD (2,3,7,8-) (or 2,3,7,8 TCDD equivalents, 2,3,7,8-Tetrachlorodibenzo-p-dioxin) </t>
  </si>
  <si>
    <t xml:space="preserve">TCDD (2,3,7,8-) (2,3,7,8 TCDD equivalents, 2,3,7,8-Tetrachlorodibenzo-p-dioxin) </t>
  </si>
  <si>
    <t>Dibutyl phthalate (Di-n-butyl phthalate)</t>
  </si>
  <si>
    <r>
      <t xml:space="preserve">Di(2-ethylhexyl)phthalate </t>
    </r>
    <r>
      <rPr>
        <i/>
        <sz val="8"/>
        <rFont val="Arial"/>
        <family val="2"/>
      </rPr>
      <t>(bis-2-ethylhexyl phthalate)</t>
    </r>
  </si>
  <si>
    <t>Octogen (HMX) (Octahydro‐1,3,5,7‐tetranitro‐1,3,5,7‐tetra, cyclotetramethylene tetranitramine)</t>
  </si>
  <si>
    <t>Tetrachloroethylene (Perchloroethylene, PCE, PERC)</t>
  </si>
  <si>
    <t>1,1,2-Trichloro -1,2,2 - trifluoroethane (Trichlorofluoroethane, Freon 113)</t>
  </si>
  <si>
    <t>4,4-DDD (Dichlorodiphenyldichloroethane)</t>
  </si>
  <si>
    <t>alpha-Hexachlorocyclohexane (alpha-BHC or alpha-HCH, Hexachlorocyclohexane- Alpha isomer)</t>
  </si>
  <si>
    <t xml:space="preserve">1/30 yr VF-Volatilization Factor </t>
  </si>
  <si>
    <t>4,4-DDD (p,p'-Dichlorodiphenyl dichloroethane)</t>
  </si>
  <si>
    <t>4,4-DDT (p,p'-Dichlorodiphenyltrichloroethane)</t>
  </si>
  <si>
    <t>1,3-Dinitrobenzene (1,3-DNB, m-Dinitrobenzene)</t>
  </si>
  <si>
    <t>Footnotes:</t>
  </si>
  <si>
    <t>Suggestive of Carcinogenic Potential</t>
  </si>
  <si>
    <t>ATSDR</t>
  </si>
  <si>
    <t>EPA PRG 2004 Table:  http://www.epa.gov/region9/superfund/prg/files/04prgtable.pdf</t>
  </si>
  <si>
    <t>C 
Possible 
Human 
Carcinogen</t>
  </si>
  <si>
    <t>Methyl ethyl ketone (MEK, 2-Butanone)</t>
  </si>
  <si>
    <t>Bromomethane (methyl bromide)</t>
  </si>
  <si>
    <t>Chloroethane (ethyl chloride)</t>
  </si>
  <si>
    <t>Dibromomethane (methylene bromide)</t>
  </si>
  <si>
    <t>Dichlorodifluoromethane (Freon 12)</t>
  </si>
  <si>
    <t>Dichloromethane (methylene chloride)</t>
  </si>
  <si>
    <t>Bromoform (tribromomethane)</t>
  </si>
  <si>
    <t>HEAST 7/1997
Rat, inhalation, intermittent, 7 months
Whole body
NOEL = 49 ppm
UF = 1000</t>
  </si>
  <si>
    <t>4-Nitrophenol (p-nitrophenol)</t>
  </si>
  <si>
    <t>MDH MHRV 3/2002
Multimedia = 0.05 µg/kg-day
Developmental
Fish consumption Advice LOAEL = 5E-04 mg/kg-day
UF =10</t>
  </si>
  <si>
    <t>"there is no evidence that chronic exposure to
titanium tetrachloride causes cancer in humans"</t>
  </si>
  <si>
    <t>D 
Not classifiable</t>
  </si>
  <si>
    <t>B2
Probable
Human 
Carcinogen</t>
  </si>
  <si>
    <t xml:space="preserve">Likely to be Carcinogenic to Humans </t>
  </si>
  <si>
    <t xml:space="preserve">Not Assessed </t>
  </si>
  <si>
    <t>B2
Probable 
Human
Carcinogen</t>
  </si>
  <si>
    <t xml:space="preserve"> B2 - Probable Human Carcinogen</t>
  </si>
  <si>
    <t>C
Possible Human Carcinogen</t>
  </si>
  <si>
    <t>C - Possible Human Carcinogen</t>
  </si>
  <si>
    <t xml:space="preserve"> Carcinogenic to Humans </t>
  </si>
  <si>
    <t>A - Human Carcinogen</t>
  </si>
  <si>
    <t xml:space="preserve">B2
Probable Human Carcinogen </t>
  </si>
  <si>
    <t xml:space="preserve">D
Not 
Classifiable </t>
  </si>
  <si>
    <t xml:space="preserve">Likely to be Carcinogenic to Humans 
</t>
  </si>
  <si>
    <t xml:space="preserve"> E
Evidence of 
Non-Carcinogenicity for Humans</t>
  </si>
  <si>
    <t xml:space="preserve"> Likely to be Carcinogenic to Humans </t>
  </si>
  <si>
    <t>Not Classified</t>
  </si>
  <si>
    <t>MDH HRL</t>
  </si>
  <si>
    <t>IRIS
(ATSDR)</t>
  </si>
  <si>
    <t xml:space="preserve">Metallic - Inadequate information
Trioxide - Suggestive evidence inhalation route </t>
  </si>
  <si>
    <t>A
Human Carcinogen
(Refinery Dust, Nickel Subsulfide)</t>
  </si>
  <si>
    <t>Inadequate Information
(Soluble Salts, Selenite)</t>
  </si>
  <si>
    <r>
      <t xml:space="preserve">Volatile </t>
    </r>
    <r>
      <rPr>
        <b/>
        <vertAlign val="superscript"/>
        <sz val="8"/>
        <rFont val="Arial"/>
        <family val="2"/>
      </rPr>
      <t>3</t>
    </r>
  </si>
  <si>
    <r>
      <t xml:space="preserve">Early Life in Toxicity Value </t>
    </r>
    <r>
      <rPr>
        <b/>
        <vertAlign val="superscript"/>
        <sz val="8"/>
        <rFont val="Arial"/>
        <family val="2"/>
      </rPr>
      <t>1</t>
    </r>
  </si>
  <si>
    <t>EDc-Exposure Duration (2-16 years)</t>
  </si>
  <si>
    <t>IRi-Ingestion Rate (0-2 years)</t>
  </si>
  <si>
    <t>IRc-Ingestion Rate (2-16 years)</t>
  </si>
  <si>
    <t>BWi-Body Weight (0-2 years)</t>
  </si>
  <si>
    <t>BWc-Body Weight (2-16 years)</t>
  </si>
  <si>
    <t>SAi-Surface Area (0-2 years)</t>
  </si>
  <si>
    <t>SAc-Surface Area (2-16 years)</t>
  </si>
  <si>
    <t>ED-Exposure Duration (Total)</t>
  </si>
  <si>
    <t>EPA 2005.  Supplemental Guidance for Assessing Susceptibility from Early-Life Exposure to Carcinogens.</t>
  </si>
  <si>
    <t>ADAFi-Age Dependent Adjustment Factors (infant)</t>
  </si>
  <si>
    <t>ADAFc-Age Dependent Adjustment Factors (child)</t>
  </si>
  <si>
    <t>ADAFa-Age Dependent Adjustment Factors (adult)</t>
  </si>
  <si>
    <r>
      <t xml:space="preserve">Dieldrin </t>
    </r>
    <r>
      <rPr>
        <vertAlign val="superscript"/>
        <sz val="8"/>
        <rFont val="Arial"/>
        <family val="2"/>
      </rPr>
      <t>5</t>
    </r>
  </si>
  <si>
    <r>
      <t xml:space="preserve">Vinyl chloride </t>
    </r>
    <r>
      <rPr>
        <vertAlign val="superscript"/>
        <sz val="8"/>
        <rFont val="Arial"/>
        <family val="2"/>
      </rPr>
      <t>6</t>
    </r>
  </si>
  <si>
    <r>
      <t xml:space="preserve">EFing-Exposure Frequency Ingestion - </t>
    </r>
    <r>
      <rPr>
        <b/>
        <sz val="10"/>
        <rFont val="Arial"/>
        <family val="2"/>
      </rPr>
      <t>Non VOCs</t>
    </r>
  </si>
  <si>
    <r>
      <t xml:space="preserve">EFing-Exposure Frequency Ingestion - </t>
    </r>
    <r>
      <rPr>
        <b/>
        <sz val="10"/>
        <rFont val="Arial"/>
        <family val="2"/>
      </rPr>
      <t>VOCs</t>
    </r>
  </si>
  <si>
    <t>EFder-Exposure Frequency Dermal</t>
  </si>
  <si>
    <t>EFinh-Exposure Frequency Inhalation</t>
  </si>
  <si>
    <t>ABSd-Dermal Absorption</t>
  </si>
  <si>
    <t>RAIS</t>
  </si>
  <si>
    <t xml:space="preserve">RAIS
</t>
  </si>
  <si>
    <t>RAIS:  Risk Assessment Information System, http://rais.ornl.gov/.</t>
  </si>
  <si>
    <t>Dev/Rep</t>
  </si>
  <si>
    <t>Dev/Rep - Developmental/Reproductive system</t>
  </si>
  <si>
    <r>
      <t xml:space="preserve">Linear Carcinogen </t>
    </r>
    <r>
      <rPr>
        <b/>
        <vertAlign val="superscript"/>
        <sz val="8"/>
        <rFont val="Arial"/>
        <family val="2"/>
      </rPr>
      <t>2</t>
    </r>
  </si>
  <si>
    <t>(µg/m3)-1</t>
  </si>
  <si>
    <t xml:space="preserve">RSL User Manual lists Kd of 52
Kd = foc * koc
52/0.006 = 8666.66
</t>
  </si>
  <si>
    <t>Di-n-octyl phthalate (1,2-Benzenedicarboxylic acid; dioctyl ester; DNOP; dioctyl phthalate; octyl phthalate,di-N-)</t>
  </si>
  <si>
    <t>Noncancer Target Endpoints:</t>
  </si>
  <si>
    <t>Chemical Specific Parameter References:</t>
  </si>
  <si>
    <t>3. PPRTV available at http://hhpprtv.ornl.gov/quickview/pprtv.php.</t>
  </si>
  <si>
    <t>7. HEAST available at http://cfpub.epa.gov/ncea/cfm/recordisplay.cfm?deid=2877.</t>
  </si>
  <si>
    <t>4. ATSDR available at http://www.atsdr.cdc.gov/toxprofiles/index.asp.</t>
  </si>
  <si>
    <t xml:space="preserve">Variation from this hierarchy may occur when appropriate. </t>
  </si>
  <si>
    <t>Toxicity Value Reference Hierarchy:</t>
  </si>
  <si>
    <r>
      <t xml:space="preserve">Nickel </t>
    </r>
    <r>
      <rPr>
        <vertAlign val="superscript"/>
        <sz val="8"/>
        <rFont val="Arial"/>
        <family val="2"/>
      </rPr>
      <t>7</t>
    </r>
  </si>
  <si>
    <r>
      <t>Titanium</t>
    </r>
    <r>
      <rPr>
        <vertAlign val="superscript"/>
        <sz val="8"/>
        <rFont val="Arial"/>
        <family val="2"/>
      </rPr>
      <t xml:space="preserve"> 8</t>
    </r>
  </si>
  <si>
    <r>
      <t xml:space="preserve">Vanadium (except vanadium pentoxide) </t>
    </r>
    <r>
      <rPr>
        <vertAlign val="superscript"/>
        <sz val="8"/>
        <rFont val="Arial"/>
        <family val="2"/>
      </rPr>
      <t>9</t>
    </r>
  </si>
  <si>
    <r>
      <t xml:space="preserve">Zinc (except zinc phosphide) </t>
    </r>
    <r>
      <rPr>
        <vertAlign val="superscript"/>
        <sz val="8"/>
        <rFont val="Arial"/>
        <family val="2"/>
      </rPr>
      <t>10</t>
    </r>
  </si>
  <si>
    <r>
      <t xml:space="preserve">Nickel </t>
    </r>
    <r>
      <rPr>
        <vertAlign val="superscript"/>
        <sz val="8"/>
        <rFont val="Arial"/>
        <family val="2"/>
      </rPr>
      <t>5</t>
    </r>
  </si>
  <si>
    <r>
      <t>Titanium</t>
    </r>
    <r>
      <rPr>
        <vertAlign val="superscript"/>
        <sz val="8"/>
        <rFont val="Arial"/>
        <family val="2"/>
      </rPr>
      <t xml:space="preserve"> 6</t>
    </r>
  </si>
  <si>
    <r>
      <t xml:space="preserve">Vanadium (except vanadium pentoxide) </t>
    </r>
    <r>
      <rPr>
        <vertAlign val="superscript"/>
        <sz val="8"/>
        <rFont val="Arial"/>
        <family val="2"/>
      </rPr>
      <t>7</t>
    </r>
  </si>
  <si>
    <r>
      <t xml:space="preserve">Zinc (except zinc phosphide) </t>
    </r>
    <r>
      <rPr>
        <vertAlign val="superscript"/>
        <sz val="8"/>
        <rFont val="Arial"/>
        <family val="2"/>
      </rPr>
      <t>8</t>
    </r>
  </si>
  <si>
    <r>
      <t xml:space="preserve">Nickel </t>
    </r>
    <r>
      <rPr>
        <vertAlign val="superscript"/>
        <sz val="8"/>
        <rFont val="Arial"/>
        <family val="2"/>
      </rPr>
      <t>4</t>
    </r>
  </si>
  <si>
    <r>
      <t>Titanium</t>
    </r>
    <r>
      <rPr>
        <vertAlign val="superscript"/>
        <sz val="8"/>
        <rFont val="Arial"/>
        <family val="2"/>
      </rPr>
      <t xml:space="preserve"> 5</t>
    </r>
  </si>
  <si>
    <r>
      <t xml:space="preserve">Zinc (except zinc phosphide) </t>
    </r>
    <r>
      <rPr>
        <vertAlign val="superscript"/>
        <sz val="8"/>
        <rFont val="Arial"/>
        <family val="2"/>
      </rPr>
      <t>7</t>
    </r>
  </si>
  <si>
    <t>Based on EPA's Adult Lead Model</t>
  </si>
  <si>
    <t>Based on EPA's IEUBK (Children Lead) Model</t>
  </si>
  <si>
    <t>Cancer - Final SRV is based on the final cancer SRV</t>
  </si>
  <si>
    <t>Csat - Final SRV is based on Csat (soil saturation limit)</t>
  </si>
  <si>
    <t xml:space="preserve">MPCA Noncancer Acute Risk </t>
  </si>
  <si>
    <t xml:space="preserve">MPCA Noncancer Chronic Risk </t>
  </si>
  <si>
    <t>mg/event</t>
  </si>
  <si>
    <t>EPA 2011</t>
  </si>
  <si>
    <t>EPA 2011.  Exposure Factors Handbook.</t>
  </si>
  <si>
    <t>Acute RfD-Acute Reference Dose</t>
  </si>
  <si>
    <t>mg/kg-event</t>
  </si>
  <si>
    <t>Concentration at which to seek medical attention = 0.5 mg/kg per Ellenhorn 1997 and CDC
Gastrointestinal effects
UF = 10 (10 for LOAEL with gastrointestinal effect)</t>
  </si>
  <si>
    <t xml:space="preserve">Lowest fatal dose of 0.56 mg/kg Gettler and Baine 1938 and ATSDR 2006
Lethality
UF = 100 (10 for intraspecies variability and 10 for LOAEL with a lethal effect)
Acute RfD = 0.0056 mg/kg-event
</t>
  </si>
  <si>
    <t>Chemical</t>
  </si>
  <si>
    <t>56-55-3</t>
  </si>
  <si>
    <t>205-99-2</t>
  </si>
  <si>
    <t>Benzo[j]fluoranthene</t>
  </si>
  <si>
    <t>205-82-3</t>
  </si>
  <si>
    <t>207-08-9</t>
  </si>
  <si>
    <t>218-01-9</t>
  </si>
  <si>
    <t>Dibenz[a,j]acridine</t>
  </si>
  <si>
    <t>224-42-0</t>
  </si>
  <si>
    <t>Dibenz[a,h]acridine</t>
  </si>
  <si>
    <t>226-36-8</t>
  </si>
  <si>
    <t>53-70-3</t>
  </si>
  <si>
    <t>7H-Dibenzo[c,g]carbazole</t>
  </si>
  <si>
    <t>194-59-2</t>
  </si>
  <si>
    <t>Dibenzo[a,e]pyrene</t>
  </si>
  <si>
    <t>192-65-4</t>
  </si>
  <si>
    <t>Dibenzo[a,h]pyrene</t>
  </si>
  <si>
    <t>189-64-0</t>
  </si>
  <si>
    <t>Dibenzo[a,i]pyrene</t>
  </si>
  <si>
    <t>189-55-9</t>
  </si>
  <si>
    <t>Dibenzo[a,l]pyrene</t>
  </si>
  <si>
    <t>191-30-0</t>
  </si>
  <si>
    <t>57-97-6</t>
  </si>
  <si>
    <t>1,6-Dinitropyrene</t>
  </si>
  <si>
    <t>42397-64-8</t>
  </si>
  <si>
    <t>1,8-Dinitropyrene</t>
  </si>
  <si>
    <t>42397-65-9</t>
  </si>
  <si>
    <t>193-39-5</t>
  </si>
  <si>
    <t>56-49-5</t>
  </si>
  <si>
    <t>5-Methylchrysene</t>
  </si>
  <si>
    <t>3697-24-3</t>
  </si>
  <si>
    <t>602-87-9</t>
  </si>
  <si>
    <t>1-Nitropyrene</t>
  </si>
  <si>
    <t>5522-43-0</t>
  </si>
  <si>
    <t>4-Nitropyrene</t>
  </si>
  <si>
    <t>57835-92-4</t>
  </si>
  <si>
    <t>6-Nitrochrysene</t>
  </si>
  <si>
    <t>7496-02-8</t>
  </si>
  <si>
    <t>2-Nitrofluorene</t>
  </si>
  <si>
    <t>607-57-8</t>
  </si>
  <si>
    <t>2,3,7,8-TCDD</t>
  </si>
  <si>
    <t>1,2,3,7,8-PeCDD</t>
  </si>
  <si>
    <t>1,2,3,4,7,8-HxCDD</t>
  </si>
  <si>
    <t>1,2,3,6,7,8-HxCDD</t>
  </si>
  <si>
    <t>1,2,3,7,8,9-HxCDD</t>
  </si>
  <si>
    <t>1,2,3,4,6,7,8-HpCDD</t>
  </si>
  <si>
    <t>1,2,3,4,6,7,8,9-OCDD</t>
  </si>
  <si>
    <t>2,3,7,8-TCDF</t>
  </si>
  <si>
    <t>1,2,3,7,8-PeCDF</t>
  </si>
  <si>
    <t>2,3,4,7,8-PeCDF</t>
  </si>
  <si>
    <t>1,2,3,4,7,8-HxCDF</t>
  </si>
  <si>
    <t>1,2,3,6,7,8-HxCDF</t>
  </si>
  <si>
    <t>2,3,4,6,7,8-HxCDF</t>
  </si>
  <si>
    <t>1,2,3,7,8,9-HxCDF</t>
  </si>
  <si>
    <t>1,2,3,4,6,7,8-HpCDF</t>
  </si>
  <si>
    <t>1,2,3,4,7,8,9-HpCDF</t>
  </si>
  <si>
    <t>1,2,3,4,6,7,8,9-OCDF</t>
  </si>
  <si>
    <t>3,4,4',5-TeCB (PCB 81)</t>
  </si>
  <si>
    <t>2,3,3',4,4'-PeCB (PCB 105)</t>
  </si>
  <si>
    <t>2,3,4,4',5-PeCB (PCB 114)</t>
  </si>
  <si>
    <t>2,3',4,4',5-PeCB (PCB 118)</t>
  </si>
  <si>
    <t>2',3,4,4',5-PeCB (PCB 123)</t>
  </si>
  <si>
    <t>3,3',4,4',5-PeCB (PCB 126)</t>
  </si>
  <si>
    <t>2,3,3',4,4',5-HxCB (PCB 156)</t>
  </si>
  <si>
    <t>2,3,3',4,4',5'-HxCB (PCB 157)</t>
  </si>
  <si>
    <t>2,3',4,4',5,5'-HxCB (PCB 167)</t>
  </si>
  <si>
    <t>3,3',4,4',5,5'-HxCB (PCB 169)</t>
  </si>
  <si>
    <t>2,3,3',4,4',5,5'-HpCB (PCB 189)</t>
  </si>
  <si>
    <t>AFi-Adherence Factor (0-2 years)</t>
  </si>
  <si>
    <t>AFc-Adherence Factor (2-16 years)</t>
  </si>
  <si>
    <t>AF-Adherence Factor</t>
  </si>
  <si>
    <t>FINAL
SRV
(mg/kg)</t>
  </si>
  <si>
    <t>g/g</t>
  </si>
  <si>
    <t>EPA 2002 (0.6%)</t>
  </si>
  <si>
    <t>Benzo[a]pyrene (BaP equivalents)</t>
  </si>
  <si>
    <t>Compare total BaP equivalents to BaP equivalent SRV</t>
  </si>
  <si>
    <t>http://www.oehha.ca.gov/air/hot_spots/tsd052909.html</t>
  </si>
  <si>
    <r>
      <rPr>
        <b/>
        <sz val="10"/>
        <color indexed="30"/>
        <rFont val="Arial"/>
        <family val="2"/>
      </rPr>
      <t>Equation 1.</t>
    </r>
    <r>
      <rPr>
        <b/>
        <sz val="10"/>
        <rFont val="Arial"/>
        <family val="2"/>
      </rPr>
      <t xml:space="preserve"> Residential/Recreational Cancer Soil Reference Value (SRV) Without ADAFs</t>
    </r>
  </si>
  <si>
    <r>
      <rPr>
        <b/>
        <sz val="10"/>
        <color indexed="30"/>
        <rFont val="Arial"/>
        <family val="2"/>
      </rPr>
      <t xml:space="preserve">Equation 2. </t>
    </r>
    <r>
      <rPr>
        <b/>
        <sz val="10"/>
        <rFont val="Arial"/>
        <family val="2"/>
      </rPr>
      <t>Residential/Recreational Cancer Soil Reference Value (SRV) With ADAFs</t>
    </r>
  </si>
  <si>
    <r>
      <rPr>
        <b/>
        <sz val="10"/>
        <color indexed="30"/>
        <rFont val="Arial"/>
        <family val="2"/>
      </rPr>
      <t xml:space="preserve">Equation 4. </t>
    </r>
    <r>
      <rPr>
        <b/>
        <sz val="10"/>
        <rFont val="Arial"/>
        <family val="2"/>
      </rPr>
      <t>Volatilization Factor (VF) - Standard</t>
    </r>
  </si>
  <si>
    <r>
      <rPr>
        <b/>
        <sz val="10"/>
        <color indexed="30"/>
        <rFont val="Arial"/>
        <family val="2"/>
      </rPr>
      <t>Equation 5.</t>
    </r>
    <r>
      <rPr>
        <b/>
        <sz val="10"/>
        <rFont val="Arial"/>
        <family val="2"/>
      </rPr>
      <t xml:space="preserve"> Volatilization Factor (VF) - Mass Limit</t>
    </r>
  </si>
  <si>
    <r>
      <rPr>
        <b/>
        <sz val="10"/>
        <color indexed="30"/>
        <rFont val="Arial"/>
        <family val="2"/>
      </rPr>
      <t>Equation 8.</t>
    </r>
    <r>
      <rPr>
        <b/>
        <sz val="10"/>
        <rFont val="Arial"/>
        <family val="2"/>
      </rPr>
      <t xml:space="preserve"> Soil Saturation Limit (Csat)</t>
    </r>
  </si>
  <si>
    <r>
      <rPr>
        <b/>
        <sz val="10"/>
        <color indexed="30"/>
        <rFont val="Arial"/>
        <family val="2"/>
      </rPr>
      <t xml:space="preserve">Equation 12. </t>
    </r>
    <r>
      <rPr>
        <b/>
        <sz val="10"/>
        <rFont val="Arial"/>
        <family val="2"/>
      </rPr>
      <t>Volatilization Factor (VF) - Standard</t>
    </r>
  </si>
  <si>
    <r>
      <rPr>
        <b/>
        <sz val="10"/>
        <color indexed="30"/>
        <rFont val="Arial"/>
        <family val="2"/>
      </rPr>
      <t>Equation 13.</t>
    </r>
    <r>
      <rPr>
        <b/>
        <sz val="10"/>
        <rFont val="Arial"/>
        <family val="2"/>
      </rPr>
      <t xml:space="preserve"> Volatilization Factor (VF) - Mass Limit</t>
    </r>
  </si>
  <si>
    <r>
      <rPr>
        <b/>
        <sz val="10"/>
        <color indexed="30"/>
        <rFont val="Arial"/>
        <family val="2"/>
      </rPr>
      <t>Equation 16.</t>
    </r>
    <r>
      <rPr>
        <b/>
        <sz val="10"/>
        <rFont val="Arial"/>
        <family val="2"/>
      </rPr>
      <t xml:space="preserve"> Soil Saturation Limit (Csat)</t>
    </r>
  </si>
  <si>
    <r>
      <rPr>
        <b/>
        <sz val="10"/>
        <color indexed="30"/>
        <rFont val="Arial"/>
        <family val="2"/>
      </rPr>
      <t xml:space="preserve">Equation 10. </t>
    </r>
    <r>
      <rPr>
        <b/>
        <sz val="10"/>
        <rFont val="Arial"/>
        <family val="2"/>
      </rPr>
      <t>Commercial/Industrial Cancer Soil Reference Value (SRV)</t>
    </r>
  </si>
  <si>
    <t>Chloroform (trichloromethane, THM)</t>
  </si>
  <si>
    <t>Trichlorofluoromethane (Freon 11, fluorotrichloromethane)</t>
  </si>
  <si>
    <t>Butyl benzyl phthalate (PAE)</t>
  </si>
  <si>
    <t xml:space="preserve">2-Methylnaphthalene </t>
  </si>
  <si>
    <t>Pentachlorophenol (PCP)</t>
  </si>
  <si>
    <t>2,4-Dinitrotolulene (2,4-DNT)</t>
  </si>
  <si>
    <t>2,6-Dinitrotolulene (2,6-DNT)</t>
  </si>
  <si>
    <t>ds-Average depth of source (thickness of contamination)</t>
  </si>
  <si>
    <t>EDi-Exposure Duration (0-2 years)</t>
  </si>
  <si>
    <t xml:space="preserve"> </t>
  </si>
  <si>
    <t>WATER9:  EPA's WATER9 software, available at http://www.epa.gov/ttn/chief/software/water/index.html.</t>
  </si>
  <si>
    <t>RfC-Reference concentration</t>
  </si>
  <si>
    <r>
      <t>mg/m</t>
    </r>
    <r>
      <rPr>
        <vertAlign val="superscript"/>
        <sz val="10"/>
        <rFont val="Arial"/>
        <family val="2"/>
      </rPr>
      <t>3</t>
    </r>
  </si>
  <si>
    <t>Residential/Recreational SRVs (mg/kg)</t>
  </si>
  <si>
    <t>Commercial/Industrial SRVs (mg/kg)</t>
  </si>
  <si>
    <t>1 - Ingestion pathway is evaluated differently for VOCs and non VOCs.  An exposure frequency of 180 days per year is used for VOCs and 250 days per year for non VOCs.</t>
  </si>
  <si>
    <t>Potency Equivalency Factor
(PEF)</t>
  </si>
  <si>
    <t>* RSC - Relative Source Contribution of 0.2 is included to account for exposure to the same chemical in other media or at other locations.</t>
  </si>
  <si>
    <t>HQ-Hazard Quotient (Includes RSC * of 0.2, HQ of 1)</t>
  </si>
  <si>
    <t>3,3'4,4'-TeCB (PCB 77)</t>
  </si>
  <si>
    <t>Additional toxicity value sources are used when appropriate.</t>
  </si>
  <si>
    <t>UF = Uncertainty factor</t>
  </si>
  <si>
    <t>CF2-Conversion Factor</t>
  </si>
  <si>
    <t>μg/kg</t>
  </si>
  <si>
    <t>mg/kg</t>
  </si>
  <si>
    <t>None</t>
  </si>
  <si>
    <t>ABSgi-Gastrointestinal Absorption</t>
  </si>
  <si>
    <r>
      <t>ABSgi</t>
    </r>
    <r>
      <rPr>
        <sz val="10"/>
        <rFont val="Arial"/>
        <family val="2"/>
      </rPr>
      <t>-Gastrointestinal Absorption</t>
    </r>
  </si>
  <si>
    <r>
      <t>ABSd</t>
    </r>
    <r>
      <rPr>
        <sz val="10"/>
        <rFont val="Arial"/>
        <family val="2"/>
      </rPr>
      <t>-Dermal Absorption</t>
    </r>
  </si>
  <si>
    <r>
      <rPr>
        <b/>
        <sz val="10"/>
        <color indexed="30"/>
        <rFont val="Arial"/>
        <family val="2"/>
      </rPr>
      <t xml:space="preserve">Equation 15. </t>
    </r>
    <r>
      <rPr>
        <b/>
        <sz val="10"/>
        <rFont val="Arial"/>
        <family val="2"/>
      </rPr>
      <t>Particulate Emission Factor (PF)</t>
    </r>
  </si>
  <si>
    <r>
      <rPr>
        <b/>
        <sz val="10"/>
        <color indexed="30"/>
        <rFont val="Arial"/>
        <family val="2"/>
      </rPr>
      <t>Equation 7.</t>
    </r>
    <r>
      <rPr>
        <b/>
        <sz val="10"/>
        <rFont val="Arial"/>
        <family val="2"/>
      </rPr>
      <t xml:space="preserve"> Particulate Emission Factor (PF)</t>
    </r>
  </si>
  <si>
    <t>1/PF-Particulate Emission Factor</t>
  </si>
  <si>
    <r>
      <t>Particulate Emission Factor
1/PF
(m</t>
    </r>
    <r>
      <rPr>
        <b/>
        <vertAlign val="superscript"/>
        <sz val="8"/>
        <rFont val="Arial"/>
        <family val="2"/>
      </rPr>
      <t>3</t>
    </r>
    <r>
      <rPr>
        <b/>
        <sz val="8"/>
        <rFont val="Arial"/>
        <family val="2"/>
      </rPr>
      <t>/kg)</t>
    </r>
  </si>
  <si>
    <t>EPA 2014</t>
  </si>
  <si>
    <t>Additional Toxicity Value Websites:</t>
  </si>
  <si>
    <t>EDa-Exposure Duration (16-26 years)</t>
  </si>
  <si>
    <t>IRa-Ingestion Rate (16-26 years)</t>
  </si>
  <si>
    <t>BWa-Body Weight (16-26 years)</t>
  </si>
  <si>
    <t>AFa-Adherence Factor (16-26 years)</t>
  </si>
  <si>
    <t>SAa-Surface Area (16-26 years)</t>
  </si>
  <si>
    <t>Adult</t>
  </si>
  <si>
    <t>11&lt;16</t>
  </si>
  <si>
    <t>16&lt;21</t>
  </si>
  <si>
    <t>Adult Male 21+</t>
  </si>
  <si>
    <t>Adult Female 21+</t>
  </si>
  <si>
    <r>
      <t>Head
m</t>
    </r>
    <r>
      <rPr>
        <b/>
        <vertAlign val="superscript"/>
        <sz val="10"/>
        <rFont val="Arial"/>
        <family val="2"/>
      </rPr>
      <t>2</t>
    </r>
  </si>
  <si>
    <r>
      <t>Forearms
m</t>
    </r>
    <r>
      <rPr>
        <b/>
        <vertAlign val="superscript"/>
        <sz val="10"/>
        <rFont val="Arial"/>
        <family val="2"/>
      </rPr>
      <t>2</t>
    </r>
  </si>
  <si>
    <r>
      <t>Hands
m</t>
    </r>
    <r>
      <rPr>
        <b/>
        <vertAlign val="superscript"/>
        <sz val="10"/>
        <rFont val="Arial"/>
        <family val="2"/>
      </rPr>
      <t>2</t>
    </r>
  </si>
  <si>
    <r>
      <t>Lower Legs
m</t>
    </r>
    <r>
      <rPr>
        <b/>
        <vertAlign val="superscript"/>
        <sz val="10"/>
        <rFont val="Arial"/>
        <family val="2"/>
      </rPr>
      <t>2</t>
    </r>
  </si>
  <si>
    <r>
      <t>Feet 
m</t>
    </r>
    <r>
      <rPr>
        <b/>
        <vertAlign val="superscript"/>
        <sz val="10"/>
        <rFont val="Arial"/>
        <family val="2"/>
      </rPr>
      <t>2</t>
    </r>
  </si>
  <si>
    <r>
      <t>Total
m</t>
    </r>
    <r>
      <rPr>
        <b/>
        <vertAlign val="superscript"/>
        <sz val="10"/>
        <rFont val="Arial"/>
        <family val="2"/>
      </rPr>
      <t>2</t>
    </r>
  </si>
  <si>
    <t>2&lt;16 years</t>
  </si>
  <si>
    <t>11&lt;21 years</t>
  </si>
  <si>
    <t>11&lt;16 years</t>
  </si>
  <si>
    <t>Body Part</t>
  </si>
  <si>
    <t>Forearms</t>
  </si>
  <si>
    <t xml:space="preserve">Lower Legs </t>
  </si>
  <si>
    <t>Age</t>
  </si>
  <si>
    <t>Male and Female</t>
  </si>
  <si>
    <t>BW-Body Weight, 1 to 3 years</t>
  </si>
  <si>
    <t xml:space="preserve">Pentachlorophenol (PCP) </t>
  </si>
  <si>
    <r>
      <t xml:space="preserve">Site
Excess Lifetime Cancer 
Risk 
(ELCR) </t>
    </r>
    <r>
      <rPr>
        <b/>
        <vertAlign val="superscript"/>
        <sz val="8"/>
        <rFont val="Arial"/>
        <family val="2"/>
      </rPr>
      <t>4</t>
    </r>
  </si>
  <si>
    <t>Noncancer Acute
SRV
2 Significant Figures
(mg/kg)</t>
  </si>
  <si>
    <r>
      <t>Standard
Volatilization Factor
1/VF
30 Year
(m</t>
    </r>
    <r>
      <rPr>
        <b/>
        <vertAlign val="superscript"/>
        <sz val="8"/>
        <rFont val="Arial"/>
        <family val="2"/>
      </rPr>
      <t>3</t>
    </r>
    <r>
      <rPr>
        <b/>
        <sz val="8"/>
        <rFont val="Arial"/>
        <family val="2"/>
      </rPr>
      <t>/kg)</t>
    </r>
  </si>
  <si>
    <r>
      <t>Mass Limit
Volatilization Factor
1/VF
30 Year
(m</t>
    </r>
    <r>
      <rPr>
        <b/>
        <vertAlign val="superscript"/>
        <sz val="8"/>
        <rFont val="Arial"/>
        <family val="2"/>
      </rPr>
      <t>3</t>
    </r>
    <r>
      <rPr>
        <b/>
        <sz val="8"/>
        <rFont val="Arial"/>
        <family val="2"/>
      </rPr>
      <t>/kg)</t>
    </r>
  </si>
  <si>
    <r>
      <rPr>
        <b/>
        <sz val="10"/>
        <rFont val="Arial"/>
        <family val="2"/>
      </rPr>
      <t>Child Surface Area (SA)</t>
    </r>
    <r>
      <rPr>
        <sz val="10"/>
        <rFont val="Arial"/>
        <family val="2"/>
      </rPr>
      <t xml:space="preserve"> - Average Male and Female, EPA 2011, Table 7-2 </t>
    </r>
  </si>
  <si>
    <t>Age 2 = 40%</t>
  </si>
  <si>
    <t>Age 2 = 42%</t>
  </si>
  <si>
    <t>Age 4 = 40%</t>
  </si>
  <si>
    <t xml:space="preserve">Ages 6, 8, 10 = 39% </t>
  </si>
  <si>
    <t>Ages 6, 8, 10 = 40%</t>
  </si>
  <si>
    <t xml:space="preserve">Ages 12, 14 = 38% </t>
  </si>
  <si>
    <t>Ages 12, 14 = 40%</t>
  </si>
  <si>
    <t xml:space="preserve">Ages 16, 18 = 38% </t>
  </si>
  <si>
    <t>Ages 16, 18 = 39%</t>
  </si>
  <si>
    <r>
      <t xml:space="preserve">Surface Area Calculations </t>
    </r>
    <r>
      <rPr>
        <sz val="10"/>
        <rFont val="Arial"/>
        <family val="2"/>
      </rPr>
      <t>- Carrying Decimals Forward</t>
    </r>
  </si>
  <si>
    <r>
      <t xml:space="preserve">Surface Area Calculations </t>
    </r>
    <r>
      <rPr>
        <sz val="10"/>
        <color indexed="30"/>
        <rFont val="Arial"/>
        <family val="2"/>
      </rPr>
      <t>- Without Carrying Decimals Forward - Used for derivation of SRVs</t>
    </r>
  </si>
  <si>
    <r>
      <t>Head
cm</t>
    </r>
    <r>
      <rPr>
        <b/>
        <vertAlign val="superscript"/>
        <sz val="10"/>
        <rFont val="Arial"/>
        <family val="2"/>
      </rPr>
      <t>2</t>
    </r>
  </si>
  <si>
    <r>
      <t>Forearms
cm</t>
    </r>
    <r>
      <rPr>
        <b/>
        <vertAlign val="superscript"/>
        <sz val="10"/>
        <rFont val="Arial"/>
        <family val="2"/>
      </rPr>
      <t>2</t>
    </r>
  </si>
  <si>
    <r>
      <t>Hands
cm</t>
    </r>
    <r>
      <rPr>
        <b/>
        <vertAlign val="superscript"/>
        <sz val="10"/>
        <rFont val="Arial"/>
        <family val="2"/>
      </rPr>
      <t>2</t>
    </r>
  </si>
  <si>
    <r>
      <t>Lower Legs
cm</t>
    </r>
    <r>
      <rPr>
        <b/>
        <vertAlign val="superscript"/>
        <sz val="10"/>
        <rFont val="Arial"/>
        <family val="2"/>
      </rPr>
      <t>2</t>
    </r>
  </si>
  <si>
    <r>
      <t>Feet 
cm</t>
    </r>
    <r>
      <rPr>
        <b/>
        <vertAlign val="superscript"/>
        <sz val="10"/>
        <rFont val="Arial"/>
        <family val="2"/>
      </rPr>
      <t>2</t>
    </r>
  </si>
  <si>
    <r>
      <t>Total
cm</t>
    </r>
    <r>
      <rPr>
        <b/>
        <vertAlign val="superscript"/>
        <sz val="10"/>
        <color indexed="30"/>
        <rFont val="Arial"/>
        <family val="2"/>
      </rPr>
      <t>2</t>
    </r>
  </si>
  <si>
    <t>Arms</t>
  </si>
  <si>
    <t>Ratio</t>
  </si>
  <si>
    <t>Legs</t>
  </si>
  <si>
    <t>Body Part Ratio</t>
  </si>
  <si>
    <t>6, 8, 10</t>
  </si>
  <si>
    <t>12, 14</t>
  </si>
  <si>
    <t>16, 18</t>
  </si>
  <si>
    <t xml:space="preserve">Forearms </t>
  </si>
  <si>
    <t>Mean Surface Area</t>
  </si>
  <si>
    <t>Ratio of Forearm to Arm
Table 7-8</t>
  </si>
  <si>
    <t>Ratio of Lower Leg to Leg
Table 7-8</t>
  </si>
  <si>
    <r>
      <rPr>
        <b/>
        <sz val="10"/>
        <rFont val="Arial"/>
        <family val="2"/>
      </rPr>
      <t xml:space="preserve">Adult Surface Area (SA) </t>
    </r>
    <r>
      <rPr>
        <sz val="10"/>
        <rFont val="Arial"/>
        <family val="2"/>
      </rPr>
      <t>- Average Male and Female, EPA 2011, Table 7-2</t>
    </r>
  </si>
  <si>
    <t xml:space="preserve">Percent
Men </t>
  </si>
  <si>
    <t>Percent
Women</t>
  </si>
  <si>
    <r>
      <t>Total
cm</t>
    </r>
    <r>
      <rPr>
        <b/>
        <vertAlign val="superscript"/>
        <sz val="10"/>
        <rFont val="Arial"/>
        <family val="2"/>
      </rPr>
      <t>2</t>
    </r>
  </si>
  <si>
    <t>Worker</t>
  </si>
  <si>
    <t>Child Surface Area</t>
  </si>
  <si>
    <t>Adult Surface Area</t>
  </si>
  <si>
    <t>BW-Body Weight (0-6 years)</t>
  </si>
  <si>
    <t>SA-Surface Area (0-6 years)</t>
  </si>
  <si>
    <t>1/30 yr VF-Volatilization Factor</t>
  </si>
  <si>
    <r>
      <rPr>
        <b/>
        <sz val="10"/>
        <rFont val="Arial"/>
        <family val="2"/>
      </rPr>
      <t>Body Weight (BW)</t>
    </r>
    <r>
      <rPr>
        <sz val="10"/>
        <rFont val="Arial"/>
        <family val="2"/>
      </rPr>
      <t xml:space="preserve"> - Recommended Values for Body Weight, EPA 2011, Table 8-1</t>
    </r>
  </si>
  <si>
    <t>Body Weight</t>
  </si>
  <si>
    <t>16&lt;21 years</t>
  </si>
  <si>
    <t>2&lt;16</t>
  </si>
  <si>
    <t>0&lt;2</t>
  </si>
  <si>
    <t>0&lt;6</t>
  </si>
  <si>
    <t>11&lt;21</t>
  </si>
  <si>
    <t>1&lt;2 years</t>
  </si>
  <si>
    <t>2&lt;3 years</t>
  </si>
  <si>
    <t>3&lt;6 years</t>
  </si>
  <si>
    <t>6&lt;11 years</t>
  </si>
  <si>
    <t>Weight 
kg</t>
  </si>
  <si>
    <t>Calculations for 16&lt;21 are provided under "Child Surface Area" section</t>
  </si>
  <si>
    <t>16&lt;26</t>
  </si>
  <si>
    <t>1&lt;3 years</t>
  </si>
  <si>
    <t>3&lt; 6 months</t>
  </si>
  <si>
    <t>6&lt;12 months</t>
  </si>
  <si>
    <t>1&lt;3 months</t>
  </si>
  <si>
    <t>3&lt;6 months</t>
  </si>
  <si>
    <t>Birth&lt;1 month</t>
  </si>
  <si>
    <t>6&lt;11 months</t>
  </si>
  <si>
    <t>1&lt; 2 years</t>
  </si>
  <si>
    <t>2&lt; 3 years</t>
  </si>
  <si>
    <t>3&lt; 6 years</t>
  </si>
  <si>
    <t>Birth&lt;6 years</t>
  </si>
  <si>
    <t>Birth&lt;2 years</t>
  </si>
  <si>
    <t>6&lt;11years</t>
  </si>
  <si>
    <t>1,1,2,2-Tetrachloroethane (PCA)</t>
  </si>
  <si>
    <t>1,1,2-Trichloroethane (112TCA)</t>
  </si>
  <si>
    <t>1,2-Dichloroethane (12DCA)</t>
  </si>
  <si>
    <t>cis-1,2-Dichloroethylene (cis-12DCE)</t>
  </si>
  <si>
    <t>trans-1,2-Dichloroethylene (trans-1,2-Dichlororthene, trans-12DCE)</t>
  </si>
  <si>
    <t>1,1-Dichloroethylene  (vinylidene chloride, 11-DCE)</t>
  </si>
  <si>
    <t>MDH did not use PPRTV CSF since they consider it to be a non-linear carcinogen and the RfD is expected to be protective of cancer risks</t>
  </si>
  <si>
    <t>PPRTV 4/2013
Rat, oral, diet, 1 year
Liver carcinomas</t>
  </si>
  <si>
    <r>
      <t xml:space="preserve">HEAST 1997 - </t>
    </r>
    <r>
      <rPr>
        <sz val="8"/>
        <rFont val="Arial"/>
        <family val="2"/>
      </rPr>
      <t>Alternate Methods</t>
    </r>
    <r>
      <rPr>
        <sz val="8"/>
        <color indexed="8"/>
        <rFont val="Arial"/>
        <family val="2"/>
      </rPr>
      <t xml:space="preserve">
Rat, inhalation, 4 months, reproductivity
Fetus, fetotoxicity
UF = 1000</t>
    </r>
  </si>
  <si>
    <t xml:space="preserve">IRIS 03/31/2010
Mouse, male, inhalation 
Pheochromocytoma </t>
  </si>
  <si>
    <t>IRIS 07/29/2004
Rat, inhalation
Nasal cavity (includes adenoma, adenocarcinoma, papillary adenoma, squamous cell carcinoma, and or/papilloma), hemangiosarcomas, mesotheliomas</t>
  </si>
  <si>
    <t>HEAST 7/1997
Rat, oral, gavage, 13 weeks
Liver
NOAEL = 250 mg/kg-day
UF = 3000</t>
  </si>
  <si>
    <r>
      <t>PPRTV 6/16/2009
Rat, inhalation, 3 months
Urinary
BMCL  4.6  mg/m</t>
    </r>
    <r>
      <rPr>
        <vertAlign val="superscript"/>
        <sz val="8"/>
        <rFont val="Arial"/>
        <family val="2"/>
      </rPr>
      <t xml:space="preserve">3 </t>
    </r>
    <r>
      <rPr>
        <sz val="8"/>
        <rFont val="Arial"/>
        <family val="2"/>
      </rPr>
      <t xml:space="preserve">
UF = 3000
Confidence = Medium</t>
    </r>
  </si>
  <si>
    <t xml:space="preserve">MDH Cancer HRL 1993
Immune system
CSF from IRIS
IRIS 02/01/1994
Mouse, oral, gavage 
Hepatocellular carcinoma </t>
  </si>
  <si>
    <t>IRIS 01/01/1992
Mouse, oral, gavage 
Hepatocellular adenoma or carcinoma 
MDH HRL lists IRIS CSF although the RfD is used in the HRL</t>
  </si>
  <si>
    <t xml:space="preserve">IRIS 02/07/1998
Mouse, oral, diet
Hepatocellular carcinoma </t>
  </si>
  <si>
    <t xml:space="preserve">IRIS 08/22/1988
Mouse, oral, diet
Liver tumors </t>
  </si>
  <si>
    <t xml:space="preserve">IRIS 08/22/1988
Mouse, hamster, diet
Hepatocellular carcinomas, hepatomas </t>
  </si>
  <si>
    <t>IRIS 07/01/1993
Mouse, oral, diet
Hepatocellular carcinomas (liver)</t>
  </si>
  <si>
    <t>IRIS 08/22/1988
Rat, subchronic, oral 
Increased splenic weight (blood, immune)
UF = 3000
Confidence = Low to medium</t>
  </si>
  <si>
    <t>Di(2-ethylhexyl)phthalate (bis-2-ethylhexyl phthalate, DEHP)</t>
  </si>
  <si>
    <t>Noncancer Acute Toxicity Values</t>
  </si>
  <si>
    <t>Noncancer Chronic 
RfD
mg/kg-day</t>
  </si>
  <si>
    <r>
      <t>Noncancer Chronic 
RfC
mg/m</t>
    </r>
    <r>
      <rPr>
        <b/>
        <vertAlign val="superscript"/>
        <sz val="8"/>
        <rFont val="Arial"/>
        <family val="2"/>
      </rPr>
      <t>3</t>
    </r>
  </si>
  <si>
    <t>Noncancer
 Acute 
RfD 
mg/kg</t>
  </si>
  <si>
    <t>Basis of Noncancer Chronic RfD</t>
  </si>
  <si>
    <t>Basis of Noncancer Chronic RfC</t>
  </si>
  <si>
    <t>Basis of Noncancer Acute RfD</t>
  </si>
  <si>
    <r>
      <rPr>
        <b/>
        <sz val="10"/>
        <color indexed="30"/>
        <rFont val="Arial"/>
        <family val="2"/>
      </rPr>
      <t>Equation 3.</t>
    </r>
    <r>
      <rPr>
        <b/>
        <sz val="10"/>
        <rFont val="Arial"/>
        <family val="2"/>
      </rPr>
      <t xml:space="preserve"> Residential/Recreational Noncancer Chronic Soil Reference Value (SRV)</t>
    </r>
  </si>
  <si>
    <r>
      <rPr>
        <b/>
        <sz val="10"/>
        <color indexed="30"/>
        <rFont val="Arial"/>
        <family val="2"/>
      </rPr>
      <t xml:space="preserve">Equation 9. </t>
    </r>
    <r>
      <rPr>
        <b/>
        <sz val="10"/>
        <rFont val="Arial"/>
        <family val="2"/>
      </rPr>
      <t>Residential/Recreational Noncancer Acute Noncancer Soil Reference Value (SRV)</t>
    </r>
  </si>
  <si>
    <r>
      <rPr>
        <b/>
        <sz val="10"/>
        <color indexed="30"/>
        <rFont val="Arial"/>
        <family val="2"/>
      </rPr>
      <t xml:space="preserve">Equation 11. </t>
    </r>
    <r>
      <rPr>
        <b/>
        <sz val="10"/>
        <rFont val="Arial"/>
        <family val="2"/>
      </rPr>
      <t>Commercial/Industrial Noncancer Chronic Soil Reference Value (SRV)</t>
    </r>
  </si>
  <si>
    <r>
      <t xml:space="preserve">Noncancer 
Chronic
Ingestion
Pathway </t>
    </r>
    <r>
      <rPr>
        <b/>
        <vertAlign val="superscript"/>
        <sz val="8"/>
        <rFont val="Arial"/>
        <family val="2"/>
      </rPr>
      <t>1</t>
    </r>
  </si>
  <si>
    <r>
      <t xml:space="preserve">Noncancer 
Chronic
Dermal
Pathway </t>
    </r>
    <r>
      <rPr>
        <b/>
        <vertAlign val="superscript"/>
        <sz val="8"/>
        <rFont val="Arial"/>
        <family val="2"/>
      </rPr>
      <t>2</t>
    </r>
  </si>
  <si>
    <r>
      <t xml:space="preserve">Standard VF
Noncancer 
Chronic
Inhalation
Pathway </t>
    </r>
    <r>
      <rPr>
        <b/>
        <vertAlign val="superscript"/>
        <sz val="8"/>
        <rFont val="Arial"/>
        <family val="2"/>
      </rPr>
      <t>3</t>
    </r>
  </si>
  <si>
    <r>
      <t xml:space="preserve">Mass Limit VF
Noncancer 
Chronic
Inhalation
Pathway </t>
    </r>
    <r>
      <rPr>
        <b/>
        <vertAlign val="superscript"/>
        <sz val="8"/>
        <rFont val="Arial"/>
        <family val="2"/>
      </rPr>
      <t>3</t>
    </r>
  </si>
  <si>
    <t>Final 
Noncancer
Chronic 
Standard
SRV
(mg/kg)</t>
  </si>
  <si>
    <t>Final 
Noncancer
Chronic 
Mass Limit
SRV
(mg/kg)</t>
  </si>
  <si>
    <t>Final 
Noncancer 
Chronic
SRV
(mg/kg)</t>
  </si>
  <si>
    <r>
      <t xml:space="preserve">Standard VF
Noncancer
Chronic 
Inhalation
Pathway </t>
    </r>
    <r>
      <rPr>
        <b/>
        <vertAlign val="superscript"/>
        <sz val="8"/>
        <rFont val="Arial"/>
        <family val="2"/>
      </rPr>
      <t>3</t>
    </r>
  </si>
  <si>
    <t>Final 
Noncancer 
Chronic
Standard
SRV
(mg/kg)</t>
  </si>
  <si>
    <t>Final 
Noncancer 
Chronic
Mass Limit
SRV
(mg/kg)</t>
  </si>
  <si>
    <t>EPA 2014.  Human Health Evaluation Manual, Supplemental Guidance: Update of Standard Default Exposure Factors.</t>
  </si>
  <si>
    <r>
      <t xml:space="preserve">Calculated Ratios </t>
    </r>
    <r>
      <rPr>
        <sz val="10"/>
        <rFont val="Arial"/>
        <family val="2"/>
      </rPr>
      <t>- Forearms and Lower Legs, EPA 2011, Table 7-12</t>
    </r>
  </si>
  <si>
    <r>
      <t>Head
m</t>
    </r>
    <r>
      <rPr>
        <b/>
        <vertAlign val="superscript"/>
        <sz val="10"/>
        <color indexed="8"/>
        <rFont val="Arial"/>
        <family val="2"/>
      </rPr>
      <t>2</t>
    </r>
  </si>
  <si>
    <r>
      <t>Arms 
m</t>
    </r>
    <r>
      <rPr>
        <b/>
        <vertAlign val="superscript"/>
        <sz val="10"/>
        <color indexed="8"/>
        <rFont val="Arial"/>
        <family val="2"/>
      </rPr>
      <t>2</t>
    </r>
  </si>
  <si>
    <r>
      <t>Hands 
m</t>
    </r>
    <r>
      <rPr>
        <b/>
        <vertAlign val="superscript"/>
        <sz val="10"/>
        <color indexed="8"/>
        <rFont val="Arial"/>
        <family val="2"/>
      </rPr>
      <t>2</t>
    </r>
  </si>
  <si>
    <r>
      <t>Legs 
m</t>
    </r>
    <r>
      <rPr>
        <b/>
        <vertAlign val="superscript"/>
        <sz val="10"/>
        <color indexed="8"/>
        <rFont val="Arial"/>
        <family val="2"/>
      </rPr>
      <t>2</t>
    </r>
  </si>
  <si>
    <r>
      <t>Feet 
m</t>
    </r>
    <r>
      <rPr>
        <b/>
        <vertAlign val="superscript"/>
        <sz val="10"/>
        <color indexed="8"/>
        <rFont val="Arial"/>
        <family val="2"/>
      </rPr>
      <t>2</t>
    </r>
  </si>
  <si>
    <r>
      <t>Forearms
m</t>
    </r>
    <r>
      <rPr>
        <b/>
        <vertAlign val="superscript"/>
        <sz val="10"/>
        <color indexed="60"/>
        <rFont val="Arial"/>
        <family val="2"/>
      </rPr>
      <t>2</t>
    </r>
  </si>
  <si>
    <r>
      <t>Lower Legs
m</t>
    </r>
    <r>
      <rPr>
        <b/>
        <vertAlign val="superscript"/>
        <sz val="10"/>
        <color indexed="60"/>
        <rFont val="Arial"/>
        <family val="2"/>
      </rPr>
      <t>2</t>
    </r>
  </si>
  <si>
    <r>
      <t>Men
m</t>
    </r>
    <r>
      <rPr>
        <b/>
        <vertAlign val="superscript"/>
        <sz val="10"/>
        <color indexed="8"/>
        <rFont val="Arial"/>
        <family val="2"/>
      </rPr>
      <t>2</t>
    </r>
  </si>
  <si>
    <r>
      <t>Women
m</t>
    </r>
    <r>
      <rPr>
        <b/>
        <vertAlign val="superscript"/>
        <sz val="10"/>
        <color indexed="8"/>
        <rFont val="Arial"/>
        <family val="2"/>
      </rPr>
      <t>2</t>
    </r>
  </si>
  <si>
    <r>
      <t>Surface Area Calculations</t>
    </r>
    <r>
      <rPr>
        <sz val="10"/>
        <color indexed="30"/>
        <rFont val="Arial"/>
        <family val="2"/>
      </rPr>
      <t xml:space="preserve"> - Without Carrying Decimals Forward - Used for Derivation of SRVs</t>
    </r>
  </si>
  <si>
    <r>
      <t xml:space="preserve">EPA does not include feet in their calculation for a resident adult.  </t>
    </r>
    <r>
      <rPr>
        <sz val="10"/>
        <color indexed="8"/>
        <rFont val="Arial"/>
        <family val="2"/>
      </rPr>
      <t>MPCA includes feet and has calculated a SA for an adult of 7,327 cm</t>
    </r>
    <r>
      <rPr>
        <vertAlign val="superscript"/>
        <sz val="10"/>
        <color indexed="8"/>
        <rFont val="Arial"/>
        <family val="2"/>
      </rPr>
      <t>2</t>
    </r>
    <r>
      <rPr>
        <sz val="10"/>
        <color indexed="8"/>
        <rFont val="Arial"/>
        <family val="2"/>
      </rPr>
      <t>.</t>
    </r>
  </si>
  <si>
    <r>
      <rPr>
        <b/>
        <sz val="10"/>
        <color indexed="60"/>
        <rFont val="Arial"/>
        <family val="2"/>
      </rPr>
      <t xml:space="preserve">Male </t>
    </r>
    <r>
      <rPr>
        <sz val="10"/>
        <rFont val="Arial"/>
        <family val="2"/>
      </rPr>
      <t>- Mean Proportion of Total Skin Surface Area by Body Part, EPA 2011, Table 7-8</t>
    </r>
  </si>
  <si>
    <r>
      <rPr>
        <b/>
        <sz val="10"/>
        <color indexed="60"/>
        <rFont val="Arial"/>
        <family val="2"/>
      </rPr>
      <t>Female</t>
    </r>
    <r>
      <rPr>
        <sz val="10"/>
        <color indexed="60"/>
        <rFont val="Arial"/>
        <family val="2"/>
      </rPr>
      <t xml:space="preserve"> </t>
    </r>
    <r>
      <rPr>
        <sz val="10"/>
        <color indexed="17"/>
        <rFont val="Arial"/>
        <family val="2"/>
      </rPr>
      <t>-</t>
    </r>
    <r>
      <rPr>
        <sz val="10"/>
        <rFont val="Arial"/>
        <family val="2"/>
      </rPr>
      <t xml:space="preserve"> Mean Proportion of Total Skin Surface Area by Body Part, EPA 2011, Table 7-8</t>
    </r>
  </si>
  <si>
    <r>
      <rPr>
        <b/>
        <sz val="10"/>
        <color indexed="60"/>
        <rFont val="Arial"/>
        <family val="2"/>
      </rPr>
      <t xml:space="preserve">Male and Female Ratio Average </t>
    </r>
    <r>
      <rPr>
        <sz val="10"/>
        <rFont val="Arial"/>
        <family val="2"/>
      </rPr>
      <t>- Calculated Average Carrying Decimals Forward, EPA 2011, Table 7-8</t>
    </r>
  </si>
  <si>
    <r>
      <rPr>
        <b/>
        <sz val="10"/>
        <color indexed="60"/>
        <rFont val="Arial"/>
        <family val="2"/>
      </rPr>
      <t xml:space="preserve">Male and Female Ratio Average </t>
    </r>
    <r>
      <rPr>
        <sz val="10"/>
        <rFont val="Arial"/>
        <family val="2"/>
      </rPr>
      <t>- Calculated Average Without Carrying Decimals Forward, EPA 2011, Table 7-8</t>
    </r>
  </si>
  <si>
    <r>
      <t>Lower Legs m</t>
    </r>
    <r>
      <rPr>
        <b/>
        <vertAlign val="superscript"/>
        <sz val="10"/>
        <color indexed="60"/>
        <rFont val="Arial"/>
        <family val="2"/>
      </rPr>
      <t>2</t>
    </r>
  </si>
  <si>
    <r>
      <t>Head
m</t>
    </r>
    <r>
      <rPr>
        <b/>
        <vertAlign val="superscript"/>
        <sz val="10"/>
        <color indexed="8"/>
        <rFont val="Arial"/>
        <family val="2"/>
      </rPr>
      <t>2</t>
    </r>
  </si>
  <si>
    <r>
      <t>Arms
m</t>
    </r>
    <r>
      <rPr>
        <b/>
        <vertAlign val="superscript"/>
        <sz val="10"/>
        <color indexed="8"/>
        <rFont val="Arial"/>
        <family val="2"/>
      </rPr>
      <t>2</t>
    </r>
  </si>
  <si>
    <r>
      <t>Hands
m</t>
    </r>
    <r>
      <rPr>
        <b/>
        <vertAlign val="superscript"/>
        <sz val="10"/>
        <color indexed="8"/>
        <rFont val="Arial"/>
        <family val="2"/>
      </rPr>
      <t>2</t>
    </r>
  </si>
  <si>
    <r>
      <t>Legs
m</t>
    </r>
    <r>
      <rPr>
        <b/>
        <vertAlign val="superscript"/>
        <sz val="10"/>
        <color indexed="8"/>
        <rFont val="Arial"/>
        <family val="2"/>
      </rPr>
      <t>2</t>
    </r>
  </si>
  <si>
    <r>
      <t>Feet
m</t>
    </r>
    <r>
      <rPr>
        <b/>
        <vertAlign val="superscript"/>
        <sz val="10"/>
        <color indexed="8"/>
        <rFont val="Arial"/>
        <family val="2"/>
      </rPr>
      <t>2</t>
    </r>
  </si>
  <si>
    <r>
      <t>Forearmsm</t>
    </r>
    <r>
      <rPr>
        <b/>
        <vertAlign val="superscript"/>
        <sz val="10"/>
        <color indexed="60"/>
        <rFont val="Arial"/>
        <family val="2"/>
      </rPr>
      <t>2</t>
    </r>
  </si>
  <si>
    <r>
      <t>Lower Legs m</t>
    </r>
    <r>
      <rPr>
        <b/>
        <vertAlign val="superscript"/>
        <sz val="10"/>
        <color indexed="60"/>
        <rFont val="Arial"/>
        <family val="2"/>
      </rPr>
      <t>2</t>
    </r>
  </si>
  <si>
    <r>
      <t xml:space="preserve">Benzo[a]anthracene </t>
    </r>
    <r>
      <rPr>
        <b/>
        <i/>
        <vertAlign val="superscript"/>
        <sz val="8"/>
        <color indexed="30"/>
        <rFont val="Arial"/>
        <family val="2"/>
      </rPr>
      <t>1</t>
    </r>
  </si>
  <si>
    <r>
      <t xml:space="preserve">Benzo[a]pyrene </t>
    </r>
    <r>
      <rPr>
        <b/>
        <i/>
        <vertAlign val="superscript"/>
        <sz val="8"/>
        <color indexed="30"/>
        <rFont val="Arial"/>
        <family val="2"/>
      </rPr>
      <t>1,2</t>
    </r>
  </si>
  <si>
    <r>
      <t xml:space="preserve">Dibenz(a,h)anthracene </t>
    </r>
    <r>
      <rPr>
        <b/>
        <i/>
        <vertAlign val="superscript"/>
        <sz val="8"/>
        <color indexed="30"/>
        <rFont val="Arial"/>
        <family val="2"/>
      </rPr>
      <t>1,3</t>
    </r>
  </si>
  <si>
    <r>
      <t>7,12-Dimethylbenz[a]nthracene</t>
    </r>
    <r>
      <rPr>
        <vertAlign val="superscript"/>
        <sz val="8"/>
        <rFont val="Arial"/>
        <family val="2"/>
      </rPr>
      <t xml:space="preserve"> 3</t>
    </r>
  </si>
  <si>
    <r>
      <t>3-Methylcholanthrene</t>
    </r>
    <r>
      <rPr>
        <vertAlign val="superscript"/>
        <sz val="8"/>
        <rFont val="Arial"/>
        <family val="2"/>
      </rPr>
      <t xml:space="preserve"> 3</t>
    </r>
  </si>
  <si>
    <r>
      <t xml:space="preserve">5-Nitroacenaphthene </t>
    </r>
    <r>
      <rPr>
        <vertAlign val="superscript"/>
        <sz val="8"/>
        <rFont val="Arial"/>
        <family val="2"/>
      </rPr>
      <t>3</t>
    </r>
  </si>
  <si>
    <r>
      <t xml:space="preserve">Benzo[b]fluoranthene </t>
    </r>
    <r>
      <rPr>
        <b/>
        <i/>
        <vertAlign val="superscript"/>
        <sz val="8"/>
        <color indexed="30"/>
        <rFont val="Arial"/>
        <family val="2"/>
      </rPr>
      <t>1</t>
    </r>
  </si>
  <si>
    <r>
      <t xml:space="preserve">Benzo[k]fluoranthene </t>
    </r>
    <r>
      <rPr>
        <b/>
        <i/>
        <vertAlign val="superscript"/>
        <sz val="8"/>
        <color indexed="30"/>
        <rFont val="Arial"/>
        <family val="2"/>
      </rPr>
      <t>1</t>
    </r>
  </si>
  <si>
    <r>
      <t xml:space="preserve">Chrysene </t>
    </r>
    <r>
      <rPr>
        <b/>
        <i/>
        <vertAlign val="superscript"/>
        <sz val="8"/>
        <color indexed="30"/>
        <rFont val="Arial"/>
        <family val="2"/>
      </rPr>
      <t>1</t>
    </r>
  </si>
  <si>
    <r>
      <t>Indeno[1,2,3,-c,d]pyrene</t>
    </r>
    <r>
      <rPr>
        <b/>
        <i/>
        <vertAlign val="superscript"/>
        <sz val="8"/>
        <color indexed="30"/>
        <rFont val="Arial"/>
        <family val="2"/>
      </rPr>
      <t xml:space="preserve"> 1</t>
    </r>
  </si>
  <si>
    <t>3 - "PEF" based on rationing OEHHA oral cancer slope factor to the BaP oral cancer slope factor used by MDH.</t>
  </si>
  <si>
    <t>BTV</t>
  </si>
  <si>
    <r>
      <t>Arsenic</t>
    </r>
    <r>
      <rPr>
        <vertAlign val="superscript"/>
        <sz val="8"/>
        <rFont val="Arial"/>
        <family val="2"/>
      </rPr>
      <t xml:space="preserve"> 8</t>
    </r>
  </si>
  <si>
    <r>
      <t xml:space="preserve">Vanadium (except vanadium pentoxide) </t>
    </r>
    <r>
      <rPr>
        <vertAlign val="superscript"/>
        <sz val="8"/>
        <rFont val="Arial"/>
        <family val="2"/>
      </rPr>
      <t>6, 8, 9</t>
    </r>
  </si>
  <si>
    <t>Pesticides</t>
  </si>
  <si>
    <r>
      <t xml:space="preserve">Pesticides </t>
    </r>
    <r>
      <rPr>
        <b/>
        <i/>
        <vertAlign val="superscript"/>
        <sz val="8"/>
        <rFont val="Arial"/>
        <family val="2"/>
      </rPr>
      <t>10</t>
    </r>
  </si>
  <si>
    <r>
      <t xml:space="preserve">Site
Excess Lifetime Cancer 
Risk 
(ELCR) </t>
    </r>
    <r>
      <rPr>
        <b/>
        <vertAlign val="superscript"/>
        <sz val="8"/>
        <rFont val="Arial"/>
        <family val="2"/>
      </rPr>
      <t>3</t>
    </r>
  </si>
  <si>
    <r>
      <t xml:space="preserve">Aluminum </t>
    </r>
    <r>
      <rPr>
        <vertAlign val="superscript"/>
        <sz val="8"/>
        <rFont val="Arial"/>
        <family val="2"/>
      </rPr>
      <t>9, 11</t>
    </r>
  </si>
  <si>
    <r>
      <t xml:space="preserve">Cobalt </t>
    </r>
    <r>
      <rPr>
        <vertAlign val="superscript"/>
        <sz val="8"/>
        <rFont val="Arial"/>
        <family val="2"/>
      </rPr>
      <t>9</t>
    </r>
  </si>
  <si>
    <r>
      <t xml:space="preserve">Iron </t>
    </r>
    <r>
      <rPr>
        <vertAlign val="superscript"/>
        <sz val="8"/>
        <rFont val="Arial"/>
        <family val="2"/>
      </rPr>
      <t>9</t>
    </r>
  </si>
  <si>
    <r>
      <t xml:space="preserve">Benzo[a]pyrene (BaP equivalents) </t>
    </r>
    <r>
      <rPr>
        <vertAlign val="superscript"/>
        <sz val="8"/>
        <rFont val="Arial"/>
        <family val="2"/>
      </rPr>
      <t>9</t>
    </r>
  </si>
  <si>
    <r>
      <t xml:space="preserve">Pesticides </t>
    </r>
    <r>
      <rPr>
        <b/>
        <i/>
        <vertAlign val="superscript"/>
        <sz val="8"/>
        <rFont val="Arial"/>
        <family val="2"/>
      </rPr>
      <t>12</t>
    </r>
  </si>
  <si>
    <t>1 - If an acute SRV was derived it will be listed in this column. The maximum concentration should be compared to the Acute SRV. Exceedance of the acute SRV does NOT indicate that an acute risk exits. If an exceedance occurs, contact the MPCA project manager to determine if an acute risk exits and if immediate action is necessary.</t>
  </si>
  <si>
    <t>HQ-Hazard Quotient (Combined RSC/HQ)</t>
  </si>
  <si>
    <r>
      <rPr>
        <b/>
        <sz val="10"/>
        <color indexed="30"/>
        <rFont val="Arial"/>
        <family val="2"/>
      </rPr>
      <t>Equation 6.</t>
    </r>
    <r>
      <rPr>
        <b/>
        <sz val="10"/>
        <rFont val="Arial"/>
        <family val="2"/>
      </rPr>
      <t xml:space="preserve"> Apparent Diffusivity (Da)</t>
    </r>
  </si>
  <si>
    <r>
      <rPr>
        <b/>
        <sz val="10"/>
        <color indexed="30"/>
        <rFont val="Arial"/>
        <family val="2"/>
      </rPr>
      <t>Equation 14.</t>
    </r>
    <r>
      <rPr>
        <b/>
        <sz val="10"/>
        <rFont val="Arial"/>
        <family val="2"/>
      </rPr>
      <t xml:space="preserve"> Apparent Diffusivity (Da)</t>
    </r>
  </si>
  <si>
    <r>
      <t xml:space="preserve">Basis </t>
    </r>
    <r>
      <rPr>
        <b/>
        <vertAlign val="superscript"/>
        <sz val="8"/>
        <rFont val="Arial"/>
        <family val="2"/>
      </rPr>
      <t>13</t>
    </r>
  </si>
  <si>
    <r>
      <t xml:space="preserve">Basis </t>
    </r>
    <r>
      <rPr>
        <b/>
        <vertAlign val="superscript"/>
        <sz val="8"/>
        <rFont val="Arial"/>
        <family val="2"/>
      </rPr>
      <t>11</t>
    </r>
  </si>
  <si>
    <t>Enter Sample ID</t>
  </si>
  <si>
    <t>BaP 
Equivalent
mg/kg</t>
  </si>
  <si>
    <t>Site Concentration
Dry Weight
mg/kg</t>
  </si>
  <si>
    <t>TCDD
Equivalent
mg/kg</t>
  </si>
  <si>
    <t>TCDD
Equivalent mg/kg</t>
  </si>
  <si>
    <t>Compare total TCDD equivalents to 2,3,7,8-TCDD SRV</t>
  </si>
  <si>
    <t>Total TCDD Equivalents</t>
  </si>
  <si>
    <t>Total TCDD Equivalents - Kaplan Meier</t>
  </si>
  <si>
    <t>Total BaP Equivalents</t>
  </si>
  <si>
    <t>Toluene (methylbenzene)</t>
  </si>
  <si>
    <t>1,1-Dichloroethane (DCE)</t>
  </si>
  <si>
    <t>4-Methyl-2-pentanone (Methyl isobutyl ketone, MIBK)</t>
  </si>
  <si>
    <t>1,1,2-Trichloro -1,2,2 - trifluoroethane (Trichlorofluoroethane, Freon 113, CFC 113)</t>
  </si>
  <si>
    <t>Ethylbenzene</t>
  </si>
  <si>
    <t>Vapor Pressure
mm Hg</t>
  </si>
  <si>
    <t>PHYSPROP
VP/S
EPA RSLs</t>
  </si>
  <si>
    <t>Ma et al 2010
EPA RSLs
July 2016</t>
  </si>
  <si>
    <t>NIOSH
EPA RSLs 2016</t>
  </si>
  <si>
    <t>PHYSPROP
EPA RSLs 2016</t>
  </si>
  <si>
    <t>PHYSPROP
EPA RSLs
2016</t>
  </si>
  <si>
    <t>EPI
EPA RSLs 2016</t>
  </si>
  <si>
    <t>NIOSH
EPA RLSs 2016</t>
  </si>
  <si>
    <t>NIOSH
EAP RSLs 2016</t>
  </si>
  <si>
    <t>ATSDR
EPA RSLs 2016</t>
  </si>
  <si>
    <t>PHYSPROP
EPI
EPA RSLs
2016</t>
  </si>
  <si>
    <t>EPI
EPA RSLs
2016</t>
  </si>
  <si>
    <t>EPI
EPA RSLS 2016</t>
  </si>
  <si>
    <t>EPI</t>
  </si>
  <si>
    <t>EPI:  EPA's Estimation Program Interface (EPI) Suite software, version 4.1 available at:  http://www.epa.gov/opptintr/exposure/pubs/episuite.htm.</t>
  </si>
  <si>
    <t>PHYSPROP
EPI
EPA RSLS 2016</t>
  </si>
  <si>
    <t>n-Propylbenzene (Propyl benzene)</t>
  </si>
  <si>
    <t>PHYSPROP
EPA RSLS 2016</t>
  </si>
  <si>
    <t xml:space="preserve">PHYSPROP: 5.Syracuse Research Corporation (SRC). 2005. PHYSPROPExit Database. SRC. Syracuse, NY. </t>
  </si>
  <si>
    <t xml:space="preserve">Mercury (inorganic) </t>
  </si>
  <si>
    <t>Dibromochloromethane (Chlorodibromomethane)</t>
  </si>
  <si>
    <r>
      <t>Naphthalene</t>
    </r>
    <r>
      <rPr>
        <sz val="8"/>
        <rFont val="Arial"/>
        <family val="2"/>
      </rPr>
      <t xml:space="preserve"> </t>
    </r>
    <r>
      <rPr>
        <vertAlign val="superscript"/>
        <sz val="8"/>
        <rFont val="Arial"/>
        <family val="2"/>
      </rPr>
      <t>4</t>
    </r>
  </si>
  <si>
    <r>
      <t>1,4-Dichlorobenzene</t>
    </r>
    <r>
      <rPr>
        <sz val="8"/>
        <rFont val="Arial"/>
        <family val="2"/>
      </rPr>
      <t xml:space="preserve"> </t>
    </r>
    <r>
      <rPr>
        <vertAlign val="superscript"/>
        <sz val="8"/>
        <rFont val="Arial"/>
        <family val="2"/>
      </rPr>
      <t>4</t>
    </r>
  </si>
  <si>
    <r>
      <t>Acenaphthene</t>
    </r>
    <r>
      <rPr>
        <vertAlign val="superscript"/>
        <sz val="8"/>
        <rFont val="Arial"/>
        <family val="2"/>
      </rPr>
      <t xml:space="preserve"> 4</t>
    </r>
  </si>
  <si>
    <r>
      <t>Anthracene</t>
    </r>
    <r>
      <rPr>
        <vertAlign val="superscript"/>
        <sz val="8"/>
        <rFont val="Arial"/>
        <family val="2"/>
      </rPr>
      <t xml:space="preserve"> 4</t>
    </r>
  </si>
  <si>
    <r>
      <rPr>
        <u/>
        <sz val="8"/>
        <rFont val="Arial"/>
        <family val="2"/>
      </rPr>
      <t>Fluorene</t>
    </r>
    <r>
      <rPr>
        <vertAlign val="superscript"/>
        <sz val="8"/>
        <rFont val="Arial"/>
        <family val="2"/>
      </rPr>
      <t xml:space="preserve"> 4</t>
    </r>
  </si>
  <si>
    <r>
      <t xml:space="preserve">Nickel </t>
    </r>
    <r>
      <rPr>
        <vertAlign val="superscript"/>
        <sz val="8"/>
        <rFont val="Arial"/>
        <family val="2"/>
      </rPr>
      <t>6</t>
    </r>
  </si>
  <si>
    <r>
      <t>Titanium</t>
    </r>
    <r>
      <rPr>
        <vertAlign val="superscript"/>
        <sz val="8"/>
        <rFont val="Arial"/>
        <family val="2"/>
      </rPr>
      <t xml:space="preserve"> 7 </t>
    </r>
  </si>
  <si>
    <r>
      <t xml:space="preserve">Vanadium </t>
    </r>
    <r>
      <rPr>
        <vertAlign val="superscript"/>
        <sz val="8"/>
        <rFont val="Arial"/>
        <family val="2"/>
      </rPr>
      <t xml:space="preserve">8 </t>
    </r>
    <r>
      <rPr>
        <sz val="8"/>
        <rFont val="Arial"/>
        <family val="2"/>
      </rPr>
      <t>(except vanadium pentoxide)</t>
    </r>
  </si>
  <si>
    <r>
      <t xml:space="preserve">Zinc </t>
    </r>
    <r>
      <rPr>
        <vertAlign val="superscript"/>
        <sz val="8"/>
        <rFont val="Arial"/>
        <family val="2"/>
      </rPr>
      <t xml:space="preserve">9 </t>
    </r>
    <r>
      <rPr>
        <sz val="8"/>
        <rFont val="Arial"/>
        <family val="2"/>
      </rPr>
      <t>(except zinc phosphide)</t>
    </r>
  </si>
  <si>
    <r>
      <t xml:space="preserve">Vinyl chloride </t>
    </r>
    <r>
      <rPr>
        <vertAlign val="superscript"/>
        <sz val="8"/>
        <rFont val="Arial"/>
        <family val="2"/>
      </rPr>
      <t>11</t>
    </r>
  </si>
  <si>
    <r>
      <t xml:space="preserve">PCBs (Polychlorinated Biphenyls) </t>
    </r>
    <r>
      <rPr>
        <vertAlign val="superscript"/>
        <sz val="8"/>
        <rFont val="Arial"/>
        <family val="2"/>
      </rPr>
      <t>11</t>
    </r>
  </si>
  <si>
    <r>
      <t xml:space="preserve">TCDD (2,3,7,8-) (or 2,3,7,8 TCDD equivalents, 2,3,7,8-Tetrachlorodibenzo-p-dioxin) </t>
    </r>
    <r>
      <rPr>
        <vertAlign val="superscript"/>
        <sz val="8"/>
        <rFont val="Arial"/>
        <family val="2"/>
      </rPr>
      <t>11</t>
    </r>
  </si>
  <si>
    <r>
      <t xml:space="preserve">PCBs (Polychlorinated Biphenyls) </t>
    </r>
    <r>
      <rPr>
        <vertAlign val="superscript"/>
        <sz val="8"/>
        <rFont val="Arial"/>
        <family val="2"/>
      </rPr>
      <t>9</t>
    </r>
  </si>
  <si>
    <r>
      <t xml:space="preserve">TCDD (2,3,7,8-) (2,3,7,8 TCDD equivalents, 2,3,7,8-Tetrachlorodibenzo-p-dioxin) </t>
    </r>
    <r>
      <rPr>
        <vertAlign val="superscript"/>
        <sz val="8"/>
        <rFont val="Arial"/>
        <family val="2"/>
      </rPr>
      <t>9</t>
    </r>
  </si>
  <si>
    <t>Chemical-specific</t>
  </si>
  <si>
    <t>When Chemical-specific adjustment factors have been determined they are used instead of the default ADAFs</t>
  </si>
  <si>
    <t>chemical-specific</t>
  </si>
  <si>
    <r>
      <t xml:space="preserve">Toxicity Equivalence Factor
(TEF) </t>
    </r>
    <r>
      <rPr>
        <b/>
        <vertAlign val="superscript"/>
        <sz val="8"/>
        <rFont val="Arial"/>
        <family val="2"/>
      </rPr>
      <t>1</t>
    </r>
  </si>
  <si>
    <t>Polychlorinated dibenzo-p-dioxins (PCDDs, Dioxins)</t>
  </si>
  <si>
    <t>Polychlorinated dibenzofurans (PCDFs, Furans)</t>
  </si>
  <si>
    <t>Polychlorinated biphenyls (PCBs)</t>
  </si>
  <si>
    <t>1 - Van den Berg, et al.,  The 2005 World Health Organization Re-evaluation of Human and Mammalian. Toxic Equivalency Factors for Dioxins and Dioxin-like Compounds.</t>
  </si>
  <si>
    <t>EPA 2010. Recommended Toxicity Equivalence Factors (TEFs) for Human Health Risk Assessments of 2,3,7,8-Tetrachlorodibenzo-p-dioxin and Dioxin-like Compounds.</t>
  </si>
  <si>
    <t>MDH 2009. Methods for Estimating the Carcinogenic Health Risks from Dioxin-like Compounds.</t>
  </si>
  <si>
    <t xml:space="preserve">12 - When it is necessary to round an exposure concentration to compare to a SRV or BTV, the concentration should be rounded up or down following the accepted mathematical procedure. The last digit in the concentration past the last digit in the SRV is rounded down if it is less than 5 and rounded up if it is equal to or greater than 5. </t>
  </si>
  <si>
    <t xml:space="preserve">14 - When it is necessary to round an exposure concentration to compare to a SRV or BTV, the concentration should be rounded up or down following the accepted mathematical procedure. The last digit in the concentration past the last digit in the SRV is rounded down if it is less than 5 and rounded up if it is equal to or greater than 5. </t>
  </si>
  <si>
    <t>Polycyclic Aromatic Hydrocarbons</t>
  </si>
  <si>
    <t xml:space="preserve">RBA-Relative Bioavailability </t>
  </si>
  <si>
    <r>
      <t xml:space="preserve">9 - SRVs for chemicals highlighted in </t>
    </r>
    <r>
      <rPr>
        <b/>
        <sz val="8"/>
        <rFont val="Arial"/>
        <family val="2"/>
      </rPr>
      <t>green</t>
    </r>
    <r>
      <rPr>
        <sz val="8"/>
        <rFont val="Arial"/>
        <family val="2"/>
      </rPr>
      <t xml:space="preserve"> include the dermal exposure pathway even though they are considered VOCs since EPA RAGS E provides dermal absorption fractions for these chemicals (see Exhibit 3-4).</t>
    </r>
  </si>
  <si>
    <t>Total BaP Equivalents - Kaplan Meier</t>
  </si>
  <si>
    <r>
      <t xml:space="preserve">Dieldrin </t>
    </r>
    <r>
      <rPr>
        <vertAlign val="superscript"/>
        <sz val="8"/>
        <rFont val="Arial"/>
        <family val="2"/>
      </rPr>
      <t>10</t>
    </r>
  </si>
  <si>
    <t>6. PPRTV Appendix screening values available in the "PPRTV Derivation Support Document" for individual chemicals at http://hhpprtv.ornl.gov/quickview/pprtv.php.</t>
  </si>
  <si>
    <t>EPA 2014, MPCA 2021</t>
  </si>
  <si>
    <t xml:space="preserve">MPCA 2021.  Soil Reference Values Technical Support Document. </t>
  </si>
  <si>
    <t>EPA 2014, EPA 2011, MPCA 2021a</t>
  </si>
  <si>
    <t>EPA 2002, MPCA 2021a, standard or mass limit</t>
  </si>
  <si>
    <t>EPA 2002, MPCA 2021a, Standard or Mass Limit</t>
  </si>
  <si>
    <t xml:space="preserve">MPCA 2021 - 12 feet default </t>
  </si>
  <si>
    <r>
      <t xml:space="preserve">Arsenic </t>
    </r>
    <r>
      <rPr>
        <i/>
        <vertAlign val="superscript"/>
        <sz val="8"/>
        <color indexed="30"/>
        <rFont val="Arial"/>
        <family val="2"/>
      </rPr>
      <t>9</t>
    </r>
  </si>
  <si>
    <t xml:space="preserve">Barium </t>
  </si>
  <si>
    <t xml:space="preserve">Cadmium </t>
  </si>
  <si>
    <t xml:space="preserve">Copper </t>
  </si>
  <si>
    <t xml:space="preserve">Cyanide </t>
  </si>
  <si>
    <t xml:space="preserve">Fluorine (soluble fluoride) </t>
  </si>
  <si>
    <r>
      <t xml:space="preserve">Nickel </t>
    </r>
    <r>
      <rPr>
        <i/>
        <vertAlign val="superscript"/>
        <sz val="8"/>
        <color indexed="30"/>
        <rFont val="Arial"/>
        <family val="2"/>
      </rPr>
      <t>5</t>
    </r>
  </si>
  <si>
    <t xml:space="preserve">Phenol </t>
  </si>
  <si>
    <r>
      <t xml:space="preserve">Vanadium (except vanadium pentoxide) </t>
    </r>
    <r>
      <rPr>
        <vertAlign val="superscript"/>
        <sz val="8"/>
        <rFont val="Arial"/>
        <family val="2"/>
      </rPr>
      <t>7, 9, 11</t>
    </r>
  </si>
  <si>
    <t>EPA 2002, MPCA 2021, Standard or Mass Limit</t>
  </si>
  <si>
    <t>MPCA 2021</t>
  </si>
  <si>
    <t>MPCA 2021a.  Soil Reference Values (SRV) Spreadsheet, Res-Rec Equations tab.</t>
  </si>
  <si>
    <t>MPCA 2021a.  Soil Reference Values (SRV) Spreadsheet, Com-Ind Equations tab.</t>
  </si>
  <si>
    <t xml:space="preserve">13 - Res-Rec SRV should be used if children are expected to be present; refer to SRV TSD for more information. </t>
  </si>
  <si>
    <r>
      <t xml:space="preserve">Vinyl chloride </t>
    </r>
    <r>
      <rPr>
        <vertAlign val="superscript"/>
        <sz val="8"/>
        <color indexed="10"/>
        <rFont val="Arial"/>
        <family val="2"/>
      </rPr>
      <t>13</t>
    </r>
  </si>
  <si>
    <t>10 - A chemical specific adjustment factor of 2.5 is used for dieldrin instead of the default ADAFs.  Linear Carcinogen column is highlighted in purple to indicate the presence of a chemical specific adjustment factor.</t>
  </si>
  <si>
    <t xml:space="preserve">1 - Early Life adjustments have been used when deriving one or both of the cancer toxicity values.  This may include a study assessing early life exposure or uncertainty factors used during the derivation.  In these cases the toxicity values with early life adjustments must be modified to not include the early life adjustments for the industrial, commercial land use category.  </t>
  </si>
  <si>
    <r>
      <t>MDH Chronic HBV 2020
Human, occupational, inhalation 
Significant decrease in B cells (hematotoxicity)
UF = 300
LOAEL = 0.57 ppm</t>
    </r>
    <r>
      <rPr>
        <vertAlign val="superscript"/>
        <sz val="8"/>
        <rFont val="Arial"/>
        <family val="2"/>
      </rPr>
      <t xml:space="preserve">
</t>
    </r>
    <r>
      <rPr>
        <sz val="8"/>
        <rFont val="Arial"/>
        <family val="2"/>
      </rPr>
      <t xml:space="preserve">
</t>
    </r>
  </si>
  <si>
    <t>355-46-4</t>
  </si>
  <si>
    <t xml:space="preserve">EPA memo from 12/2012 
OSWER Directive: 9200.1-113
</t>
  </si>
  <si>
    <t xml:space="preserve">3 - Inhalation pathway is evaluated differently for VOCs and non VOCs.  Fugitive dust using the particulate emission factor (1/PF) is not included for VOCs.  </t>
  </si>
  <si>
    <t>ETinh-Exposure Time Inhalation</t>
  </si>
  <si>
    <t>CompTox (Predicted average)</t>
  </si>
  <si>
    <t>CompTox (Experimental average)</t>
  </si>
  <si>
    <t xml:space="preserve">1 - Short list of 7 cPAHs to be analyzed at the majority of Remediation sites. </t>
  </si>
  <si>
    <t xml:space="preserve">11 - BTVs for aluminum and vanadium are based on EPA reanalyzed samples (refer to BTV Evaluation document for additional information). If samples at remediation sites will be analyzed using other methods (e.g., USGS methods), a background value based on the USGS dataset (BTV Evaluation document) may be more appropriate. Contact the MPCA program manager and risk assessor to determine an appropriate BTV if EPA methods will not be used. </t>
  </si>
  <si>
    <t xml:space="preserve">9 - BTV for vanadium is based on EPA reanalyzed samples (refer to BTV Evaluation document for additional information). If samples at remediation sites will be analyzed using other methods (e.g., USGS methods), a background value based on the USGS dataset (BTV Evaluation document) may be more appropriate. Contact the MPCA program manager and risk assessor to determine an appropriate BTV if EPA methods will not be used. </t>
  </si>
  <si>
    <t xml:space="preserve">10 - BTV for thallium is based on EPA reanalyzed samples (refer to BTV Evaluation document for additional information). There is a higher amount of uncertainty associated with this dataset because many detect concentrations are close to the reporting limit. Contact the MPCA program manager and risk assessor if a site-specific BTV is needed. </t>
  </si>
  <si>
    <t xml:space="preserve">All 25 cPAHs are recommended to be analyzed under specific circumstances described in the Soil Investigation Guidance document (remediation division) if established analytical methods exist. </t>
  </si>
  <si>
    <t>MDH 2020.  MDH Risk Assessment Methods: Incorporating Early-Life Sensitivity into Cancer Risk Assessment for Linear Carcinogens.</t>
  </si>
  <si>
    <t>EPA 2005, MDH 2020</t>
  </si>
  <si>
    <t>EPA 2002, EPA 2005, MDH 2020</t>
  </si>
  <si>
    <r>
      <t xml:space="preserve">Exposure assumptions in blue highlighting may be modified during a site-specific risk assessment but the modification must be made by a MPCA risk assessor. </t>
    </r>
    <r>
      <rPr>
        <sz val="9"/>
        <color indexed="53"/>
        <rFont val="Arial"/>
        <family val="2"/>
      </rPr>
      <t/>
    </r>
  </si>
  <si>
    <t xml:space="preserve">Exposure assumptions in green highlighting may be modified during a site-specific risk assessment for certain Residential/Recreational sub-categories but the modification must be made by a MPCA risk assessor. </t>
  </si>
  <si>
    <r>
      <t xml:space="preserve">11 - SRVs for chemicals highlighted in </t>
    </r>
    <r>
      <rPr>
        <b/>
        <sz val="8"/>
        <color indexed="8"/>
        <rFont val="Arial"/>
        <family val="2"/>
      </rPr>
      <t>green</t>
    </r>
    <r>
      <rPr>
        <sz val="8"/>
        <color indexed="8"/>
        <rFont val="Arial"/>
        <family val="2"/>
      </rPr>
      <t xml:space="preserve"> include the dermal exposure pathway even though they are considered VOCs since EPA RAGS E provides dermal absorption fractions for these chemicals (see EPA Exhibit 3-4).</t>
    </r>
  </si>
  <si>
    <r>
      <t xml:space="preserve">9 - Values that are highlighted in </t>
    </r>
    <r>
      <rPr>
        <b/>
        <sz val="8"/>
        <rFont val="Arial"/>
        <family val="2"/>
      </rPr>
      <t>orange</t>
    </r>
    <r>
      <rPr>
        <sz val="8"/>
        <rFont val="Arial"/>
        <family val="2"/>
      </rPr>
      <t xml:space="preserve"> are Background Threshold Values (BTVs) and are not calculated health based SRVs. The calculated SRVs were determined to be below background values. Please refer to the "Background Threshold Value Evaluation" document for additional information. It is not appropriate to include BTVs in additivity calculations. Arsenic acute SRV is set to BTV. </t>
    </r>
  </si>
  <si>
    <r>
      <t xml:space="preserve">8 - Values that are highlighted in </t>
    </r>
    <r>
      <rPr>
        <b/>
        <sz val="8"/>
        <rFont val="Arial"/>
        <family val="2"/>
      </rPr>
      <t>orange</t>
    </r>
    <r>
      <rPr>
        <sz val="8"/>
        <rFont val="Arial"/>
        <family val="2"/>
      </rPr>
      <t xml:space="preserve"> are Background Threshold Values (BTVs) and are not calculated health based SRVs. The calculated SRVs were determined to be below background values. Please refer to the "Background Threshold Value Evaluation" document for additional information. It is not appropriate to include BTVs in additivity calculations.</t>
    </r>
  </si>
  <si>
    <r>
      <t>Cancer
Inhalation Unit Risk 
(µg/m</t>
    </r>
    <r>
      <rPr>
        <b/>
        <vertAlign val="superscript"/>
        <sz val="8"/>
        <rFont val="Arial"/>
        <family val="2"/>
      </rPr>
      <t>3</t>
    </r>
    <r>
      <rPr>
        <b/>
        <sz val="8"/>
        <rFont val="Arial"/>
        <family val="2"/>
      </rPr>
      <t>)</t>
    </r>
    <r>
      <rPr>
        <b/>
        <vertAlign val="superscript"/>
        <sz val="8"/>
        <rFont val="Arial"/>
        <family val="2"/>
      </rPr>
      <t>-1</t>
    </r>
  </si>
  <si>
    <r>
      <t xml:space="preserve">TCDD (2,3,7,8-) (2,3,7,8 TCDD equivalents, 2,3,7,8-Tetrachlorodibenzo-p-dioxin)  </t>
    </r>
    <r>
      <rPr>
        <vertAlign val="superscript"/>
        <sz val="8"/>
        <rFont val="Arial"/>
        <family val="2"/>
      </rPr>
      <t>9</t>
    </r>
  </si>
  <si>
    <r>
      <t xml:space="preserve">Thallium </t>
    </r>
    <r>
      <rPr>
        <vertAlign val="superscript"/>
        <sz val="8"/>
        <rFont val="Arial"/>
        <family val="2"/>
      </rPr>
      <t>9, 10</t>
    </r>
  </si>
  <si>
    <r>
      <t>Site
Maximum
Concentration
(mg/kg)
Dry Weight</t>
    </r>
    <r>
      <rPr>
        <b/>
        <vertAlign val="superscript"/>
        <sz val="8"/>
        <rFont val="Arial"/>
        <family val="2"/>
      </rPr>
      <t xml:space="preserve"> 1, 14</t>
    </r>
  </si>
  <si>
    <r>
      <t>1,4-Dibromobenzene</t>
    </r>
    <r>
      <rPr>
        <sz val="8"/>
        <rFont val="Arial"/>
        <family val="2"/>
      </rPr>
      <t xml:space="preserve"> </t>
    </r>
    <r>
      <rPr>
        <vertAlign val="superscript"/>
        <sz val="8"/>
        <rFont val="Arial"/>
        <family val="2"/>
      </rPr>
      <t>4</t>
    </r>
  </si>
  <si>
    <r>
      <t xml:space="preserve">Hexachlorobenzene </t>
    </r>
    <r>
      <rPr>
        <vertAlign val="superscript"/>
        <sz val="8"/>
        <rFont val="Arial"/>
        <family val="2"/>
      </rPr>
      <t>4</t>
    </r>
  </si>
  <si>
    <r>
      <t>Pyrene</t>
    </r>
    <r>
      <rPr>
        <sz val="8"/>
        <rFont val="Arial"/>
        <family val="2"/>
      </rPr>
      <t xml:space="preserve"> </t>
    </r>
    <r>
      <rPr>
        <vertAlign val="superscript"/>
        <sz val="8"/>
        <rFont val="Arial"/>
        <family val="2"/>
      </rPr>
      <t>4</t>
    </r>
  </si>
  <si>
    <r>
      <t>Aldrin</t>
    </r>
    <r>
      <rPr>
        <sz val="8"/>
        <rFont val="Arial"/>
        <family val="2"/>
      </rPr>
      <t xml:space="preserve"> </t>
    </r>
    <r>
      <rPr>
        <vertAlign val="superscript"/>
        <sz val="8"/>
        <rFont val="Arial"/>
        <family val="2"/>
      </rPr>
      <t>4</t>
    </r>
  </si>
  <si>
    <r>
      <t>Chlordane</t>
    </r>
    <r>
      <rPr>
        <sz val="8"/>
        <rFont val="Arial"/>
        <family val="2"/>
      </rPr>
      <t xml:space="preserve"> </t>
    </r>
    <r>
      <rPr>
        <vertAlign val="superscript"/>
        <sz val="8"/>
        <rFont val="Arial"/>
        <family val="2"/>
      </rPr>
      <t>4</t>
    </r>
  </si>
  <si>
    <r>
      <t>Endosulfan</t>
    </r>
    <r>
      <rPr>
        <sz val="8"/>
        <rFont val="Arial"/>
        <family val="2"/>
      </rPr>
      <t xml:space="preserve"> </t>
    </r>
    <r>
      <rPr>
        <vertAlign val="superscript"/>
        <sz val="8"/>
        <rFont val="Arial"/>
        <family val="2"/>
      </rPr>
      <t>4</t>
    </r>
  </si>
  <si>
    <r>
      <t>Heptachlor</t>
    </r>
    <r>
      <rPr>
        <sz val="8"/>
        <rFont val="Arial"/>
        <family val="2"/>
      </rPr>
      <t xml:space="preserve"> </t>
    </r>
    <r>
      <rPr>
        <vertAlign val="superscript"/>
        <sz val="8"/>
        <rFont val="Arial"/>
        <family val="2"/>
      </rPr>
      <t>4</t>
    </r>
  </si>
  <si>
    <r>
      <t>Heptachlor epoxide</t>
    </r>
    <r>
      <rPr>
        <sz val="8"/>
        <rFont val="Arial"/>
        <family val="2"/>
      </rPr>
      <t xml:space="preserve"> </t>
    </r>
    <r>
      <rPr>
        <vertAlign val="superscript"/>
        <sz val="8"/>
        <rFont val="Arial"/>
        <family val="2"/>
      </rPr>
      <t>4</t>
    </r>
  </si>
  <si>
    <r>
      <rPr>
        <u/>
        <sz val="8"/>
        <rFont val="Arial"/>
        <family val="2"/>
      </rPr>
      <t>Chlordane</t>
    </r>
    <r>
      <rPr>
        <sz val="8"/>
        <rFont val="Arial"/>
        <family val="2"/>
      </rPr>
      <t xml:space="preserve"> </t>
    </r>
    <r>
      <rPr>
        <vertAlign val="superscript"/>
        <sz val="8"/>
        <rFont val="Arial"/>
        <family val="2"/>
      </rPr>
      <t>4, 11</t>
    </r>
  </si>
  <si>
    <r>
      <t>Chlordane</t>
    </r>
    <r>
      <rPr>
        <sz val="8"/>
        <rFont val="Arial"/>
        <family val="2"/>
      </rPr>
      <t xml:space="preserve"> </t>
    </r>
    <r>
      <rPr>
        <vertAlign val="superscript"/>
        <sz val="8"/>
        <rFont val="Arial"/>
        <family val="2"/>
      </rPr>
      <t>4, 9</t>
    </r>
  </si>
  <si>
    <r>
      <t>Dibenzofuran (unsubstituted)</t>
    </r>
    <r>
      <rPr>
        <sz val="8"/>
        <rFont val="Arial"/>
        <family val="2"/>
      </rPr>
      <t xml:space="preserve"> </t>
    </r>
    <r>
      <rPr>
        <vertAlign val="superscript"/>
        <sz val="8"/>
        <rFont val="Arial"/>
        <family val="2"/>
      </rPr>
      <t>4</t>
    </r>
  </si>
  <si>
    <r>
      <t>2-Methylnaphthalene</t>
    </r>
    <r>
      <rPr>
        <sz val="8"/>
        <rFont val="Arial"/>
        <family val="2"/>
      </rPr>
      <t xml:space="preserve"> </t>
    </r>
    <r>
      <rPr>
        <vertAlign val="superscript"/>
        <sz val="8"/>
        <rFont val="Arial"/>
        <family val="2"/>
      </rPr>
      <t>4</t>
    </r>
  </si>
  <si>
    <r>
      <t>4,4-DDE</t>
    </r>
    <r>
      <rPr>
        <sz val="8"/>
        <rFont val="Arial"/>
        <family val="2"/>
      </rPr>
      <t xml:space="preserve"> </t>
    </r>
    <r>
      <rPr>
        <vertAlign val="superscript"/>
        <sz val="8"/>
        <rFont val="Arial"/>
        <family val="2"/>
      </rPr>
      <t>4</t>
    </r>
  </si>
  <si>
    <r>
      <t>4,4-DDE (p,p'-Dichlorodiphenyldichloroethylene)</t>
    </r>
    <r>
      <rPr>
        <sz val="8"/>
        <rFont val="Arial"/>
        <family val="2"/>
      </rPr>
      <t xml:space="preserve"> </t>
    </r>
    <r>
      <rPr>
        <vertAlign val="superscript"/>
        <sz val="8"/>
        <rFont val="Arial"/>
        <family val="2"/>
      </rPr>
      <t>4</t>
    </r>
  </si>
  <si>
    <t>10 hours a day; MDH recommendation (MPCA 2021b)</t>
  </si>
  <si>
    <t>MPCA 2021b. Intrusion Screening Values Technical Support Document.</t>
  </si>
  <si>
    <t>Calculations for 16&lt;21 are provided in Res-Rec Equations tab.</t>
  </si>
  <si>
    <t>10/24 hours</t>
  </si>
  <si>
    <t>EPA 2002, MPCA 2021, 30 years</t>
  </si>
  <si>
    <t>ED6-Exposure Duration (0-6 years)</t>
  </si>
  <si>
    <t>EPA 2002, EPA 2005</t>
  </si>
  <si>
    <t>ED26-Exposure Duration (0-26 years)</t>
  </si>
  <si>
    <t>IR6-Ingestion Rate (0-6 years)</t>
  </si>
  <si>
    <t>IR26-Ingestion Rate (0-26 years)</t>
  </si>
  <si>
    <t>BW6-Body Weight (0-6 years)</t>
  </si>
  <si>
    <t>BW26-Body Weight (0-26 years)</t>
  </si>
  <si>
    <t>kg/mg</t>
  </si>
  <si>
    <t>days/hours</t>
  </si>
  <si>
    <t>CF3-Conversion Factor</t>
  </si>
  <si>
    <t>μg/mg</t>
  </si>
  <si>
    <t>AF6-Adherence Factor (0-6 years)</t>
  </si>
  <si>
    <t>AF26-Adherence Factor (0-26 years)</t>
  </si>
  <si>
    <t>SA6-Surface Area (0-6 years)</t>
  </si>
  <si>
    <t>SA26-Surface Area (0-26 years)</t>
  </si>
  <si>
    <t xml:space="preserve">ET-Exposure Time </t>
  </si>
  <si>
    <t>hours/day</t>
  </si>
  <si>
    <r>
      <rPr>
        <b/>
        <sz val="10"/>
        <color indexed="30"/>
        <rFont val="Arial"/>
        <family val="2"/>
      </rPr>
      <t>Equation 10.</t>
    </r>
    <r>
      <rPr>
        <b/>
        <sz val="10"/>
        <rFont val="Arial"/>
        <family val="2"/>
      </rPr>
      <t xml:space="preserve"> Residential/Recreational Cancer Soil Reference Value (SRV) - Vinyl Chloride</t>
    </r>
  </si>
  <si>
    <t xml:space="preserve">VF-30 year Volatilization Factor </t>
  </si>
  <si>
    <t>EPA 2014, EPA 2011</t>
  </si>
  <si>
    <t>11 - A chemical specific equation for calculating cancer risk is used for vinyl chloride per EPA RSL guidance.  Linear Carcinogen column is highlighted in blue to indicate the presence of a chemical specific equation. The equation is provided as Equation 10 on the Res-Rec Equations tab.</t>
  </si>
  <si>
    <r>
      <t xml:space="preserve">5 - A chemical-specific adjustment factor of 2.5 is used for dieldrin instead of the default ADAFs.  </t>
    </r>
    <r>
      <rPr>
        <b/>
        <sz val="8"/>
        <rFont val="Arial"/>
        <family val="2"/>
      </rPr>
      <t>Purple</t>
    </r>
    <r>
      <rPr>
        <b/>
        <sz val="8"/>
        <color indexed="62"/>
        <rFont val="Arial"/>
        <family val="2"/>
      </rPr>
      <t xml:space="preserve"> </t>
    </r>
    <r>
      <rPr>
        <sz val="8"/>
        <rFont val="Arial"/>
        <family val="2"/>
      </rPr>
      <t xml:space="preserve">highlighting indicates a chemical-specific adjustment factor was used. </t>
    </r>
  </si>
  <si>
    <r>
      <t xml:space="preserve">SRV 
Revision Year </t>
    </r>
    <r>
      <rPr>
        <b/>
        <vertAlign val="superscript"/>
        <sz val="8"/>
        <rFont val="Arial"/>
        <family val="2"/>
      </rPr>
      <t>15</t>
    </r>
  </si>
  <si>
    <r>
      <t xml:space="preserve">SRV 
Revision Year </t>
    </r>
    <r>
      <rPr>
        <b/>
        <vertAlign val="superscript"/>
        <sz val="8"/>
        <rFont val="Arial"/>
        <family val="2"/>
      </rPr>
      <t>14</t>
    </r>
  </si>
  <si>
    <r>
      <t xml:space="preserve">Res/Rec
Acute 
SRV </t>
    </r>
    <r>
      <rPr>
        <b/>
        <vertAlign val="superscript"/>
        <sz val="8"/>
        <rFont val="Arial"/>
        <family val="2"/>
      </rPr>
      <t xml:space="preserve">1
</t>
    </r>
    <r>
      <rPr>
        <b/>
        <sz val="8"/>
        <rFont val="Arial"/>
        <family val="2"/>
      </rPr>
      <t>(mg/kg)</t>
    </r>
  </si>
  <si>
    <t>Res/Rec
Final 
Chronic
SRV
(mg/kg)</t>
  </si>
  <si>
    <t>Com/Ind
Final 
Chronic 
SRV
(mg/kg)</t>
  </si>
  <si>
    <t>Likely to be Carcinogenic to Humans by inhalation route</t>
  </si>
  <si>
    <t xml:space="preserve"> C
Possible human carcinogen</t>
  </si>
  <si>
    <t>"Inorganic tin compounds are not known to cause cancer"</t>
  </si>
  <si>
    <t>IRIS 3/1/1989
Mouse, oral, gavage, 78 weeks (less than standard 104 weeks)
Hepatocellular adenoma or carcinoma</t>
  </si>
  <si>
    <t>IRIS 3/31/1987
Mouse, oral, gavage followed by diet 
Hepatomas (liver)</t>
  </si>
  <si>
    <t xml:space="preserve">MDH Cancer HRL 1993
CSF from IRIS
IRIS 9/1/1990
Rat, female, oral, gavage in corn oil 
Neoplastic lesions in the large intestine </t>
  </si>
  <si>
    <t xml:space="preserve">IRIS 9/1/1990
Rat, female, oral, gavage in corn oil 
Neoplastic lesions in the large intestine </t>
  </si>
  <si>
    <t xml:space="preserve">MDH Cancer HRL 1993
RfD from IRIS
IRIS 8/1/1990
Rat, oral, diet
Mammary adenocarcinoma </t>
  </si>
  <si>
    <t xml:space="preserve">MDH Cancer HRL 1993
CSF from IRIS
IRIS 3/1/1991
Rat, female, oral, diet
Hepatocellular carcinoma </t>
  </si>
  <si>
    <t xml:space="preserve">IRIS 3/1/1991
Rat, female, oral, diet
Hepatocellular carcinoma </t>
  </si>
  <si>
    <t xml:space="preserve">IRIS 10/01/1992
Rat, oral, gavage
Preputial gland carcinoma </t>
  </si>
  <si>
    <t xml:space="preserve">MDH Cancer HRL 1993
CSF from IRIS
IRIS 3/31/1987
Rat, female, oral, drinking water 
Transitional cell carcinoma of the bladder </t>
  </si>
  <si>
    <t>Carcinogenic to humans</t>
  </si>
  <si>
    <t xml:space="preserve">IRIS 9/30/1987
Mouse, oral, diet
Hepatocellular carcinomas </t>
  </si>
  <si>
    <t>Assessment underway at the time of the last significant revision (2012)</t>
  </si>
  <si>
    <t>Suggestive evidence of carcinogenic potential</t>
  </si>
  <si>
    <t>Suggestive evidence of carcinogenicity in humans</t>
  </si>
  <si>
    <t>Likely carcinogenic under high-exposure conditions; not likely carcinogenic by any route of exposure under conditions that do not cause cytotoxicity and cell regeneration</t>
  </si>
  <si>
    <t xml:space="preserve">MDH HRL 9/2013
RfD = 3.3E-03 mg/kg-day
Liver, immune system
BMDL = 3.9 mg/kg-day
UF = 300
</t>
  </si>
  <si>
    <r>
      <t xml:space="preserve">Additivity Calculation by Cancer and Noncancer Target Endpoints </t>
    </r>
    <r>
      <rPr>
        <b/>
        <vertAlign val="superscript"/>
        <sz val="8"/>
        <rFont val="Arial"/>
        <family val="2"/>
      </rPr>
      <t xml:space="preserve">16, 17 </t>
    </r>
    <r>
      <rPr>
        <b/>
        <sz val="8"/>
        <rFont val="Arial"/>
        <family val="2"/>
      </rPr>
      <t xml:space="preserve">  </t>
    </r>
  </si>
  <si>
    <r>
      <t xml:space="preserve">Hazard Quotients (HQs) and Hazard Index (HI) by Noncancer Chronic Target Endpoints </t>
    </r>
    <r>
      <rPr>
        <b/>
        <vertAlign val="superscript"/>
        <sz val="8"/>
        <rFont val="Arial"/>
        <family val="2"/>
      </rPr>
      <t>16</t>
    </r>
  </si>
  <si>
    <r>
      <t xml:space="preserve">Additivity Calculation by Cancer and Noncancer Target Endpoints </t>
    </r>
    <r>
      <rPr>
        <b/>
        <vertAlign val="superscript"/>
        <sz val="8"/>
        <rFont val="Arial"/>
        <family val="2"/>
      </rPr>
      <t xml:space="preserve">15, 16 </t>
    </r>
    <r>
      <rPr>
        <b/>
        <sz val="8"/>
        <rFont val="Arial"/>
        <family val="2"/>
      </rPr>
      <t xml:space="preserve">  </t>
    </r>
  </si>
  <si>
    <r>
      <t xml:space="preserve">Hazard Quotients (HQs) and Hazard Index (HI) by Noncancer Chronic Target Endpoints </t>
    </r>
    <r>
      <rPr>
        <b/>
        <vertAlign val="superscript"/>
        <sz val="8"/>
        <rFont val="Arial"/>
        <family val="2"/>
      </rPr>
      <t>15</t>
    </r>
  </si>
  <si>
    <t xml:space="preserve">PPRTV Appendix 2/4/2009, 
Based on IRIS 1991 value for ethylbenzene (kidney, liver)
LOAEL = 97.1 mg/kg-day
UF = 1000
PPRTV: Structural activity relationship &amp; 2 week study LOAEL = 1080 mg/kg-day
UF = 10,000
Methods result in same RfD
</t>
  </si>
  <si>
    <t>2,4-Dichlorophenol</t>
  </si>
  <si>
    <t>2-Methylphenol (o-cresol)</t>
  </si>
  <si>
    <t>2,3,4,6-Tetrachlorophenol</t>
  </si>
  <si>
    <t>2,4,5-Trichlorophenol</t>
  </si>
  <si>
    <t>2,4,6-Trichlorophenol</t>
  </si>
  <si>
    <t xml:space="preserve">2,4-Dinitrotolulene (2,4-DNT) </t>
  </si>
  <si>
    <t xml:space="preserve">2,6-Dinitrotolulene (2,6-DNT) </t>
  </si>
  <si>
    <r>
      <t>Benzoic acid</t>
    </r>
    <r>
      <rPr>
        <vertAlign val="superscript"/>
        <sz val="8"/>
        <rFont val="Arial"/>
        <family val="2"/>
      </rPr>
      <t xml:space="preserve"> </t>
    </r>
  </si>
  <si>
    <t xml:space="preserve">Fluoranthene </t>
  </si>
  <si>
    <t xml:space="preserve">Carbazole </t>
  </si>
  <si>
    <t xml:space="preserve">Endrin </t>
  </si>
  <si>
    <t xml:space="preserve">alpha-Hexachlorocyclohexane (alpha-BHC or alpha-HCH, Hexachlorocyclohexane- Alpha isomer) </t>
  </si>
  <si>
    <t xml:space="preserve">beta-Hexachlorocyclohexane (beta-BHC or beta-HCH) </t>
  </si>
  <si>
    <t xml:space="preserve">gamma-Hexachlorocyclohexane (gamma-BHC, Lindane) </t>
  </si>
  <si>
    <t xml:space="preserve">Toxaphene </t>
  </si>
  <si>
    <t>Molybdenum</t>
  </si>
  <si>
    <t>Nitrobenzene</t>
  </si>
  <si>
    <t>98-95-3</t>
  </si>
  <si>
    <t>90-12-0</t>
  </si>
  <si>
    <t>Methyl tert-butyl ether (MTBE)</t>
  </si>
  <si>
    <t>1634-04-4</t>
  </si>
  <si>
    <t>Bromobenzene</t>
  </si>
  <si>
    <t>108-86-1</t>
  </si>
  <si>
    <t>60-29-7</t>
  </si>
  <si>
    <t>1-methylnaphthalene</t>
  </si>
  <si>
    <r>
      <t>The mean SA lower legs calculated to be 2505 cm</t>
    </r>
    <r>
      <rPr>
        <vertAlign val="superscript"/>
        <sz val="10"/>
        <rFont val="Arial"/>
        <family val="2"/>
      </rPr>
      <t>2</t>
    </r>
    <r>
      <rPr>
        <sz val="10"/>
        <rFont val="Arial"/>
        <family val="2"/>
      </rPr>
      <t xml:space="preserve"> by EPA since they do not carry decimals forward.  For consistency purposes 2505 (not 2506) will be used in MPCA's SA calculations.</t>
    </r>
  </si>
  <si>
    <r>
      <t>MPCA uses a 16&lt;26 years SA of 6,585 cm</t>
    </r>
    <r>
      <rPr>
        <vertAlign val="superscript"/>
        <sz val="10"/>
        <color indexed="8"/>
        <rFont val="Arial"/>
        <family val="2"/>
      </rPr>
      <t xml:space="preserve">2 </t>
    </r>
    <r>
      <rPr>
        <sz val="10"/>
        <color indexed="8"/>
        <rFont val="Arial"/>
        <family val="2"/>
      </rPr>
      <t>for the residential cancer calculations.</t>
    </r>
  </si>
  <si>
    <t>ED20-Exposure Duration (6-26 years)</t>
  </si>
  <si>
    <t>Allyl Chloride</t>
  </si>
  <si>
    <t>107-05-1</t>
  </si>
  <si>
    <t>MDH HRL 1994
Nervous system</t>
  </si>
  <si>
    <t>Ethyl ether (diethyl ether)</t>
  </si>
  <si>
    <t>1,2,3-Trichloropropane</t>
  </si>
  <si>
    <t>96-18-4</t>
  </si>
  <si>
    <t xml:space="preserve">1,2,3-Trimethylbenzene </t>
  </si>
  <si>
    <t>526-73-8</t>
  </si>
  <si>
    <t>Aniline</t>
  </si>
  <si>
    <t>62-53-3</t>
  </si>
  <si>
    <t>Caprolactam</t>
  </si>
  <si>
    <t>105-60-2</t>
  </si>
  <si>
    <t>2-Chlorophenol</t>
  </si>
  <si>
    <t>95-57-8</t>
  </si>
  <si>
    <t>1,2-Dinitrobenzene</t>
  </si>
  <si>
    <t>528-29-0</t>
  </si>
  <si>
    <t>1,4-Dinitrobenzene</t>
  </si>
  <si>
    <t>100-25-4</t>
  </si>
  <si>
    <t>N-Nitrosodiethylamine</t>
  </si>
  <si>
    <t>55-18-5</t>
  </si>
  <si>
    <t>PHYSPROP</t>
  </si>
  <si>
    <t>EPI Exp.</t>
  </si>
  <si>
    <t>EPI Bond</t>
  </si>
  <si>
    <t>EPI Est.</t>
  </si>
  <si>
    <t>EPI MCI</t>
  </si>
  <si>
    <t>7439-98-7</t>
  </si>
  <si>
    <t>EPA SSL</t>
  </si>
  <si>
    <t xml:space="preserve">
EPI Group</t>
  </si>
  <si>
    <t>EPA 2004, Section 3.2.2.4 - NO default for VOCs</t>
  </si>
  <si>
    <t xml:space="preserve">N-Nitrosodiphenylamine </t>
  </si>
  <si>
    <t>CompTox (Experimental median); converted solubility of 0.00209 mol/L to mg/L</t>
  </si>
  <si>
    <t>Guelfo and Higgins 2013</t>
  </si>
  <si>
    <t>CompTox (Experimental median); converted solubility of 0.000608 mol/L to mg/L</t>
  </si>
  <si>
    <t>Butanol, 1- or n-</t>
  </si>
  <si>
    <t>71-36-3</t>
  </si>
  <si>
    <t>Diethyl phthalate</t>
  </si>
  <si>
    <t>84-66-2</t>
  </si>
  <si>
    <t>51-28-5</t>
  </si>
  <si>
    <t>N-Nitrosodimethylamine (NDMA)</t>
  </si>
  <si>
    <t>62-75-9</t>
  </si>
  <si>
    <t>1,2,4,5-Tetrachlorobenzene</t>
  </si>
  <si>
    <t>95-94-3</t>
  </si>
  <si>
    <t>Acrylonitrile</t>
  </si>
  <si>
    <t>107-13-1</t>
  </si>
  <si>
    <t>91-58-7</t>
  </si>
  <si>
    <t>Bis(2-chloro-1-methylethyl) ether</t>
  </si>
  <si>
    <t>108-60-1</t>
  </si>
  <si>
    <t>126-99-8</t>
  </si>
  <si>
    <t>Epichlorohydrin</t>
  </si>
  <si>
    <t>106-89-8</t>
  </si>
  <si>
    <t>Hexachloroethane</t>
  </si>
  <si>
    <t>67-72-1</t>
  </si>
  <si>
    <t>Maleic anhydride</t>
  </si>
  <si>
    <t>108-31-6</t>
  </si>
  <si>
    <t>Methacrylonitrile</t>
  </si>
  <si>
    <t>126-98-7</t>
  </si>
  <si>
    <t>Methyl methacrylate</t>
  </si>
  <si>
    <t>80-62-6</t>
  </si>
  <si>
    <t>Pentachlorobenzene</t>
  </si>
  <si>
    <t>608-93-5</t>
  </si>
  <si>
    <t>Phthalic anhydride</t>
  </si>
  <si>
    <t>85-44-9</t>
  </si>
  <si>
    <t>Propargyl alcohol</t>
  </si>
  <si>
    <t>107-19-7</t>
  </si>
  <si>
    <t>1,3-Dichloropropane</t>
  </si>
  <si>
    <t>142-28-9</t>
  </si>
  <si>
    <t>4,4'-Methylenebis (2-chloroaniline)</t>
  </si>
  <si>
    <t>101-14-4</t>
  </si>
  <si>
    <t>Bis(2-chloroethoxy)methane</t>
  </si>
  <si>
    <t>111-91-1</t>
  </si>
  <si>
    <t>Hexamethylphosphoramide</t>
  </si>
  <si>
    <t>680-31-9</t>
  </si>
  <si>
    <t>Malononitrile</t>
  </si>
  <si>
    <t>109-77-3</t>
  </si>
  <si>
    <t>123-73-9</t>
  </si>
  <si>
    <t>2,4-Dinitrophenol</t>
  </si>
  <si>
    <t>2-Chloronaphthalene</t>
  </si>
  <si>
    <t>Chloroprene (Chloro-1,3-butadiene, 2-)</t>
  </si>
  <si>
    <t>EPA RSL (PERRY)</t>
  </si>
  <si>
    <t xml:space="preserve">PPRTV 2016
Rat, inhalation 
Total nasal cavity tumors (papillomas or esthesioneuroepithelioma)
</t>
  </si>
  <si>
    <t>Some toxicity values were adjusted per EPA 2021 memo: Recommendations on the Use of Chronic or Subchronic Noncancer Values for 
Superfund Human Health Risk Assessments (https://semspub.epa.gov/work/HQ/100002839.pdf)</t>
  </si>
  <si>
    <t>Max Limit - Final SRV is based on the theoretical ceiling limit as described in EPA's RSL User's guide. The theoretical ceiling limit is equal to 100,000 representing 10% by weight of the soil sample. At this concentration and higher, the assumptions for soil contact may be violated.</t>
  </si>
  <si>
    <t>Noncancer Chronic</t>
  </si>
  <si>
    <t>Noncancer Acute</t>
  </si>
  <si>
    <t>Noncancer - Final SRV is based on the final noncancer chronic SRV</t>
  </si>
  <si>
    <t>Res/Rec Final Chronic SRV</t>
  </si>
  <si>
    <t>Com/Ind Final Chronic SRV</t>
  </si>
  <si>
    <t>Basis - Final chronic SRVs are based on the minimum value of the cancer, noncancer chronic, Csat or max limit</t>
  </si>
  <si>
    <t>Molecular Weight
g/mol</t>
  </si>
  <si>
    <t>CompTox (Experimental median); converted solubility of 0.0000939 mol/L to mg/L</t>
  </si>
  <si>
    <t>307-24-4</t>
  </si>
  <si>
    <t>Inadequate information to assess carcinogenic potential</t>
  </si>
  <si>
    <t xml:space="preserve">Likely to be carcinogenic to humans </t>
  </si>
  <si>
    <t>B2
Probable human carcinogen - based on sufficient evidence of carcinogenicity in animals</t>
  </si>
  <si>
    <t>Inadequate Information to assess</t>
  </si>
  <si>
    <t>Likely to be carcinogenic to humans (Combined route)</t>
  </si>
  <si>
    <t>B1
Probably Human Carcinogen</t>
  </si>
  <si>
    <t>Likely to be carcinogenic to humans</t>
  </si>
  <si>
    <t>trans-Crotonaldehyde</t>
  </si>
  <si>
    <t>Inadequate information to assess</t>
  </si>
  <si>
    <t>E 
Evidence of non-carcinogenicity for humans</t>
  </si>
  <si>
    <t>SU
Suggestive evidence of carcinogenicity in humans</t>
  </si>
  <si>
    <t xml:space="preserve"> LI
Likely to be carcinogenic to humans</t>
  </si>
  <si>
    <r>
      <rPr>
        <u/>
        <sz val="8"/>
        <rFont val="Arial"/>
        <family val="2"/>
      </rPr>
      <t>2-Chloronaphthalene</t>
    </r>
    <r>
      <rPr>
        <sz val="8"/>
        <rFont val="Arial"/>
        <family val="2"/>
      </rPr>
      <t xml:space="preserve"> </t>
    </r>
    <r>
      <rPr>
        <vertAlign val="superscript"/>
        <sz val="8"/>
        <rFont val="Arial"/>
        <family val="2"/>
      </rPr>
      <t>4</t>
    </r>
  </si>
  <si>
    <r>
      <t>2-Chloronaphthalene</t>
    </r>
    <r>
      <rPr>
        <sz val="8"/>
        <rFont val="Arial"/>
        <family val="2"/>
      </rPr>
      <t xml:space="preserve"> </t>
    </r>
    <r>
      <rPr>
        <vertAlign val="superscript"/>
        <sz val="8"/>
        <rFont val="Arial"/>
        <family val="2"/>
      </rPr>
      <t>4</t>
    </r>
  </si>
  <si>
    <r>
      <rPr>
        <u/>
        <sz val="8"/>
        <rFont val="Arial"/>
        <family val="2"/>
      </rPr>
      <t>Hexachloroethane</t>
    </r>
    <r>
      <rPr>
        <sz val="8"/>
        <rFont val="Arial"/>
        <family val="2"/>
      </rPr>
      <t xml:space="preserve"> </t>
    </r>
    <r>
      <rPr>
        <vertAlign val="superscript"/>
        <sz val="8"/>
        <rFont val="Arial"/>
        <family val="2"/>
      </rPr>
      <t>4</t>
    </r>
  </si>
  <si>
    <r>
      <t>Hexachlorobenzene</t>
    </r>
    <r>
      <rPr>
        <sz val="8"/>
        <rFont val="Arial"/>
        <family val="2"/>
      </rPr>
      <t xml:space="preserve"> </t>
    </r>
    <r>
      <rPr>
        <vertAlign val="superscript"/>
        <sz val="8"/>
        <rFont val="Arial"/>
        <family val="2"/>
      </rPr>
      <t>4</t>
    </r>
  </si>
  <si>
    <r>
      <rPr>
        <u/>
        <sz val="8"/>
        <rFont val="Arial"/>
        <family val="2"/>
      </rPr>
      <t>Pentachlorobenzene</t>
    </r>
    <r>
      <rPr>
        <sz val="8"/>
        <rFont val="Arial"/>
        <family val="2"/>
      </rPr>
      <t xml:space="preserve"> </t>
    </r>
    <r>
      <rPr>
        <vertAlign val="superscript"/>
        <sz val="8"/>
        <rFont val="Arial"/>
        <family val="2"/>
      </rPr>
      <t>4</t>
    </r>
  </si>
  <si>
    <r>
      <rPr>
        <u/>
        <sz val="8"/>
        <rFont val="Arial"/>
        <family val="2"/>
      </rPr>
      <t>1,2,4,5-Tetrachlorobenzene</t>
    </r>
    <r>
      <rPr>
        <sz val="8"/>
        <rFont val="Arial"/>
        <family val="2"/>
      </rPr>
      <t xml:space="preserve"> </t>
    </r>
    <r>
      <rPr>
        <vertAlign val="superscript"/>
        <sz val="8"/>
        <rFont val="Arial"/>
        <family val="2"/>
      </rPr>
      <t>4</t>
    </r>
  </si>
  <si>
    <t>Ethyl Tertiary Butyl Ether (ETBE)</t>
  </si>
  <si>
    <t>637-92-3</t>
  </si>
  <si>
    <t>tert-Butyl Alcohol (tBA)</t>
  </si>
  <si>
    <t>75-65-0</t>
  </si>
  <si>
    <t>106-47-8</t>
  </si>
  <si>
    <t>p-Chloroaniline</t>
  </si>
  <si>
    <t>Suggestive evidence of carcinogenic potential (inhalation route)</t>
  </si>
  <si>
    <r>
      <rPr>
        <u/>
        <sz val="8"/>
        <rFont val="Arial"/>
        <family val="2"/>
      </rPr>
      <t>tert-Butyl Alcohol (tBA)</t>
    </r>
    <r>
      <rPr>
        <sz val="8"/>
        <rFont val="Arial"/>
        <family val="2"/>
      </rPr>
      <t xml:space="preserve"> </t>
    </r>
    <r>
      <rPr>
        <vertAlign val="superscript"/>
        <sz val="8"/>
        <rFont val="Arial"/>
        <family val="2"/>
      </rPr>
      <t>4</t>
    </r>
  </si>
  <si>
    <t>LI
Likely to be carcinogenic to humans</t>
  </si>
  <si>
    <t>Comment</t>
  </si>
  <si>
    <t>Based on EPA's adult lead model. If concentration &gt; SRV blood lead levels may exceed 5 µg/dl.</t>
  </si>
  <si>
    <t>12 - EPA 2021 memo. Recommendations on the Use of Chronic or Subchronic Noncancer Values for Superfund Human Health Risk Assessments (https://semspub.epa.gov/work/HQ/100002839.pdf)</t>
  </si>
  <si>
    <t>14 - Summary of Physical/Chemical and Environmental Parameters for PFAS : Subject to Interim Special Order by Consent No. 20-086-CWP/AP/GW/HW/DW/SW, paragraph 37(J)(3). Environmental Studies Report E21-0037. 3M, 2021 (https://semspub.epa.gov/work/HQ/100002785.pdf)</t>
  </si>
  <si>
    <r>
      <t>3M 2021 Environmental Studies Report E21-0037</t>
    </r>
    <r>
      <rPr>
        <vertAlign val="superscript"/>
        <sz val="8"/>
        <rFont val="Arial"/>
        <family val="2"/>
      </rPr>
      <t>14</t>
    </r>
    <r>
      <rPr>
        <sz val="8"/>
        <rFont val="Arial"/>
        <family val="2"/>
      </rPr>
      <t xml:space="preserve"> (temp not specified)</t>
    </r>
  </si>
  <si>
    <r>
      <t>EPI and 3M 2021 Environmental Studies Report E21-0037</t>
    </r>
    <r>
      <rPr>
        <vertAlign val="superscript"/>
        <sz val="8"/>
        <rFont val="Arial"/>
        <family val="2"/>
      </rPr>
      <t>14</t>
    </r>
  </si>
  <si>
    <r>
      <t>3M 2021 Environmental Studies Report E21-0037</t>
    </r>
    <r>
      <rPr>
        <vertAlign val="superscript"/>
        <sz val="8"/>
        <rFont val="Arial"/>
        <family val="2"/>
      </rPr>
      <t>14</t>
    </r>
  </si>
  <si>
    <r>
      <t>3M 2021 Environmental Studies Report E21-0037</t>
    </r>
    <r>
      <rPr>
        <vertAlign val="superscript"/>
        <sz val="8"/>
        <rFont val="Arial"/>
        <family val="2"/>
      </rPr>
      <t>14</t>
    </r>
    <r>
      <rPr>
        <sz val="8"/>
        <rFont val="Arial"/>
        <family val="2"/>
      </rPr>
      <t xml:space="preserve"> (at 20</t>
    </r>
    <r>
      <rPr>
        <sz val="8"/>
        <rFont val="Calibri"/>
        <family val="2"/>
      </rPr>
      <t>°</t>
    </r>
    <r>
      <rPr>
        <sz val="8.8000000000000007"/>
        <rFont val="Arial"/>
        <family val="2"/>
      </rPr>
      <t>C</t>
    </r>
    <r>
      <rPr>
        <sz val="8"/>
        <rFont val="Arial"/>
        <family val="2"/>
      </rPr>
      <t>)</t>
    </r>
  </si>
  <si>
    <r>
      <t>3M 2021 Environmental Studies Report E21-0037</t>
    </r>
    <r>
      <rPr>
        <vertAlign val="superscript"/>
        <sz val="8"/>
        <rFont val="Arial"/>
        <family val="2"/>
      </rPr>
      <t>14</t>
    </r>
    <r>
      <rPr>
        <sz val="8"/>
        <rFont val="Arial"/>
        <family val="2"/>
      </rPr>
      <t xml:space="preserve"> (at 25</t>
    </r>
    <r>
      <rPr>
        <sz val="8"/>
        <rFont val="Calibri"/>
        <family val="2"/>
      </rPr>
      <t>°</t>
    </r>
    <r>
      <rPr>
        <sz val="8.8000000000000007"/>
        <rFont val="Arial"/>
        <family val="2"/>
      </rPr>
      <t>C</t>
    </r>
    <r>
      <rPr>
        <sz val="8"/>
        <rFont val="Arial"/>
        <family val="2"/>
      </rPr>
      <t>)</t>
    </r>
  </si>
  <si>
    <r>
      <t>MDH RAA 3/16/2004
Ingestion primary route of exposure (not inhalation)
Extrapolated from oral slope factor
260 per µg/m</t>
    </r>
    <r>
      <rPr>
        <vertAlign val="superscript"/>
        <sz val="8"/>
        <rFont val="Arial"/>
        <family val="2"/>
      </rPr>
      <t>3</t>
    </r>
    <r>
      <rPr>
        <sz val="8"/>
        <rFont val="Arial"/>
        <family val="2"/>
      </rPr>
      <t xml:space="preserve"> using MPCA 13 m</t>
    </r>
    <r>
      <rPr>
        <vertAlign val="superscript"/>
        <sz val="8"/>
        <rFont val="Arial"/>
        <family val="2"/>
      </rPr>
      <t>3</t>
    </r>
    <r>
      <rPr>
        <sz val="8"/>
        <rFont val="Arial"/>
        <family val="2"/>
      </rPr>
      <t xml:space="preserve"> inhalation rate
400 per µg/m</t>
    </r>
    <r>
      <rPr>
        <vertAlign val="superscript"/>
        <sz val="8"/>
        <rFont val="Arial"/>
        <family val="2"/>
      </rPr>
      <t>3</t>
    </r>
    <r>
      <rPr>
        <sz val="8"/>
        <rFont val="Arial"/>
        <family val="2"/>
      </rPr>
      <t xml:space="preserve"> using MDH 20 m</t>
    </r>
    <r>
      <rPr>
        <vertAlign val="superscript"/>
        <sz val="8"/>
        <rFont val="Arial"/>
        <family val="2"/>
      </rPr>
      <t>3</t>
    </r>
    <r>
      <rPr>
        <sz val="8"/>
        <rFont val="Arial"/>
        <family val="2"/>
      </rPr>
      <t xml:space="preserve"> inhalation rate</t>
    </r>
  </si>
  <si>
    <r>
      <t xml:space="preserve">Massachusetts DEP 2012 Review - </t>
    </r>
    <r>
      <rPr>
        <sz val="6"/>
        <rFont val="Arial"/>
        <family val="2"/>
      </rPr>
      <t>Based on Ontario Ministry of the Environment (April 15, 2011)  Rationale for the Development of Soil and Ground Water Standards for Use at Contaminated Sites in Ontario</t>
    </r>
  </si>
  <si>
    <t xml:space="preserve">14 - SRVs last changed during the year indicated in this column. SRVs typically change due to incorporation of new toxicity values; however, in some instances incorporating new toxicity values may not result in a change to the final calculated SRV. In these cases, the year in this column would not change even though the toxicity values have been updated. Refer to the 'Chemical Info' tab for a full summary of toxicity values used. SRVs can also change due to updates to exposure assumptions and/or chemical physicochemical properties. </t>
  </si>
  <si>
    <t xml:space="preserve">15 - SRVs last changed during the year indicated in this column. SRVs typically change due to incorporation of new toxicity values; however, in some instances incorporating new toxicity values may not result in a change to the final calculated SRV. In these cases, the year in this column would not change even though the toxicity values have been updated. Refer to the 'Chemical Info' tab for a full summary of toxicity values used. SRVs can also change due to updates to exposure assumptions and/or chemical physicochemical properties. </t>
  </si>
  <si>
    <t>MDH</t>
  </si>
  <si>
    <r>
      <t xml:space="preserve">Perfluorobutanesulfonic acid / Perfluorobutane sufonate (PFBS) </t>
    </r>
    <r>
      <rPr>
        <vertAlign val="superscript"/>
        <sz val="8"/>
        <rFont val="Arial"/>
        <family val="2"/>
      </rPr>
      <t>13</t>
    </r>
  </si>
  <si>
    <r>
      <t xml:space="preserve">Perfluorobutanoic acid / 
Perfluorobutanoate (PFBA) </t>
    </r>
    <r>
      <rPr>
        <vertAlign val="superscript"/>
        <sz val="8"/>
        <rFont val="Arial"/>
        <family val="2"/>
      </rPr>
      <t>13</t>
    </r>
  </si>
  <si>
    <r>
      <t xml:space="preserve">Perfluorooctanesulfonic acid/ Perfluorooctane sulfonate (PFOS) </t>
    </r>
    <r>
      <rPr>
        <vertAlign val="superscript"/>
        <sz val="8"/>
        <rFont val="Arial"/>
        <family val="2"/>
      </rPr>
      <t>13</t>
    </r>
  </si>
  <si>
    <r>
      <t xml:space="preserve">Perfluorooctanoic acid / 
Perfluorooctanoate (PFOA) </t>
    </r>
    <r>
      <rPr>
        <vertAlign val="superscript"/>
        <sz val="8"/>
        <rFont val="Arial"/>
        <family val="2"/>
      </rPr>
      <t>13</t>
    </r>
  </si>
  <si>
    <r>
      <t xml:space="preserve">Perfluorohexanesulfonic acid / Perfluorohexane sulfonate (PFHxS) </t>
    </r>
    <r>
      <rPr>
        <vertAlign val="superscript"/>
        <sz val="8"/>
        <rFont val="Arial"/>
        <family val="2"/>
      </rPr>
      <t>13</t>
    </r>
  </si>
  <si>
    <r>
      <t xml:space="preserve">Perfluorohexanoic acid / Perfluorohexanoate (PFHxA) </t>
    </r>
    <r>
      <rPr>
        <vertAlign val="superscript"/>
        <sz val="8"/>
        <rFont val="Arial"/>
        <family val="2"/>
      </rPr>
      <t>13</t>
    </r>
  </si>
  <si>
    <t>375-73-5
45187-15-3</t>
  </si>
  <si>
    <t>375-22-4
45048-62-2</t>
  </si>
  <si>
    <t>355-46-4
108427-53-8</t>
  </si>
  <si>
    <t>307-24-4
92612-52-7</t>
  </si>
  <si>
    <t>335-67-1
45285-51-6</t>
  </si>
  <si>
    <t>1763-23-1
45298-90-6</t>
  </si>
  <si>
    <t>Perfluorobutanesulfonic acid (PFBS)</t>
  </si>
  <si>
    <t>Perfluorobutanoic acid (PFBA)</t>
  </si>
  <si>
    <t>Perfluorooctanesulfonic acid (PFOS)</t>
  </si>
  <si>
    <t>Perfluorohexanesulfonic acid (PFHxS)</t>
  </si>
  <si>
    <t>Perfluorohexanoic acid (PFHxA)</t>
  </si>
  <si>
    <t>Based on EPA's IEUBK model. If concentration &gt; SRV blood lead levels may exceed 5 µg/dL.</t>
  </si>
  <si>
    <t>Hexafluoropropylene Oxide Dimer Acid (HFPO-DA)</t>
  </si>
  <si>
    <t>13252-13-6</t>
  </si>
  <si>
    <t>Suggestive Evidence of Carcinogenic Potential</t>
  </si>
  <si>
    <r>
      <t xml:space="preserve">4 - </t>
    </r>
    <r>
      <rPr>
        <u/>
        <sz val="8"/>
        <rFont val="Arial"/>
        <family val="2"/>
      </rPr>
      <t>Underlined font</t>
    </r>
    <r>
      <rPr>
        <sz val="8"/>
        <rFont val="Arial"/>
        <family val="2"/>
      </rPr>
      <t xml:space="preserve"> - Per EPA's Soil Screening Guidance Technical Background Document, a Csat is not appropriate to calculate because these volatile chemicals are solids at ambient soil temperatures.  Actual Csat cells for these chemicals are highlighted in</t>
    </r>
    <r>
      <rPr>
        <sz val="8"/>
        <color indexed="8"/>
        <rFont val="Arial"/>
        <family val="2"/>
      </rPr>
      <t xml:space="preserve"> </t>
    </r>
    <r>
      <rPr>
        <b/>
        <sz val="8"/>
        <color indexed="8"/>
        <rFont val="Arial"/>
        <family val="2"/>
      </rPr>
      <t>orange</t>
    </r>
    <r>
      <rPr>
        <sz val="8"/>
        <rFont val="Arial"/>
        <family val="2"/>
      </rPr>
      <t xml:space="preserve"> to indicate no formula is present.</t>
    </r>
  </si>
  <si>
    <t>9 - Zinc toxicity values are based on zinc &amp; compounds and are not applicable to zinc phosphide. Zinc phosphide may be present at sites with a history of rodenticide or insecticide use, orchards, agriculture.  If there is potential that zinc phosphide is present at a site, please contact the MPCA risk assessor for an appropriate zinc phosphide specific SRV.</t>
  </si>
  <si>
    <t>8 - Vanadium toxicity values are based on vanadium &amp; compounds and are not applicable to vanadium pentoxide. Vanadium pentoxide may be present at sites with a history of production of the following: mining and processing of vanadium alloys and compound, extraction from slag, auto catalytic converters, electric furnace steel, welding rods, permanent magnet, pigments and glasses for ceramics, textiles and printing (catalyst), tar oils, ultraviolet filter glass, photographic developers and depolarizers, cleaning and maintenance of furnaces, boilers, gas turbines. If there is potential that vanadium pentoxide is present at a site, please contact the MPCA risk assessor for an appropriate vanadium pentoxide specific SRV.</t>
  </si>
  <si>
    <t>7 - Titanium toxicity values are based on the form with the most conservative toxicity value, titanium tetrachloride.  If a site is contaminated with another form (titanium &amp; compounds, titanium dioxide), a site specific SRV may be derived using toxicity values applicable to that form.</t>
  </si>
  <si>
    <t>6 - Nickel toxicity values are based on the most conservative toxicity value available from the following forms:  nickel &amp; compounds, nickel oxide, nickel soluble salts, nickel carbonyl and nickel subsulfide.  If a site is contaminated with one of these specific forms of nickel, a site specific SRV based on the toxicity data specific to that form may be derived.</t>
  </si>
  <si>
    <r>
      <t xml:space="preserve">6 - Vinyl chloride cancer SRV is calculated using a chemical specific equation recommended by EPA due to data that exist for early life exposure. Please refer to EPA's RSL user's guide (https://www.epa.gov/risk/regional-screening-levels-rsls-users-guide). </t>
    </r>
    <r>
      <rPr>
        <b/>
        <sz val="8"/>
        <rFont val="Arial"/>
        <family val="2"/>
      </rPr>
      <t>Blue</t>
    </r>
    <r>
      <rPr>
        <sz val="8"/>
        <rFont val="Arial"/>
        <family val="2"/>
      </rPr>
      <t xml:space="preserve"> highlighting indicates a chemical specific equation was used. </t>
    </r>
  </si>
  <si>
    <t>7 - Nickel toxicity values are based on the most conservative toxicity value available from the following forms:  nickel &amp; compounds, nickel oxide, nickel soluble salts, nickel carbonyl and nickel subsulfide.  If a site is contaminated with one of these specific forms of nickel, a site specific SRV based on the toxicity data specific to that form may be derived.</t>
  </si>
  <si>
    <t>8 - Titanium toxicity values are based on the form with the most conservative toxicity value, titanium tetrachloride.  If a site is contaminated with another form (titanium &amp; compounds, titanium dioxide), a site specific SRV may be derived using toxicity values applicable to that form.</t>
  </si>
  <si>
    <t>9 - Vanadium toxicity values are based on vanadium &amp; compounds and are not applicable to vanadium pentoxide. Vanadium pentoxide may be present at sites with a history of production of the following: mining and processing of vanadium alloys and compound, extraction from slag, auto catalytic converters, electric furnace steel, welding rods, permanent magnet, pigments and glasses for ceramics, textiles and printing (catalyst), tar oils, ultraviolet filter glass, photographic developers and depolarizers, cleaning and maintenance of furnaces, boilers, gas turbines. If there is potential that vanadium pentoxide is present at a site, please contact the MPCA risk assessor for an appropriate vanadium pentoxide specific SRV.</t>
  </si>
  <si>
    <t>10 - Zinc toxicity values are based on zinc &amp; compounds and are not applicable to zinc phosphide. Zinc phosphide may be present at sites with a history of rodenticide or insecticide use, orchards, agriculture.  If there is potential that zinc phosphide is present at a site, please contact the MPCA risk assessor for an appropriate zinc phosphide specific SRV.</t>
  </si>
  <si>
    <t>5 - Nickel toxicity values are based on the most conservative toxicity value available from the following forms:  nickel &amp; compounds, nickel oxide, nickel soluble salts, nickel carbonyl and nickel subsulfide.  If a site is contaminated with one of these specific forms of nickel, a site specific SRV based on the toxicity data specific to that form may be derived.</t>
  </si>
  <si>
    <t>6 - Titanium toxicity values are based on the form with the most conservative toxicity value, titanium tetrachloride.  If a site is contaminated with another form (titanium &amp; compounds, titanium dioxide), a site specific SRV may be derived using toxicity values applicable to that form.</t>
  </si>
  <si>
    <t>7 - Vanadium toxicity values are based on vanadium &amp; compounds and are not applicable to vanadium pentoxide. Vanadium pentoxide may be present at sites with a history of production of the following: mining and processing of vanadium alloys and compound, extraction from slag, auto catalytic converters, electric furnace steel, welding rods, permanent magnet, pigments and glasses for ceramics, textiles and printing (catalyst), tar oils, ultraviolet filter glass, photographic developers and depolarizers, cleaning and maintenance of furnaces, boilers, gas turbines. If there is potential that vanadium pentoxide is present at a site, please contact the MPCA risk assessor for an appropriate vanadium pentoxide specific SRV.</t>
  </si>
  <si>
    <t>8 - Zinc toxicity values are based on zinc &amp; compounds and are not applicable to zinc phosphide. Zinc phosphide may be present at sites with a history of rodenticide or insecticide use, orchards, agriculture.  If there is potential that zinc phosphide is present at a site, please contact the MPCA risk assessor for an appropriate zinc phosphide specific SRV.</t>
  </si>
  <si>
    <t xml:space="preserve">16 - Hazard Index (HI, total noncancer risk) provides an estimate of additive noncancer risk from all noncancer chemicals present at the site that impact the same human health endpoint. Individual noncancer HQs impacting the same endpoint are summed to calculate an HI for that endpoint. The HI is calculated at the bottom of the table under "Additivity Calculation". A site HI less than or equal to 1 indicates there are no unacceptable risks to human health. </t>
  </si>
  <si>
    <t xml:space="preserve">17 - Site Combined ELCR (total cancer risk) provides an estimate of additive cancer risks from all cancer chemicals present at the site. ELCRs from individual chemicals are summed and displayed at the bottom of the ELCR column. A site Combined ELCR less than or equal to 1E-05 indicates there are no unacceptable risks to human health. </t>
  </si>
  <si>
    <t xml:space="preserve">15 - Hazard Index (HI, total noncancer risk) provides an estimate of additive noncancer risk from all noncancer chemicals present at the site that impact the same human health endpoint. Individual noncancer HQs impacting the same endpoint are summed to calculate an HI for that endpoint. The HI is calculated at the bottom of the table under "Additivity Calculation". A site HI less than or equal to 1 indicates there are no unacceptable risks to human health. </t>
  </si>
  <si>
    <t xml:space="preserve">16 - Site Combined ELCR (total cancer risk) provides an estimate of additive cancer risks from all cancer chemicals present at the site. ELCRs from individual chemicals are summed and displayed at the bottom of the ELCR column. A site Combined ELCR less than or equal to 1E-05 indicates there are no unacceptable risks to human health. </t>
  </si>
  <si>
    <t xml:space="preserve">12 - Minnesota Department of Agriculture (MDA) is the lead regulatory agency for agricultural chemicals. MDA has developed soil cleanup goals for a number of chemicals that are not included here; refer to their guidance for more information (https://www.mda.state.mn.us/pesticide-fertilizer/guidance-document-19-soil-cleanup-goals). MDA should be consulted if agricultural chemicals are present on site. </t>
  </si>
  <si>
    <t>13 - SRV is based on the type of value listed in this column. cancer = Cancer SRV, noncancer = noncancer SRV, Csat = soil saturation concentration, Max Limit = maximum contaminant limit.  Please see SRV TSD for additional information.</t>
  </si>
  <si>
    <t>4 - Nickel toxicity values are based on the most conservative toxicity value available from the following forms:  nickel &amp; compounds, nickel oxide, nickel soluble salts, nickel carbonyl and nickel subsulfide.  If a site is contaminated with one of these specific forms of nickel, a site specific SRV based on the toxicity data specific to that form may be derived.</t>
  </si>
  <si>
    <t>6 - Vanadium toxicity values are based on vanadium &amp; compounds and are not applicable to vanadium pentoxide. Vanadium pentoxide may be present at sites with a history of production of the following: mining and processing of vanadium alloys and compound, extraction from slag, auto catalytic converters, electric furnace steel, welding rods, permanent magnet, pigments and glasses for ceramics, textiles and printing (catalyst), tar oils, ultraviolet filter glass, photographic developers and depolarizers, cleaning and maintenance of furnaces, boilers, gas turbines. If there is potential that vanadium pentoxide is present at a site, please contact the MPCA risk assessor for an appropriate vanadium pentoxide specific SRV.</t>
  </si>
  <si>
    <t>7 - Zinc toxicity values are based on zinc &amp; compounds and are not applicable to zinc phosphide. Zinc phosphide may be present at sites with a history of rodenticide or insecticide use, orchards, agriculture.  If there is potential that zinc phosphide is present at a site, please contact the MPCA risk assessor for an appropriate zinc phosphide specific SRV.</t>
  </si>
  <si>
    <t xml:space="preserve">10 - Minnesota Department of Agriculture (MDA) is the lead regulatory agency for agricultural chemicals. MDA has developed soil cleanup goals for a number of chemicals that are not included here; refer to their guidance for more information (https://www.mda.state.mn.us/pesticide-fertilizer/guidance-document-19-soil-cleanup-goals). MDA should be consulted if agricultural chemicals are present on site. </t>
  </si>
  <si>
    <t>11 - SRV is based on the type of value listed in this column. cancer = Cancer SRV, noncancer = noncancer SRV, Csat = soil saturation concentration, Max Limit = maximum contaminant limit.  Please see SRV TSD for additional information.</t>
  </si>
  <si>
    <t xml:space="preserve">3 - In general, site hazard quotients (HQ) for individual chemicals should not exceed 1. </t>
  </si>
  <si>
    <t xml:space="preserve">4 - In general, site excess lifetime cancer risk (ELCR) for individual chemicals should not exceed 1E-05. </t>
  </si>
  <si>
    <t xml:space="preserve">2 - In general, site hazard quotients (HQ) for individual chemicals should not exceed 1. </t>
  </si>
  <si>
    <t xml:space="preserve">3 - In general, site excess lifetime cancer risk (ELCR) for individual chemicals should not exceed 1E-05.  </t>
  </si>
  <si>
    <r>
      <t xml:space="preserve">Hexafluoropropylene Oxide Dimer Acid (HFPO-DA) </t>
    </r>
    <r>
      <rPr>
        <vertAlign val="superscript"/>
        <sz val="8"/>
        <rFont val="Arial"/>
        <family val="2"/>
      </rPr>
      <t>13</t>
    </r>
  </si>
  <si>
    <t xml:space="preserve">MDH HBV 2023
Rat, oral, gavage  
Forestomach, esophagus, blood vessels, liver, lung, thyroid gland, and adrenal gland </t>
  </si>
  <si>
    <t>1,2-Dibromoethane (ethylene dibromide, EDB)</t>
  </si>
  <si>
    <t>Perylene</t>
  </si>
  <si>
    <t>198-55-0</t>
  </si>
  <si>
    <t>Arsenic (inorganic)</t>
  </si>
  <si>
    <r>
      <t xml:space="preserve">IRIS 4/1995
Human, male, inhalation, occupational exposure, Anaconda smelter 
Lung cancer
MDH Chronic HRV 8/10/2001
Should NOT be used if the air concentration exceeds 2 </t>
    </r>
    <r>
      <rPr>
        <sz val="8"/>
        <color indexed="8"/>
        <rFont val="Calibri"/>
        <family val="2"/>
      </rPr>
      <t>µ</t>
    </r>
    <r>
      <rPr>
        <sz val="8"/>
        <color indexed="8"/>
        <rFont val="Arial"/>
        <family val="2"/>
      </rPr>
      <t>g/m</t>
    </r>
    <r>
      <rPr>
        <vertAlign val="superscript"/>
        <sz val="8"/>
        <color indexed="8"/>
        <rFont val="Arial"/>
        <family val="2"/>
      </rPr>
      <t>3</t>
    </r>
  </si>
  <si>
    <r>
      <t>ATSDR 9/2023
Chronic duration MRL
Human
Immunological beryllium sensitization
LOAEL = 0.04 μg/m</t>
    </r>
    <r>
      <rPr>
        <vertAlign val="superscript"/>
        <sz val="8"/>
        <rFont val="Arial"/>
        <family val="2"/>
      </rPr>
      <t>3</t>
    </r>
    <r>
      <rPr>
        <sz val="8"/>
        <rFont val="Arial"/>
        <family val="2"/>
      </rPr>
      <t xml:space="preserve">
UF = 30</t>
    </r>
  </si>
  <si>
    <t>MDH HRV 2002
Chronic
Cancer
IRIS 6/1/1987
Human, white male, occupational, inhalation
Lung, trachea, bronchus cancer deaths</t>
  </si>
  <si>
    <t>Carcinogenic to humans
(Inhalation)
Likely to be carcinogenic to humans
(Oral)</t>
  </si>
  <si>
    <r>
      <t>IRIS 09/30/1987
Nickel refinery dust IUR of 2.4E-04
Human, refinery and nonrefinery workers, inhalation
Lung cancer
MDH HRV 3/2002
Nickel Refinery Dust
0.04 µg/m</t>
    </r>
    <r>
      <rPr>
        <vertAlign val="superscript"/>
        <sz val="8"/>
        <rFont val="Arial"/>
        <family val="2"/>
      </rPr>
      <t>3</t>
    </r>
    <r>
      <rPr>
        <sz val="8"/>
        <rFont val="Arial"/>
        <family val="2"/>
      </rPr>
      <t xml:space="preserve">
IRIS IUR = 2.4E-04 µg/m</t>
    </r>
    <r>
      <rPr>
        <vertAlign val="superscript"/>
        <sz val="8"/>
        <rFont val="Arial"/>
        <family val="2"/>
      </rPr>
      <t>3</t>
    </r>
  </si>
  <si>
    <t xml:space="preserve"> Likely to be carcinogenic to humans</t>
  </si>
  <si>
    <t>MDH HRL 2023
Rat, 2 year, inhalation
Leukemia
Massachusetts DEP</t>
  </si>
  <si>
    <r>
      <t>ATSDR 6/2017
Human, occupational
Neurological effects 
UF = 10
MRL = 1 ppm
Use molar weight of 92.14 g/mol to convert to 3.77 mg/m³, rounded to 4 mg/m</t>
    </r>
    <r>
      <rPr>
        <vertAlign val="superscript"/>
        <sz val="8"/>
        <rFont val="Arial"/>
        <family val="2"/>
      </rPr>
      <t>3</t>
    </r>
    <r>
      <rPr>
        <sz val="8"/>
        <rFont val="Arial"/>
        <family val="2"/>
      </rPr>
      <t xml:space="preserve">
</t>
    </r>
  </si>
  <si>
    <r>
      <t>ATSDR 2024 (Intermediate MRL chosen over IRIS chronic value per EPA 2021 memo</t>
    </r>
    <r>
      <rPr>
        <vertAlign val="superscript"/>
        <sz val="8"/>
        <rFont val="Arial"/>
        <family val="2"/>
      </rPr>
      <t>12</t>
    </r>
    <r>
      <rPr>
        <sz val="8"/>
        <rFont val="Arial"/>
        <family val="2"/>
      </rPr>
      <t xml:space="preserve"> and ATSDR updated the value in 2024)
Rat
Increased incidence of centrilobular hypertrophy
BMCL10 = 2.05 ppm
UF = 30
MRL = 0.02 ppm, converted to 0.05 mg/m</t>
    </r>
    <r>
      <rPr>
        <vertAlign val="superscript"/>
        <sz val="8"/>
        <rFont val="Arial"/>
        <family val="2"/>
      </rPr>
      <t>3</t>
    </r>
  </si>
  <si>
    <t xml:space="preserve">MDH Cancer HRL 1993
CSF from IRIS
IRIS 3/31/1987
Mouse, oral, gavage followed by diet 
Hepatomas (liver)
</t>
  </si>
  <si>
    <t>Inadequate for an assessment of carcinogenic potential</t>
  </si>
  <si>
    <t>Carcinogenic to humans (Inhalation route)</t>
  </si>
  <si>
    <t xml:space="preserve">IRIS 03/31/1987
Rat, oral, diet
Renal tubular adenomas and adenocarcinomas </t>
  </si>
  <si>
    <t>Hexachlorocyclopentadiene (HCCPD)</t>
  </si>
  <si>
    <t>IRIS 03/31/1987
Rat, oral, drinking water 
Hepatocellular carcinomas (liver)</t>
  </si>
  <si>
    <t>USEPA OW</t>
  </si>
  <si>
    <t>Perfluorodecanoic Acid (PFDA)</t>
  </si>
  <si>
    <t>335-76-2</t>
  </si>
  <si>
    <t>Not assessed</t>
  </si>
  <si>
    <t>No</t>
  </si>
  <si>
    <r>
      <t>K</t>
    </r>
    <r>
      <rPr>
        <b/>
        <vertAlign val="subscript"/>
        <sz val="8"/>
        <rFont val="Arial"/>
        <family val="2"/>
      </rPr>
      <t>OC</t>
    </r>
    <r>
      <rPr>
        <b/>
        <sz val="8"/>
        <rFont val="Arial"/>
        <family val="2"/>
      </rPr>
      <t xml:space="preserve">
L/kg </t>
    </r>
    <r>
      <rPr>
        <b/>
        <vertAlign val="superscript"/>
        <sz val="8"/>
        <rFont val="Arial"/>
        <family val="2"/>
      </rPr>
      <t>5</t>
    </r>
  </si>
  <si>
    <r>
      <t>Henry's Law  Constant
atm-m</t>
    </r>
    <r>
      <rPr>
        <b/>
        <vertAlign val="superscript"/>
        <sz val="8"/>
        <rFont val="Arial"/>
        <family val="2"/>
      </rPr>
      <t>3</t>
    </r>
    <r>
      <rPr>
        <b/>
        <sz val="8"/>
        <rFont val="Arial"/>
        <family val="2"/>
      </rPr>
      <t>/mol</t>
    </r>
  </si>
  <si>
    <t>CompTox (Experimental median); converted solubility of 0.00525 mol/L to mg/L</t>
  </si>
  <si>
    <r>
      <t>3M 2021 Environmental Studies Report E21-0037</t>
    </r>
    <r>
      <rPr>
        <vertAlign val="superscript"/>
        <sz val="8"/>
        <rFont val="Arial"/>
        <family val="2"/>
      </rPr>
      <t>14</t>
    </r>
    <r>
      <rPr>
        <sz val="8"/>
        <rFont val="Arial"/>
        <family val="2"/>
      </rPr>
      <t xml:space="preserve"> ((temp not specified))</t>
    </r>
  </si>
  <si>
    <t xml:space="preserve">IRIS 06/01/1990
Rat, oral, diet
Leukemia 
</t>
  </si>
  <si>
    <t xml:space="preserve">MDH Cancer HRL 1993
CSF from IRIS
IRIS 06/01/1990
Rat, oral, diet
Leukemia </t>
  </si>
  <si>
    <t>Suggestive Evidence of Carcinogenicity (oral)</t>
  </si>
  <si>
    <t xml:space="preserve">IRIS 09/27/2001 and MDH HRL 2023
Rat, oral, diet
Hepatic hemangioendotheliomas or hemangiosarcomas </t>
  </si>
  <si>
    <t xml:space="preserve">IRIS 10/01/1996
Rat, oral, diet
Liver hepatocellular adenomas, carcinomas, cholangiomas, or cholangiocarcinomas </t>
  </si>
  <si>
    <t>IRIS 10/01/1996
Rat, oral, diet
Liver hepatocellular adenomas, carcinomas, cholangiomas, or cholangiocarcinomas 
1E-04 listed for low risk
RSLs list 5.7E-04 for high risk</t>
  </si>
  <si>
    <t xml:space="preserve">IRIS 09/30/1987 
Mouse, diet
Liver carcinoma </t>
  </si>
  <si>
    <t xml:space="preserve">IRIS 09/30/1987
Mouse, diet
Liver carcinoma </t>
  </si>
  <si>
    <t xml:space="preserve">IRIS 08/22/1988
Mouse, oral, diet
Liver tumors, benign and malignant </t>
  </si>
  <si>
    <t xml:space="preserve">IRIS 09/07/1988
Mouse, oral, diet
Liver carcinoma </t>
  </si>
  <si>
    <t xml:space="preserve">IRIS 03/31/1987
Mouse, oral, diet
Hepatic nodules and hepatocellular carcinomas </t>
  </si>
  <si>
    <t xml:space="preserve">IRIS 09/30/1987
Mouse, male, oral, diet
Hepatic nodules and hepatocellular carcinomas </t>
  </si>
  <si>
    <t xml:space="preserve">IRIS 09/30/1987
Mouse, oral, diet
Hepatic nodules and hepatocellular carcinomas </t>
  </si>
  <si>
    <t xml:space="preserve">IRIS 03/31/1987
Mouse, oral, diet
Liver nodules and hepatocellular carcinomas </t>
  </si>
  <si>
    <t xml:space="preserve">MDH HRL 1993
Cancer
CSF from IRIS
IRIS Last Updated: 
Mouse, males, oral, diet
Hepatocellular carcinomas and neoplastic nodules </t>
  </si>
  <si>
    <t>IRIS 09/01/1990
Rat, female, oral, diet
Liver: hepatocellular carcinomas, neoplastic nodules; mammary gland: adenomas, fibroadenomas, fibromas, adenocarcinomas/ carcinomas</t>
  </si>
  <si>
    <t xml:space="preserve">IRIS 06/01/1989
Rat, female, oral, diet 
Urinary bladder, transitional cell papilloma and transitional squamous cell carcinomas </t>
  </si>
  <si>
    <r>
      <t>3 - Per EPA's Regional Screening Level (RSL) User's Guide, a chemical is considered volatile if its Henry's Law constant is greater than 1E-05 atm-m</t>
    </r>
    <r>
      <rPr>
        <vertAlign val="superscript"/>
        <sz val="8"/>
        <rFont val="Arial"/>
        <family val="2"/>
      </rPr>
      <t>3</t>
    </r>
    <r>
      <rPr>
        <sz val="8"/>
        <rFont val="Arial"/>
        <family val="2"/>
      </rPr>
      <t>/mole or its vapor pressure is greater than 1 mm Hg. Exceptions include: mercury (elemental), pyrene, dibromochloromethane, and 1,2-dibromo-3-chloropropane.</t>
    </r>
  </si>
  <si>
    <r>
      <t xml:space="preserve">4 - </t>
    </r>
    <r>
      <rPr>
        <u/>
        <sz val="8"/>
        <rFont val="Arial"/>
        <family val="2"/>
      </rPr>
      <t>Underlined font</t>
    </r>
    <r>
      <rPr>
        <sz val="8"/>
        <rFont val="Arial"/>
        <family val="2"/>
      </rPr>
      <t xml:space="preserve"> - Per EPA's Soil Screening Guidance Technical Background Document, a C</t>
    </r>
    <r>
      <rPr>
        <vertAlign val="subscript"/>
        <sz val="8"/>
        <rFont val="Arial"/>
        <family val="2"/>
      </rPr>
      <t>sat</t>
    </r>
    <r>
      <rPr>
        <sz val="8"/>
        <rFont val="Arial"/>
        <family val="2"/>
      </rPr>
      <t xml:space="preserve"> is not appropriate to calculate because these volatile chemicals are solids at ambient soil temperatures.</t>
    </r>
  </si>
  <si>
    <r>
      <t>5 - K</t>
    </r>
    <r>
      <rPr>
        <vertAlign val="subscript"/>
        <sz val="8"/>
        <rFont val="Arial"/>
        <family val="2"/>
      </rPr>
      <t>OC</t>
    </r>
    <r>
      <rPr>
        <sz val="8"/>
        <rFont val="Arial"/>
        <family val="2"/>
      </rPr>
      <t xml:space="preserve"> not applicable to inorganics. Kd's are obtained by multiplying K</t>
    </r>
    <r>
      <rPr>
        <vertAlign val="subscript"/>
        <sz val="8"/>
        <rFont val="Arial"/>
        <family val="2"/>
      </rPr>
      <t>OC</t>
    </r>
    <r>
      <rPr>
        <sz val="8"/>
        <rFont val="Arial"/>
        <family val="2"/>
      </rPr>
      <t xml:space="preserve"> in column AL by the foc listed in the "Res-Rec Equations" or "Com-Ind Equations" tabs.</t>
    </r>
  </si>
  <si>
    <r>
      <t>13 - 3M Environmental Studies Report or other experimental data sources were used preferentially to acquire phys/chem properties for PFAS. K</t>
    </r>
    <r>
      <rPr>
        <vertAlign val="subscript"/>
        <sz val="8"/>
        <rFont val="Arial"/>
        <family val="2"/>
      </rPr>
      <t>OC</t>
    </r>
    <r>
      <rPr>
        <sz val="8"/>
        <rFont val="Arial"/>
        <family val="2"/>
      </rPr>
      <t xml:space="preserve"> values are from Guelfo and Higgins 2013 (dx.doi.org/10.1021/es3048043) if available. Where a chemical specific parameter was not available from the 3M report, EPA's CompTox Chemical Dashboard was used (https://comptox.epa.gov/dashboard). </t>
    </r>
  </si>
  <si>
    <r>
      <t>PPRTV 9/2022, Appendix
Screening chronic p-RfC based on analogue approach using trans-1,2-DCE
Rat
Decreased lymphocyte counts
BMCL(HEC) = 109 mg/m</t>
    </r>
    <r>
      <rPr>
        <vertAlign val="superscript"/>
        <sz val="8"/>
        <rFont val="Arial"/>
        <family val="2"/>
      </rPr>
      <t>3</t>
    </r>
    <r>
      <rPr>
        <sz val="8"/>
        <rFont val="Arial"/>
        <family val="2"/>
      </rPr>
      <t xml:space="preserve">
UF = 3000
</t>
    </r>
  </si>
  <si>
    <t>2 - Oral slope factor utilized by MDH (MDH 2016: Guidance for Evaluating the Cancer Potency of Polycyclic Aromatic Hydrocarbon (PAH) Mixtures in Environmental Samples)</t>
  </si>
  <si>
    <t xml:space="preserve">Lowest acute effect level = 0.07 mg/kg Nordberg 1973 (ATSDR 2012) 
Human, beverage machine exposure
Transient gastrointestinal effects
UF = 10 (3 for intraspecies variability and 3 for LOAEL with transient, gastrointestinal effect)
Acute RfD = 0.007 mg/kg-event
ATSDR 2015 did not include acute RfD for cadmium
</t>
  </si>
  <si>
    <t>Human
Lowest effect level = 3 mg/kg from Reeves 1986
Gastrointestinal but some reports of paralysis without gastrointestinal symptoms first
UF = 100 (10 intraspecies, 10 LOAEL with paralysis effect)
Acute RfD = 0.03 mg/kg-event
Acute RfD based on chronic RfD = 0.2 mg/kg-event</t>
  </si>
  <si>
    <t>PPRTV Appendix 4/2013
Male and female beagle dogs, 13 week
Blood
LOAEL(HED) = 4 mg/kg-day
UF = 10000</t>
  </si>
  <si>
    <t>IRIS 09/07/1988
Rat, oral, subchronic 
Mild hepatocellular vacuolization (liver)
LOAEL = 7.9 mg/kg-day 
UF = 3000
Confidence = Low</t>
  </si>
  <si>
    <r>
      <t xml:space="preserve">MDH HRL 9/2013
EPA IRIS value
Liver, adrenal gland tumors
IRIS 03/31/2010 
</t>
    </r>
    <r>
      <rPr>
        <b/>
        <sz val="8"/>
        <rFont val="Arial"/>
        <family val="2"/>
      </rPr>
      <t>Route to Route ACCEPTED
Linear carcinogen</t>
    </r>
    <r>
      <rPr>
        <sz val="8"/>
        <rFont val="Arial"/>
        <family val="2"/>
      </rPr>
      <t xml:space="preserve">
Inhalation to oral extrapolation
Mouse, female, 104 week inhalation,</t>
    </r>
    <r>
      <rPr>
        <b/>
        <sz val="8"/>
        <rFont val="Arial"/>
        <family val="2"/>
      </rPr>
      <t xml:space="preserve"> PBPK modeling </t>
    </r>
    <r>
      <rPr>
        <sz val="8"/>
        <rFont val="Arial"/>
        <family val="2"/>
      </rPr>
      <t xml:space="preserve">
Hepatocellular (liver) adenoma or carcinoma</t>
    </r>
  </si>
  <si>
    <t xml:space="preserve">MDH Cancer HRL 2023
Based on PPRTV value
PPRTV 2016
Mouse
Liver (Hepatocellular adenoma or carcinoma)
</t>
  </si>
  <si>
    <t>MDH HRL 2013
Mouse, female
Forestomach, liver, Harderian gland, oral cavity, uterus</t>
  </si>
  <si>
    <t>IRIS 02/01/1993
Mouse, oral, diet
Hepatocellular carcinoma and adenoma</t>
  </si>
  <si>
    <t>MDH Cancer HRL 9/2013
Mouse, female
Liver adenomas and carcinomas 
CSF from IRIS
IRIS 09/20/2013
Mouse, female, oral, drinking water 
Hepatocellular adenoma and carcinoma 
(liver)</t>
  </si>
  <si>
    <t>IRIS 9/23/2011
Rat
Urinary, Renal adenomas and carcinomas (combined)
The multistage model with linear extrapolation from the point of departure (LED10)</t>
  </si>
  <si>
    <t>IRIS 1/31/1987
Rat
Liver
Weibull, extra risk extrapolation method</t>
  </si>
  <si>
    <t>MDH HBV 2017
Rat
Liver</t>
  </si>
  <si>
    <t xml:space="preserve">MDH HRL 2015
EPA IRIS value
Liver and adrenal gland tumors (pheochromocytomas)
IRIS 09/30/2010
Mouse, male, oral, diet
Hepatocellular adenomas or carcinomas and adrenal benign or malignant pheochromocytomas </t>
  </si>
  <si>
    <t>MDH Cancer HRL 2023
CSF from US EPA 2017
Mouse, female
Digestive, liver, skin, lung
Forestomach and oral cavity tumors</t>
  </si>
  <si>
    <t xml:space="preserve">MDH Cancer HRL 2018
IRIS 09/07/1988
Mouse, oral, diet
Liver carcinoma </t>
  </si>
  <si>
    <t xml:space="preserve">MDH Cancer HRL 1993
CSF from IRIS 9/30/1987
Mouse, oral, diet
Hepatocellular carcinomas </t>
  </si>
  <si>
    <t>MDH HRV 2002
Chronic
Cancer
IRIS 4/3/1998
Human, male, inhalation, occupational
Lung cancer</t>
  </si>
  <si>
    <t>IRIS 9/30/1987
Human
Respiratory cancer
Average relative risk</t>
  </si>
  <si>
    <t xml:space="preserve">IRIS 11/18/2011
Mouse, male, inhalation 
Hepatocellular carcinomas or adenomas, bronchoalveolar carcinomas or adenomas </t>
  </si>
  <si>
    <t>IRIS 3/1/1988
Rat, male
Respiratory, Nasal cavity tumors
Linearized multistage procedure, extra risk</t>
  </si>
  <si>
    <t xml:space="preserve">IRIS 09/28/2011 
Human, inhalation
Epidemiological studies
Renal cell carcinoma, non-Hodgkin's lymphoma, and liver tumors </t>
  </si>
  <si>
    <r>
      <t>IRIS 9/20/2013
Rat, inhalation
Multiple tumors: nasal, liver, kidney, mammary glands, zymbal gland
BMDL10 = 30.3 ppm
BMDL10(HED) = 19.5 mg/m</t>
    </r>
    <r>
      <rPr>
        <vertAlign val="superscript"/>
        <sz val="8"/>
        <rFont val="Arial"/>
        <family val="2"/>
      </rPr>
      <t>3</t>
    </r>
  </si>
  <si>
    <t>IRIS 2/6/2009
Rat, inhalation
Kidney, thyroid, liver
multistage model with linear extrapolation from the POD (LEC10)</t>
  </si>
  <si>
    <t>IRIS 1/19/2017
Hamster, male, inhalation
Respiratory, gastrointestinal
Squamous cell neoplasia in the larynx, pharynx, trachea, nasal cavity, esophagus, and forestomach</t>
  </si>
  <si>
    <r>
      <t xml:space="preserve">IRIS 08/22/1988, 9.7E-05 </t>
    </r>
    <r>
      <rPr>
        <b/>
        <sz val="8"/>
        <rFont val="Arial"/>
        <family val="2"/>
      </rPr>
      <t xml:space="preserve">
Route to Route ACCEPTED
Appropriate as a screening value</t>
    </r>
    <r>
      <rPr>
        <sz val="8"/>
        <rFont val="Arial"/>
        <family val="2"/>
      </rPr>
      <t xml:space="preserve">
Mouse, rat, oral, diet
Liver tumors, benign and malignant 
Route to route extrapolation
IUR should not be used if air concentration exceeds 1E+2 </t>
    </r>
    <r>
      <rPr>
        <sz val="8"/>
        <rFont val="Calibri"/>
        <family val="2"/>
      </rPr>
      <t>µ</t>
    </r>
    <r>
      <rPr>
        <sz val="8"/>
        <rFont val="Arial"/>
        <family val="2"/>
      </rPr>
      <t>g/m</t>
    </r>
    <r>
      <rPr>
        <vertAlign val="superscript"/>
        <sz val="8"/>
        <rFont val="Arial"/>
        <family val="2"/>
      </rPr>
      <t>3</t>
    </r>
  </si>
  <si>
    <r>
      <t xml:space="preserve">IRIS Last Updated: </t>
    </r>
    <r>
      <rPr>
        <b/>
        <sz val="8"/>
        <rFont val="Arial"/>
        <family val="2"/>
      </rPr>
      <t xml:space="preserve">
Route to Route ACCEPTED
Appropriate as a screening value</t>
    </r>
    <r>
      <rPr>
        <sz val="8"/>
        <rFont val="Arial"/>
        <family val="2"/>
      </rPr>
      <t xml:space="preserve">
Mouse, male, oral, diet
Hepatocellular carcinomas and neoplastic nodules 
Route to route extrapolation
</t>
    </r>
  </si>
  <si>
    <r>
      <t>IRIS 8/1/2024
Mouse, rat
GI tract effects (Hyperplasia in the small intestines)
Chronic drinking water
HED = 9.11 x 10</t>
    </r>
    <r>
      <rPr>
        <vertAlign val="superscript"/>
        <sz val="8"/>
        <color theme="1"/>
        <rFont val="Arial"/>
        <family val="2"/>
      </rPr>
      <t>-2</t>
    </r>
    <r>
      <rPr>
        <sz val="8"/>
        <color theme="1"/>
        <rFont val="Arial"/>
        <family val="2"/>
      </rPr>
      <t xml:space="preserve"> mg/kg-day
UF = 100
Confidence = Medium-High</t>
    </r>
  </si>
  <si>
    <r>
      <t>IRIS 9/30/2010
Rat, male = olfactory atrophy
Rat, female = alveolar hyperplasia
Mouse, female = splenic hematopoietic proliferation
Nervous, Immune, Respiratory 
BMDL (HEC) = 2 mg/m</t>
    </r>
    <r>
      <rPr>
        <vertAlign val="superscript"/>
        <sz val="8"/>
        <rFont val="Arial"/>
        <family val="2"/>
      </rPr>
      <t>3</t>
    </r>
    <r>
      <rPr>
        <sz val="8"/>
        <rFont val="Arial"/>
        <family val="2"/>
      </rPr>
      <t xml:space="preserve">
UF = 100
Confidence = medium/high</t>
    </r>
  </si>
  <si>
    <t>HEAST 1997
Rat, 2 years inhalation
Hair, whole body (alopecia, decreased weight gain)
NOAEL = 10 ppm
UF = 100
Based on route to route extrapolation assuming an inhalation absorption factor of 0.5</t>
  </si>
  <si>
    <r>
      <t>IRIS 04/25/2003
Rat = skeletal variations
Mouse = reduced fetal body weight, skeletal variations, and increased fetal death
Developmental, Musculoskeletal
NOAEL (HEC) = 1026 mg/m</t>
    </r>
    <r>
      <rPr>
        <vertAlign val="superscript"/>
        <sz val="8"/>
        <rFont val="Arial"/>
        <family val="2"/>
      </rPr>
      <t>3</t>
    </r>
    <r>
      <rPr>
        <sz val="8"/>
        <rFont val="Arial"/>
        <family val="2"/>
      </rPr>
      <t xml:space="preserve"> 
UF = 300
Confidence = Low to medium </t>
    </r>
  </si>
  <si>
    <r>
      <t>IRIS 9/1/1993
Rat, inhalation, 24 month
Liver, urinary/kidney, ocular, other
NOAEL (HEC) = 2.59E+02 mg/m</t>
    </r>
    <r>
      <rPr>
        <vertAlign val="superscript"/>
        <sz val="8"/>
        <rFont val="Arial"/>
        <family val="2"/>
      </rPr>
      <t>3</t>
    </r>
    <r>
      <rPr>
        <sz val="8"/>
        <rFont val="Arial"/>
        <family val="2"/>
      </rPr>
      <t xml:space="preserve">
UF = 100
Confidence = Medium</t>
    </r>
  </si>
  <si>
    <t>IRIS 09/30/2010
Mouse, oral, gavage 
Hepatocellular carcinomas</t>
  </si>
  <si>
    <t>PPRTV 9/30/2009
Mouse, gavage, 2 year
Whole body
NOAEL = 143 mg/kg-day 
UF = 1000
Confidence = Low</t>
  </si>
  <si>
    <t>PPRTV 7/13/2007
Mouse, diet, 13 weeks
Kidney
BMDL = 1 mg/kg-day   
UF = 100
Confidence = medium</t>
  </si>
  <si>
    <r>
      <t>IRIS 9/23/2011
Rat, 6-week inhalation
Nervous (Neurotoxicity - tremors and ruffled pelt)
NOAEL = 83 mg/m</t>
    </r>
    <r>
      <rPr>
        <vertAlign val="superscript"/>
        <sz val="8"/>
        <rFont val="Arial"/>
        <family val="2"/>
      </rPr>
      <t>3</t>
    </r>
    <r>
      <rPr>
        <sz val="8"/>
        <rFont val="Arial"/>
        <family val="2"/>
      </rPr>
      <t xml:space="preserve">
UF = 3000
Confidence = low</t>
    </r>
  </si>
  <si>
    <t>IRIS 9/30/2013
Mouse, inhalation, developmental toxicity
Developmental - extra cervical ribs
BMDL05 (internal) = 43.1 mg/L
UF = 100
Confidence = High to medium 
MDH HRL derived in 1994 before new methodology
IRIS value is more recent</t>
  </si>
  <si>
    <t xml:space="preserve">MDH Chronic HRL 2018
Mouse
Liver, adrenal
RfD from MDH 2015
BMDL = 162 mg/kg-day based on EPA 1989 subchronic study
UF = 1000
</t>
  </si>
  <si>
    <r>
      <t>IRIS 9/30/2009
Mouse, 13-week inhalation
Liver (Hepatocellular cytomegaly in male B6C3F1 mice)
BMCL10 = 63 mg/m</t>
    </r>
    <r>
      <rPr>
        <vertAlign val="superscript"/>
        <sz val="8"/>
        <rFont val="Arial"/>
        <family val="2"/>
      </rPr>
      <t>3</t>
    </r>
    <r>
      <rPr>
        <sz val="8"/>
        <rFont val="Arial"/>
        <family val="2"/>
      </rPr>
      <t xml:space="preserve">
UF = 1000
Confidence = low to medium</t>
    </r>
  </si>
  <si>
    <t>MDH HRL 2023
from USEPA 1998 as cited in USEPA 2005
Mouse, male
Kidney, large intestine, liver, lymphatic</t>
  </si>
  <si>
    <t>IRIS 8/13/2021
Mouse
Urinary, endocrine
Renal adenomas and carcinomas, thyroid adenomas</t>
  </si>
  <si>
    <t xml:space="preserve">MDH Chronic HRL 2015
Rat
Developmental, male reproductive (endocrine)
BMDL = 3.8 mg/kg-day
UF = 30
</t>
  </si>
  <si>
    <r>
      <t>PPRTV Appendix 2007
Screening value
Rat
Reduced body weights
POD = 0.12 mg/m</t>
    </r>
    <r>
      <rPr>
        <vertAlign val="superscript"/>
        <sz val="8"/>
        <rFont val="Arial"/>
        <family val="2"/>
      </rPr>
      <t>3</t>
    </r>
    <r>
      <rPr>
        <sz val="8"/>
        <rFont val="Arial"/>
        <family val="2"/>
      </rPr>
      <t xml:space="preserve">
UF = 3000</t>
    </r>
  </si>
  <si>
    <t xml:space="preserve">MDH Chronic HRL 2018
Rat
Liver, nervous system
NOAEL = 0.005 mg/kg-day
UF = 30
</t>
  </si>
  <si>
    <r>
      <t>IRIS 07/01/1994
Rat, feeding, 2 year
Reduced body weight gain in males and females; increased incidence of marked progressive glomerulonephrosis (kidney) and blood vessel aneurysms in males (other effect: Decreased weight gain in males and neurologic findings in both sexes) 
NOAEL = 6 x10</t>
    </r>
    <r>
      <rPr>
        <vertAlign val="superscript"/>
        <sz val="8"/>
        <rFont val="Arial"/>
        <family val="2"/>
      </rPr>
      <t>-1</t>
    </r>
    <r>
      <rPr>
        <sz val="8"/>
        <rFont val="Arial"/>
        <family val="2"/>
      </rPr>
      <t xml:space="preserve"> mg/kg-day
UF = 100
Confidence = Medium</t>
    </r>
  </si>
  <si>
    <t xml:space="preserve">IRIS 8/30/2018
Rat
Nervous system, convulsions
BMDL = 1.3 mg/kg-day
UF = 300
Confidence = medium
</t>
  </si>
  <si>
    <r>
      <t>MDH Chronic HRV 2002
IRIS 9/1/1995 as antimony trioxide
Rat, inhalation (antimony trioxide), 1 year
Lung, hematologic system
BMC10 (HEC) = 7.4 x10</t>
    </r>
    <r>
      <rPr>
        <vertAlign val="superscript"/>
        <sz val="8"/>
        <color theme="1"/>
        <rFont val="Arial"/>
        <family val="2"/>
      </rPr>
      <t>-2</t>
    </r>
    <r>
      <rPr>
        <sz val="8"/>
        <color theme="1"/>
        <rFont val="Arial"/>
        <family val="2"/>
      </rPr>
      <t xml:space="preserve"> mg/m</t>
    </r>
    <r>
      <rPr>
        <vertAlign val="superscript"/>
        <sz val="8"/>
        <color indexed="8"/>
        <rFont val="Arial"/>
        <family val="2"/>
      </rPr>
      <t>3</t>
    </r>
    <r>
      <rPr>
        <sz val="8"/>
        <color indexed="8"/>
        <rFont val="Arial"/>
        <family val="2"/>
      </rPr>
      <t xml:space="preserve"> 
UF = 300
Confidence = Medium</t>
    </r>
  </si>
  <si>
    <r>
      <t>ATSDR 5/2020
Based on molybdenum trioxide
RfC expressed in mg molybdenum/m</t>
    </r>
    <r>
      <rPr>
        <vertAlign val="superscript"/>
        <sz val="8"/>
        <rFont val="Arial"/>
        <family val="2"/>
      </rPr>
      <t>3</t>
    </r>
    <r>
      <rPr>
        <sz val="8"/>
        <rFont val="Arial"/>
        <family val="2"/>
      </rPr>
      <t xml:space="preserve">
Rat, inhalation
Respiratory
BMCL(HEC) = 0.071 mg/m</t>
    </r>
    <r>
      <rPr>
        <vertAlign val="superscript"/>
        <sz val="8"/>
        <rFont val="Arial"/>
        <family val="2"/>
      </rPr>
      <t>3</t>
    </r>
    <r>
      <rPr>
        <sz val="8"/>
        <rFont val="Arial"/>
        <family val="2"/>
      </rPr>
      <t xml:space="preserve">
UF = 30</t>
    </r>
  </si>
  <si>
    <r>
      <t>IRIS 8/13/2021
Rat
Urinary (increased severity of nephropathy)
BMCL10(HEC) = 491 mg/m</t>
    </r>
    <r>
      <rPr>
        <vertAlign val="superscript"/>
        <sz val="8"/>
        <rFont val="Arial"/>
        <family val="2"/>
      </rPr>
      <t>3</t>
    </r>
    <r>
      <rPr>
        <sz val="8"/>
        <rFont val="Arial"/>
        <family val="2"/>
      </rPr>
      <t xml:space="preserve">
UF = 100
Confidence = medium</t>
    </r>
  </si>
  <si>
    <t>PPRTV Appendix 11/2012
Based on surrogate of isopropylbenzene
Rat, 194 days
Kidney</t>
  </si>
  <si>
    <t>PPRTV Appendix A 9/3/2009
Rat, male, inhalation
Increased carboxyhemoglobin (blood)
POD = 12.9 mg/kg-day
UF = 3000</t>
  </si>
  <si>
    <t>MDH HRL 2018
Rat
Renal (kidney)
BMDL10 = 5.1 mg/kg-day
UF = 1000</t>
  </si>
  <si>
    <t>IRIS 8/13/2021
Rat, inhalation, 2 years
Liver (Hepatocellular adenomas and carcinomas)
Linear extrapolation from the POD</t>
  </si>
  <si>
    <t xml:space="preserve">MDH HRL 1993
IRIS 08/01/1997
Rat, female, oral, gavage 
Increased average kidney weight
NOAEL = 110 mg/kg-day
UF = 1000
Confidence = Low to medium  </t>
  </si>
  <si>
    <t>MDH Chronic RAA 2017
Rat
No target endpoint listed
LOAEL = 150 mg/kg-day (Sherman 1974 aci USEPA 1987)
UF = 300</t>
  </si>
  <si>
    <r>
      <t>IRIS 8/13/2021
Rat, female
Urinary (increased absolute kidney weight)
NOAEL = 1,110 mg/m</t>
    </r>
    <r>
      <rPr>
        <vertAlign val="superscript"/>
        <sz val="8"/>
        <rFont val="Arial"/>
        <family val="2"/>
      </rPr>
      <t>3</t>
    </r>
    <r>
      <rPr>
        <sz val="8"/>
        <rFont val="Arial"/>
        <family val="2"/>
      </rPr>
      <t xml:space="preserve">
UF = 30
Confidence = medium</t>
    </r>
  </si>
  <si>
    <r>
      <t>IRIS 4/1/1992
Mouse, rat,  90-day inhalation study
Respiratory (changes in the nasal turbinates)
NOAEL = 0.36 mg/m</t>
    </r>
    <r>
      <rPr>
        <vertAlign val="superscript"/>
        <sz val="8"/>
        <rFont val="Arial"/>
        <family val="2"/>
      </rPr>
      <t>3</t>
    </r>
    <r>
      <rPr>
        <sz val="8"/>
        <rFont val="Arial"/>
        <family val="2"/>
      </rPr>
      <t xml:space="preserve">
UF = 300
Confidence = Medium</t>
    </r>
  </si>
  <si>
    <r>
      <t>IRIS 12/23/2005
Rat, subchronic, inhalation 
Nervous system
Peripheral neuropathy (decreased MCV at 12 weeks) 
BMCL (HEC) = 215 mg/m</t>
    </r>
    <r>
      <rPr>
        <vertAlign val="superscript"/>
        <sz val="8"/>
        <rFont val="Arial"/>
        <family val="2"/>
      </rPr>
      <t>3</t>
    </r>
    <r>
      <rPr>
        <sz val="8"/>
        <rFont val="Arial"/>
        <family val="2"/>
      </rPr>
      <t xml:space="preserve"> 
UF = 300
Confidence = Medium</t>
    </r>
  </si>
  <si>
    <r>
      <t>PPRTV 2012
Rat, 91 days
Liver (Statistically significant higher liver weight)
NOAEL = 30.1 mg/m</t>
    </r>
    <r>
      <rPr>
        <vertAlign val="superscript"/>
        <sz val="8"/>
        <rFont val="Arial"/>
        <family val="2"/>
      </rPr>
      <t>3</t>
    </r>
    <r>
      <rPr>
        <sz val="8"/>
        <rFont val="Arial"/>
        <family val="2"/>
      </rPr>
      <t xml:space="preserve">
UF = 1000
Confidence = low</t>
    </r>
  </si>
  <si>
    <r>
      <t>IRIS 9/26/2003
Mouse, developmental 
Developmental toxicity (skeletal variations) 
LEC (HEC) = 1517 mg/m</t>
    </r>
    <r>
      <rPr>
        <vertAlign val="superscript"/>
        <sz val="8"/>
        <rFont val="Arial"/>
        <family val="2"/>
      </rPr>
      <t xml:space="preserve">3 
</t>
    </r>
    <r>
      <rPr>
        <sz val="8"/>
        <rFont val="Arial"/>
        <family val="2"/>
      </rPr>
      <t>UF = 300
Confidence = Medium to high</t>
    </r>
  </si>
  <si>
    <t>IRIS 09/30/2010
Rat, subchronic dietary 
Increased relative liver weight
BMDL(1SD) = 15 mg/kg-day
UF =  1000
Confidence = Medium to high</t>
  </si>
  <si>
    <t xml:space="preserve">MDH Chronic HRL 2023
Rat
Nervous and immune system, liver, kidney
BMDL = 238 mg/kg-day
UF = 1000
</t>
  </si>
  <si>
    <t>MDH Chronic HRL 9/2013
Rat, drinking water, 2 generations
Liver, kidney, adrenal gland (endocrine near kidney)
LOAEL = 2.1 mg/kg-day
UF = 100</t>
  </si>
  <si>
    <t>MDH HRL 2023
Rat
Nervous system
POD = 0.099 mg/L
UF = 300</t>
  </si>
  <si>
    <t>MDH Chronic HRL 2023
Rat
Nervous system
POD = 0.099 mg/L
UF = 300</t>
  </si>
  <si>
    <r>
      <t>MDH Chronic HRL 2018
Rat
NOAEL = 0.13 mg/kg-day
Liver
UF = 30
IRIS 08/07/2000
Rat, chronic, feeding 
Liver cell polymorphism
NOAEL (HED) = 9 x10</t>
    </r>
    <r>
      <rPr>
        <vertAlign val="superscript"/>
        <sz val="8"/>
        <rFont val="Arial"/>
        <family val="2"/>
      </rPr>
      <t>-2</t>
    </r>
    <r>
      <rPr>
        <sz val="8"/>
        <rFont val="Arial"/>
        <family val="2"/>
      </rPr>
      <t xml:space="preserve"> mg/kg-day 
UF = 30
Confidence = Medium to high</t>
    </r>
  </si>
  <si>
    <r>
      <t>IRIS 02/21/2003
Rat, male, subchronic inhalation 
Impaired motor coordination (decreased rotarod performance) 
NOAEL (HEC) = 39 mg/m</t>
    </r>
    <r>
      <rPr>
        <vertAlign val="superscript"/>
        <sz val="8"/>
        <rFont val="Arial"/>
        <family val="2"/>
      </rPr>
      <t>3</t>
    </r>
    <r>
      <rPr>
        <sz val="8"/>
        <rFont val="Arial"/>
        <family val="2"/>
      </rPr>
      <t xml:space="preserve"> 
UF = 300
Confidence = Medium</t>
    </r>
  </si>
  <si>
    <t>MDH HRL 2015
Rat
Developmental (Endocrine - body weight, thyroid hormone levels)
POD = 20 mg/kg-day
HED = 20 * 0.23 = 4.6 mg/kg-day
UF = 30</t>
  </si>
  <si>
    <t>MDH HRL 2015
Rat
Developmental (Endocrine - male reproductive)
NOAEL = 10 mg/kg-day
HED = 10 * 0.23 = 2.3 mg/kg-day
UF = 100
Use short-term RfD since calculated chronic RfD = 0.043 mg/kg-day higher than the short-term RfD</t>
  </si>
  <si>
    <t>MDH Chronic HRL 2023
Based on short-term RfD
Rat
Thyroid
BMDL = 6.97 mg/kg-day
UF = 100</t>
  </si>
  <si>
    <r>
      <t>IRIS 1/19/2017
Rat
Developmental, decreased embryo/fetal survival
LOAEL = 4.6E-3 mg/m</t>
    </r>
    <r>
      <rPr>
        <vertAlign val="superscript"/>
        <sz val="8"/>
        <rFont val="Arial"/>
        <family val="2"/>
      </rPr>
      <t>3</t>
    </r>
    <r>
      <rPr>
        <sz val="8"/>
        <rFont val="Arial"/>
        <family val="2"/>
      </rPr>
      <t xml:space="preserve">
UF = 3000
Confidence = low/medium</t>
    </r>
  </si>
  <si>
    <r>
      <t>IRIS 02/17/2012
Human, epidemiologic cohort study
Decreased sperm count and motility in men exposed to TCDD as boys / Increased TSH in neonates 
LOAEL (ADJ) = 2 x10</t>
    </r>
    <r>
      <rPr>
        <vertAlign val="superscript"/>
        <sz val="8"/>
        <rFont val="Arial"/>
        <family val="2"/>
      </rPr>
      <t>-8</t>
    </r>
    <r>
      <rPr>
        <sz val="8"/>
        <rFont val="Arial"/>
        <family val="2"/>
      </rPr>
      <t xml:space="preserve"> mg/kg-day 
UF = 30
Confidence = High
</t>
    </r>
  </si>
  <si>
    <t>MDH HRL 9/2013
Rat, oral, gavage, chronic
Nervous system, spleen (blood, immune)
NOAEL = 71 mg/kg-day
UF = 1000</t>
  </si>
  <si>
    <r>
      <t>IRIS 9/30/2009
Rat, male, 13 week inhalation study
Respiratory (peribronchial lymphoid hyperplasia)
BMCL(HEC) =  0.9 mg/m</t>
    </r>
    <r>
      <rPr>
        <vertAlign val="superscript"/>
        <sz val="8"/>
        <rFont val="Arial"/>
        <family val="2"/>
      </rPr>
      <t>3</t>
    </r>
    <r>
      <rPr>
        <sz val="8"/>
        <rFont val="Arial"/>
        <family val="2"/>
      </rPr>
      <t xml:space="preserve">
UF = 3000
Confidence = low</t>
    </r>
  </si>
  <si>
    <t>IRIS 9/30/1987
Rat
Gastrointestinal, nervous, other
Brain and spinal cord astrocytomas, Zymbal gland carcinomas and stomach papillomas/ carcinomas
Linearized multistage procedure, extra risk</t>
  </si>
  <si>
    <t>HEAST 1997
Rat, oral drinking water, 113 weeks 
Liver</t>
  </si>
  <si>
    <t>IRIS 3/1/1988
Rat, male
Gastrointestinal, papillomas and carcinomas of the forestomach
Linearized multistage procedure, extra risk</t>
  </si>
  <si>
    <r>
      <t>MDH Chronic HRL 9/2013
Mouse
Liver tumors
CSF = 0.029 (mg/kg-day)</t>
    </r>
    <r>
      <rPr>
        <vertAlign val="superscript"/>
        <sz val="8"/>
        <rFont val="Arial"/>
        <family val="2"/>
      </rPr>
      <t>-1</t>
    </r>
  </si>
  <si>
    <t>IRIS 9/7/1988
Rat, 2-year study
Immune (spleen, combined fibrosarcoma, stromal sarcoma, capsular sarcoma and hemangiosarcoma)
Linearized multistage procedure, extra risk</t>
  </si>
  <si>
    <t>PPRTV 2008
Rat, 103 weeks
Pheochromocytoma (adrenal glands)
Linear extrapolation</t>
  </si>
  <si>
    <t>PPRTV 2006
Rat, 2 years
Lung tumors (adenoma, adenocarcinoma, epidermoid carcinoma)</t>
  </si>
  <si>
    <t>HEAST 7-1997
Mouse, oral, diet, 96 weeks
Liver tumors</t>
  </si>
  <si>
    <t xml:space="preserve">PPRTV 2008
Rat and mouse, inhalation, 2 years
Alveolar/bronchiolar, adenoma and carcinoma
Unit risk was calculated by linear extrapolation of the BMDL to zero exposure
</t>
  </si>
  <si>
    <t>Note: Vanadium pentoxide
PPRTV 4/30/2008, 8.3E+03
Mouse, inhalation, 2 year
Lung, alveolar/bronchiolar neoplasms</t>
  </si>
  <si>
    <r>
      <t>MDH RAA 7/2014
Rat, inhalation, 2-year study
Mononuclear cell leukemia
BMDL10 = 2.261 mg/kg</t>
    </r>
    <r>
      <rPr>
        <vertAlign val="superscript"/>
        <sz val="8"/>
        <rFont val="Arial"/>
        <family val="2"/>
      </rPr>
      <t>3/4</t>
    </r>
    <r>
      <rPr>
        <sz val="8"/>
        <rFont val="Arial"/>
        <family val="2"/>
      </rPr>
      <t xml:space="preserve">-day
Massachusetts DEP
</t>
    </r>
  </si>
  <si>
    <r>
      <t>IRIS 1987
Rat chronic bioassay
Administered antimony tartrate in water
Longevity, blood glucose, and cholesterol 
LOAEL = 3.5 x 10</t>
    </r>
    <r>
      <rPr>
        <vertAlign val="superscript"/>
        <sz val="8"/>
        <color theme="1"/>
        <rFont val="Arial"/>
        <family val="2"/>
      </rPr>
      <t>-1</t>
    </r>
    <r>
      <rPr>
        <sz val="8"/>
        <color theme="1"/>
        <rFont val="Arial"/>
        <family val="2"/>
      </rPr>
      <t xml:space="preserve"> mg/kg-day
UF = 1000
Confidence = Low</t>
    </r>
  </si>
  <si>
    <t>PPRTV 2006
Mouse, 170 days from conception
Minimal neurotoxicity in the offspring
LOAEL = 100 mg/kg-day
UF = 100
Confidence = Low
ATSDR 2008 MRL of same value</t>
  </si>
  <si>
    <t xml:space="preserve">IRIS 7/11/2005
Mouse, drinking water, 2 years
Nephropathy (kidney)
BMDL05 = 63 mg/kg-day 
UF = 300
Confidence = Medium to High
</t>
  </si>
  <si>
    <r>
      <t>IRIS 4/3/1998
Dog dietary study
Small intestinal lesions 
BMD10 = 4.6 x10</t>
    </r>
    <r>
      <rPr>
        <vertAlign val="superscript"/>
        <sz val="8"/>
        <color theme="1"/>
        <rFont val="Arial"/>
        <family val="2"/>
      </rPr>
      <t>-1</t>
    </r>
    <r>
      <rPr>
        <sz val="8"/>
        <color theme="1"/>
        <rFont val="Arial"/>
        <family val="2"/>
      </rPr>
      <t xml:space="preserve"> mg/kg-day 
UF = 300
Confidence = Low to Medium</t>
    </r>
  </si>
  <si>
    <t>MDH RAA 2008
Chronic
Developmental
IRIS 8/5/2004
Rat, diet, gestational exposure
Boric acid 
Decreased fetal weight (developmental)
BMDL05 = 10.3 mg/kg-day 
UF = 66
Confidence = high</t>
  </si>
  <si>
    <r>
      <t>IRIS 9/3/1998
Rat, chronic feeding study
No effects observed 
NOAEL (ADJ) = 1.468 x10</t>
    </r>
    <r>
      <rPr>
        <vertAlign val="superscript"/>
        <sz val="8"/>
        <color theme="1"/>
        <rFont val="Arial"/>
        <family val="2"/>
      </rPr>
      <t>3</t>
    </r>
    <r>
      <rPr>
        <sz val="8"/>
        <color theme="1"/>
        <rFont val="Arial"/>
        <family val="2"/>
      </rPr>
      <t xml:space="preserve"> mg/kg-day 
UF = 100, MF = 10 (database deficiencies)
Confidence = Low
</t>
    </r>
  </si>
  <si>
    <t>PPRTV 2008
Human, 2 weeks
Thyroid, decreased iodine uptake
LOAEL = 1 mg/kg-day
UF = 3000
Confidence = Low</t>
  </si>
  <si>
    <t>IRIS 1988
Rat, oral, subchronic 
Decreased body and organ weights, histopathologic alterations in liver and kidney 
NOAEL = 5 mg/kg-day 
UF = 1000
Confidence = Medium</t>
  </si>
  <si>
    <t>IRIS 9/28/2010
Mouse, rat, drinking water, 13 weeks
Sodium cyanide
Male reproductive, weight decrease  
BMDL (1SD) = 1.9 mg/kg-day
UF = 3000
Confidence = Low to medium</t>
  </si>
  <si>
    <r>
      <t>IRIS 6/1/1987
Epidemiologic, children
Dental fluorosis (cosmetic)
NOAEL = 6 x10</t>
    </r>
    <r>
      <rPr>
        <vertAlign val="superscript"/>
        <sz val="8"/>
        <color theme="1"/>
        <rFont val="Arial"/>
        <family val="2"/>
      </rPr>
      <t>-2</t>
    </r>
    <r>
      <rPr>
        <sz val="8"/>
        <color theme="1"/>
        <rFont val="Arial"/>
        <family val="2"/>
      </rPr>
      <t xml:space="preserve"> mg/kg-day 
UF = 1
Confidence = High</t>
    </r>
  </si>
  <si>
    <t xml:space="preserve">PPRTV 9/11/2006
Human, oral, 1 month
Gastrointestinal
LOAEL = 1  mg/kg-day
UF = 1.5   </t>
  </si>
  <si>
    <t>PPRTV 6/12/0008
Human, oral
Several organs and systems. Adverse effects
Main organ systems affected: kidney, neurological, cardiovascular, developmental per PPRTV supporting document
LOAEL = 2.1 mg/kg-day
UF = 1000
Confidence = Low to Medium</t>
  </si>
  <si>
    <t xml:space="preserve">IRIS 5/1/1995
Under mercuric chloride in IRIS 
Rat subchronic feeding and subcutaneous 
Autoimmune effects 
LOAEL = 3.17E-01 mg/kg-day
UF = 1000
Confidence = High </t>
  </si>
  <si>
    <r>
      <t>IRIS 7/27/2001
Human epidemiological 
Developmental neuropsychological impairment (developing brain)
BMDL5 = 8.57 x10</t>
    </r>
    <r>
      <rPr>
        <vertAlign val="superscript"/>
        <sz val="8"/>
        <color theme="1"/>
        <rFont val="Arial"/>
        <family val="2"/>
      </rPr>
      <t>-4</t>
    </r>
    <r>
      <rPr>
        <sz val="8"/>
        <color theme="1"/>
        <rFont val="Arial"/>
        <family val="2"/>
      </rPr>
      <t xml:space="preserve"> mg/kg-day (high end)
BMDL5 = 1.472 x10</t>
    </r>
    <r>
      <rPr>
        <vertAlign val="superscript"/>
        <sz val="8"/>
        <color theme="1"/>
        <rFont val="Arial"/>
        <family val="2"/>
      </rPr>
      <t>-3</t>
    </r>
    <r>
      <rPr>
        <sz val="8"/>
        <color theme="1"/>
        <rFont val="Arial"/>
        <family val="2"/>
      </rPr>
      <t xml:space="preserve"> mg/kg-day (low end)
UF = 10
Confidence = High
</t>
    </r>
  </si>
  <si>
    <t>IRIS 9/1/1991
Human epidemiological 
Clinical selenosis (skin, cardiovascular/blood, nervous system) 
NOAEL = 1.5E-2 mg/kg-day 
UF = 3
Confidence = Medium to high</t>
  </si>
  <si>
    <r>
      <t>IRIS 12/1/1996
Human, 2 to 9 years
Argyria (skin discoloration)
LOAEL = 1.4 x10</t>
    </r>
    <r>
      <rPr>
        <vertAlign val="superscript"/>
        <sz val="8"/>
        <rFont val="Arial"/>
        <family val="2"/>
      </rPr>
      <t>-2</t>
    </r>
    <r>
      <rPr>
        <sz val="8"/>
        <rFont val="Arial"/>
        <family val="2"/>
      </rPr>
      <t xml:space="preserve"> mg/kg-day 
UF = 3
Confidence = Low to medium</t>
    </r>
  </si>
  <si>
    <t>ATSDR 2005
Use subchronic value
Rat, 13-week dietary study
Target organ - blood, decreased hemoglobin concentration
UF = 100</t>
  </si>
  <si>
    <t>PPRTV 9/30/2009
Vanadium and compounds
Rat, oral, 6 month
Kidney, histopathology
NOAEL = 0.22 mg/kg-day
UF = 3000
Confidence = Low</t>
  </si>
  <si>
    <t xml:space="preserve">MDH Chronic HRL 2023
Rat
Kidney, blood, liver
NOAEL = 900 mg/kg-day
UF = 300
</t>
  </si>
  <si>
    <t xml:space="preserve">MDH Chronic HRL 2009
Route-to-route extrapolation
Human
Blood, immune system
BMCL = 0.013 mg/kg-day (ATSDR)
UF = 10
</t>
  </si>
  <si>
    <t>IRIS 9/30/2009
Mouse, male, 90-day oral
Liver, hepatocellular cytomegaly
BMDL10 = 24.1 mg/kg-day
UF = 3000
Confidence = low to medium</t>
  </si>
  <si>
    <t>MDH HRL 2023
Determined by MDH in 2018
Rat, liver
BMDL = 0.776 mg/kg-day
UF = 30</t>
  </si>
  <si>
    <t xml:space="preserve">IRIS 09/26/1988
Rat, subchronic, gavage 
Epithelial hyperplasia of the forestomach (gastrointestinal)
NOAEL = 1.4 mg/kg-day 
UF = 1000
Confidence = Medium </t>
  </si>
  <si>
    <t>PPRTV 9/13/2010
Rat, oral gavage
Liver
BMDL = 137  mg/kg-day     
UF = 3000
Confidence = Low</t>
  </si>
  <si>
    <t>MDH HRL 2018
Determined by MDH in 2016
Beagle Dogs
Liver
BMDL = 1 mg/kg-day (time adjusted)
UF = 30</t>
  </si>
  <si>
    <r>
      <t>ATSDR 2024
Mouse, 104-week study
Nasal lesions
LOAEL = 5.0 ppm (LOAEL</t>
    </r>
    <r>
      <rPr>
        <vertAlign val="subscript"/>
        <sz val="8"/>
        <rFont val="Arial"/>
        <family val="2"/>
      </rPr>
      <t>HEC</t>
    </r>
    <r>
      <rPr>
        <sz val="8"/>
        <rFont val="Arial"/>
        <family val="2"/>
      </rPr>
      <t xml:space="preserve"> = 0.11 ppm)
UF = 300
MRL = 0.0004 ppm</t>
    </r>
  </si>
  <si>
    <t>IRIS 02/01/1990
Rat, oral, 15 week
Decrease in body weight gain
NOAEL = 20 mg/kg-day 
UF = 1000
Confidence = Low to medium</t>
  </si>
  <si>
    <t xml:space="preserve">MDH HRL 9/2013
Kidney, liver
LOAEL = 58 mg/kg-day
UF = 1000
</t>
  </si>
  <si>
    <t>MDH HRL 2023
Rat
Liver
BMDL = 4.6 mg/kg-day
UF = 30</t>
  </si>
  <si>
    <t>MDH HRL 2023
Mouse
Immune system
BMDL = 14.5 mg/kg-day
UF = 1000</t>
  </si>
  <si>
    <t>HEAST 7/1997
Rat, oral, drinking water, 2 years, subchronic exposure
Liver lesions
LOAEL = 50 ppm
UF = 1000
Values derived for 1,1-dichloroethylene were adopted for 1,2- dichloroethylene mixed isomers based on analogy</t>
  </si>
  <si>
    <t>IRIS 11/18/2011
Rat, drinking water, 2 year
Hepatic effects (hepatic vacuolation, liver foci)
BMDL10 (HED) = 0.19 mg/kg-day 
UF = 30
Confidence = Medium to high</t>
  </si>
  <si>
    <t xml:space="preserve">MDH HRL 1994
Chronic
Developmental
RfD from IRIS
IRIS 09/26/2003
Rat, multigeneration, reproductive developmental, drinking water 
Decreased pup body weight 
LED05 = 639 mg/kg-day 
UF = 1000 
Confidence = Low to medium
</t>
  </si>
  <si>
    <t>IRIS 01/31/1987
Dog, subchronic, oral 
Red blood cell and liver effects 
NOAEL = 200 mg/kg-day 
UF = 1000
Confidence = Medium</t>
  </si>
  <si>
    <r>
      <t>MDH HRL 1993
Chronic
Kidney, liver
RfD is IRIS value
IRIS 12/01/1996
Rat, chronic, oral, gavage 
Mineralization of the kidneys in males, hepatic clear cell change in females 
LOAEL = 8.93 x10</t>
    </r>
    <r>
      <rPr>
        <vertAlign val="superscript"/>
        <sz val="8"/>
        <rFont val="Arial"/>
        <family val="2"/>
      </rPr>
      <t>1</t>
    </r>
    <r>
      <rPr>
        <sz val="8"/>
        <rFont val="Arial"/>
        <family val="2"/>
      </rPr>
      <t xml:space="preserve"> mg/kg-day 
UF = 3000
Confidence = Low</t>
    </r>
  </si>
  <si>
    <t>IRIS 9/26/1988
Mouse, subchronic, drinking water 
Clinical serum chemistry (blood)
NOAEL = 3.9 mg/kg-day 
UF = 1000
Confidence = Medium</t>
  </si>
  <si>
    <r>
      <t>MDH HRL 1993
Based on IRIS
IRIS 08/01/1992
Mouse, rat, cancer bioassay 
Survival and histopathology 
LOAEL = 3.49 x10</t>
    </r>
    <r>
      <rPr>
        <vertAlign val="superscript"/>
        <sz val="8"/>
        <rFont val="Arial"/>
        <family val="2"/>
      </rPr>
      <t>2</t>
    </r>
    <r>
      <rPr>
        <sz val="8"/>
        <rFont val="Arial"/>
        <family val="2"/>
      </rPr>
      <t xml:space="preserve"> mg/kg-day
UF = 1000
Confidence = Medium</t>
    </r>
  </si>
  <si>
    <r>
      <t>MDH HRL 1993
Based on IRIS
IRIS 02/01/1996
Human occupational 
Psychomotor impairment 
NOAEL = 2.73 x10</t>
    </r>
    <r>
      <rPr>
        <vertAlign val="superscript"/>
        <sz val="8"/>
        <rFont val="Arial"/>
        <family val="2"/>
      </rPr>
      <t>2</t>
    </r>
    <r>
      <rPr>
        <sz val="8"/>
        <rFont val="Arial"/>
        <family val="2"/>
      </rPr>
      <t xml:space="preserve"> mg/kg-day
UF = 10
Confidence = Low</t>
    </r>
  </si>
  <si>
    <t>MDH Chronic HRL 1993
Based on IRIS
IRIS 09/07/1988
Human daily per capita intakes
No adverse effects observed 
NOAEL = 4.4 mg/kg-day 
UF = 1
Confidence = Medium</t>
  </si>
  <si>
    <r>
      <t>IRIS 03/01/1987
Rat subchronic oral 
Liver/body weight ratio and hepatic microsomal enzyme induction (liver)
NOAEL = 1.0 x10</t>
    </r>
    <r>
      <rPr>
        <vertAlign val="superscript"/>
        <sz val="8"/>
        <rFont val="Arial"/>
        <family val="2"/>
      </rPr>
      <t>1</t>
    </r>
    <r>
      <rPr>
        <sz val="8"/>
        <rFont val="Arial"/>
        <family val="2"/>
      </rPr>
      <t xml:space="preserve"> mg/kg-day
UF = 1000
Confidence = Low to medium </t>
    </r>
  </si>
  <si>
    <r>
      <t>MDH Chronic HRL 1993
Immune system
Based on IRIS
IRIS 01/31/1987
Rat, subchronic to chronic
Decreased delayed hypersensitivity response 
NOEL = 3 x10</t>
    </r>
    <r>
      <rPr>
        <vertAlign val="superscript"/>
        <sz val="8"/>
        <rFont val="Arial"/>
        <family val="2"/>
      </rPr>
      <t>-1</t>
    </r>
    <r>
      <rPr>
        <sz val="8"/>
        <rFont val="Arial"/>
        <family val="2"/>
      </rPr>
      <t xml:space="preserve"> mg/kg-day
UF = 100
Confidence = Low</t>
    </r>
  </si>
  <si>
    <t>IRIS 09/01/1990; archived on 7/15/2016
Dog, feeding, 2 year 
Decreased body weight gain, and increased liver and kidney weights 
NOEL = 2.5 mg/kg-day
UF = 100
Confidence = Medium</t>
  </si>
  <si>
    <t xml:space="preserve">PPRTV 12/20/2012
Rat, oral, diet, 13 week
Liver
NOAEL = 36.8  mg/kg-day  
UF = 3000
Confidence = Medium </t>
  </si>
  <si>
    <t>MDH HRL 9/2013
Rat
Histopathological lesions in the liver and kidney
NOAEL = 9.6 mg/kg-day
HED = 9.6 * 0.26 = 2.5 mg/kg-day
UF = 100</t>
  </si>
  <si>
    <t>MDH Chronic HRL 2023
Mouse
Developmental
BMDL = 75.6 mg/kg-day
UF = 30</t>
  </si>
  <si>
    <t>IRIS 07/05/2001
Rat, subchronic, gavage 
Chronic irritation 
BMDL10 = 6 mg/kg-day
UF = 1000
Confidence = Medium to low</t>
  </si>
  <si>
    <t>IRIS 09/30/2002
Rat, developmental 
Decreased maternal weight gain 
BMDL = 93 mg/kg-day 
UF = 300
Confidence = Medium to high</t>
  </si>
  <si>
    <r>
      <t>IRIS 01/31/1987
Rat, oral, subchronic 
Liver and kidney pathology 
NOEL = 1.00 x10</t>
    </r>
    <r>
      <rPr>
        <vertAlign val="superscript"/>
        <sz val="8"/>
        <rFont val="Arial"/>
        <family val="2"/>
      </rPr>
      <t>2</t>
    </r>
    <r>
      <rPr>
        <sz val="8"/>
        <rFont val="Arial"/>
        <family val="2"/>
      </rPr>
      <t xml:space="preserve"> mg/kg-day
UF = 1000
Confidence = Low to medium</t>
    </r>
  </si>
  <si>
    <t>MDH Chronic HRL 2023HRLexposure
Rat
Developmental, nervous system
BMDL = 0.0917 mg/kg-day
UF = 300</t>
  </si>
  <si>
    <t>MDH Chronic HRL 2018
Mouse
Kidney effects (nephropathy in female mice, decreased kidney weights) 
NOAEL = 75 mg/kg-day (EPA 1989 subchronic study)
UF = 1000</t>
  </si>
  <si>
    <r>
      <t>IRIS 03/31/1987
Rat, chronic, feeding 
Liver toxicity
LOAEL = 2.5 x10</t>
    </r>
    <r>
      <rPr>
        <vertAlign val="superscript"/>
        <sz val="8"/>
        <rFont val="Arial"/>
        <family val="2"/>
      </rPr>
      <t>-2</t>
    </r>
    <r>
      <rPr>
        <sz val="8"/>
        <rFont val="Arial"/>
        <family val="2"/>
      </rPr>
      <t xml:space="preserve"> mg/kg-day
UF = 1000
Confidence = Medium</t>
    </r>
  </si>
  <si>
    <r>
      <t>MDH Chronic HRL 1994
Liver
Based on IRIS
IRIS 01/31/1987
Mouse, feeding, 18 month
LEL = 1.5 x10</t>
    </r>
    <r>
      <rPr>
        <vertAlign val="superscript"/>
        <sz val="8"/>
        <rFont val="Arial"/>
        <family val="2"/>
      </rPr>
      <t>1</t>
    </r>
    <r>
      <rPr>
        <sz val="8"/>
        <rFont val="Arial"/>
        <family val="2"/>
      </rPr>
      <t xml:space="preserve"> mg/kg-day
UF = 1000
Confidence = Medium</t>
    </r>
  </si>
  <si>
    <r>
      <t>IRIS 02/07/1998
Mouse, oral 104 week
Hepatic necrosis (liver)
NOAEL = 1.5 x10</t>
    </r>
    <r>
      <rPr>
        <vertAlign val="superscript"/>
        <sz val="8"/>
        <rFont val="Arial"/>
        <family val="2"/>
      </rPr>
      <t>-1</t>
    </r>
    <r>
      <rPr>
        <sz val="8"/>
        <rFont val="Arial"/>
        <family val="2"/>
      </rPr>
      <t xml:space="preserve"> mg/kg-day
UF = 300
Confidence = Medium</t>
    </r>
  </si>
  <si>
    <r>
      <t>IRIS 02/01/1996
Rat, feeding , 27 week
Liver lesions 
NOEL = 5 x10</t>
    </r>
    <r>
      <rPr>
        <vertAlign val="superscript"/>
        <sz val="8"/>
        <rFont val="Arial"/>
        <family val="2"/>
      </rPr>
      <t>-2</t>
    </r>
    <r>
      <rPr>
        <sz val="8"/>
        <rFont val="Arial"/>
        <family val="2"/>
      </rPr>
      <t xml:space="preserve"> mg/kg-day
UF = 100
Confidence = Medium</t>
    </r>
  </si>
  <si>
    <r>
      <t>IRIS 09/07/1988
Dog, chronic, oral 
Mild histological lesions in liver, occasional convulsions 
NOEL = 2.5 x10</t>
    </r>
    <r>
      <rPr>
        <vertAlign val="superscript"/>
        <sz val="8"/>
        <rFont val="Arial"/>
        <family val="2"/>
      </rPr>
      <t>-2</t>
    </r>
    <r>
      <rPr>
        <sz val="8"/>
        <rFont val="Arial"/>
        <family val="2"/>
      </rPr>
      <t xml:space="preserve"> mg/kg-day
UF = 100
Confidence = Medium</t>
    </r>
  </si>
  <si>
    <r>
      <t>MDH Cancer HRL 1993
Based on IRIS
IRIS 03/01/1991
Dog, feeding, 60 week
Increased liver-to-body weight ratio in both males and females 
LEL = 1.25 x10</t>
    </r>
    <r>
      <rPr>
        <vertAlign val="superscript"/>
        <sz val="8"/>
        <rFont val="Arial"/>
        <family val="2"/>
      </rPr>
      <t>-2</t>
    </r>
    <r>
      <rPr>
        <sz val="8"/>
        <rFont val="Arial"/>
        <family val="2"/>
      </rPr>
      <t xml:space="preserve"> mg/kg-day
UF = 1000
Confidence = Low to medium</t>
    </r>
  </si>
  <si>
    <t>IRIS 01/01/1989
Rat, feeding, 90 day
Increased absolute and relative kidney weights 
NOEL = 3 mg/kg-day
UF = 3000
Confidence = Medium</t>
  </si>
  <si>
    <r>
      <t>IRIS 02/01/1993
Dog, feeding. 2 years
Neurotoxicity, Heinz bodies (blood) and biliary tract hyperplasia (GI)
NOAEL = 2 x10</t>
    </r>
    <r>
      <rPr>
        <vertAlign val="superscript"/>
        <sz val="8"/>
        <rFont val="Arial"/>
        <family val="2"/>
      </rPr>
      <t>-1</t>
    </r>
    <r>
      <rPr>
        <sz val="8"/>
        <rFont val="Arial"/>
        <family val="2"/>
      </rPr>
      <t xml:space="preserve"> mg/kg-day
UF = 100
Confidence = High</t>
    </r>
  </si>
  <si>
    <t>PPRTV Appendix 4/2013
Rat, 104 week
Liver, decreased body weight
BMDL10 = 0.363 mg/kg-day
HED = 0.363 * 0.24 = 0.087 mg/kg-day
UF = 100</t>
  </si>
  <si>
    <t>IRIS 09/26/1988
Rat, feeding, 13 week
Hepatic lesions (liver)
NOAEL = 50 mg/kg-day
UF = 1000
Confidence = Low to medium</t>
  </si>
  <si>
    <r>
      <t>IRIS 09/26/1988
Dog, feeding, 26 week
Liver effects 
LOAEL = 5 x10</t>
    </r>
    <r>
      <rPr>
        <vertAlign val="superscript"/>
        <sz val="8"/>
        <rFont val="Arial"/>
        <family val="2"/>
      </rPr>
      <t>-1</t>
    </r>
    <r>
      <rPr>
        <sz val="8"/>
        <rFont val="Arial"/>
        <family val="2"/>
      </rPr>
      <t xml:space="preserve"> mg/kg-day
UF = 1000
Confidence = Medium</t>
    </r>
  </si>
  <si>
    <r>
      <t>PPRTV 2006
Human, 12 years
Nervous system
LOAEL (HEC) = 1.64 mg/m</t>
    </r>
    <r>
      <rPr>
        <vertAlign val="superscript"/>
        <sz val="8"/>
        <rFont val="Arial"/>
        <family val="2"/>
      </rPr>
      <t>3</t>
    </r>
    <r>
      <rPr>
        <sz val="8"/>
        <rFont val="Arial"/>
        <family val="2"/>
      </rPr>
      <t xml:space="preserve">
UF = 300
Confidence = Low to medium</t>
    </r>
  </si>
  <si>
    <t>HEAST 7/1997
Human
Borax
Respiratory, bronchitis
UF = 100
Note: IRIS 8/5/2004
Information reviewed but value not estimated
Data inadequate to support derivation of an RfC for boron because the data available do not include a well-conducted study that adequately evaluated the respiratory tract and no NOAEL or LOAEL could be established</t>
  </si>
  <si>
    <r>
      <t>IRIS 8/1/2024
Human, occupational longitudinal study
Ulcerated nasal septum
LOAEL = 3.4 x 10</t>
    </r>
    <r>
      <rPr>
        <vertAlign val="superscript"/>
        <sz val="8"/>
        <color theme="1"/>
        <rFont val="Arial"/>
        <family val="2"/>
      </rPr>
      <t>-3</t>
    </r>
    <r>
      <rPr>
        <sz val="8"/>
        <color theme="1"/>
        <rFont val="Arial"/>
        <family val="2"/>
      </rPr>
      <t xml:space="preserve"> mg/m</t>
    </r>
    <r>
      <rPr>
        <vertAlign val="superscript"/>
        <sz val="8"/>
        <color theme="1"/>
        <rFont val="Arial"/>
        <family val="2"/>
      </rPr>
      <t>3</t>
    </r>
    <r>
      <rPr>
        <sz val="8"/>
        <color theme="1"/>
        <rFont val="Arial"/>
        <family val="2"/>
      </rPr>
      <t xml:space="preserve">
UF = 100
Confidence = Medium</t>
    </r>
  </si>
  <si>
    <t>ATSDR 9/2012
Human, meta-analysis of environmental exposure data
Renal
Based on 95% lower confidence limit of the urinary cadmium level associated with a 10% extra risk of low molecular weight proteinuria (UCDL10)
UCDL10 = 0.5 μg/g creatinine
UF = 3, MF= 3</t>
  </si>
  <si>
    <t xml:space="preserve">MDH HRV 2002
Chronic
Human, occupational exposure
MDH used IRIS study but used recent EPA methodology to derive a BMC of 1.9E-02
Nervous system
UF = 100
Logistic regression curve to determine 5% response
</t>
  </si>
  <si>
    <r>
      <t>IRIS 6/1/1995
Human, occupational, inhalation
Nervous system, hand tremor; increases in memory disturbances; slight subjective and objective evidence of autonomic dysfunction 
Adjusted LOAEL = 9 x10</t>
    </r>
    <r>
      <rPr>
        <vertAlign val="superscript"/>
        <sz val="8"/>
        <color theme="1"/>
        <rFont val="Arial"/>
        <family val="2"/>
      </rPr>
      <t>-3</t>
    </r>
    <r>
      <rPr>
        <sz val="8"/>
        <color theme="1"/>
        <rFont val="Arial"/>
        <family val="2"/>
      </rPr>
      <t xml:space="preserve"> mg/m</t>
    </r>
    <r>
      <rPr>
        <vertAlign val="superscript"/>
        <sz val="8"/>
        <color indexed="8"/>
        <rFont val="Arial"/>
        <family val="2"/>
      </rPr>
      <t>3</t>
    </r>
    <r>
      <rPr>
        <sz val="8"/>
        <color indexed="8"/>
        <rFont val="Arial"/>
        <family val="2"/>
      </rPr>
      <t xml:space="preserve"> 
UF = 30
Confidence = Medium
Same value in ATSDR (2024)
</t>
    </r>
  </si>
  <si>
    <r>
      <t>ATSDR 9/1997
Titanium tetrachloride - most toxic form
Respiratory
LOAEL = 0.1 mg/m</t>
    </r>
    <r>
      <rPr>
        <vertAlign val="superscript"/>
        <sz val="8"/>
        <rFont val="Arial"/>
        <family val="2"/>
      </rPr>
      <t>3</t>
    </r>
    <r>
      <rPr>
        <sz val="8"/>
        <rFont val="Arial"/>
        <family val="2"/>
      </rPr>
      <t xml:space="preserve">
UF = 90
Alternative provisional value for Titanium &amp; compounds, titanium dioxide but excluding titanium tetrachloride, dichloride, organic complexes (titanocenes).  
EPA Superfund Technical Support Center (STSC) 1998
Risk Assessment Issue Paper for : Derivation of Interim Oral and Inhalation Toxicity Values for Titanium and Compounds, Especially Titanium Dioxide but Excluding Titanium Tetrachloride, Titanium Dichloride and Organic Complexes of Titanium Such as Titanocenes - DRAFT.
RfC = 3.0E-02 mg/m</t>
    </r>
    <r>
      <rPr>
        <vertAlign val="superscript"/>
        <sz val="8"/>
        <rFont val="Arial"/>
        <family val="2"/>
      </rPr>
      <t>3</t>
    </r>
    <r>
      <rPr>
        <sz val="8"/>
        <rFont val="Arial"/>
        <family val="2"/>
      </rPr>
      <t xml:space="preserve"> 
Rat, inhalation
Respiratory 
UF = 30
Confidence - Low to Medium</t>
    </r>
  </si>
  <si>
    <r>
      <t>ATSDR 9/2012
Exposure to vanadium pentoxide dust 
Mouse, rat, inhalation, 2 years
Respiratory, degeneration of respiratory epithelium of the epiglottis
BMCL10 =  0.003 mg vanadium/m</t>
    </r>
    <r>
      <rPr>
        <vertAlign val="superscript"/>
        <sz val="8"/>
        <rFont val="Arial"/>
        <family val="2"/>
      </rPr>
      <t>3</t>
    </r>
    <r>
      <rPr>
        <sz val="8"/>
        <rFont val="Arial"/>
        <family val="2"/>
      </rPr>
      <t xml:space="preserve">
UF = 30
</t>
    </r>
  </si>
  <si>
    <r>
      <t>IRIS 11/1/1991
Rat, 2-year inhalation
Respiratory (Degeneration and inflammation of nasal respiratory epithelium; hyperplasia of mucous secreting cells)
LOAEL = 1.9 mg/m</t>
    </r>
    <r>
      <rPr>
        <vertAlign val="superscript"/>
        <sz val="8"/>
        <rFont val="Arial"/>
        <family val="2"/>
      </rPr>
      <t>3</t>
    </r>
    <r>
      <rPr>
        <sz val="8"/>
        <rFont val="Arial"/>
        <family val="2"/>
      </rPr>
      <t xml:space="preserve">
UF = 1000
Confidence = medium</t>
    </r>
  </si>
  <si>
    <r>
      <t>IRIS 12/1/1991
Rabbit subchronic inhalation study
Nervous (Functional and histological peripheral neurotoxicity)
NOAEL(HEC) = 3.6 mg/m</t>
    </r>
    <r>
      <rPr>
        <vertAlign val="superscript"/>
        <sz val="8"/>
        <rFont val="Arial"/>
        <family val="2"/>
      </rPr>
      <t>3</t>
    </r>
    <r>
      <rPr>
        <sz val="8"/>
        <rFont val="Arial"/>
        <family val="2"/>
      </rPr>
      <t xml:space="preserve">
UF = 3000
Confidence = low</t>
    </r>
  </si>
  <si>
    <t xml:space="preserve">ATSDR 3/2020
Rat, inhalation
Respiratory, nasal lesions
LOAEL(HEC) = 0.11 ppm
UF = 90
MRL = 0.001 ppm
</t>
  </si>
  <si>
    <r>
      <t>MDH HRV 3/2002
IRIS 08/01/1995
Human, occupational 
Peripheral nervous system dysfunction 
BMC10 (HEC) = 1.97 x 10</t>
    </r>
    <r>
      <rPr>
        <vertAlign val="superscript"/>
        <sz val="8"/>
        <rFont val="Arial"/>
        <family val="2"/>
      </rPr>
      <t>1</t>
    </r>
    <r>
      <rPr>
        <sz val="8"/>
        <rFont val="Arial"/>
        <family val="2"/>
      </rPr>
      <t xml:space="preserve"> mg/m</t>
    </r>
    <r>
      <rPr>
        <vertAlign val="superscript"/>
        <sz val="8"/>
        <rFont val="Arial"/>
        <family val="2"/>
      </rPr>
      <t>3</t>
    </r>
    <r>
      <rPr>
        <sz val="8"/>
        <rFont val="Arial"/>
        <family val="2"/>
      </rPr>
      <t xml:space="preserve"> 
UF = 30
Confidence = Medium </t>
    </r>
  </si>
  <si>
    <r>
      <t>IRIS 03/31/2010
Rat, chronic inhalation
Fatty changes in the liver 
BMCL10 (HEC) = 14.3 mg/m</t>
    </r>
    <r>
      <rPr>
        <vertAlign val="superscript"/>
        <sz val="8"/>
        <rFont val="Arial"/>
        <family val="2"/>
      </rPr>
      <t>3</t>
    </r>
    <r>
      <rPr>
        <sz val="8"/>
        <rFont val="Arial"/>
        <family val="2"/>
      </rPr>
      <t xml:space="preserve"> 
UF = 100
Confidence = Medium to high </t>
    </r>
  </si>
  <si>
    <r>
      <t>PPRTV 2007 (subchronic value chosen over IRIS chronic value per EPA 2021 memo</t>
    </r>
    <r>
      <rPr>
        <vertAlign val="superscript"/>
        <sz val="8"/>
        <rFont val="Arial"/>
        <family val="2"/>
      </rPr>
      <t>12</t>
    </r>
    <r>
      <rPr>
        <sz val="8"/>
        <rFont val="Arial"/>
        <family val="2"/>
      </rPr>
      <t>)
Mouse, gestation days 6-15
Reproductive (delayed fetal ossification)
LEC = 1078 mg/m</t>
    </r>
    <r>
      <rPr>
        <vertAlign val="superscript"/>
        <sz val="8"/>
        <rFont val="Arial"/>
        <family val="2"/>
      </rPr>
      <t>3</t>
    </r>
    <r>
      <rPr>
        <sz val="8"/>
        <rFont val="Arial"/>
        <family val="2"/>
      </rPr>
      <t xml:space="preserve">
UF = 300
Confidence = medium</t>
    </r>
  </si>
  <si>
    <r>
      <t>IRIS 07/17/2001
Mouse, inhalation, 11 day
Cerebellar lesions (brain)
NOAEL (HEC) = 9.46 x10</t>
    </r>
    <r>
      <rPr>
        <vertAlign val="superscript"/>
        <sz val="8"/>
        <rFont val="Arial"/>
        <family val="2"/>
      </rPr>
      <t>1</t>
    </r>
    <r>
      <rPr>
        <sz val="8"/>
        <rFont val="Arial"/>
        <family val="2"/>
      </rPr>
      <t xml:space="preserve"> mg/m</t>
    </r>
    <r>
      <rPr>
        <vertAlign val="superscript"/>
        <sz val="8"/>
        <rFont val="Arial"/>
        <family val="2"/>
      </rPr>
      <t>3</t>
    </r>
    <r>
      <rPr>
        <sz val="8"/>
        <rFont val="Arial"/>
        <family val="2"/>
      </rPr>
      <t xml:space="preserve"> 
UF = 1000
Confidence =  Medium to high</t>
    </r>
  </si>
  <si>
    <r>
      <t>IRIS 08/01/1997
Rat, inhalation, 13 week
Increased kidney weights in female rats and adrenal weights in male and female rats   
NOAEL (HEC) = 4.35E+2 mg/m</t>
    </r>
    <r>
      <rPr>
        <vertAlign val="superscript"/>
        <sz val="8"/>
        <rFont val="Arial"/>
        <family val="2"/>
      </rPr>
      <t>3</t>
    </r>
    <r>
      <rPr>
        <sz val="8"/>
        <rFont val="Arial"/>
        <family val="2"/>
      </rPr>
      <t xml:space="preserve"> 
UF = 1000
Confidence = Medium to high
</t>
    </r>
  </si>
  <si>
    <r>
      <t>IRIS 07/29/2004
Mouse, chronic, inhalation 
Nasal inflammation 
BMCL10 (HEC) = 2.8 mg/m</t>
    </r>
    <r>
      <rPr>
        <vertAlign val="superscript"/>
        <sz val="8"/>
        <color indexed="8"/>
        <rFont val="Arial"/>
        <family val="2"/>
      </rPr>
      <t>3</t>
    </r>
    <r>
      <rPr>
        <sz val="8"/>
        <color indexed="8"/>
        <rFont val="Arial"/>
        <family val="2"/>
      </rPr>
      <t xml:space="preserve"> 
UF = 300
Confidence = Medium</t>
    </r>
  </si>
  <si>
    <r>
      <t>PPRTV 10/1/2010
Human, inhalation, occupational
Neurological
LOAEL(HEC) = 22 mg/m</t>
    </r>
    <r>
      <rPr>
        <vertAlign val="superscript"/>
        <sz val="8"/>
        <rFont val="Arial"/>
        <family val="2"/>
      </rPr>
      <t>3</t>
    </r>
    <r>
      <rPr>
        <sz val="8"/>
        <rFont val="Arial"/>
        <family val="2"/>
      </rPr>
      <t xml:space="preserve">  
UF = 3000
Confidence = Low</t>
    </r>
  </si>
  <si>
    <r>
      <t>IRIS 08/13/2002
Rat, chronic, inhalation 
Liver toxicity (fatty change) 
BMCL10 (HEC) = 6.9 mg/m</t>
    </r>
    <r>
      <rPr>
        <vertAlign val="superscript"/>
        <sz val="8"/>
        <rFont val="Arial"/>
        <family val="2"/>
      </rPr>
      <t>3</t>
    </r>
    <r>
      <rPr>
        <sz val="8"/>
        <rFont val="Arial"/>
        <family val="2"/>
      </rPr>
      <t xml:space="preserve"> 
UF = 30
Confidence = Medium to high</t>
    </r>
  </si>
  <si>
    <r>
      <t>IRIS 11/18/2011
Rat, inhalation, 2 year
Hepatic effects (hepatic vacuolation) 
BMDL10 (HEC) = 17.2 mg/m</t>
    </r>
    <r>
      <rPr>
        <vertAlign val="superscript"/>
        <sz val="8"/>
        <rFont val="Arial"/>
        <family val="2"/>
      </rPr>
      <t>3</t>
    </r>
    <r>
      <rPr>
        <sz val="8"/>
        <rFont val="Arial"/>
        <family val="2"/>
      </rPr>
      <t xml:space="preserve"> 
UF = 30
Confidence = Medium to high</t>
    </r>
  </si>
  <si>
    <r>
      <t>IRIS 12/01/1991
Rat, inhalation, 13 week 
Hyperplasia of the nasal mucosa 
LOAEL (HEC) = 1.3 mg/m</t>
    </r>
    <r>
      <rPr>
        <vertAlign val="superscript"/>
        <sz val="8"/>
        <rFont val="Arial"/>
        <family val="2"/>
      </rPr>
      <t>3</t>
    </r>
    <r>
      <rPr>
        <sz val="8"/>
        <rFont val="Arial"/>
        <family val="2"/>
      </rPr>
      <t xml:space="preserve"> 
UF = 300
Confidence = Medium to high</t>
    </r>
  </si>
  <si>
    <r>
      <t>ATSDR 2010
Rat
Increased severity of chronic progressive nephropathy
LOAEL (HEC) = 17.45 ppm
UF = 300
MRL = 0.06 ppm
Use molar weight (MW: 106.18) to convert to mg/m</t>
    </r>
    <r>
      <rPr>
        <vertAlign val="superscript"/>
        <sz val="8"/>
        <rFont val="Arial"/>
        <family val="2"/>
      </rPr>
      <t>3</t>
    </r>
    <r>
      <rPr>
        <sz val="8"/>
        <rFont val="Arial"/>
        <family val="2"/>
      </rPr>
      <t xml:space="preserve">
</t>
    </r>
  </si>
  <si>
    <r>
      <t>IRIS 3/2/1998
Rat, inhalation
Nervous, respiratory (Degeneration / atrophy of olfactory epithelium)
BMC10(HEC) = 7.2 mg/m</t>
    </r>
    <r>
      <rPr>
        <vertAlign val="superscript"/>
        <sz val="8"/>
        <rFont val="Arial"/>
        <family val="2"/>
      </rPr>
      <t>3</t>
    </r>
    <r>
      <rPr>
        <sz val="8"/>
        <rFont val="Arial"/>
        <family val="2"/>
      </rPr>
      <t xml:space="preserve">
UF = 10
Confidence = medium/high</t>
    </r>
  </si>
  <si>
    <r>
      <t>MDH Chronic HBV 2017
Mouse, rat, inhalation, 2 years
Respiratory system
LOAEL = 9.3 mg/m</t>
    </r>
    <r>
      <rPr>
        <vertAlign val="superscript"/>
        <sz val="8"/>
        <rFont val="Arial"/>
        <family val="2"/>
      </rPr>
      <t>3</t>
    </r>
    <r>
      <rPr>
        <sz val="8"/>
        <rFont val="Arial"/>
        <family val="2"/>
      </rPr>
      <t xml:space="preserve">
UF = 1000</t>
    </r>
  </si>
  <si>
    <t>PPRTV 2/7/2009, Appendix
Previous 1991 IRIS value
Based on the analogy of ethylbenzene
Animal, developmental toxicity
UF = 300</t>
  </si>
  <si>
    <r>
      <t>MDH RAA 7/2014
Human, occupational 
Nervous, color vision - dyschromatopsia
LOAEL = 15 mg/m</t>
    </r>
    <r>
      <rPr>
        <vertAlign val="superscript"/>
        <sz val="8"/>
        <rFont val="Arial"/>
        <family val="2"/>
      </rPr>
      <t>3</t>
    </r>
    <r>
      <rPr>
        <sz val="8"/>
        <rFont val="Arial"/>
        <family val="2"/>
      </rPr>
      <t xml:space="preserve">
UF = 1000</t>
    </r>
  </si>
  <si>
    <r>
      <t>IRIS 09/28/2007
Rat, inhalation, 2 year
Liver histopathologic changes 
NOEL (HEC) = 1553 mg/m</t>
    </r>
    <r>
      <rPr>
        <vertAlign val="superscript"/>
        <sz val="8"/>
        <rFont val="Arial"/>
        <family val="2"/>
      </rPr>
      <t xml:space="preserve">3 
</t>
    </r>
    <r>
      <rPr>
        <sz val="8"/>
        <rFont val="Arial"/>
        <family val="2"/>
      </rPr>
      <t>UF = 100
Confidence = Medium to high</t>
    </r>
  </si>
  <si>
    <r>
      <t>PPRTV Appendix 4/1/2011
Rat, male, female, subchronic
BMDL based on male nasal lesions
Respiratory, lipid metabolism (GI)
BMDL10(HEC) = 0.51 mg/m</t>
    </r>
    <r>
      <rPr>
        <vertAlign val="superscript"/>
        <sz val="8"/>
        <rFont val="Arial"/>
        <family val="2"/>
      </rPr>
      <t>3</t>
    </r>
    <r>
      <rPr>
        <sz val="8"/>
        <rFont val="Arial"/>
        <family val="2"/>
      </rPr>
      <t xml:space="preserve">
UF = 3000
Confidence Low to medium</t>
    </r>
  </si>
  <si>
    <r>
      <t>MDH Chronic HBV 2018
Mouse, female
Immune (decreased thymus weight)
LOAEL = 0.19 mg/m</t>
    </r>
    <r>
      <rPr>
        <vertAlign val="superscript"/>
        <sz val="8"/>
        <rFont val="Arial"/>
        <family val="2"/>
      </rPr>
      <t xml:space="preserve">3 
</t>
    </r>
    <r>
      <rPr>
        <sz val="8"/>
        <rFont val="Arial"/>
        <family val="2"/>
      </rPr>
      <t>UF = 100
RfC = 0.0019 mg/m</t>
    </r>
    <r>
      <rPr>
        <vertAlign val="superscript"/>
        <sz val="8"/>
        <rFont val="Arial"/>
        <family val="2"/>
      </rPr>
      <t xml:space="preserve">3 </t>
    </r>
    <r>
      <rPr>
        <sz val="8"/>
        <rFont val="Arial"/>
        <family val="2"/>
      </rPr>
      <t xml:space="preserve"> rounded to 0.002 mg/m</t>
    </r>
    <r>
      <rPr>
        <vertAlign val="superscript"/>
        <sz val="8"/>
        <rFont val="Arial"/>
        <family val="2"/>
      </rPr>
      <t>3</t>
    </r>
    <r>
      <rPr>
        <sz val="8"/>
        <rFont val="Arial"/>
        <family val="2"/>
      </rPr>
      <t xml:space="preserve">
</t>
    </r>
  </si>
  <si>
    <r>
      <t>PPRTV 9/15/2009
Based on subchronic value
Human, inhalation, 2-4 weeks
Brain, cognitive performance
LOAEL = 1339  mg/m</t>
    </r>
    <r>
      <rPr>
        <vertAlign val="superscript"/>
        <sz val="8"/>
        <rFont val="Arial"/>
        <family val="2"/>
      </rPr>
      <t>3</t>
    </r>
    <r>
      <rPr>
        <sz val="8"/>
        <rFont val="Arial"/>
        <family val="2"/>
      </rPr>
      <t xml:space="preserve">  
UF = 1000
Confidence = Low
</t>
    </r>
  </si>
  <si>
    <r>
      <t>PPRTV 2016
Human, occupational, 2.77 years
No effects
NOAEL = 1440 mg/m</t>
    </r>
    <r>
      <rPr>
        <vertAlign val="superscript"/>
        <sz val="8"/>
        <rFont val="Arial"/>
        <family val="2"/>
      </rPr>
      <t>3</t>
    </r>
    <r>
      <rPr>
        <sz val="8"/>
        <rFont val="Arial"/>
        <family val="2"/>
      </rPr>
      <t xml:space="preserve">
UF = 300
Confidence = medium</t>
    </r>
  </si>
  <si>
    <r>
      <t>IRIS 9/2016
Based on 1,3,5-, 1,2,4- and 1,2,3-Trimethylbenzene isomers
Rat
Decreased pain sensitivity, Neurological
BMCL (HEC) = 18 mg/m</t>
    </r>
    <r>
      <rPr>
        <vertAlign val="superscript"/>
        <sz val="8"/>
        <rFont val="Arial"/>
        <family val="2"/>
      </rPr>
      <t>3</t>
    </r>
    <r>
      <rPr>
        <sz val="8"/>
        <rFont val="Arial"/>
        <family val="2"/>
      </rPr>
      <t xml:space="preserve"> 
UF = 300
Confidence = Low to medium</t>
    </r>
  </si>
  <si>
    <r>
      <t>ATSDR Chronic Inhalation MRL 7/2006
Rat, female, male, inhalation, 104 weeks
Nasal - most sensitive effect
BMCL10 = 9.51 ppm
HEC = 0.27 ppm
UF = 30
RfC = 0.01 ppm * (6.01 mg/m</t>
    </r>
    <r>
      <rPr>
        <vertAlign val="superscript"/>
        <sz val="8"/>
        <rFont val="Arial"/>
        <family val="2"/>
      </rPr>
      <t>3</t>
    </r>
    <r>
      <rPr>
        <sz val="8"/>
        <rFont val="Arial"/>
        <family val="2"/>
      </rPr>
      <t>/1 ppm) = 6.0E-02 mg/m</t>
    </r>
    <r>
      <rPr>
        <vertAlign val="superscript"/>
        <sz val="8"/>
        <rFont val="Arial"/>
        <family val="2"/>
      </rPr>
      <t>3</t>
    </r>
    <r>
      <rPr>
        <sz val="8"/>
        <rFont val="Arial"/>
        <family val="2"/>
      </rPr>
      <t xml:space="preserve">
ATSDR MRL chosen over IRIS 
ATSDR based on new data and methodology.  MDH agrees - not convinced of carcinogenicity and b/c based on BMCL, value should be much stronger than IRIS value. Currently undergoing IRIS assessment.</t>
    </r>
  </si>
  <si>
    <r>
      <t>IRIS 9/20/2013
Male rat, oral, chronic
Respiratory
LOAEL (HEC) = 32.2 mg/m</t>
    </r>
    <r>
      <rPr>
        <vertAlign val="superscript"/>
        <sz val="8"/>
        <rFont val="Arial"/>
        <family val="2"/>
      </rPr>
      <t xml:space="preserve">3
</t>
    </r>
    <r>
      <rPr>
        <sz val="8"/>
        <rFont val="Arial"/>
        <family val="2"/>
      </rPr>
      <t>UF = 1000
Confidence = Medium</t>
    </r>
  </si>
  <si>
    <r>
      <t>IRIS 07/05/2001
Mouse, chronic, inhalation 
Suppurative inflammation of the nose 
NOAEL (HEC) = 2.4 x10</t>
    </r>
    <r>
      <rPr>
        <vertAlign val="superscript"/>
        <sz val="8"/>
        <rFont val="Arial"/>
        <family val="2"/>
      </rPr>
      <t>-2</t>
    </r>
    <r>
      <rPr>
        <sz val="8"/>
        <rFont val="Arial"/>
        <family val="2"/>
      </rPr>
      <t xml:space="preserve"> mg/m</t>
    </r>
    <r>
      <rPr>
        <vertAlign val="superscript"/>
        <sz val="8"/>
        <rFont val="Arial"/>
        <family val="2"/>
      </rPr>
      <t>3</t>
    </r>
    <r>
      <rPr>
        <sz val="8"/>
        <rFont val="Arial"/>
        <family val="2"/>
      </rPr>
      <t xml:space="preserve"> 
UF = 100
Confidence = Medium to high</t>
    </r>
  </si>
  <si>
    <t>IRIS 9/30/2013
Rat, male, inhalation
Nervous, Developmental - brain weight
BMDL1SD (internal) = 858 mg-hr/L
UF = 100
Confidence = High to medium</t>
  </si>
  <si>
    <r>
      <t>IRIS 2/6/2009
Mouse, 2-year inhalation
Nervous, Respiratory (Bronchiolization of the alveoli and olfactory degeneration)
BMCL10 (HEC) = 0.26 mg/m</t>
    </r>
    <r>
      <rPr>
        <vertAlign val="superscript"/>
        <sz val="8"/>
        <rFont val="Arial"/>
        <family val="2"/>
      </rPr>
      <t>3</t>
    </r>
    <r>
      <rPr>
        <sz val="8"/>
        <rFont val="Arial"/>
        <family val="2"/>
      </rPr>
      <t xml:space="preserve">
UF = 30
Confidence = medium</t>
    </r>
  </si>
  <si>
    <r>
      <t>PPRTV 2024, screening value
Rat
Mucous cell hyperplasia in nasopharyngeal tissues
BMCL10 (HEC) = 0.009 mg/m</t>
    </r>
    <r>
      <rPr>
        <vertAlign val="superscript"/>
        <sz val="8"/>
        <rFont val="Arial"/>
        <family val="2"/>
      </rPr>
      <t>3</t>
    </r>
    <r>
      <rPr>
        <sz val="8"/>
        <rFont val="Arial"/>
        <family val="2"/>
      </rPr>
      <t xml:space="preserve">
UF = 3000
Confidence = low</t>
    </r>
  </si>
  <si>
    <r>
      <t>IRIS 02/07/1998
Rat, subchronic, inhalation 
Hepatic effects (liver)
NOAEL (HEC) = 6.5 x10</t>
    </r>
    <r>
      <rPr>
        <vertAlign val="superscript"/>
        <sz val="8"/>
        <rFont val="Arial"/>
        <family val="2"/>
      </rPr>
      <t>-1</t>
    </r>
    <r>
      <rPr>
        <sz val="8"/>
        <rFont val="Arial"/>
        <family val="2"/>
      </rPr>
      <t xml:space="preserve"> mg/m</t>
    </r>
    <r>
      <rPr>
        <vertAlign val="superscript"/>
        <sz val="8"/>
        <rFont val="Arial"/>
        <family val="2"/>
      </rPr>
      <t>3</t>
    </r>
    <r>
      <rPr>
        <sz val="8"/>
        <rFont val="Arial"/>
        <family val="2"/>
      </rPr>
      <t xml:space="preserve"> 
UF = 1000
Confidence = Low to medium</t>
    </r>
  </si>
  <si>
    <t>Human
Lowest acute effect dose of 7 mg/kg Saunderman 1988
Gastrointestinal effects
UF = 30 (10 for intraspecies variability and 3 for LOAEL with transient, gastrointestinal effects)</t>
  </si>
  <si>
    <r>
      <t>ATSDR 2010
Human, meta-analysis
Neurological effects
LOAEL = 20 ppm, LOAEL</t>
    </r>
    <r>
      <rPr>
        <vertAlign val="subscript"/>
        <sz val="8"/>
        <rFont val="Arial"/>
        <family val="2"/>
      </rPr>
      <t>ADJ</t>
    </r>
    <r>
      <rPr>
        <sz val="8"/>
        <rFont val="Arial"/>
        <family val="2"/>
      </rPr>
      <t xml:space="preserve"> = 4.8 ppm
UF = 30
MRL = 0.2 ppm
Conversion: MW = 104.15. Assuming 25 C and 760 mmHg
0.2 ppm * 104.15/24.45 = 0.85 mg/m</t>
    </r>
    <r>
      <rPr>
        <vertAlign val="superscript"/>
        <sz val="8"/>
        <rFont val="Arial"/>
        <family val="2"/>
      </rPr>
      <t>3</t>
    </r>
  </si>
  <si>
    <t>Michigan DEQ 2015
Based on PPRTV 2009 (Subchronic p-RfD = 0.009 mg/kg-day)
Rat, drinking water
Kidney effects in male and female rats and liver and thyroid effects in males
NOAEL = 8.6 mg/kg-day
UF = 1000 and additional UF =3 for subchronic to chronic</t>
  </si>
  <si>
    <t xml:space="preserve">MDH Chronic HRL 2015
Human
Renal (kidney), skeletal
UCDL10 = 0.00033 mg/kg-day
UF = 3
Note: UCDL10 = 95% lower confidence limit on estimated internal cadmium dose corresponding to probability of 10% excess risk </t>
  </si>
  <si>
    <t>MDH Chronic HBV 2023
Mouse, female
Reproductive system, hepatic (liver) system, immune system, respiratory system 
NOAEL = 44.6 mg/kg-day
UF = 3000</t>
  </si>
  <si>
    <t>IRIS 12/01/1989
Mouse, subchronic, oral 
Hepatic lesions (liver)
NOAEL = 1.4 mg/kg-day 
UF = 1000
Confidence = Low to medium</t>
  </si>
  <si>
    <t xml:space="preserve">MDH HRL 2015
Laboratory animal
Immune system, developmental
LOAEL = 0.37 mg/kg-day
HED = 0.37 * 0.14 = 0.052 mg/kg-day
UF = 300
</t>
  </si>
  <si>
    <r>
      <t>IRIS 11/1/1990
Rat, Guinea Pig, Mouse, 20-26 week inhalation study
Hematologic (Methemoglobin increase, spleen toxicity)
NOAEL (HEC) = 3.4 mg/m</t>
    </r>
    <r>
      <rPr>
        <vertAlign val="superscript"/>
        <sz val="8"/>
        <rFont val="Arial"/>
        <family val="2"/>
      </rPr>
      <t>3</t>
    </r>
    <r>
      <rPr>
        <sz val="8"/>
        <rFont val="Arial"/>
        <family val="2"/>
      </rPr>
      <t xml:space="preserve">
UF = 3000
Confidence = low</t>
    </r>
  </si>
  <si>
    <t>PPRTV Appendix 6/11/2007
Screening chronic oral p-RfD
Rat, oral, 200 day, subchronic study
Reduced length and organ weight and excess abdominal fat
LOAEL = 12.3 mg/kg-day
UF = 10,000</t>
  </si>
  <si>
    <t>PPRTV 4/21/2007
Rat, oral, drinking water, 10 weeks
Reproductive
NOAEL = 3  mg/kg-day 
UF = 3000
Confidence = Low</t>
  </si>
  <si>
    <t xml:space="preserve">MDH Chronic HRL 1993
Based on IRIS
IRIS 10/01/1997
Rat, diet, 2 year
Methemoglobinemia and spleen-erythroid cell hyperplasia (immune system, blood)
NOAEL = 2.68 mg/kg-day
UF = 100
Confidence = Medium to high </t>
  </si>
  <si>
    <r>
      <t xml:space="preserve">Site 
Hazard Quotient 
(HQ) </t>
    </r>
    <r>
      <rPr>
        <b/>
        <vertAlign val="superscript"/>
        <sz val="8"/>
        <rFont val="Arial"/>
        <family val="2"/>
      </rPr>
      <t>3, 16</t>
    </r>
  </si>
  <si>
    <t>16 - It is generally not necessary to perform an evaluation for additive risks when conducting a risk assessment under SRVs. Target endpoints can vary across different chemicals. if a site-specific risk assessment requires consideration of additive risks, the hazard index may be used. Please see SRV TSD for additional information.</t>
  </si>
  <si>
    <r>
      <t xml:space="preserve">Site 
Hazard Quotient 
(HQ) </t>
    </r>
    <r>
      <rPr>
        <b/>
        <vertAlign val="superscript"/>
        <sz val="8"/>
        <rFont val="Arial"/>
        <family val="2"/>
      </rPr>
      <t>2, 15</t>
    </r>
  </si>
  <si>
    <t>15 - It is generally not necessary to perform an evaluation for additive risks when conducting a risk assessment under SRVs. Target endpoints can vary across different chemicals. if a site-specific risk assessment requires consideration of additive risks, the hazard index may be used. Please see SRV TSD for additional information.</t>
  </si>
  <si>
    <t>IRIS 08/07/2000
Rat, female, oral
Total of liver angiosarcoma, hepatocellular carcinoma, and neoplastic nodules
Linearized Multistage Model: 
7.2E-01 (continuous lifetime exposure from adult)
1.4 (continuous lifetime exposure from birth)
LED10 Linear:
7.5E-01 (continuous lifetime exposure from adult)
1.5 (continuous lifetime exposure from birth)
MDH Cancer HRL 2018
CSF = 1.4
Rat
Hepatic (liver) tumor
Adjusted for continuous lifetime exposure from birth</t>
  </si>
  <si>
    <r>
      <t>MDH Cancer HRV 3/2002
IRIS IUR = 8.8E-06 µg/m</t>
    </r>
    <r>
      <rPr>
        <vertAlign val="superscript"/>
        <sz val="8"/>
        <rFont val="Arial"/>
        <family val="2"/>
      </rPr>
      <t xml:space="preserve">3
</t>
    </r>
    <r>
      <rPr>
        <sz val="8"/>
        <rFont val="Arial"/>
        <family val="2"/>
      </rPr>
      <t>IUR from IRIS
IRIS 08/07/2000
Rat, inhalation
Liver angiosarcomas, angiomas, hepatomas, and neoplastic nodules 
EPA lists identical toxicity values using the LED10 method and linearized multistage model 
4.4E-06 (continuous lifetime exposure from adult)
8.8E-06 (continuous lifetime exposure from birth)</t>
    </r>
  </si>
  <si>
    <t>2 - Maximum concentration is generally used when comparing composite or incremental samples to SRVs or when comparing to a BTV. The 95% UCL of the mean is used when analyzing discrete samples.</t>
  </si>
  <si>
    <t>1 - Maximum concentration is generally used when comparing composite or incremental samples to SRVs or when comparing to a BTV. The 95% UCL of the mean is used when analyzing discrete samples.</t>
  </si>
  <si>
    <t>ATSDR Acute Oral MRL 9/2008
Rat
Decreased maternal weight gain
BMDL = 125 mg/kg-day
UF = 100</t>
  </si>
  <si>
    <t>MDH RAA 12/2013
Mouse
Respiratory, pulmonary alveolar proteinosis
BMDL05 = 3.5 mg/kg-day
HED = 0.53 mg/kg-day
UF = 300</t>
  </si>
  <si>
    <t>ATSDR Chronic Oral MRL 9/2008
Rat, male, female, 97 weeks
Neurological
NOAEL = 0.065 mg/kg-day
UF = 100</t>
  </si>
  <si>
    <r>
      <t>ATSDR 8/2007 (Intermediate MRL chosen over IRIS chronic value per EPA 2021 memo</t>
    </r>
    <r>
      <rPr>
        <vertAlign val="superscript"/>
        <sz val="8"/>
        <rFont val="Arial"/>
        <family val="2"/>
      </rPr>
      <t>12</t>
    </r>
    <r>
      <rPr>
        <sz val="8"/>
        <rFont val="Arial"/>
        <family val="2"/>
      </rPr>
      <t>)
Rat
Immunological
LOAEL = 0.03 mg/kg-day
UF = 300</t>
    </r>
  </si>
  <si>
    <t>ATSDR 2024
Rat, oral, diet, 107 weeks
Increased liver weight and liver histopathology changes
NOAEL = 0.9 mg/kg-day 
UF = 100, MF =10</t>
  </si>
  <si>
    <t>MDH 3/17/2003 memo and June 2009 MDH guidance for dioxins
CSF = 1.4E6 mg/kg-day
MDH recommended interim cancer slope factor
Rat, female
Liver cancer</t>
  </si>
  <si>
    <t>ATSDR MRL 2007
Human case study, arsenic contamination of soy sauce
Facial edema and gastrointestinal symptoms (nausea, vomiting, diarrhea)
LOAEL = 0.05 mg As/kg-day
UF = 10</t>
  </si>
  <si>
    <t>ATSDR 2024
Human, copper sulfate
Gastrointestinal effects (abdominal pain, nausea, and vomiting)
BMDL10 = 0.055 mg/kg-day
UF = 3
Acute RfD = 0.02 mg/kg-event
Acute RfD based on chronic RfD = 0.142 mg/kg-event</t>
  </si>
  <si>
    <t xml:space="preserve">IRIS 8/3/2005
Zinc &amp; compounds = 3.0E-01
Human
Decreases in erythrocyte Cu, Zn-superoxide dismutase (ESOD) activity (blood)
LOAEL = 0.91 mg/kg-day 
UF = 3
Confidence = Medium to high
IRIS 03/31/1987
Zinc phosphide
Rat, subchronic, oral 
Reduction of food intake and body weight 
LOAEL = 3.48 mg/kg-day
UF = 10,000
Confidence = Low to medium
RfD = 3.0E-04 mg/kg-day
</t>
  </si>
  <si>
    <t>ATSDR 2023
Rat
Increased severity of forestomach hyperplasia
LOAEL = 0.09 mg/kg-day
UF = 1000</t>
  </si>
  <si>
    <t xml:space="preserve">MDH HRL 2023
Route to route extrapolation
Human, occupational 
Nervous system
LOAEL = 2.6 mg/kg-day
UF = 1000
</t>
  </si>
  <si>
    <r>
      <t>MDH Cancer HRL 2015
Kidney, liver, Non-Hodgkin's Lymphoma
CSF = 0.05 (mg/kg-day)</t>
    </r>
    <r>
      <rPr>
        <vertAlign val="superscript"/>
        <sz val="8"/>
        <rFont val="Arial"/>
        <family val="2"/>
      </rPr>
      <t>-1</t>
    </r>
    <r>
      <rPr>
        <sz val="8"/>
        <rFont val="Arial"/>
        <family val="2"/>
      </rPr>
      <t xml:space="preserve">
IRIS 09/28/2011
CSF = 4.6E-02 (mg/kg-day)</t>
    </r>
    <r>
      <rPr>
        <vertAlign val="superscript"/>
        <sz val="8"/>
        <rFont val="Arial"/>
        <family val="2"/>
      </rPr>
      <t>-1</t>
    </r>
    <r>
      <rPr>
        <sz val="8"/>
        <rFont val="Arial"/>
        <family val="2"/>
      </rPr>
      <t xml:space="preserve"> 
Human, inhalation
Epidemiological studies
Renal cell carcinoma, non-Hodgkin's lymphoma, and liver tumors 
</t>
    </r>
  </si>
  <si>
    <t>MDH Chronic HBV 2020
Mouse
Adrenal, developmental, blood, liver, immune, nervous, kidney, thyroid
POD = 214 mg/kg-day
UF = 1000</t>
  </si>
  <si>
    <t xml:space="preserve">MDH HRL 2015
Dog, Beagle
Developmental-endocrine disrupting, hepatic-liver, immune, male reproductive, thyroid-endocrine disrupting
LOAEL = 1.5 mg/kg-day
HED = 0.93 mg/kg-day
UF = 300
</t>
  </si>
  <si>
    <t xml:space="preserve">MDH HRL 2015
Rat
Developmental, thyroid
LOAEL = 5 mg/kg-day
UF = 300
</t>
  </si>
  <si>
    <t>MDH Chronic HRL 2018
Based on IRIS
Mouse
Decreased adult body weight
BMDL10 = 2155 mg/kg-day
HED = 2155*0.14 = 302 mg/kg-day
UF = 300
Based on IRIS 09/28/2007
Mouse, dietary, 90 day 
Reduced body weight
BMDL10 = 2155 mg/kg-day 
UF = 1000
Confidence = Low to high
RfD = 2 mg/kg-day</t>
  </si>
  <si>
    <t xml:space="preserve">MDH Chronic RAA 2021
Based on RfD of 1.8E-5 mg/kg-day
Route to route extrapolation
Mouse
Developmental, liver, immune, kidney
UF = 300
</t>
  </si>
  <si>
    <t>IRIS 2025
Human, meta-analysis
Ischemic heart disease, BMDL05 = 0.171 μg/kg-day
Type 2 diabetes, BMDL05 = 0.174 μg/kg-day
UF = 3
Confidence = Medium-High</t>
  </si>
  <si>
    <t>ATSDR 2006
Mouse, 103 weeks, 5 days/week
Increased incidences of renal tubular regeneration 
Adjusted BMDL10 = 43.04 mg/kg-day x 5 days/7 days = 30.74 mg/kg-day
UF = 100</t>
  </si>
  <si>
    <r>
      <t>Maximum Site Sample Concentration
(or 95% UCL of Mean Concentration for Defined Exposure Area)
(mg/kg)
Dry Weight</t>
    </r>
    <r>
      <rPr>
        <b/>
        <vertAlign val="superscript"/>
        <sz val="8"/>
        <color theme="1"/>
        <rFont val="Arial"/>
        <family val="2"/>
      </rPr>
      <t xml:space="preserve"> 2, 14</t>
    </r>
  </si>
  <si>
    <r>
      <t xml:space="preserve">Maximum Site Sample Concentration
(or 95% UCL of Mean Concentration for Defined Exposure Area)
(mg/kg)
Dry Weight </t>
    </r>
    <r>
      <rPr>
        <b/>
        <vertAlign val="superscript"/>
        <sz val="8"/>
        <color theme="1"/>
        <rFont val="Arial"/>
        <family val="2"/>
      </rPr>
      <t>1, 12</t>
    </r>
  </si>
  <si>
    <t>2. EPA IRIS available at http://www.epa.gov/IRIS/. EPA OPP available at https://ordspub.epa.gov/ords/pesticides/f?p=chemicalsearch:1.</t>
  </si>
  <si>
    <t>5. Cal EPA available at http://www.oehha.ca.gov/risk/ChemicalDB/index.asp.</t>
  </si>
  <si>
    <t>Cal EPA Database:  http://oehha.ca.gov/tcdb/index.asp</t>
  </si>
  <si>
    <t>Cal EPA PHG Table:  http://www.oehha.ca.gov/water/phg/allphgs.html</t>
  </si>
  <si>
    <t>Cal EPA PHG summaries:  http://oehha.ca.gov/water/phg/</t>
  </si>
  <si>
    <t xml:space="preserve">Cal EPA REL Table:  http://www.oehha.org/air/allrels.html </t>
  </si>
  <si>
    <t>Cal EPA REL Appendix D1:  http://www.oehha.org/air/hot_spots/2008/AppendixD1_final.pdf#page=68</t>
  </si>
  <si>
    <t>Cal EPA REL Appendix D2:  http://www.oehha.org/air/hot_spots/2008/AppendixD2_final.pdf#page=63</t>
  </si>
  <si>
    <t>Cal EPA REL Appendix D3:  http://www.oehha.org/air/hot_spots/2008/AppendixD3_final.pdf#page=124</t>
  </si>
  <si>
    <t>Cal EPA Cancer values:  http://www.oehha.ca.gov/air/hot_spots/tsd052909.html</t>
  </si>
  <si>
    <t>Cal EPA Cancer Appendix B:  http://www.oehha.ca.gov/air/hot_spots/2009/AppendixB.pdf</t>
  </si>
  <si>
    <t>Cal EPA Cancer Table, Appendix A:  http://www.oehha.ca.gov/air/hot_spots/2009/AppendixA.pdf</t>
  </si>
  <si>
    <t>Cal EPA 2/2012, Nickel Reference Exposure Levels:  http://www.oehha.org/air/chronic_rels/pdf/032312NiREL_Final.pdf</t>
  </si>
  <si>
    <t xml:space="preserve">Cal EPA Toxic Air Contaminant Identification Reports:  http://www.arb.ca.gov/toxics/id/summary/summary.htm  </t>
  </si>
  <si>
    <t>Cal EPA 2/2008
Infants
Absence of an adverse effect
NOAEL = 426 μg/kg-day
UF = 3 (partial UF for intraspecies differences)
Listed under both copper, and copper and copper compounds
Young children and infants appear to be especially susceptible 
426/3 = 142 µg/kg-day = 0.142 mg/kg-day</t>
  </si>
  <si>
    <t>Cal EPA 12/2001
Selenium and compounds EXCEPT Hydrogen Selenide
Human, based on the oral study
Clinical selenosis (liver, blood, skin, CNS)
NOAEL = 0.015 mg/kg-day
UF = 3</t>
  </si>
  <si>
    <t>Cal EPA 2009
Mouse, 78 and 92 week oral studies
Forestomach tumors
Linearized multistage procedure</t>
  </si>
  <si>
    <t>Note: Cal EPA has an IUR = 8.7E-05, based on an EPA IRIS assessment that EPA no longer supports.  Decision was made not to use the value since it is no longer supported by IRIS.</t>
  </si>
  <si>
    <t>MDH RAA 2013
CSF from Cal EPA 1999
Rat, male = kidney adenomas and carcinomas, Leydig interstitial cell tumors
Rat, female = leukemia and lymphomas</t>
  </si>
  <si>
    <t>Cal EPA 6/1/2009
Mouse-male &amp; female, Rat - male, inhalation
Nasal respiratory epithelial adenoma and nasal olfactory epithelial neuroblastoma
Appendix B</t>
  </si>
  <si>
    <t>Cal EPA 12/1997
Rat (104 weeks), mouse(80 weeks), female, male
Most sensitive - male mice hepatocellular adenomas and carcinomas
PHG support document, page 14</t>
  </si>
  <si>
    <t>Cal EPA 6/1/2009
Mouse, rat, female, male
Hepatocellular carcinoma
Calculated from a cancer potency value derived for a Proposed Maximum Contaminant Level, CDHS 1988
Appendix B, page B-250</t>
  </si>
  <si>
    <t>Cal EPA Chronic REL 4/2000
Human, respiratory irritation
Respiratory, kidney, teratogenicity (birth defects)
NOAEL = 20 ppm
HEC = 16.7 ppm
UF = 100
RfC = 0.2 ppm
Appendix D3</t>
  </si>
  <si>
    <t>Cal EPA 1992
Mouse
Liver</t>
  </si>
  <si>
    <t>Cal EPA 12/2001, Appendix D3
Mouse, rat
Development = reduced crown-rump length of female rat fetuses
Liver = hepatocytomegaly and coagulative necrosis
NOAEL = 50 ppm
HEC = 12.5 ppm
UF = 30
RfC = 0.4 ppm</t>
  </si>
  <si>
    <t>Cal EPA Chronic REL 12/2000
Cresol Mixtures
Rat, oral, gavage, 90 days
Nervous system
NOAEL = 50 mg/kg-day
UF = 300
Appendix D3, page 157</t>
  </si>
  <si>
    <t>Cal EPA 6/1/2009
Rat, drinking water
Liver carcinoma
Calculated from a cancer slope factor derived by US EPA 1986
Appendix B, page B 448</t>
  </si>
  <si>
    <t>Cal EPA 6/1/2009
Mouse, male: hepatomas
Rat, male, female: bladder carcinomas
Calculated from a cancer potency value derived by RCHAS/OEHHA, CDHS 1988
Appendix B, page B-463</t>
  </si>
  <si>
    <t>Cal EPA 6/1/2009
Mouse, male
Liver tumor
Appendix B, page B-531</t>
  </si>
  <si>
    <t>Cal EPA 4/2000
Mouse, rat, monkey
Systemic effects including liver and nervous system effects
NOAEL = 5 ppm
UF = 100
RfC = 0.05 ppm
Appendix D3, page 429</t>
  </si>
  <si>
    <t>Cal EPA 6/1/2009
Mouse, male, oral, diet, 110 weeks
Route to route extrapolation
Calculated from a cancer potency factor reported by US EPA 1987
Appendix B, page B-376</t>
  </si>
  <si>
    <t>Cal EPA 6/1/2009 
Route to Route ACCEPTED
Appropriate as a screening value
Mouse, male, oral, diet, 110 weeks
Liver tumors
Calculated from a cancer potency factor reported by US EPA 1987 that is no longer supported
Appendix B, page B-376</t>
  </si>
  <si>
    <t>Cal EPA Reviewed 10/2000
Calculated from a cancer potency factor derived by CDHS 1988, Appendix B
Use of this value over IRIS 03/31/1987 due to 20-month study similar to chronic exposure
Newer methodology used</t>
  </si>
  <si>
    <t>Cal EPA 6/1/2009
Rat, female, diet
Liver
Listed in database but not in support document, no other reference listed on database
Appendix B, page B-257</t>
  </si>
  <si>
    <t>Appendix B. Chemical-specific summaries of the information used to derive unit risk and cancer potency values.</t>
  </si>
  <si>
    <t>Technical Support Document for Cancer Potency Factors</t>
  </si>
  <si>
    <t>Source: MDH 2016.</t>
  </si>
  <si>
    <t xml:space="preserve">Based on California Office of Health Hazard Assessment Health Hazard Assessment (OEHHA) 2011 </t>
  </si>
  <si>
    <t>5 - Titanium toxicity values are based on the form with the most conservative toxicity value, titanium tetrachloride. If a site is contaminated with another form (titanium &amp; compounds, titanium dioxide), a site specific SRV may be derived using toxicity values applicable to that form.</t>
  </si>
  <si>
    <t>PPRTV 2024, screening value
Mouse, 81 week study
Combined lung adenoma or adenocarcinoma
An adjustment was applied to account for the less-than-lifetime observation period</t>
  </si>
  <si>
    <t>IRIS 8/30/2018
Mouse, female, 2-year dietary study
Respiratory, liver
Liver, hepatocellular carcinoma, and adenomas and lung (alveolar/bronchiolar adenomas or carcinomas)</t>
  </si>
  <si>
    <r>
      <t>PPRTV 10/12/2006
Rat, inhalation, 2 generations
Liver, kidney (Increased weight and hepatocellular hypertrophy
Increased weights, tubule dilation, inflammation of the interstitial cells, and regeneration of the epithelium in males)
LED10 (HEC) = 46 mg/m</t>
    </r>
    <r>
      <rPr>
        <vertAlign val="superscript"/>
        <sz val="8"/>
        <rFont val="Arial"/>
        <family val="2"/>
      </rPr>
      <t>3</t>
    </r>
    <r>
      <rPr>
        <sz val="8"/>
        <rFont val="Arial"/>
        <family val="2"/>
      </rPr>
      <t xml:space="preserve">
UF = 1000
Confidence = Low</t>
    </r>
  </si>
  <si>
    <t>MDH Chronic HRL 2023
Rat
Liver
BMDL = 6.61 μmol/L
UF = 1000</t>
  </si>
  <si>
    <r>
      <t>Cal EPA 1/2011
Route to route extrapolation
Rat, male and females
Kidney, leukemia
CSF = 1.8E-03 (mg/kg-day)</t>
    </r>
    <r>
      <rPr>
        <vertAlign val="superscript"/>
        <sz val="8"/>
        <rFont val="Arial"/>
        <family val="2"/>
      </rPr>
      <t>-1</t>
    </r>
  </si>
  <si>
    <r>
      <t>IRIS 9/9/2016
Rat, male
Nervous system, decreased pain sensitivity
BMCL = 18.15 mg/m</t>
    </r>
    <r>
      <rPr>
        <vertAlign val="superscript"/>
        <sz val="8"/>
        <rFont val="Arial"/>
        <family val="2"/>
      </rPr>
      <t>3</t>
    </r>
    <r>
      <rPr>
        <sz val="8"/>
        <rFont val="Arial"/>
        <family val="2"/>
      </rPr>
      <t xml:space="preserve">
UF = 300 
Confidence = low/medium</t>
    </r>
  </si>
  <si>
    <t xml:space="preserve">MDH Chronic HRL 2023
Determined by MDH in 2019
Rat
Developmental, kidney, nervous system
NOAEL = 179 mg/kg-day
UF = 300
</t>
  </si>
  <si>
    <r>
      <t>IRIS 01/01/1991
Rat, oral, gavage
Hemangiosarcomas
Linearized multistage procedure, extra risk
The unit risk should not be used if the air concentration exceeds 4E+2 μg/m</t>
    </r>
    <r>
      <rPr>
        <vertAlign val="superscript"/>
        <sz val="8"/>
        <rFont val="Arial"/>
        <family val="2"/>
      </rPr>
      <t>3</t>
    </r>
  </si>
  <si>
    <t>MDH HRL 2013
Based on IRIS
IRIS 01/01/1991
Rat, male, oral, gavage
Hemangiosarcomas
The unit risk should not be used if the water concentration exceeds 4E+3 μg/L</t>
  </si>
  <si>
    <r>
      <t>Cal EPA 12/2008
Decreased intellectual function in 10 year old children, adverse effects on neurobehavioral development
Lung, skin, development, cardiovascular system, nervous system
LOAEL = 0.23 µg/m</t>
    </r>
    <r>
      <rPr>
        <vertAlign val="superscript"/>
        <sz val="8"/>
        <color theme="1"/>
        <rFont val="Arial"/>
        <family val="2"/>
      </rPr>
      <t>3</t>
    </r>
    <r>
      <rPr>
        <sz val="8"/>
        <color theme="1"/>
        <rFont val="Arial"/>
        <family val="2"/>
      </rPr>
      <t xml:space="preserve"> based on LOAEL of 2.27 µg/L
UF = 30 (interindividual variability, use of 10 year old does not consider effects to infants)</t>
    </r>
  </si>
  <si>
    <t>IRIS 11/1/1992
Human 6-year to lifetime dietary exposure study
Urinary (increased uric acid levels)
LOAEL = 0.14 mg/kg-day
UF = 30</t>
  </si>
  <si>
    <t>Cal EPA 2/2012
Rat, aqueous gavage
Perinatal mortality in two generation study
NOAEL = 1.12 mg Ni/kg-day
UF = 100
Use of this value over IRIS 12/1/1996 due to newer methods and more recent studies and more sensitive endpoints (developmental)</t>
  </si>
  <si>
    <r>
      <t>Cal EPA Chronic REL 2/2012
Nickel &amp; compounds
All nickel compounds EXCEPT oxide
Rat, male, female
Pathological changes in lung, lymph nodes, and nasal epithelium, alveolar proteinosis 
BMDL05 = 30.5 μg/m</t>
    </r>
    <r>
      <rPr>
        <vertAlign val="superscript"/>
        <sz val="8"/>
        <rFont val="Arial"/>
        <family val="2"/>
      </rPr>
      <t>3</t>
    </r>
    <r>
      <rPr>
        <sz val="8"/>
        <rFont val="Arial"/>
        <family val="2"/>
      </rPr>
      <t xml:space="preserve">
UF = 100</t>
    </r>
  </si>
  <si>
    <t>IRIS 8/13/2021
Rat
Urinary (increased severity of nephropathy)
BMDL10(HED) = 43.2 mg/kg-day
UF = 100
Confidence = medium</t>
  </si>
  <si>
    <t xml:space="preserve">MDH Chronic HRL 2023
Rat
Developmental, reproductive, blood, liver, nervous
LOAEL = 71 mg/kg-day
UF = 1000
</t>
  </si>
  <si>
    <t>PPRTV 2006
Rat, 90 days
Liver, kidney (histopathological lesions, increased weight)
NOAEL = 50 mg/kg-day
UF = 3000
Confidence = low/medium</t>
  </si>
  <si>
    <t>MDH RAA 2016
Rat
Liver, nervous system
NOAEL = 500 mg/kg-day
UF = 3000</t>
  </si>
  <si>
    <t>IRIS 8/13/2021
Rat, female
Urinary (increased absolute kidney weight)
BMDL10(HED) = 28.8 mg/kg-day
UF = 30
Confidence = high</t>
  </si>
  <si>
    <t>PPRTV 2006
Rat, 23 days
Reproductive (fertility effects)
LOAEL = 6.25 mg/kg-day
UF = 1000
Confidence = medium</t>
  </si>
  <si>
    <t>MDH RAA 2022
Rat, male, short-term exposure
Nervous system
LOAEL = 785 mg/kg-day
UF = 10,000</t>
  </si>
  <si>
    <t>IRIS 3/2/1998
No endpoint
Rat drinking water study
NOAEL = 136 mg/kg-day
UF = 100
Confidence = low/medium</t>
  </si>
  <si>
    <r>
      <t>Cal EPA 2009
Rat, male
Primary splenic sarcoma
Linearized multistage procedure, extra risk
Inspiration rate = 20 m</t>
    </r>
    <r>
      <rPr>
        <vertAlign val="superscript"/>
        <sz val="8"/>
        <rFont val="Arial"/>
        <family val="2"/>
      </rPr>
      <t>3</t>
    </r>
    <r>
      <rPr>
        <sz val="8"/>
        <rFont val="Arial"/>
        <family val="2"/>
      </rPr>
      <t>/day</t>
    </r>
  </si>
  <si>
    <r>
      <t>Cal EPA 2013
Rat, inhalation
Upper respiratory system (Inflammatory changes of nasal and laryngeal epithelium in rodents)
BMCL05 = 3 mg/m</t>
    </r>
    <r>
      <rPr>
        <vertAlign val="superscript"/>
        <sz val="8"/>
        <rFont val="Arial"/>
        <family val="2"/>
      </rPr>
      <t>3</t>
    </r>
    <r>
      <rPr>
        <sz val="8"/>
        <rFont val="Arial"/>
        <family val="2"/>
      </rPr>
      <t xml:space="preserve">
HEC = 0.134 mg/m</t>
    </r>
    <r>
      <rPr>
        <vertAlign val="superscript"/>
        <sz val="8"/>
        <rFont val="Arial"/>
        <family val="2"/>
      </rPr>
      <t>3</t>
    </r>
    <r>
      <rPr>
        <sz val="8"/>
        <rFont val="Arial"/>
        <family val="2"/>
      </rPr>
      <t xml:space="preserve">
UF = 60</t>
    </r>
  </si>
  <si>
    <t>IRIS 9/7/1988
Rat, oral, 3-generation reproductive study
Developmental (Reduced offspring body weight)
NOAEL = 50 mg/kg-day
UF = 100
Confidence = high</t>
  </si>
  <si>
    <r>
      <t>PPRTV 2008 (subchronic value chosen over IRIS chronic value per EPA 2021 memo</t>
    </r>
    <r>
      <rPr>
        <vertAlign val="superscript"/>
        <sz val="8"/>
        <rFont val="Arial"/>
        <family val="2"/>
      </rPr>
      <t>12</t>
    </r>
    <r>
      <rPr>
        <sz val="8"/>
        <rFont val="Arial"/>
        <family val="2"/>
      </rPr>
      <t>)
Rat, 6 months
Hematologic (increased methemoglobin)
LOAEL = 1.4 mg/kg-day
UF = 3000
Confidence = medium</t>
    </r>
  </si>
  <si>
    <r>
      <t>Cal EPA 6/1/2009, 1.1E-05 
Route to Route ACCEPTED
Appropriate as a screening value
Calculated from a cancer potency factor derived by CDHS 1988
Mouse, rat, female, male, hepatocellular carcinomas or adenomas
Based on PHG CSF of 5.4E-03 (mg/kg-day)</t>
    </r>
    <r>
      <rPr>
        <vertAlign val="superscript"/>
        <sz val="8"/>
        <rFont val="Arial"/>
        <family val="2"/>
      </rPr>
      <t>-1</t>
    </r>
    <r>
      <rPr>
        <sz val="8"/>
        <rFont val="Arial"/>
        <family val="2"/>
      </rPr>
      <t xml:space="preserve"> from 12/1997
Appendix B
EPA RSLs also use this IUR </t>
    </r>
  </si>
  <si>
    <r>
      <t>Cal EPA 6/1/2009
Rat, female
Mammary adenocarcinoma induction
Calculated from a cancer potency factor derived by RCHAS/OEHHA, CDHS 1988
Human breathing rate = 20 m</t>
    </r>
    <r>
      <rPr>
        <vertAlign val="superscript"/>
        <sz val="8"/>
        <rFont val="Arial"/>
        <family val="2"/>
      </rPr>
      <t>3</t>
    </r>
    <r>
      <rPr>
        <sz val="8"/>
        <rFont val="Arial"/>
        <family val="2"/>
      </rPr>
      <t>/day</t>
    </r>
  </si>
  <si>
    <r>
      <t>Cal EPA 2001
Rat, hamster, monkey
Neutrophilic infiltration of the nasal epithelium; 
epithelial hyperplasia; respiratory irritation
BMC05 = 0.12 mg/m</t>
    </r>
    <r>
      <rPr>
        <vertAlign val="superscript"/>
        <sz val="8"/>
        <rFont val="Arial"/>
        <family val="2"/>
      </rPr>
      <t>3</t>
    </r>
    <r>
      <rPr>
        <sz val="8"/>
        <rFont val="Arial"/>
        <family val="2"/>
      </rPr>
      <t xml:space="preserve">
HEC = 21 mg/m</t>
    </r>
    <r>
      <rPr>
        <vertAlign val="superscript"/>
        <sz val="8"/>
        <rFont val="Arial"/>
        <family val="2"/>
      </rPr>
      <t>3</t>
    </r>
    <r>
      <rPr>
        <sz val="8"/>
        <rFont val="Arial"/>
        <family val="2"/>
      </rPr>
      <t xml:space="preserve">
UF = 30</t>
    </r>
  </si>
  <si>
    <t>IRIS 8/22/1988
Rat, oral
Kidney (renal lesions)
NOAEL = 10 mg/kg-day
UF = 100
Confidence = medium</t>
  </si>
  <si>
    <t>PPRTV 2007
Rat, 90 days
Liver (Increased relative liver weight and hepatocellular hypertrophy and vacuolization)
NOAEL = 0.4 mg/kg-day
UF = 3000
Confidence = low</t>
  </si>
  <si>
    <r>
      <t>Cal EPA 2000
Human, inhalation
Respiratory (Increased incidence of conjunctivitis, rhinitis, asthma, and chronic bronchitis)
LOAEL = 6.5 mg/m</t>
    </r>
    <r>
      <rPr>
        <vertAlign val="superscript"/>
        <sz val="8"/>
        <rFont val="Arial"/>
        <family val="2"/>
      </rPr>
      <t>3</t>
    </r>
    <r>
      <rPr>
        <sz val="8"/>
        <rFont val="Arial"/>
        <family val="2"/>
      </rPr>
      <t xml:space="preserve">
UF = 100</t>
    </r>
  </si>
  <si>
    <r>
      <t>PPRTV 3/2023 (appendix)
p-RfC based on analogue approach using BaP
Rat
Decreased embryo/fetal survival
LOAEL (HEC) = 0.0046 mg/m</t>
    </r>
    <r>
      <rPr>
        <vertAlign val="superscript"/>
        <sz val="8"/>
        <rFont val="Arial"/>
        <family val="2"/>
      </rPr>
      <t>3</t>
    </r>
    <r>
      <rPr>
        <sz val="8"/>
        <rFont val="Arial"/>
        <family val="2"/>
      </rPr>
      <t xml:space="preserve">
UF = 3000</t>
    </r>
  </si>
  <si>
    <t xml:space="preserve">MDH Chronic HRL 2023
Mouse
Blood, spleen
NOAEL = 125 mg/kg-day (EPA 1989 subchronic exposure)
UF = 1000
</t>
  </si>
  <si>
    <t>PPRTV 2024, screening value
Mouse
Pulmonary alveolar proteinosis
LOAEL(HED) = 10.7 mg/kg-day
UF = 1000</t>
  </si>
  <si>
    <t>PPRTV 3/2023 (appendix)
p-RfD based on analogue approach using BaP
Rat
Neurobehavioral effects following early postnatal exposure
BMDL(HED) = 0.092 mg/kg-day
UF = 1000</t>
  </si>
  <si>
    <t>ATSDR 4/2022
Rat
Hepatic (liver)
BMDL10 = 0.05 mg/kg-day
UF = 100</t>
  </si>
  <si>
    <r>
      <t>Cal EPA 2009
Mouse, 78 and 92 week oral studies
Forestomach tumors
Linearized multistage procedure
Use an inspiration rate of 20 m</t>
    </r>
    <r>
      <rPr>
        <vertAlign val="superscript"/>
        <sz val="8"/>
        <rFont val="Arial"/>
        <family val="2"/>
      </rPr>
      <t>3</t>
    </r>
    <r>
      <rPr>
        <sz val="8"/>
        <rFont val="Arial"/>
        <family val="2"/>
      </rPr>
      <t>/day</t>
    </r>
  </si>
  <si>
    <r>
      <t>MDH Chronic RAA 2020
Mouse study
Immunotoxicity, decreased ability to produce antibodies against 
sheep RBCs in male spleen cells
BMDL = 14.5 mg/kg-day
UF = 3000
RfC =  0.0175 mg/m</t>
    </r>
    <r>
      <rPr>
        <vertAlign val="superscript"/>
        <sz val="8"/>
        <rFont val="Arial"/>
        <family val="2"/>
      </rPr>
      <t>3</t>
    </r>
    <r>
      <rPr>
        <sz val="8"/>
        <rFont val="Arial"/>
        <family val="2"/>
      </rPr>
      <t xml:space="preserve"> (based on RfD of 0.005 mg/kg-day) rounded to 0.02</t>
    </r>
  </si>
  <si>
    <r>
      <t>Cal EPA, 9.7E-05 
Route to Route ACCEPTED
Appropriate as a screening value
IRIS 05/01/1991 for DDT
Mouse, rat, oral, diet
Liver tumors, benign and malignant 
Route to route extrapolation
IUR should not be used if air concentration exceeds 1E+2 µg/m</t>
    </r>
    <r>
      <rPr>
        <vertAlign val="superscript"/>
        <sz val="8"/>
        <rFont val="Arial"/>
        <family val="2"/>
      </rPr>
      <t>3</t>
    </r>
  </si>
  <si>
    <t xml:space="preserve">IRIS 11/1/1995
Human, chronic, ingestion 
CNS, impairment of neurobehavioral function
NOAEL  = 1.4E-1 mg/kg-day ÷ 3(MF) = 0.047 mg/kg-day
UF = 1, MF = 3 (IRIS assessment recommends a modifying factor of 3 when assessing risk from Mn in soil)
Confidence = Medium </t>
  </si>
  <si>
    <t xml:space="preserve">MDH Chronic RAA 2019
Rat
Developmental, skeletal
NOAEL = 425 mg/kg-day
UF = 1000
</t>
  </si>
  <si>
    <t>PPRTV Appendix 10/25/2012
Soluble Thallium, acetate, chloride, nitrate screening p-RfD
Hair follicle atrophy (skin histopathology)
NOAEL = 0.04 mg/kg-day
UF = 3000
Carbonate and sulfate screening p-RfD =  2E-05 mg/kg-day
NOAEL = 0.05 mg/kg-day
UF = 3000</t>
  </si>
  <si>
    <t>IRIS 3/31/1987
Rat oral study
Nervous (hypoactivity and ataxia)
NOAEL = 125 mg/kg-day
UF = 1000
Confidence = low to medium</t>
  </si>
  <si>
    <t>PPRTV 2021
Rat
Gastrointestinal (Forestomach hyperplasia)
BMDL10 = 3 mg/kg-day
UF = 3000
Confidence = low</t>
  </si>
  <si>
    <t>IRIS 9/7/1988
Dog
Liver (Increased SGOT and SGPT levels)
NOAEL = 0.34 mg/kg-day
UF = 3000
Confidence = low</t>
  </si>
  <si>
    <t>MDH RAA 2013
Rat
Kidney
NOAEL = 140 mg/kg-day
UF = 300</t>
  </si>
  <si>
    <t>MDH HRL 2013
Rat
Liver, Kidney, Pancreas
BMDL = 1.1 mg/kg-day
UF = 100</t>
  </si>
  <si>
    <t>PPRTV 2007
Rat, 104 week study
Immune, Hematologic 
LOAEL = 7 mg/kg-day (adjusted from aniline hydrochloride)
UF = 1000
Confidence = medium</t>
  </si>
  <si>
    <t>PPRTV 2006
Liver (lesions)
Rat, 90 days
NOAEL = 10 mg/kg-day
UF = 3000
Confidence = low</t>
  </si>
  <si>
    <t>IRIS 10/1/1989
Mouse, 104-week oral study
Blood (Decrease in hemoglobin and possible erythrocyte destruction)
NOAEL = 35.8 mg/kg-day
UF = 1000
Confidence = low</t>
  </si>
  <si>
    <t>MDH Chronic HRL 1993 Based on
IRIS 8/22/1988
Rat, subchronic study
Reproductive
NOAEL = 5 mg/kg-day
UF = 1000
Confidence = low</t>
  </si>
  <si>
    <t>IRIS 9/30/1987
Rat, oral study
Other (Decreased growth rate, food consumption and altered organ weights)
NOAEL = 750 mg/kg-day
UF = 1000
Confidence = low</t>
  </si>
  <si>
    <t>PPRTV 2006
Rat, 16 week study
Derived by analogy to 1,3-Dinitrobenzene
Immune (Increased weight)
NOAEL = 0.4 mg/kg-day
UF = 3000
Confidence = low</t>
  </si>
  <si>
    <t>IRIS 3/31/1987
Human, chronic
Ocular (cataract formation)
LOAEL = 2 mg/kg-day
UF = 1000
Confidence = low</t>
  </si>
  <si>
    <r>
      <t>PPRTV 2010 (subchronic value chosen over IRIS chronic value per EPA 2021 memo</t>
    </r>
    <r>
      <rPr>
        <vertAlign val="superscript"/>
        <sz val="8"/>
        <rFont val="Arial"/>
        <family val="2"/>
      </rPr>
      <t>12</t>
    </r>
    <r>
      <rPr>
        <sz val="8"/>
        <rFont val="Arial"/>
        <family val="2"/>
      </rPr>
      <t>)
Monkey, 13 week study
Endocrine (Degenerative changes in primary ovarian follicles)
LOAEL = 0.01 mg/kg-day
UF = 1000
Confidence = medium</t>
    </r>
  </si>
  <si>
    <t>IRIS 9/23/2011
Rat, 16-week dietary
Kidney (Atrophy and degeneration of renal tubules)
BMDL10 = 0.728 mg/kg-day
UF = 1000
Confidence = low/medium</t>
  </si>
  <si>
    <t>PPRTV 2012
Rat, 90 days
Respiratory (Increased incidence of nasal lesions)
NOAEL = 1.2 mg/kg-day
UF = 3000
Confidence = low</t>
  </si>
  <si>
    <t>PPRTV 2006
Dog, 9 years
Liver (Increased mean serum ALT and increased nodular hyperplasia of liver)
LOAEL = 7.3 mg/kg-day
UF = 3000
Confidence = low</t>
  </si>
  <si>
    <t>IRIS 2/6/2009
Rat, oral, 90-day
Hematologic (Increased methemoglobin levels)
BMDL(1SD) = 1.8 mg/kg-day
UF = 1000
Confidence = medium</t>
  </si>
  <si>
    <t>PPRTV 2007
Mouse, 100 days
Developmental (Effects -weanling sex ration and perinatal mortality)
LOAEL = 0.025 mg/kg-day
UF = 3000
Confidence = low</t>
  </si>
  <si>
    <t>IRIS 1/31/1987
Rat, oral
Liver, kidney
LOAEL = 8.3 mg/kg-day
UF = 10,000
Confidence = low</t>
  </si>
  <si>
    <t>MDH Chronic RAA 2022 (chronic set to short-term)
Based on RfD of 8.4E-5 mg/kg-day
Route to route extrapolation
SD Rat
Thyroid
UF = 100</t>
  </si>
  <si>
    <t xml:space="preserve">MDH Chronic RAA 2021
Based on RfD of 2.9E-3 mg/kg-day
Route to route extrapolation
Rat
Developmental, blood, liver, thyroid
UF = 300
</t>
  </si>
  <si>
    <t xml:space="preserve">MDH Chronic RAA 2021
Based on RfD of 3.1E-6 mg/kg-day
Route to route extrapolation
Mouse, male
Adrenal, developmental, liver, immune, thyroid
UF = 100
</t>
  </si>
  <si>
    <t xml:space="preserve">MDH Chronic RAA 2022 (chronic set to subchronic)
Based on RfD of 0.00015 mg/kg-day
Route to route extrapolation
Rat
Liver, respiratory
UF = 300
</t>
  </si>
  <si>
    <t>MDH Chronic HRL 2023 (chronic set to subchronic)
Rat
Liver, respiratory
POD (BMDL10) = 22.5 mg/kg-day
UF = 300</t>
  </si>
  <si>
    <t>EPA OW Chronic 2021
Mouse, female
Liver
POD (BMDL10) = 0.01 mg/kg-day
UF = 3000</t>
  </si>
  <si>
    <t>IRIS 9/7/1988
Mouse, oral
Kidney, respiratory
LOAEL = 1,562 mg/kg-day
UF = 1000
Confidence = medium</t>
  </si>
  <si>
    <t>IRIS 11/1/1990
Rat, oral
Liver, kidney
NOAEL = 5 mg/kg-day
UF = 3000
Confidence = low</t>
  </si>
  <si>
    <r>
      <t>PPRTV 2013 (subchronic value chosen over IRIS chronic value per EPA 2021 memo</t>
    </r>
    <r>
      <rPr>
        <vertAlign val="superscript"/>
        <sz val="8"/>
        <rFont val="Arial"/>
        <family val="2"/>
      </rPr>
      <t>12</t>
    </r>
    <r>
      <rPr>
        <sz val="8"/>
        <rFont val="Arial"/>
        <family val="2"/>
      </rPr>
      <t>)
Rat, 28 days
Endocrine (thyroid histopathology)
LOAEL = 0.0098 mg/kg-day
UF = 300
Confidence = medium</t>
    </r>
  </si>
  <si>
    <t>MDH Chronic RAA 2019
Determined by MDH in 2019
Mouse
No endpoint 
NOAEL = 1000 mg/kg-day (EPA 1989 subchronic exposure)
UF = 1000</t>
  </si>
  <si>
    <t xml:space="preserve">IRIS 11/1/1990
Mouse, oral
Liver, Respiratory, other (Dyspnea, abnormal appearance, liver enlargement)
NOAEL = 250 mg/kg-day
UF = 3000
Confidence = low
</t>
  </si>
  <si>
    <t xml:space="preserve">MDH Chronic HRL 2018 
Mouse
Liver, kidney
BMDL = 124 mg/kg-day
UF = 1000
</t>
  </si>
  <si>
    <t>MDH Chronic HRL 2023
Rat
Blood, liver, kidney, respiratory, spleen
LOAEL = 8.8 mg/kg-day
UF = 3000</t>
  </si>
  <si>
    <t xml:space="preserve">PPRTV 2018
Rat
Endocrine (Cytoplasmic vacuolation in the thyroid)
BMDL = 0.0092 mg/kg-day
UF = 100
</t>
  </si>
  <si>
    <r>
      <t>Cal EPA 8/2003
Human, occupational
Increased bone density (skeletal fluorosis)
BMC05 = 0.37 mg/m</t>
    </r>
    <r>
      <rPr>
        <vertAlign val="superscript"/>
        <sz val="8"/>
        <color theme="1"/>
        <rFont val="Arial"/>
        <family val="2"/>
      </rPr>
      <t>3</t>
    </r>
    <r>
      <rPr>
        <sz val="8"/>
        <color theme="1"/>
        <rFont val="Arial"/>
        <family val="2"/>
      </rPr>
      <t xml:space="preserve">
UF = 10
RfC = 13 µg/m</t>
    </r>
    <r>
      <rPr>
        <vertAlign val="superscript"/>
        <sz val="8"/>
        <color theme="1"/>
        <rFont val="Arial"/>
        <family val="2"/>
      </rPr>
      <t>3</t>
    </r>
    <r>
      <rPr>
        <sz val="8"/>
        <color theme="1"/>
        <rFont val="Arial"/>
        <family val="2"/>
      </rPr>
      <t xml:space="preserve"> for fluoride and 14 μg/m</t>
    </r>
    <r>
      <rPr>
        <vertAlign val="superscript"/>
        <sz val="8"/>
        <color theme="1"/>
        <rFont val="Arial"/>
        <family val="2"/>
      </rPr>
      <t>3</t>
    </r>
    <r>
      <rPr>
        <sz val="8"/>
        <color theme="1"/>
        <rFont val="Arial"/>
        <family val="2"/>
      </rPr>
      <t xml:space="preserve"> for hydrogen fluoride</t>
    </r>
  </si>
  <si>
    <t xml:space="preserve">MDH Chronic RAA 2021
Based on RfD of 9.7E-6 mg/kg-day
Route to route extrapolation
Rat
Liver, thyroid
UF = 300
</t>
  </si>
  <si>
    <t>IRIS 03/01/1988
Rat, oral, subchronic 
Increased liver weights and centrilobular hypertrophy (liver)
NOAEL = 25 mg/kg-day
UF = 1000
Confidence = Medium to high</t>
  </si>
  <si>
    <r>
      <t>IRIS 2024
Human, children
Immune and developmental effects, serum antibody concentrations and decreased birth weight
HED (BMDL(0.5SD)) =  5.44 x 10</t>
    </r>
    <r>
      <rPr>
        <vertAlign val="superscript"/>
        <sz val="8"/>
        <rFont val="Arial"/>
        <family val="2"/>
      </rPr>
      <t>-8</t>
    </r>
    <r>
      <rPr>
        <sz val="8"/>
        <rFont val="Arial"/>
        <family val="2"/>
      </rPr>
      <t xml:space="preserve"> mg/kg-day (developmental) and 6.04 x 10</t>
    </r>
    <r>
      <rPr>
        <vertAlign val="superscript"/>
        <sz val="8"/>
        <rFont val="Arial"/>
        <family val="2"/>
      </rPr>
      <t>-8</t>
    </r>
    <r>
      <rPr>
        <sz val="8"/>
        <rFont val="Arial"/>
        <family val="2"/>
      </rPr>
      <t xml:space="preserve"> mg/kg-day (immune)
UF = 30</t>
    </r>
  </si>
  <si>
    <t xml:space="preserve">U.S. EPA 2012 Edition of the Drinking Water Standards and Health Advisories </t>
  </si>
  <si>
    <r>
      <t>PPRTV 2010 (subchronic value chosen over ATSDR chronic value per EPA 2021 memo</t>
    </r>
    <r>
      <rPr>
        <vertAlign val="superscript"/>
        <sz val="8"/>
        <rFont val="Arial"/>
        <family val="2"/>
      </rPr>
      <t>12</t>
    </r>
    <r>
      <rPr>
        <sz val="8"/>
        <rFont val="Arial"/>
        <family val="2"/>
      </rPr>
      <t>)
Rabbit
Developmental (Maternal toxicity, clinical signs of hypoactivity, respiratory distress, ocular irritation, and death)
NOAEL = 5 mg/kg-day
UF = 300
Confidence = medium</t>
    </r>
  </si>
  <si>
    <t>MDH Chronic HRL 1993
Nervous system
Based on IRIS
IRIS 09/07/1988
Rat, oral, subchronic, neurotoxicity, 90 days
Decreased body weights and neurotoxicity 
NOAEL = 50 mg/kg-day
UF = 1000
Confidence = Medium to high</t>
  </si>
  <si>
    <t>MDH Chronic HRL 1993
Nervous system
Based on IRIS
IRIS 08/22/1988
Rat, oral, subchronic, neurotoxicity, 90 days
Decreased body weights and neurotoxicity 
NOAEL = 50 mg/kg-day
UF = 1000
Confidence = Medium to high</t>
  </si>
  <si>
    <t>MDH Chronic HRL 1993 
Kidney
Based on IRIS
IRIS 01/01/1991
Dog, feeding , 90 days
No observed effects (other effect: Kidney pathology) 
NOEL = 150 mg/kg-day
UF = 1000
Confidence = Low to medium</t>
  </si>
  <si>
    <t>MDH Chronic HRL 1994
Gastrointestinal
Based on IRIS
IRIS 09/01/1990
Rat, 2 year
Reduced weight gain, histopathology (diseased tissue)
NOAEL = 15 mg/kg-day
UF = 100
Confidence = Medium to high</t>
  </si>
  <si>
    <t>MDH Chronic HRL 1993
Blood, nervous system
Based on IRIS
IRIS 11/01/1990
Mouse, subchronic, oral, gavage
Clinical signs (lethargy, prostration, and ataxia) and hematological changes 
NOAEL = 50 mg/kg-day
UF = 3000
Confidence = Low to medium</t>
  </si>
  <si>
    <t>IRIS 09/30/1987
Rat, subchronic, oral, gavage 
Hepatic lesions (liver)
NOEL = 17.9 mg/kg-day
UF = 1000
Confidence = Medium</t>
  </si>
  <si>
    <t xml:space="preserve">MDH RAA 2016
Rat
Nervous system
NOAEL = 714 mg/kg-day (Muralidhara et al. 2001, subchronic exposure duration)
UF = 1000
RfD = 0.18 mg/kg-day
Adjustment factor of 10 used for potential cancer risks
RfD for SRVs = 0.18/10 = 0.018 mg/kg-day
</t>
  </si>
  <si>
    <t>Michigan DEQ, based on PPRTV 2009 subchronic RfD
Rat, 28 days
Reduced serum lactase dehydrogenase
NOAEL = 8.6 mg/kg-day
UF = 3000 (1000 and an additional UF of 3 for subchronic to chronic study)
Confidence = Low</t>
  </si>
  <si>
    <t>IRIS 08/01/1989
Dog, oral, 13 week
Histopathologic changes in liver 
NOAEL = 19 mg/kg-day
UF = 1000
Confidence = Medium</t>
  </si>
  <si>
    <t>IRIS 09/30/1987
Rabbit, inhalation teratogenic 
Fetal toxicity/malformations 
NOEL = 11 mg/kg-day
UF = 100
Confidence = Medium</t>
  </si>
  <si>
    <t>Cal EPA 2009
Dog, female
Urinary bladder tumor
Proposition 65 methodology (Cal EPA, 1992), with crossroute extrapolation</t>
  </si>
  <si>
    <r>
      <t xml:space="preserve">Cal EPA 6/1/2009 
</t>
    </r>
    <r>
      <rPr>
        <b/>
        <sz val="8"/>
        <rFont val="Arial"/>
        <family val="2"/>
      </rPr>
      <t>Route to Route ACCEPTED</t>
    </r>
    <r>
      <rPr>
        <sz val="8"/>
        <rFont val="Arial"/>
        <family val="2"/>
      </rPr>
      <t xml:space="preserve">
Appropriate as a screening value
Calculated from a potency factor derived by US EPA (1987) and adopted by CDHS
Rat, female, oral, diet
Liver and mammary gland tumors
Appendix B, page B-257
Inappropriate to use route to route extrapolation with a liver endpoint </t>
    </r>
  </si>
  <si>
    <r>
      <t>Cal EPA Chronic REL 2/2000
Route to Route ACCEPTED
Appropriate as a screening value
Rat, male, female, oral, diet, 2 years
Alimentary system(liver); reproductive system; development; endocrine system; respiratory system; hematopoietic system
NOAEL = 210 ppt in diet (0.01 g/kg-day)
UF = 100
Route to route extrapolation: 3,500 mg/m</t>
    </r>
    <r>
      <rPr>
        <vertAlign val="superscript"/>
        <sz val="8"/>
        <rFont val="Arial"/>
        <family val="2"/>
      </rPr>
      <t>3</t>
    </r>
    <r>
      <rPr>
        <sz val="8"/>
        <rFont val="Arial"/>
        <family val="2"/>
      </rPr>
      <t xml:space="preserve"> per mg/kg-day</t>
    </r>
  </si>
  <si>
    <r>
      <t>IRIS 2025
Human, meta-analysis using the logistic-power model
Bladder cancer: CSF = 17.6 (mg/kg-day)</t>
    </r>
    <r>
      <rPr>
        <vertAlign val="superscript"/>
        <sz val="8"/>
        <color theme="1"/>
        <rFont val="Arial"/>
        <family val="2"/>
      </rPr>
      <t>-1</t>
    </r>
    <r>
      <rPr>
        <sz val="8"/>
        <color theme="1"/>
        <rFont val="Arial"/>
        <family val="2"/>
      </rPr>
      <t xml:space="preserve">
Lung cancer = 21.3 (mg/kg-day)</t>
    </r>
    <r>
      <rPr>
        <vertAlign val="superscript"/>
        <sz val="8"/>
        <color theme="1"/>
        <rFont val="Arial"/>
        <family val="2"/>
      </rPr>
      <t>-1</t>
    </r>
    <r>
      <rPr>
        <sz val="8"/>
        <color theme="1"/>
        <rFont val="Arial"/>
        <family val="2"/>
      </rPr>
      <t xml:space="preserve">
Combined cancer risk assuming a normal distribution = 31.7 (mg/kg-day)</t>
    </r>
    <r>
      <rPr>
        <vertAlign val="superscript"/>
        <sz val="8"/>
        <color theme="1"/>
        <rFont val="Arial"/>
        <family val="2"/>
      </rPr>
      <t>-1</t>
    </r>
    <r>
      <rPr>
        <sz val="8"/>
        <color theme="1"/>
        <rFont val="Arial"/>
        <family val="2"/>
      </rPr>
      <t xml:space="preserve">
Note: Skin cancer and skin lesions had margin of exposure values at relatively high exposures not generally encountered in the U.S.</t>
    </r>
  </si>
  <si>
    <r>
      <t>ATSDR 2024 (ATSDR updated value, Intermediate MRL chosen over IRIS chronic value per EPA 2021 memo</t>
    </r>
    <r>
      <rPr>
        <vertAlign val="superscript"/>
        <sz val="8"/>
        <rFont val="Arial"/>
        <family val="2"/>
      </rPr>
      <t>12</t>
    </r>
    <r>
      <rPr>
        <sz val="8"/>
        <rFont val="Arial"/>
        <family val="2"/>
      </rPr>
      <t>)
Rat, pups
Cardiac effects in offspring, developmental endpoint
LOAEL = 7.6E-05 mg/kg-day
UF = 100</t>
    </r>
  </si>
  <si>
    <r>
      <t>Oral Cancer Slope Factor
(mg/kg-day)</t>
    </r>
    <r>
      <rPr>
        <b/>
        <vertAlign val="superscript"/>
        <sz val="8"/>
        <rFont val="Arial"/>
        <family val="2"/>
      </rPr>
      <t>-1</t>
    </r>
  </si>
  <si>
    <t xml:space="preserve">EPA 2024, RSL Tables  </t>
  </si>
  <si>
    <t>EPA 2024:  EPA's 2024 RSL Tables available at:  http://www.epa.gov/region9/superfund/prg/.</t>
  </si>
  <si>
    <t>1. Minnesota Department of Health's (MDH) Health Risk Limit (HRL), Health Based Value (HBV), Risk Assessment Advice (RAA) available at http://www.health.state.mn.us/divs/eh/risk/guidance/air/table.html and http://www.health.state.mn.us/divs/eh/risk/guidance/gw/table.html.</t>
  </si>
  <si>
    <t>*MDH 2024 HBV has determined formaldehyde to 
be a nonlinear carcinogen.</t>
  </si>
  <si>
    <r>
      <t>MDH HBV 2024 (use short-term HBV)
Human, asthmatic children included
Pulmonary function - decline in peak expiratory flow rate
BMCL10 = 0.021 mg/m</t>
    </r>
    <r>
      <rPr>
        <vertAlign val="superscript"/>
        <sz val="8"/>
        <rFont val="Arial"/>
        <family val="2"/>
      </rPr>
      <t>3</t>
    </r>
    <r>
      <rPr>
        <sz val="8"/>
        <rFont val="Arial"/>
        <family val="2"/>
      </rPr>
      <t xml:space="preserve"> 
UF = 3</t>
    </r>
  </si>
  <si>
    <r>
      <t>PPRTV 2008
Human
Irritation, decreased respiratory function
Adjusted NOAEL = 1.9 μg/m</t>
    </r>
    <r>
      <rPr>
        <vertAlign val="superscript"/>
        <sz val="8"/>
        <color theme="1"/>
        <rFont val="Arial"/>
        <family val="2"/>
      </rPr>
      <t>3</t>
    </r>
    <r>
      <rPr>
        <sz val="8"/>
        <color theme="1"/>
        <rFont val="Arial"/>
        <family val="2"/>
      </rPr>
      <t xml:space="preserve"> (continuous exposure)
UF = 300
Confidence = Low/Medium</t>
    </r>
  </si>
  <si>
    <t xml:space="preserve">2 - A chemical with a "Yes" in this column has been 1) recently reviewed by MDH's HRL programs and have been determined to be linear carcinogens, 2) recently reviewed by EPA's IRIS and have been determined to have a mutagenic mode of action or have a linear mode of action or 3) in some cases, recently reviewed by another agency and determined to have a linear mode of action.  For the residential/recreational category, these chemicals will have the standard ADAFs applied unless 1) the toxicity value used already includes early life sensitivity or 2) if there is a chemical specific adjustment factor that adjustment factor will be used. The ADAFs are not applicable to the commercial/industrial land use category based on adult exposures. Although EPA's RSLs determine ADAFs based on a chemicals mutagenic mode of action, MDH determines a chemicals mode of action based on whether the carcinogen has a linear or non-linear threshold. </t>
  </si>
  <si>
    <r>
      <t>IRIS 8/1/2024
Rat
Squamous cell carcinoma or squamous cell papilloma in oral mucosa or tongue</t>
    </r>
    <r>
      <rPr>
        <vertAlign val="superscript"/>
        <sz val="8"/>
        <color theme="1"/>
        <rFont val="Arial"/>
        <family val="2"/>
      </rPr>
      <t xml:space="preserve">
</t>
    </r>
    <r>
      <rPr>
        <sz val="8"/>
        <color theme="1"/>
        <rFont val="Arial"/>
        <family val="2"/>
      </rPr>
      <t>Confidence = High
ADAF should be applied
CSF-ADAFadjusted = 0.27 (mg/kg-day)</t>
    </r>
    <r>
      <rPr>
        <vertAlign val="superscript"/>
        <sz val="8"/>
        <color theme="1"/>
        <rFont val="Arial"/>
        <family val="2"/>
      </rPr>
      <t>−1</t>
    </r>
  </si>
  <si>
    <r>
      <t>IRIS 8/1/2024
Human, Occupational cohort
Lung cancer
Confidence = High
ADAF should be applied
IUR-ADAFadjusted = 0.018 (µg/m</t>
    </r>
    <r>
      <rPr>
        <vertAlign val="superscript"/>
        <sz val="8"/>
        <rFont val="Arial"/>
        <family val="2"/>
      </rPr>
      <t>3</t>
    </r>
    <r>
      <rPr>
        <sz val="8"/>
        <rFont val="Arial"/>
        <family val="2"/>
      </rPr>
      <t>)</t>
    </r>
    <r>
      <rPr>
        <vertAlign val="superscript"/>
        <sz val="8"/>
        <rFont val="Arial"/>
        <family val="2"/>
      </rPr>
      <t>-1</t>
    </r>
  </si>
  <si>
    <t xml:space="preserve">IRIS 1/9/2000
Human, occupational data
Leukemia 
Range is from 1.5E-02 to 5.5E-02 - used most  conservative value
ADAF should be applied per MDH memo dated 5/16/2016
</t>
  </si>
  <si>
    <t>MDH Cancer HBV 2020
IRIS 1/9/2000
Human, inhalation
Leukemia 
Range is from 2.2E-06 to 7.8E-06 - used most conservative
ADAF should be applied per MDH memo dated 5/16/2016</t>
  </si>
  <si>
    <r>
      <t>IRIS 9/30/2010
Mouse, inhalation
2 years
Reproductive, Hepatic, Respiratory, Gastrointestinal, Dermal, Other, Ocular
Multistage model with linear extrapolation from the point of departure (BMDL), summed risk
ADAF should be applied
IUR-ADAFadjusted = 5.0E-04 (µg/m</t>
    </r>
    <r>
      <rPr>
        <vertAlign val="superscript"/>
        <sz val="8"/>
        <rFont val="Arial"/>
        <family val="2"/>
      </rPr>
      <t>3</t>
    </r>
    <r>
      <rPr>
        <sz val="8"/>
        <rFont val="Arial"/>
        <family val="2"/>
      </rPr>
      <t>)</t>
    </r>
    <r>
      <rPr>
        <vertAlign val="superscript"/>
        <sz val="8"/>
        <rFont val="Arial"/>
        <family val="2"/>
      </rPr>
      <t>-1</t>
    </r>
  </si>
  <si>
    <t>Cal EPA 6/1/2009  
Route to Route ACCEPTED
Appropriate as a screening value
Inhalation to oral extrapolation
Mouse, rat, female, male, inhalation
Renal tumor
Linearized multistage and BMD
PBPK modeling
ISF * ratio of oral to inhalation uptake factors 1/0.77 
(8.7E-03) * (1/.77) = 1.1E-02
Appendix B
ADAF should be applied per MDH memo dated 5/16/2016</t>
  </si>
  <si>
    <t>Cal EPA 6/1/2007
Mouse, rat, female, male, inhalation
Renal tumor
Linearized multistage and BMD
PBPK modeling
Appendix B
ADAF should be applied per MDH memo dated 5/16/2016</t>
  </si>
  <si>
    <r>
      <t xml:space="preserve">IRIS 11/18/2011
Mouse, male, oral, drinking water 
Hepatocellular carcinomas or adenomas 
EPA determined mutagenic mode of action - </t>
    </r>
    <r>
      <rPr>
        <b/>
        <sz val="8"/>
        <rFont val="Arial"/>
        <family val="2"/>
      </rPr>
      <t>linear carcinogen</t>
    </r>
  </si>
  <si>
    <t>MDH Chronic HRL 2018
Rat
Liver, thyroid, developmental, blood
NOAEL = 6.9 mg/kg-day
UF = 300</t>
  </si>
  <si>
    <t>MDH Chronic HRL 2025
Human
Developmental, Hepatic (liver) system, Immune system
POD (BMDL5) = 7.7 ng/mL
UF = 3
Use MDH value due to the selection of most sensitive population – breast-fed infants for the TK model</t>
  </si>
  <si>
    <r>
      <t>MDH HRL 2025
Rat, female
Hepatocellular adenomas and carcinomas
CSF = 13 (mg/kg-day)</t>
    </r>
    <r>
      <rPr>
        <vertAlign val="superscript"/>
        <sz val="8"/>
        <color theme="1"/>
        <rFont val="Arial"/>
        <family val="2"/>
      </rPr>
      <t>-1</t>
    </r>
  </si>
  <si>
    <r>
      <t>MDH HRL 2025
Human = Kidney (basis of guidance), Testicle
Animal = Liver, Pancreas
Converted CSF of 0.0126 (ng/kg-day)</t>
    </r>
    <r>
      <rPr>
        <vertAlign val="superscript"/>
        <sz val="8"/>
        <color theme="1"/>
        <rFont val="Arial"/>
        <family val="2"/>
      </rPr>
      <t>-1</t>
    </r>
    <r>
      <rPr>
        <sz val="8"/>
        <color theme="1"/>
        <rFont val="Arial"/>
        <family val="2"/>
      </rPr>
      <t xml:space="preserve"> = 12600 (mg/kg-day)</t>
    </r>
    <r>
      <rPr>
        <vertAlign val="superscript"/>
        <sz val="8"/>
        <color theme="1"/>
        <rFont val="Arial"/>
        <family val="2"/>
      </rPr>
      <t>-1</t>
    </r>
  </si>
  <si>
    <t>MDH Chronic HRL 2025
Human
Developmental, Hepatic (liver) system, Immune system
RfD = 0.00000026 mg/kg-day
POD (BMDL5) = 2.8 ng/mL
UF = 3
Use MDH value due to the selection of most sensitive population – breast-fed infants for the TK model</t>
  </si>
  <si>
    <t>Perfluorononanoic Acid (PFNA)</t>
  </si>
  <si>
    <t>375-95-1</t>
  </si>
  <si>
    <r>
      <t>ATSDR 2021
Mouse
Decreased body weight and developmental delays
POD (NOAEL</t>
    </r>
    <r>
      <rPr>
        <vertAlign val="subscript"/>
        <sz val="8"/>
        <rFont val="Arial"/>
        <family val="2"/>
      </rPr>
      <t>HED</t>
    </r>
    <r>
      <rPr>
        <sz val="8"/>
        <rFont val="Arial"/>
        <family val="2"/>
      </rPr>
      <t>) =  0.001 mg/kg-day
UF = 300</t>
    </r>
  </si>
  <si>
    <t>Higgins and Luthy 2006</t>
  </si>
  <si>
    <t>CompTox (Experimental median); converted solubility of 0.00280 mol/L to mg/L</t>
  </si>
  <si>
    <t>CompTox (average mass)</t>
  </si>
  <si>
    <t>MDH Chronic HRL 2023
Rat, 28 days
Liver, thyroid
POD = 32.4 mg/L
UF = 300
RfD = 9.7E-06 mg/kg-day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</si>
</sst>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0.000"/>
    <numFmt numFmtId="167" formatCode="0.0E+00"/>
    <numFmt numFmtId="168" formatCode="0.000_)"/>
  </numFmts>
  <fonts count="85">
    <font>
      <sz val="10"/>
      <name val="Arial"/>
    </font>
    <font>
      <sz val="8"/>
      <name val="Arial"/>
      <family val="2"/>
    </font>
    <font>
      <b/>
      <sz val="10"/>
      <name val="Arial"/>
      <family val="2"/>
    </font>
    <font>
      <sz val="10"/>
      <name val="Helv"/>
    </font>
    <font>
      <sz val="10"/>
      <name val="Arial"/>
      <family val="2"/>
    </font>
    <font>
      <u/>
      <sz val="10"/>
      <color indexed="12"/>
      <name val="Arial"/>
      <family val="2"/>
    </font>
    <font>
      <b/>
      <sz val="8"/>
      <name val="Arial"/>
      <family val="2"/>
    </font>
    <font>
      <vertAlign val="subscript"/>
      <sz val="10"/>
      <name val="Arial"/>
      <family val="2"/>
    </font>
    <font>
      <vertAlign val="superscript"/>
      <sz val="10"/>
      <name val="Arial"/>
      <family val="2"/>
    </font>
    <font>
      <sz val="8"/>
      <color indexed="8"/>
      <name val="Arial"/>
      <family val="2"/>
    </font>
    <font>
      <sz val="8"/>
      <name val="Arial"/>
      <family val="2"/>
    </font>
    <font>
      <b/>
      <sz val="9"/>
      <name val="Arial"/>
      <family val="2"/>
    </font>
    <font>
      <sz val="9"/>
      <name val="Arial"/>
      <family val="2"/>
    </font>
    <font>
      <b/>
      <sz val="12"/>
      <name val="Arial"/>
      <family val="2"/>
    </font>
    <font>
      <b/>
      <vertAlign val="superscript"/>
      <sz val="8"/>
      <name val="Arial"/>
      <family val="2"/>
    </font>
    <font>
      <sz val="10"/>
      <name val="MS Sans Serif"/>
      <family val="2"/>
    </font>
    <font>
      <i/>
      <sz val="8"/>
      <name val="Arial"/>
      <family val="2"/>
    </font>
    <font>
      <b/>
      <i/>
      <sz val="8"/>
      <name val="Arial"/>
      <family val="2"/>
    </font>
    <font>
      <vertAlign val="superscript"/>
      <sz val="8"/>
      <name val="Arial"/>
      <family val="2"/>
    </font>
    <font>
      <u/>
      <sz val="8"/>
      <name val="Arial"/>
      <family val="2"/>
    </font>
    <font>
      <b/>
      <vertAlign val="subscript"/>
      <sz val="8"/>
      <name val="Arial"/>
      <family val="2"/>
    </font>
    <font>
      <vertAlign val="superscript"/>
      <sz val="8"/>
      <color indexed="8"/>
      <name val="Arial"/>
      <family val="2"/>
    </font>
    <font>
      <sz val="8"/>
      <color indexed="8"/>
      <name val="Calibri"/>
      <family val="2"/>
    </font>
    <font>
      <sz val="8"/>
      <name val="Calibri"/>
      <family val="2"/>
    </font>
    <font>
      <sz val="10"/>
      <name val="MS Sans Serif"/>
      <family val="2"/>
    </font>
    <font>
      <u/>
      <sz val="8"/>
      <color indexed="12"/>
      <name val="Arial"/>
      <family val="2"/>
    </font>
    <font>
      <i/>
      <vertAlign val="superscript"/>
      <sz val="8"/>
      <color indexed="30"/>
      <name val="Arial"/>
      <family val="2"/>
    </font>
    <font>
      <b/>
      <sz val="10"/>
      <color indexed="30"/>
      <name val="Arial"/>
      <family val="2"/>
    </font>
    <font>
      <b/>
      <sz val="18"/>
      <name val="Arial"/>
      <family val="2"/>
    </font>
    <font>
      <b/>
      <vertAlign val="superscript"/>
      <sz val="10"/>
      <name val="Arial"/>
      <family val="2"/>
    </font>
    <font>
      <sz val="10"/>
      <color indexed="30"/>
      <name val="Arial"/>
      <family val="2"/>
    </font>
    <font>
      <b/>
      <vertAlign val="superscript"/>
      <sz val="10"/>
      <color indexed="30"/>
      <name val="Arial"/>
      <family val="2"/>
    </font>
    <font>
      <b/>
      <sz val="10"/>
      <color indexed="60"/>
      <name val="Arial"/>
      <family val="2"/>
    </font>
    <font>
      <sz val="10"/>
      <color indexed="60"/>
      <name val="Arial"/>
      <family val="2"/>
    </font>
    <font>
      <sz val="10"/>
      <color indexed="8"/>
      <name val="Arial"/>
      <family val="2"/>
    </font>
    <font>
      <vertAlign val="superscript"/>
      <sz val="10"/>
      <color indexed="8"/>
      <name val="Arial"/>
      <family val="2"/>
    </font>
    <font>
      <b/>
      <vertAlign val="superscript"/>
      <sz val="10"/>
      <color indexed="8"/>
      <name val="Arial"/>
      <family val="2"/>
    </font>
    <font>
      <b/>
      <vertAlign val="superscript"/>
      <sz val="10"/>
      <color indexed="60"/>
      <name val="Arial"/>
      <family val="2"/>
    </font>
    <font>
      <sz val="10"/>
      <color indexed="17"/>
      <name val="Arial"/>
      <family val="2"/>
    </font>
    <font>
      <b/>
      <i/>
      <vertAlign val="superscript"/>
      <sz val="8"/>
      <color indexed="30"/>
      <name val="Arial"/>
      <family val="2"/>
    </font>
    <font>
      <b/>
      <i/>
      <vertAlign val="superscript"/>
      <sz val="8"/>
      <name val="Arial"/>
      <family val="2"/>
    </font>
    <font>
      <sz val="9"/>
      <color indexed="53"/>
      <name val="Arial"/>
      <family val="2"/>
    </font>
    <font>
      <b/>
      <sz val="8"/>
      <color indexed="62"/>
      <name val="Arial"/>
      <family val="2"/>
    </font>
    <font>
      <b/>
      <sz val="8"/>
      <color indexed="8"/>
      <name val="Arial"/>
      <family val="2"/>
    </font>
    <font>
      <vertAlign val="superscript"/>
      <sz val="8"/>
      <color indexed="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b/>
      <sz val="8"/>
      <color rgb="FF0070C0"/>
      <name val="Arial"/>
      <family val="2"/>
    </font>
    <font>
      <i/>
      <sz val="8"/>
      <color rgb="FF0070C0"/>
      <name val="Arial"/>
      <family val="2"/>
    </font>
    <font>
      <sz val="8"/>
      <color theme="1"/>
      <name val="Arial"/>
      <family val="2"/>
    </font>
    <font>
      <b/>
      <sz val="8"/>
      <color rgb="FFC00000"/>
      <name val="Arial"/>
      <family val="2"/>
    </font>
    <font>
      <b/>
      <sz val="10"/>
      <color rgb="FF0070C0"/>
      <name val="Arial"/>
      <family val="2"/>
    </font>
    <font>
      <b/>
      <sz val="10"/>
      <color rgb="FFC00000"/>
      <name val="Arial"/>
      <family val="2"/>
    </font>
    <font>
      <b/>
      <sz val="10"/>
      <color theme="9" tint="-0.499984740745262"/>
      <name val="Arial"/>
      <family val="2"/>
    </font>
    <font>
      <sz val="10"/>
      <color theme="9" tint="-0.499984740745262"/>
      <name val="Arial"/>
      <family val="2"/>
    </font>
    <font>
      <sz val="10"/>
      <color theme="1"/>
      <name val="Arial"/>
      <family val="2"/>
    </font>
    <font>
      <b/>
      <sz val="10"/>
      <color theme="1"/>
      <name val="Arial"/>
      <family val="2"/>
    </font>
    <font>
      <sz val="10"/>
      <color rgb="FF0070C0"/>
      <name val="Arial"/>
      <family val="2"/>
    </font>
    <font>
      <b/>
      <i/>
      <sz val="8"/>
      <color rgb="FF0070C0"/>
      <name val="Arial"/>
      <family val="2"/>
    </font>
    <font>
      <sz val="10"/>
      <color rgb="FFFF0000"/>
      <name val="Arial"/>
      <family val="2"/>
    </font>
    <font>
      <sz val="8"/>
      <color rgb="FFFF0000"/>
      <name val="Arial"/>
      <family val="2"/>
    </font>
    <font>
      <b/>
      <sz val="8"/>
      <color rgb="FFFF0000"/>
      <name val="Arial"/>
      <family val="2"/>
    </font>
    <font>
      <sz val="11"/>
      <color rgb="FF002288"/>
      <name val="Helvetica"/>
    </font>
    <font>
      <sz val="8.8000000000000007"/>
      <name val="Arial"/>
      <family val="2"/>
    </font>
    <font>
      <sz val="6"/>
      <name val="Arial"/>
      <family val="2"/>
    </font>
    <font>
      <sz val="9.5"/>
      <color rgb="FF000000"/>
      <name val="Albany AMT"/>
    </font>
    <font>
      <vertAlign val="superscript"/>
      <sz val="8"/>
      <color theme="1"/>
      <name val="Arial"/>
      <family val="2"/>
    </font>
    <font>
      <vertAlign val="subscript"/>
      <sz val="8"/>
      <name val="Arial"/>
      <family val="2"/>
    </font>
    <font>
      <b/>
      <sz val="8"/>
      <color theme="1"/>
      <name val="Arial"/>
      <family val="2"/>
    </font>
    <font>
      <b/>
      <vertAlign val="superscript"/>
      <sz val="8"/>
      <color theme="1"/>
      <name val="Arial"/>
      <family val="2"/>
    </font>
  </fonts>
  <fills count="4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9" tint="0.3999755851924192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style="thin">
        <color indexed="64"/>
      </left>
      <right/>
      <top/>
      <bottom/>
      <diagonal/>
    </border>
    <border>
      <left/>
      <right/>
      <top style="medium">
        <color indexed="64"/>
      </top>
      <bottom style="thin">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hair">
        <color indexed="64"/>
      </right>
      <top style="thin">
        <color indexed="64"/>
      </top>
      <bottom/>
      <diagonal/>
    </border>
  </borders>
  <cellStyleXfs count="56">
    <xf numFmtId="0" fontId="0" fillId="0" borderId="0"/>
    <xf numFmtId="0" fontId="45" fillId="2" borderId="0" applyNumberFormat="0" applyBorder="0" applyAlignment="0" applyProtection="0"/>
    <xf numFmtId="0" fontId="45" fillId="3" borderId="0" applyNumberFormat="0" applyBorder="0" applyAlignment="0" applyProtection="0"/>
    <xf numFmtId="0" fontId="45" fillId="4" borderId="0" applyNumberFormat="0" applyBorder="0" applyAlignment="0" applyProtection="0"/>
    <xf numFmtId="0" fontId="45" fillId="5" borderId="0" applyNumberFormat="0" applyBorder="0" applyAlignment="0" applyProtection="0"/>
    <xf numFmtId="0" fontId="45" fillId="6" borderId="0" applyNumberFormat="0" applyBorder="0" applyAlignment="0" applyProtection="0"/>
    <xf numFmtId="0" fontId="45" fillId="7" borderId="0" applyNumberFormat="0" applyBorder="0" applyAlignment="0" applyProtection="0"/>
    <xf numFmtId="0" fontId="45" fillId="8" borderId="0" applyNumberFormat="0" applyBorder="0" applyAlignment="0" applyProtection="0"/>
    <xf numFmtId="0" fontId="45" fillId="9" borderId="0" applyNumberFormat="0" applyBorder="0" applyAlignment="0" applyProtection="0"/>
    <xf numFmtId="0" fontId="45" fillId="10" borderId="0" applyNumberFormat="0" applyBorder="0" applyAlignment="0" applyProtection="0"/>
    <xf numFmtId="0" fontId="45" fillId="11" borderId="0" applyNumberFormat="0" applyBorder="0" applyAlignment="0" applyProtection="0"/>
    <xf numFmtId="0" fontId="45" fillId="12" borderId="0" applyNumberFormat="0" applyBorder="0" applyAlignment="0" applyProtection="0"/>
    <xf numFmtId="0" fontId="45"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23" borderId="0" applyNumberFormat="0" applyBorder="0" applyAlignment="0" applyProtection="0"/>
    <xf numFmtId="0" fontId="46" fillId="24" borderId="0" applyNumberFormat="0" applyBorder="0" applyAlignment="0" applyProtection="0"/>
    <xf numFmtId="0" fontId="46" fillId="25" borderId="0" applyNumberFormat="0" applyBorder="0" applyAlignment="0" applyProtection="0"/>
    <xf numFmtId="0" fontId="47" fillId="26" borderId="0" applyNumberFormat="0" applyBorder="0" applyAlignment="0" applyProtection="0"/>
    <xf numFmtId="0" fontId="48" fillId="27" borderId="64" applyNumberFormat="0" applyAlignment="0" applyProtection="0"/>
    <xf numFmtId="0" fontId="49" fillId="28" borderId="65" applyNumberFormat="0" applyAlignment="0" applyProtection="0"/>
    <xf numFmtId="0" fontId="50" fillId="0" borderId="0" applyNumberFormat="0" applyFill="0" applyBorder="0" applyAlignment="0" applyProtection="0"/>
    <xf numFmtId="0" fontId="51" fillId="29" borderId="0" applyNumberFormat="0" applyBorder="0" applyAlignment="0" applyProtection="0"/>
    <xf numFmtId="0" fontId="52" fillId="0" borderId="66" applyNumberFormat="0" applyFill="0" applyAlignment="0" applyProtection="0"/>
    <xf numFmtId="0" fontId="53" fillId="0" borderId="67" applyNumberFormat="0" applyFill="0" applyAlignment="0" applyProtection="0"/>
    <xf numFmtId="0" fontId="54" fillId="0" borderId="68" applyNumberFormat="0" applyFill="0" applyAlignment="0" applyProtection="0"/>
    <xf numFmtId="0" fontId="54" fillId="0" borderId="0" applyNumberFormat="0" applyFill="0" applyBorder="0" applyAlignment="0" applyProtection="0"/>
    <xf numFmtId="0" fontId="5" fillId="0" borderId="0" applyNumberFormat="0" applyFill="0" applyBorder="0" applyAlignment="0" applyProtection="0">
      <alignment vertical="top"/>
      <protection locked="0"/>
    </xf>
    <xf numFmtId="0" fontId="55" fillId="30" borderId="64" applyNumberFormat="0" applyAlignment="0" applyProtection="0"/>
    <xf numFmtId="0" fontId="56" fillId="0" borderId="69" applyNumberFormat="0" applyFill="0" applyAlignment="0" applyProtection="0"/>
    <xf numFmtId="0" fontId="57" fillId="31" borderId="0" applyNumberFormat="0" applyBorder="0" applyAlignment="0" applyProtection="0"/>
    <xf numFmtId="0" fontId="15" fillId="0" borderId="0"/>
    <xf numFmtId="0" fontId="4" fillId="0" borderId="0"/>
    <xf numFmtId="0" fontId="4" fillId="0" borderId="0"/>
    <xf numFmtId="0" fontId="24" fillId="0" borderId="0"/>
    <xf numFmtId="0" fontId="15" fillId="0" borderId="0"/>
    <xf numFmtId="0" fontId="15" fillId="0" borderId="0"/>
    <xf numFmtId="0" fontId="45" fillId="0" borderId="0"/>
    <xf numFmtId="0" fontId="3" fillId="0" borderId="0"/>
    <xf numFmtId="0" fontId="3" fillId="0" borderId="0"/>
    <xf numFmtId="0" fontId="45" fillId="32" borderId="70" applyNumberFormat="0" applyFont="0" applyAlignment="0" applyProtection="0"/>
    <xf numFmtId="0" fontId="58" fillId="27" borderId="71" applyNumberFormat="0" applyAlignment="0" applyProtection="0"/>
    <xf numFmtId="0" fontId="59" fillId="0" borderId="0" applyNumberFormat="0" applyFill="0" applyBorder="0" applyAlignment="0" applyProtection="0"/>
    <xf numFmtId="0" fontId="60" fillId="0" borderId="72" applyNumberFormat="0" applyFill="0" applyAlignment="0" applyProtection="0"/>
    <xf numFmtId="0" fontId="61" fillId="0" borderId="0" applyNumberFormat="0" applyFill="0" applyBorder="0" applyAlignment="0" applyProtection="0"/>
    <xf numFmtId="0" fontId="4" fillId="0" borderId="0"/>
    <xf numFmtId="0" fontId="4" fillId="0" borderId="0"/>
    <xf numFmtId="0" fontId="77" fillId="0" borderId="0"/>
    <xf numFmtId="0" fontId="80" fillId="0" borderId="0"/>
  </cellStyleXfs>
  <cellXfs count="877">
    <xf numFmtId="0" fontId="0" fillId="0" borderId="0" xfId="0"/>
    <xf numFmtId="0" fontId="4" fillId="0" borderId="0" xfId="0" applyFont="1"/>
    <xf numFmtId="0" fontId="10" fillId="0" borderId="0" xfId="0" applyFont="1" applyFill="1"/>
    <xf numFmtId="0" fontId="10" fillId="0" borderId="0" xfId="0" applyFont="1"/>
    <xf numFmtId="0" fontId="4" fillId="0" borderId="0" xfId="0" applyFont="1" applyAlignment="1">
      <alignment horizontal="center"/>
    </xf>
    <xf numFmtId="0" fontId="6" fillId="0" borderId="0" xfId="0" applyFont="1" applyAlignment="1">
      <alignment horizontal="center"/>
    </xf>
    <xf numFmtId="0" fontId="10" fillId="0" borderId="0" xfId="0" applyFont="1" applyAlignment="1">
      <alignment horizontal="center"/>
    </xf>
    <xf numFmtId="11" fontId="10" fillId="0" borderId="0" xfId="0" applyNumberFormat="1" applyFont="1" applyAlignment="1">
      <alignment horizontal="center"/>
    </xf>
    <xf numFmtId="0" fontId="10" fillId="0" borderId="0" xfId="0" applyNumberFormat="1" applyFont="1" applyAlignment="1">
      <alignment horizontal="center"/>
    </xf>
    <xf numFmtId="0" fontId="1" fillId="0" borderId="0" xfId="0" applyFont="1"/>
    <xf numFmtId="0" fontId="11" fillId="0" borderId="0" xfId="0" applyFont="1" applyFill="1" applyBorder="1" applyAlignment="1"/>
    <xf numFmtId="0" fontId="11" fillId="0" borderId="0" xfId="0" applyFont="1" applyFill="1" applyAlignment="1"/>
    <xf numFmtId="0" fontId="12" fillId="0" borderId="0" xfId="0" applyFont="1"/>
    <xf numFmtId="0" fontId="11" fillId="0" borderId="0" xfId="0" applyFont="1" applyAlignment="1">
      <alignment horizontal="center" wrapText="1"/>
    </xf>
    <xf numFmtId="2" fontId="12" fillId="0" borderId="0" xfId="0" applyNumberFormat="1" applyFont="1" applyAlignment="1">
      <alignment horizontal="center"/>
    </xf>
    <xf numFmtId="164" fontId="1" fillId="0" borderId="0" xfId="0" applyNumberFormat="1" applyFont="1" applyAlignment="1">
      <alignment horizontal="left"/>
    </xf>
    <xf numFmtId="0" fontId="12" fillId="0" borderId="0" xfId="0" applyFont="1" applyAlignment="1">
      <alignment horizontal="center"/>
    </xf>
    <xf numFmtId="0" fontId="12" fillId="0" borderId="0" xfId="0" applyFont="1" applyAlignment="1">
      <alignment horizontal="left"/>
    </xf>
    <xf numFmtId="0" fontId="12" fillId="0" borderId="0" xfId="0" applyFont="1" applyFill="1" applyBorder="1" applyAlignment="1">
      <alignment horizontal="left"/>
    </xf>
    <xf numFmtId="0" fontId="12" fillId="0" borderId="0" xfId="0" applyFont="1" applyFill="1" applyAlignment="1"/>
    <xf numFmtId="49" fontId="11" fillId="0" borderId="0" xfId="0" applyNumberFormat="1" applyFont="1"/>
    <xf numFmtId="0" fontId="11" fillId="0" borderId="0" xfId="0" applyFont="1" applyAlignment="1">
      <alignment horizontal="center"/>
    </xf>
    <xf numFmtId="1" fontId="11" fillId="0" borderId="0" xfId="0" applyNumberFormat="1" applyFont="1" applyAlignment="1">
      <alignment horizontal="center"/>
    </xf>
    <xf numFmtId="49" fontId="11" fillId="0" borderId="0" xfId="0" applyNumberFormat="1" applyFont="1" applyAlignment="1">
      <alignment horizontal="center"/>
    </xf>
    <xf numFmtId="0" fontId="0" fillId="0" borderId="0" xfId="0" applyAlignment="1">
      <alignment horizontal="center"/>
    </xf>
    <xf numFmtId="0" fontId="2" fillId="0" borderId="0" xfId="0" applyFont="1" applyBorder="1"/>
    <xf numFmtId="0" fontId="4" fillId="0" borderId="1" xfId="0" applyFont="1" applyBorder="1" applyAlignment="1">
      <alignment horizontal="center"/>
    </xf>
    <xf numFmtId="1" fontId="0" fillId="0" borderId="1" xfId="0" applyNumberFormat="1" applyBorder="1" applyAlignment="1">
      <alignment horizontal="center"/>
    </xf>
    <xf numFmtId="0" fontId="0" fillId="0" borderId="1" xfId="0" applyBorder="1" applyAlignment="1">
      <alignment horizontal="center"/>
    </xf>
    <xf numFmtId="0" fontId="4" fillId="0" borderId="2" xfId="0" applyFont="1" applyBorder="1"/>
    <xf numFmtId="0" fontId="4" fillId="0" borderId="3" xfId="0" applyFont="1" applyBorder="1"/>
    <xf numFmtId="0" fontId="4" fillId="0" borderId="4" xfId="0" applyFont="1" applyBorder="1"/>
    <xf numFmtId="0" fontId="4" fillId="0" borderId="5" xfId="0" applyFont="1" applyBorder="1" applyAlignment="1">
      <alignment horizontal="center"/>
    </xf>
    <xf numFmtId="0" fontId="4" fillId="0" borderId="6" xfId="0" applyFont="1" applyBorder="1"/>
    <xf numFmtId="0" fontId="4" fillId="0" borderId="7" xfId="0" applyFont="1" applyBorder="1"/>
    <xf numFmtId="0" fontId="4" fillId="0" borderId="8" xfId="0" applyFont="1" applyBorder="1" applyAlignment="1">
      <alignment horizontal="center"/>
    </xf>
    <xf numFmtId="0" fontId="4" fillId="0" borderId="9" xfId="0" applyFont="1" applyBorder="1"/>
    <xf numFmtId="0" fontId="2" fillId="0" borderId="10" xfId="0" applyFont="1" applyBorder="1"/>
    <xf numFmtId="0" fontId="2" fillId="0" borderId="11" xfId="0" applyFont="1" applyBorder="1" applyAlignment="1">
      <alignment horizontal="center"/>
    </xf>
    <xf numFmtId="0" fontId="2" fillId="0" borderId="12" xfId="0" applyFont="1" applyBorder="1"/>
    <xf numFmtId="167" fontId="0" fillId="0" borderId="1" xfId="0" applyNumberFormat="1" applyBorder="1" applyAlignment="1">
      <alignment horizontal="center"/>
    </xf>
    <xf numFmtId="0" fontId="4" fillId="0" borderId="13" xfId="0" applyFont="1" applyBorder="1"/>
    <xf numFmtId="0" fontId="4" fillId="0" borderId="14" xfId="0" applyFont="1" applyBorder="1" applyAlignment="1">
      <alignment horizontal="center"/>
    </xf>
    <xf numFmtId="0" fontId="4" fillId="0" borderId="2" xfId="0" applyFont="1" applyFill="1" applyBorder="1"/>
    <xf numFmtId="0" fontId="4" fillId="0" borderId="15" xfId="0" applyFont="1" applyFill="1" applyBorder="1"/>
    <xf numFmtId="0" fontId="4" fillId="0" borderId="16" xfId="0" applyFont="1" applyBorder="1" applyAlignment="1">
      <alignment horizontal="center"/>
    </xf>
    <xf numFmtId="0" fontId="4" fillId="0" borderId="17" xfId="0" applyFont="1" applyBorder="1"/>
    <xf numFmtId="0" fontId="4" fillId="0" borderId="7" xfId="0" applyFont="1" applyFill="1" applyBorder="1"/>
    <xf numFmtId="0" fontId="13" fillId="0" borderId="0" xfId="0" applyFont="1"/>
    <xf numFmtId="0" fontId="4" fillId="0" borderId="0" xfId="0" applyFont="1" applyFill="1" applyBorder="1"/>
    <xf numFmtId="0" fontId="4" fillId="0" borderId="15" xfId="0" applyFont="1" applyBorder="1"/>
    <xf numFmtId="2" fontId="4" fillId="0" borderId="16" xfId="0" applyNumberFormat="1" applyFont="1" applyBorder="1" applyAlignment="1">
      <alignment horizontal="center"/>
    </xf>
    <xf numFmtId="49" fontId="12" fillId="0" borderId="0" xfId="0" applyNumberFormat="1" applyFont="1" applyAlignment="1">
      <alignment horizontal="center"/>
    </xf>
    <xf numFmtId="0" fontId="11" fillId="0" borderId="0" xfId="0" applyFont="1" applyFill="1" applyBorder="1" applyAlignment="1">
      <alignment horizontal="center"/>
    </xf>
    <xf numFmtId="1" fontId="11" fillId="0" borderId="0" xfId="0" applyNumberFormat="1" applyFont="1" applyFill="1" applyBorder="1" applyAlignment="1">
      <alignment horizontal="center"/>
    </xf>
    <xf numFmtId="1" fontId="11" fillId="0" borderId="0" xfId="0" applyNumberFormat="1" applyFont="1" applyFill="1" applyAlignment="1">
      <alignment horizontal="center"/>
    </xf>
    <xf numFmtId="0" fontId="11" fillId="0" borderId="0" xfId="0" applyFont="1" applyFill="1" applyAlignment="1">
      <alignment horizontal="center"/>
    </xf>
    <xf numFmtId="165" fontId="12" fillId="0" borderId="0" xfId="0" applyNumberFormat="1" applyFont="1" applyAlignment="1">
      <alignment horizontal="center"/>
    </xf>
    <xf numFmtId="1" fontId="12" fillId="0" borderId="0" xfId="0" applyNumberFormat="1" applyFont="1" applyAlignment="1">
      <alignment horizontal="center"/>
    </xf>
    <xf numFmtId="49" fontId="4" fillId="0" borderId="1" xfId="0" applyNumberFormat="1" applyFont="1" applyBorder="1" applyAlignment="1">
      <alignment horizontal="center"/>
    </xf>
    <xf numFmtId="1" fontId="4" fillId="0" borderId="1" xfId="0" applyNumberFormat="1" applyFont="1" applyBorder="1" applyAlignment="1">
      <alignment horizontal="center"/>
    </xf>
    <xf numFmtId="0" fontId="1" fillId="0" borderId="0" xfId="0" applyFont="1" applyFill="1" applyAlignment="1"/>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6" fillId="0" borderId="0" xfId="0" applyFont="1" applyAlignment="1">
      <alignment horizontal="center" vertical="center" wrapText="1"/>
    </xf>
    <xf numFmtId="11" fontId="10" fillId="0" borderId="1" xfId="0" applyNumberFormat="1" applyFont="1" applyBorder="1" applyAlignment="1">
      <alignment horizontal="center"/>
    </xf>
    <xf numFmtId="0" fontId="16" fillId="0" borderId="0" xfId="0" applyFont="1"/>
    <xf numFmtId="0" fontId="1" fillId="0" borderId="18" xfId="0" applyFont="1" applyFill="1" applyBorder="1" applyAlignment="1"/>
    <xf numFmtId="0" fontId="1" fillId="0" borderId="18" xfId="0" applyFont="1" applyFill="1" applyBorder="1" applyAlignment="1">
      <alignment wrapText="1"/>
    </xf>
    <xf numFmtId="0" fontId="9" fillId="0" borderId="18" xfId="0" applyFont="1" applyFill="1" applyBorder="1" applyAlignment="1"/>
    <xf numFmtId="0" fontId="1" fillId="0" borderId="18" xfId="0" applyFont="1" applyBorder="1"/>
    <xf numFmtId="0" fontId="1" fillId="0" borderId="18" xfId="45" applyFont="1" applyFill="1" applyBorder="1" applyAlignment="1"/>
    <xf numFmtId="0" fontId="1" fillId="0" borderId="18" xfId="0" applyFont="1" applyFill="1" applyBorder="1"/>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4" fillId="0" borderId="22" xfId="0" applyFont="1" applyBorder="1"/>
    <xf numFmtId="0" fontId="4" fillId="0" borderId="23" xfId="0" applyFont="1" applyBorder="1" applyAlignment="1">
      <alignment horizontal="center"/>
    </xf>
    <xf numFmtId="0" fontId="4" fillId="0" borderId="24" xfId="0" applyFont="1" applyBorder="1"/>
    <xf numFmtId="0" fontId="4" fillId="0" borderId="25" xfId="0" applyFont="1" applyBorder="1"/>
    <xf numFmtId="0" fontId="4" fillId="0" borderId="26" xfId="0" applyFont="1" applyBorder="1" applyAlignment="1">
      <alignment horizontal="center"/>
    </xf>
    <xf numFmtId="0" fontId="4" fillId="0" borderId="27" xfId="0" applyFont="1" applyBorder="1"/>
    <xf numFmtId="0" fontId="6" fillId="0" borderId="28" xfId="0" applyFont="1" applyBorder="1" applyAlignment="1">
      <alignment horizontal="center" vertical="center" wrapText="1"/>
    </xf>
    <xf numFmtId="2" fontId="6" fillId="0" borderId="28" xfId="0" applyNumberFormat="1" applyFont="1" applyBorder="1" applyAlignment="1">
      <alignment horizontal="center" vertical="center" wrapText="1"/>
    </xf>
    <xf numFmtId="0" fontId="6" fillId="0" borderId="29" xfId="0" applyFont="1" applyFill="1" applyBorder="1" applyAlignment="1">
      <alignment horizontal="center" vertical="center" wrapText="1"/>
    </xf>
    <xf numFmtId="11" fontId="1" fillId="0" borderId="30" xfId="0" applyNumberFormat="1" applyFont="1" applyFill="1" applyBorder="1" applyAlignment="1">
      <alignment horizontal="center"/>
    </xf>
    <xf numFmtId="0" fontId="4" fillId="0" borderId="31" xfId="0" applyFont="1" applyBorder="1"/>
    <xf numFmtId="11" fontId="4" fillId="0" borderId="5" xfId="0" applyNumberFormat="1" applyFont="1" applyFill="1" applyBorder="1" applyAlignment="1">
      <alignment horizontal="center"/>
    </xf>
    <xf numFmtId="0" fontId="1" fillId="0" borderId="0" xfId="0" applyFont="1" applyAlignment="1">
      <alignment horizontal="center"/>
    </xf>
    <xf numFmtId="11" fontId="1" fillId="0" borderId="0" xfId="0" applyNumberFormat="1" applyFont="1" applyAlignment="1">
      <alignment horizontal="center"/>
    </xf>
    <xf numFmtId="11" fontId="1" fillId="0" borderId="1" xfId="0" applyNumberFormat="1" applyFont="1" applyBorder="1" applyAlignment="1">
      <alignment horizontal="center"/>
    </xf>
    <xf numFmtId="11" fontId="1" fillId="0" borderId="0" xfId="0" applyNumberFormat="1" applyFont="1"/>
    <xf numFmtId="11" fontId="6" fillId="0" borderId="19" xfId="0" applyNumberFormat="1" applyFont="1" applyBorder="1" applyAlignment="1">
      <alignment horizontal="center" vertical="center" wrapText="1"/>
    </xf>
    <xf numFmtId="11" fontId="6" fillId="0" borderId="20" xfId="0" applyNumberFormat="1" applyFont="1" applyBorder="1" applyAlignment="1">
      <alignment horizontal="center" vertical="center" wrapText="1"/>
    </xf>
    <xf numFmtId="11" fontId="1" fillId="0" borderId="32" xfId="0" applyNumberFormat="1" applyFont="1" applyBorder="1" applyAlignment="1">
      <alignment horizontal="center"/>
    </xf>
    <xf numFmtId="11" fontId="1" fillId="0" borderId="33" xfId="0" applyNumberFormat="1" applyFont="1" applyBorder="1" applyAlignment="1">
      <alignment horizontal="center"/>
    </xf>
    <xf numFmtId="11" fontId="6" fillId="0" borderId="28" xfId="0" applyNumberFormat="1" applyFont="1" applyBorder="1" applyAlignment="1">
      <alignment horizontal="center" vertical="center" wrapText="1"/>
    </xf>
    <xf numFmtId="11" fontId="1" fillId="0" borderId="34" xfId="0" applyNumberFormat="1" applyFont="1" applyBorder="1" applyAlignment="1">
      <alignment horizontal="center"/>
    </xf>
    <xf numFmtId="0" fontId="1" fillId="0" borderId="35" xfId="0" applyFont="1" applyBorder="1"/>
    <xf numFmtId="0" fontId="1" fillId="0" borderId="0" xfId="0" applyFont="1" applyAlignment="1">
      <alignment horizontal="center" vertical="center"/>
    </xf>
    <xf numFmtId="0" fontId="1" fillId="0" borderId="36" xfId="0" applyFont="1" applyBorder="1" applyAlignment="1">
      <alignment horizontal="center" vertical="center"/>
    </xf>
    <xf numFmtId="2" fontId="1" fillId="0" borderId="32" xfId="0" applyNumberFormat="1" applyFont="1" applyBorder="1" applyAlignment="1">
      <alignment horizontal="center"/>
    </xf>
    <xf numFmtId="1" fontId="6" fillId="0" borderId="19" xfId="0" applyNumberFormat="1" applyFont="1" applyBorder="1" applyAlignment="1">
      <alignment horizontal="center" vertical="center" wrapText="1"/>
    </xf>
    <xf numFmtId="1" fontId="1" fillId="0" borderId="0" xfId="0" applyNumberFormat="1" applyFont="1" applyAlignment="1">
      <alignment horizontal="center"/>
    </xf>
    <xf numFmtId="1" fontId="16" fillId="0" borderId="0" xfId="0" applyNumberFormat="1" applyFont="1" applyAlignment="1">
      <alignment horizontal="center"/>
    </xf>
    <xf numFmtId="0" fontId="1" fillId="0" borderId="1" xfId="0" applyFont="1" applyBorder="1" applyAlignment="1">
      <alignment horizontal="center"/>
    </xf>
    <xf numFmtId="0" fontId="10" fillId="0" borderId="37" xfId="0" applyFont="1" applyBorder="1"/>
    <xf numFmtId="0" fontId="0" fillId="0" borderId="0" xfId="0" applyBorder="1"/>
    <xf numFmtId="11" fontId="1" fillId="0" borderId="38" xfId="0" applyNumberFormat="1" applyFont="1" applyBorder="1" applyAlignment="1">
      <alignment horizont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11" fontId="1" fillId="0" borderId="0" xfId="0" applyNumberFormat="1" applyFont="1" applyAlignment="1">
      <alignment horizontal="center" vertical="center"/>
    </xf>
    <xf numFmtId="11" fontId="1" fillId="0" borderId="39" xfId="0" applyNumberFormat="1" applyFont="1" applyBorder="1" applyAlignment="1">
      <alignment horizontal="center" vertical="center"/>
    </xf>
    <xf numFmtId="11" fontId="6" fillId="0" borderId="20" xfId="0" applyNumberFormat="1" applyFont="1" applyFill="1" applyBorder="1" applyAlignment="1">
      <alignment horizontal="center" vertical="center" wrapText="1"/>
    </xf>
    <xf numFmtId="11" fontId="1" fillId="0" borderId="38" xfId="0" applyNumberFormat="1" applyFont="1" applyFill="1" applyBorder="1" applyAlignment="1">
      <alignment horizontal="center"/>
    </xf>
    <xf numFmtId="11" fontId="1" fillId="0" borderId="1" xfId="0" applyNumberFormat="1" applyFont="1" applyFill="1" applyBorder="1" applyAlignment="1">
      <alignment horizontal="center"/>
    </xf>
    <xf numFmtId="11" fontId="1" fillId="0" borderId="0" xfId="0" applyNumberFormat="1" applyFont="1" applyFill="1" applyAlignment="1">
      <alignment horizontal="center"/>
    </xf>
    <xf numFmtId="11" fontId="1" fillId="0" borderId="14" xfId="0" applyNumberFormat="1" applyFont="1" applyFill="1" applyBorder="1" applyAlignment="1">
      <alignment horizontal="center"/>
    </xf>
    <xf numFmtId="11" fontId="0" fillId="0" borderId="0" xfId="0" applyNumberFormat="1" applyFill="1"/>
    <xf numFmtId="11" fontId="10" fillId="0" borderId="0" xfId="0" applyNumberFormat="1" applyFont="1" applyFill="1"/>
    <xf numFmtId="11" fontId="1" fillId="33" borderId="33" xfId="0" applyNumberFormat="1" applyFont="1" applyFill="1" applyBorder="1" applyAlignment="1">
      <alignment horizontal="center"/>
    </xf>
    <xf numFmtId="0" fontId="19" fillId="0" borderId="18" xfId="0" applyFont="1" applyFill="1" applyBorder="1" applyAlignment="1"/>
    <xf numFmtId="0" fontId="1" fillId="0" borderId="30" xfId="0" applyFont="1" applyFill="1" applyBorder="1" applyAlignment="1"/>
    <xf numFmtId="0" fontId="1" fillId="0" borderId="0" xfId="0" applyFont="1" applyFill="1"/>
    <xf numFmtId="0" fontId="6" fillId="0" borderId="0" xfId="0" applyNumberFormat="1" applyFont="1" applyAlignment="1">
      <alignment horizontal="center"/>
    </xf>
    <xf numFmtId="0" fontId="1" fillId="0" borderId="1" xfId="0" applyFont="1" applyFill="1" applyBorder="1" applyAlignment="1">
      <alignment wrapText="1"/>
    </xf>
    <xf numFmtId="0" fontId="1" fillId="0" borderId="1" xfId="0" applyNumberFormat="1" applyFont="1" applyBorder="1" applyAlignment="1">
      <alignment horizontal="center" vertical="center"/>
    </xf>
    <xf numFmtId="0" fontId="1" fillId="34" borderId="1" xfId="0" applyFont="1" applyFill="1" applyBorder="1" applyAlignment="1">
      <alignment horizontal="center" vertical="center"/>
    </xf>
    <xf numFmtId="167" fontId="1" fillId="0" borderId="8" xfId="0" applyNumberFormat="1" applyFont="1" applyBorder="1" applyAlignment="1">
      <alignment horizontal="center" vertical="center"/>
    </xf>
    <xf numFmtId="0" fontId="1" fillId="0" borderId="1" xfId="0" applyFont="1" applyFill="1" applyBorder="1" applyAlignment="1"/>
    <xf numFmtId="0" fontId="9" fillId="0" borderId="1" xfId="0" applyFont="1" applyFill="1" applyBorder="1" applyAlignment="1"/>
    <xf numFmtId="0" fontId="1" fillId="0" borderId="1" xfId="45" applyFont="1" applyFill="1" applyBorder="1" applyAlignment="1"/>
    <xf numFmtId="0" fontId="1" fillId="0" borderId="1" xfId="0" applyNumberFormat="1" applyFont="1" applyFill="1" applyBorder="1" applyAlignment="1">
      <alignment horizontal="center" vertical="center"/>
    </xf>
    <xf numFmtId="0" fontId="1" fillId="0" borderId="1" xfId="0" applyFont="1" applyFill="1" applyBorder="1"/>
    <xf numFmtId="0" fontId="1" fillId="0" borderId="8" xfId="0" applyFont="1" applyFill="1" applyBorder="1" applyAlignment="1"/>
    <xf numFmtId="0" fontId="1" fillId="0" borderId="8" xfId="0" applyNumberFormat="1" applyFont="1" applyBorder="1" applyAlignment="1">
      <alignment horizontal="center" vertical="center"/>
    </xf>
    <xf numFmtId="0" fontId="1" fillId="34" borderId="8" xfId="0" applyFont="1" applyFill="1" applyBorder="1" applyAlignment="1">
      <alignment horizontal="center" vertical="center"/>
    </xf>
    <xf numFmtId="0" fontId="1" fillId="0" borderId="1" xfId="0" applyFont="1" applyFill="1" applyBorder="1" applyAlignment="1">
      <alignment horizontal="left"/>
    </xf>
    <xf numFmtId="0" fontId="6" fillId="0" borderId="0" xfId="0" applyFont="1" applyFill="1" applyAlignment="1">
      <alignment wrapText="1"/>
    </xf>
    <xf numFmtId="0" fontId="1" fillId="0" borderId="0" xfId="0" applyFont="1" applyFill="1" applyAlignment="1">
      <alignment wrapText="1"/>
    </xf>
    <xf numFmtId="0" fontId="6" fillId="0" borderId="0" xfId="0" applyFont="1" applyFill="1" applyBorder="1"/>
    <xf numFmtId="0" fontId="1" fillId="0" borderId="0" xfId="0" applyNumberFormat="1" applyFont="1" applyAlignment="1">
      <alignment horizontal="center"/>
    </xf>
    <xf numFmtId="0" fontId="6" fillId="0" borderId="0" xfId="0" applyFont="1" applyFill="1"/>
    <xf numFmtId="11" fontId="4" fillId="0" borderId="1" xfId="0" applyNumberFormat="1" applyFont="1" applyFill="1" applyBorder="1" applyAlignment="1">
      <alignment horizontal="center"/>
    </xf>
    <xf numFmtId="0" fontId="4" fillId="0" borderId="1" xfId="0" applyFont="1" applyFill="1" applyBorder="1" applyAlignment="1">
      <alignment horizontal="center"/>
    </xf>
    <xf numFmtId="0" fontId="4" fillId="0" borderId="3" xfId="0" applyFont="1" applyFill="1" applyBorder="1"/>
    <xf numFmtId="0" fontId="1" fillId="0" borderId="1" xfId="40" applyFont="1" applyFill="1" applyBorder="1" applyAlignment="1">
      <alignment horizontal="left" vertical="center" wrapText="1"/>
    </xf>
    <xf numFmtId="0" fontId="1" fillId="0" borderId="18" xfId="0" applyFont="1" applyBorder="1" applyAlignment="1">
      <alignment wrapText="1"/>
    </xf>
    <xf numFmtId="11" fontId="0" fillId="0" borderId="1" xfId="0" applyNumberFormat="1" applyBorder="1" applyAlignment="1">
      <alignment horizontal="center"/>
    </xf>
    <xf numFmtId="0" fontId="0" fillId="0" borderId="0" xfId="0" applyFill="1"/>
    <xf numFmtId="0" fontId="6" fillId="0" borderId="20" xfId="0" applyFont="1" applyFill="1" applyBorder="1" applyAlignment="1">
      <alignment horizontal="center" vertical="center" wrapText="1"/>
    </xf>
    <xf numFmtId="11" fontId="1" fillId="0" borderId="33" xfId="0" applyNumberFormat="1" applyFont="1" applyFill="1" applyBorder="1" applyAlignment="1">
      <alignment horizontal="center"/>
    </xf>
    <xf numFmtId="0" fontId="1" fillId="0" borderId="0" xfId="0" applyFont="1" applyFill="1" applyAlignment="1">
      <alignment horizontal="center"/>
    </xf>
    <xf numFmtId="0" fontId="1" fillId="35" borderId="1" xfId="34" applyFont="1" applyFill="1" applyBorder="1" applyAlignment="1" applyProtection="1">
      <alignment horizontal="left" vertical="top" wrapText="1"/>
    </xf>
    <xf numFmtId="11" fontId="1" fillId="35" borderId="1" xfId="0" applyNumberFormat="1" applyFont="1" applyFill="1" applyBorder="1" applyAlignment="1" applyProtection="1">
      <alignment horizontal="center" vertical="top" wrapText="1"/>
    </xf>
    <xf numFmtId="0" fontId="6" fillId="0" borderId="28" xfId="0" applyFont="1" applyFill="1" applyBorder="1" applyAlignment="1">
      <alignment horizontal="center" vertical="center" wrapText="1"/>
    </xf>
    <xf numFmtId="1" fontId="0" fillId="0" borderId="8" xfId="0" applyNumberFormat="1" applyBorder="1" applyAlignment="1">
      <alignment horizontal="center"/>
    </xf>
    <xf numFmtId="0" fontId="4" fillId="0" borderId="0" xfId="0" applyFont="1" applyBorder="1"/>
    <xf numFmtId="0" fontId="4" fillId="0" borderId="0" xfId="0" applyFont="1" applyBorder="1" applyAlignment="1">
      <alignment horizontal="center"/>
    </xf>
    <xf numFmtId="0" fontId="1" fillId="0" borderId="0" xfId="0" applyFont="1" applyAlignment="1">
      <alignment wrapText="1"/>
    </xf>
    <xf numFmtId="11" fontId="10" fillId="0" borderId="1" xfId="0" applyNumberFormat="1" applyFont="1" applyFill="1" applyBorder="1" applyAlignment="1">
      <alignment horizontal="center"/>
    </xf>
    <xf numFmtId="11" fontId="1" fillId="0" borderId="39" xfId="0" applyNumberFormat="1" applyFont="1" applyFill="1" applyBorder="1" applyAlignment="1">
      <alignment horizontal="center" vertical="center"/>
    </xf>
    <xf numFmtId="11" fontId="1" fillId="0" borderId="32" xfId="0" applyNumberFormat="1" applyFont="1" applyFill="1" applyBorder="1" applyAlignment="1">
      <alignment horizontal="center"/>
    </xf>
    <xf numFmtId="11" fontId="1" fillId="0" borderId="34" xfId="0" applyNumberFormat="1" applyFont="1" applyFill="1" applyBorder="1" applyAlignment="1">
      <alignment horizontal="center"/>
    </xf>
    <xf numFmtId="0" fontId="10" fillId="0" borderId="0" xfId="0" applyFont="1" applyFill="1" applyAlignment="1">
      <alignment horizontal="left"/>
    </xf>
    <xf numFmtId="0" fontId="1" fillId="0" borderId="0" xfId="0" applyFont="1" applyAlignment="1"/>
    <xf numFmtId="11" fontId="1" fillId="0" borderId="1" xfId="0" applyNumberFormat="1" applyFont="1" applyBorder="1" applyAlignment="1">
      <alignment horizontal="center" vertical="center"/>
    </xf>
    <xf numFmtId="11" fontId="1" fillId="0" borderId="33" xfId="0" applyNumberFormat="1" applyFont="1" applyBorder="1" applyAlignment="1">
      <alignment horizontal="center" vertical="center"/>
    </xf>
    <xf numFmtId="11" fontId="1" fillId="0" borderId="34" xfId="0" applyNumberFormat="1" applyFont="1" applyBorder="1" applyAlignment="1">
      <alignment horizontal="center" vertical="center"/>
    </xf>
    <xf numFmtId="164" fontId="6" fillId="0" borderId="0" xfId="0" applyNumberFormat="1" applyFont="1" applyAlignment="1">
      <alignment horizontal="left"/>
    </xf>
    <xf numFmtId="0" fontId="1" fillId="0" borderId="33" xfId="0" applyFont="1" applyFill="1" applyBorder="1" applyAlignment="1"/>
    <xf numFmtId="0" fontId="1" fillId="0" borderId="14" xfId="0" applyNumberFormat="1" applyFont="1" applyBorder="1" applyAlignment="1">
      <alignment horizontal="center" vertical="center"/>
    </xf>
    <xf numFmtId="167" fontId="4" fillId="0" borderId="1" xfId="0" applyNumberFormat="1" applyFont="1" applyBorder="1" applyAlignment="1">
      <alignment horizontal="center"/>
    </xf>
    <xf numFmtId="0" fontId="1" fillId="0" borderId="0" xfId="41" applyFont="1"/>
    <xf numFmtId="0" fontId="1" fillId="0" borderId="0" xfId="41" applyFont="1" applyAlignment="1">
      <alignment horizontal="center"/>
    </xf>
    <xf numFmtId="0" fontId="1" fillId="0" borderId="1" xfId="41" applyFont="1" applyBorder="1"/>
    <xf numFmtId="0" fontId="1" fillId="0" borderId="1" xfId="41" applyFont="1" applyBorder="1" applyAlignment="1">
      <alignment horizontal="center"/>
    </xf>
    <xf numFmtId="168" fontId="1" fillId="0" borderId="1" xfId="41" applyNumberFormat="1" applyFont="1" applyBorder="1" applyAlignment="1">
      <alignment horizontal="center"/>
    </xf>
    <xf numFmtId="168" fontId="6" fillId="0" borderId="1" xfId="41" applyNumberFormat="1" applyFont="1" applyBorder="1" applyAlignment="1">
      <alignment horizontal="center"/>
    </xf>
    <xf numFmtId="14" fontId="1" fillId="0" borderId="1" xfId="41" quotePrefix="1" applyNumberFormat="1" applyFont="1" applyBorder="1" applyAlignment="1">
      <alignment horizontal="center"/>
    </xf>
    <xf numFmtId="0" fontId="6" fillId="0" borderId="0" xfId="41" applyFont="1"/>
    <xf numFmtId="0" fontId="1" fillId="0" borderId="40" xfId="41" applyFont="1" applyBorder="1"/>
    <xf numFmtId="0" fontId="1" fillId="0" borderId="40" xfId="41" applyFont="1" applyBorder="1" applyAlignment="1">
      <alignment horizontal="center"/>
    </xf>
    <xf numFmtId="0" fontId="25" fillId="0" borderId="0" xfId="34" applyFont="1" applyAlignment="1" applyProtection="1"/>
    <xf numFmtId="0" fontId="6" fillId="34" borderId="1" xfId="0" applyFont="1" applyFill="1" applyBorder="1" applyAlignment="1">
      <alignment horizontal="center" vertical="center"/>
    </xf>
    <xf numFmtId="0" fontId="63" fillId="0" borderId="1" xfId="0" applyFont="1" applyFill="1" applyBorder="1" applyAlignment="1"/>
    <xf numFmtId="0" fontId="63" fillId="0" borderId="1" xfId="45" applyFont="1" applyFill="1" applyBorder="1" applyAlignment="1"/>
    <xf numFmtId="2" fontId="0" fillId="34" borderId="8" xfId="0" applyNumberFormat="1" applyFill="1" applyBorder="1" applyAlignment="1">
      <alignment horizontal="center"/>
    </xf>
    <xf numFmtId="0" fontId="4" fillId="34" borderId="1" xfId="0" applyFont="1" applyFill="1" applyBorder="1" applyAlignment="1">
      <alignment horizontal="center"/>
    </xf>
    <xf numFmtId="2" fontId="4" fillId="34" borderId="16" xfId="0" applyNumberFormat="1" applyFont="1" applyFill="1" applyBorder="1" applyAlignment="1">
      <alignment horizontal="center"/>
    </xf>
    <xf numFmtId="0" fontId="4" fillId="34" borderId="5" xfId="0" applyFont="1" applyFill="1" applyBorder="1" applyAlignment="1">
      <alignment horizontal="center"/>
    </xf>
    <xf numFmtId="164" fontId="4" fillId="34" borderId="16" xfId="0" applyNumberFormat="1" applyFont="1" applyFill="1" applyBorder="1" applyAlignment="1">
      <alignment horizontal="center"/>
    </xf>
    <xf numFmtId="11" fontId="4" fillId="34" borderId="5" xfId="0" applyNumberFormat="1" applyFont="1" applyFill="1" applyBorder="1" applyAlignment="1">
      <alignment horizontal="center"/>
    </xf>
    <xf numFmtId="11" fontId="4" fillId="34" borderId="16" xfId="0" applyNumberFormat="1" applyFont="1" applyFill="1" applyBorder="1" applyAlignment="1">
      <alignment horizontal="center"/>
    </xf>
    <xf numFmtId="164" fontId="4" fillId="34" borderId="1" xfId="0" applyNumberFormat="1" applyFont="1" applyFill="1" applyBorder="1" applyAlignment="1">
      <alignment horizontal="center"/>
    </xf>
    <xf numFmtId="2" fontId="4" fillId="34" borderId="26" xfId="0" applyNumberFormat="1" applyFont="1" applyFill="1" applyBorder="1" applyAlignment="1">
      <alignment horizontal="center"/>
    </xf>
    <xf numFmtId="2" fontId="0" fillId="34" borderId="1" xfId="0" applyNumberFormat="1" applyFill="1" applyBorder="1" applyAlignment="1">
      <alignment horizontal="center"/>
    </xf>
    <xf numFmtId="166" fontId="4" fillId="34" borderId="1" xfId="0" applyNumberFormat="1" applyFont="1" applyFill="1" applyBorder="1" applyAlignment="1">
      <alignment horizontal="center"/>
    </xf>
    <xf numFmtId="2" fontId="4" fillId="34" borderId="23" xfId="0" applyNumberFormat="1" applyFont="1" applyFill="1" applyBorder="1" applyAlignment="1">
      <alignment horizontal="center"/>
    </xf>
    <xf numFmtId="167" fontId="0" fillId="34" borderId="5" xfId="0" applyNumberFormat="1" applyFill="1" applyBorder="1" applyAlignment="1">
      <alignment horizontal="center"/>
    </xf>
    <xf numFmtId="0" fontId="0" fillId="34" borderId="1" xfId="0" applyFill="1" applyBorder="1" applyAlignment="1">
      <alignment horizontal="center"/>
    </xf>
    <xf numFmtId="0" fontId="0" fillId="36" borderId="1" xfId="0" applyFill="1" applyBorder="1" applyAlignment="1">
      <alignment horizontal="center"/>
    </xf>
    <xf numFmtId="0" fontId="4" fillId="36" borderId="1" xfId="0" applyFont="1" applyFill="1" applyBorder="1" applyAlignment="1">
      <alignment horizontal="center"/>
    </xf>
    <xf numFmtId="0" fontId="1" fillId="0" borderId="0" xfId="0" applyFont="1" applyFill="1" applyBorder="1" applyAlignment="1" applyProtection="1">
      <alignment horizontal="left" vertical="center"/>
    </xf>
    <xf numFmtId="0" fontId="1" fillId="0" borderId="0" xfId="0" applyFont="1" applyFill="1" applyAlignment="1" applyProtection="1">
      <alignment horizontal="left" vertical="center"/>
    </xf>
    <xf numFmtId="0" fontId="6" fillId="0" borderId="1" xfId="0" applyFont="1" applyFill="1" applyBorder="1" applyAlignment="1" applyProtection="1">
      <alignment horizontal="center" vertical="center" textRotation="90" wrapText="1"/>
    </xf>
    <xf numFmtId="0" fontId="6" fillId="0" borderId="1" xfId="0" applyFont="1" applyFill="1" applyBorder="1" applyAlignment="1" applyProtection="1">
      <alignment horizontal="center" vertical="center"/>
    </xf>
    <xf numFmtId="0" fontId="6" fillId="0" borderId="1" xfId="0" applyFont="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33" xfId="0" applyFont="1" applyFill="1" applyBorder="1" applyAlignment="1" applyProtection="1">
      <alignment horizontal="left" vertical="center" wrapText="1"/>
    </xf>
    <xf numFmtId="0" fontId="17" fillId="0" borderId="38" xfId="0" applyFont="1" applyFill="1" applyBorder="1" applyAlignment="1" applyProtection="1">
      <alignment horizontal="left" vertical="center" wrapText="1"/>
    </xf>
    <xf numFmtId="0" fontId="6" fillId="0" borderId="38" xfId="0" applyFont="1" applyFill="1" applyBorder="1" applyAlignment="1" applyProtection="1">
      <alignment horizontal="center" vertical="center"/>
    </xf>
    <xf numFmtId="0" fontId="1" fillId="0" borderId="38" xfId="0" applyFont="1" applyFill="1" applyBorder="1" applyAlignment="1" applyProtection="1">
      <alignment horizontal="center" vertical="center"/>
    </xf>
    <xf numFmtId="0" fontId="1" fillId="0" borderId="38" xfId="0" applyFont="1" applyFill="1" applyBorder="1" applyAlignment="1" applyProtection="1">
      <alignment horizontal="left" vertical="top" wrapText="1"/>
    </xf>
    <xf numFmtId="11" fontId="6" fillId="0" borderId="38" xfId="0" applyNumberFormat="1" applyFont="1" applyFill="1" applyBorder="1" applyAlignment="1" applyProtection="1">
      <alignment horizontal="center" vertical="center"/>
    </xf>
    <xf numFmtId="0" fontId="1" fillId="0" borderId="38" xfId="0" applyFont="1" applyFill="1" applyBorder="1" applyAlignment="1" applyProtection="1">
      <alignment horizontal="left" vertical="center" wrapText="1"/>
    </xf>
    <xf numFmtId="11" fontId="6" fillId="0" borderId="38" xfId="0" applyNumberFormat="1" applyFont="1" applyFill="1" applyBorder="1" applyAlignment="1" applyProtection="1">
      <alignment horizontal="center" vertical="center" wrapText="1"/>
    </xf>
    <xf numFmtId="0" fontId="1" fillId="0" borderId="38" xfId="0" applyFont="1" applyFill="1" applyBorder="1" applyAlignment="1" applyProtection="1">
      <alignment horizontal="center" vertical="center" wrapText="1"/>
    </xf>
    <xf numFmtId="0" fontId="1" fillId="0" borderId="38" xfId="0" applyFont="1" applyFill="1" applyBorder="1" applyAlignment="1" applyProtection="1">
      <alignment horizontal="left" vertical="center"/>
    </xf>
    <xf numFmtId="11" fontId="1" fillId="0" borderId="38" xfId="0" applyNumberFormat="1" applyFont="1" applyFill="1" applyBorder="1" applyAlignment="1" applyProtection="1">
      <alignment horizontal="center" vertical="center"/>
    </xf>
    <xf numFmtId="2" fontId="1" fillId="0" borderId="38" xfId="0" applyNumberFormat="1" applyFont="1" applyFill="1" applyBorder="1" applyAlignment="1" applyProtection="1">
      <alignment horizontal="center" vertical="center"/>
    </xf>
    <xf numFmtId="0" fontId="1" fillId="35" borderId="1" xfId="0" applyFont="1" applyFill="1" applyBorder="1" applyAlignment="1" applyProtection="1">
      <alignment horizontal="left" vertical="top" wrapText="1"/>
    </xf>
    <xf numFmtId="0" fontId="1" fillId="35" borderId="1" xfId="0" applyFont="1" applyFill="1" applyBorder="1" applyAlignment="1" applyProtection="1">
      <alignment horizontal="center" vertical="top" wrapText="1"/>
    </xf>
    <xf numFmtId="0" fontId="1" fillId="35" borderId="1" xfId="0" applyFont="1" applyFill="1" applyBorder="1" applyAlignment="1" applyProtection="1">
      <alignment horizontal="center" vertical="top"/>
    </xf>
    <xf numFmtId="0" fontId="1" fillId="35" borderId="1" xfId="0" applyFont="1" applyFill="1" applyBorder="1" applyAlignment="1" applyProtection="1">
      <alignment vertical="top" wrapText="1"/>
    </xf>
    <xf numFmtId="0" fontId="1" fillId="35" borderId="1" xfId="0" applyFont="1" applyFill="1" applyBorder="1" applyAlignment="1" applyProtection="1">
      <alignment horizontal="center" vertical="center" wrapText="1"/>
    </xf>
    <xf numFmtId="0" fontId="1" fillId="35" borderId="1" xfId="45" applyFont="1" applyFill="1" applyBorder="1" applyAlignment="1" applyProtection="1">
      <alignment horizontal="left" vertical="top" wrapText="1"/>
    </xf>
    <xf numFmtId="2" fontId="1" fillId="35" borderId="1" xfId="0" applyNumberFormat="1" applyFont="1" applyFill="1" applyBorder="1" applyAlignment="1" applyProtection="1">
      <alignment horizontal="center" vertical="top" wrapText="1"/>
    </xf>
    <xf numFmtId="11" fontId="9" fillId="35" borderId="1" xfId="0" applyNumberFormat="1" applyFont="1" applyFill="1" applyBorder="1" applyAlignment="1" applyProtection="1">
      <alignment horizontal="center" vertical="top" wrapText="1"/>
    </xf>
    <xf numFmtId="1" fontId="1" fillId="35" borderId="1" xfId="0" applyNumberFormat="1" applyFont="1" applyFill="1" applyBorder="1" applyAlignment="1" applyProtection="1">
      <alignment horizontal="center" vertical="top"/>
    </xf>
    <xf numFmtId="1" fontId="1" fillId="35" borderId="1" xfId="0" applyNumberFormat="1" applyFont="1" applyFill="1" applyBorder="1" applyAlignment="1" applyProtection="1">
      <alignment horizontal="center" vertical="top" wrapText="1"/>
    </xf>
    <xf numFmtId="0" fontId="1" fillId="35" borderId="1" xfId="39" applyFont="1" applyFill="1" applyBorder="1" applyAlignment="1" applyProtection="1">
      <alignment horizontal="center" vertical="top" wrapText="1"/>
    </xf>
    <xf numFmtId="0" fontId="1" fillId="35" borderId="1" xfId="0" applyFont="1" applyFill="1" applyBorder="1" applyAlignment="1" applyProtection="1">
      <alignment horizontal="left" vertical="top"/>
    </xf>
    <xf numFmtId="0" fontId="64" fillId="35" borderId="1" xfId="0" applyFont="1" applyFill="1" applyBorder="1" applyAlignment="1" applyProtection="1">
      <alignment vertical="top" wrapText="1"/>
    </xf>
    <xf numFmtId="0" fontId="64" fillId="35" borderId="1" xfId="0" applyFont="1" applyFill="1" applyBorder="1" applyAlignment="1" applyProtection="1">
      <alignment horizontal="left" vertical="top" wrapText="1"/>
    </xf>
    <xf numFmtId="0" fontId="64" fillId="35" borderId="0" xfId="0" applyFont="1" applyFill="1" applyAlignment="1" applyProtection="1">
      <alignment horizontal="center" vertical="top" wrapText="1"/>
    </xf>
    <xf numFmtId="11" fontId="64" fillId="35" borderId="1" xfId="0" applyNumberFormat="1" applyFont="1" applyFill="1" applyBorder="1" applyAlignment="1" applyProtection="1">
      <alignment horizontal="center" vertical="top"/>
    </xf>
    <xf numFmtId="11" fontId="1" fillId="35" borderId="1" xfId="0" applyNumberFormat="1" applyFont="1" applyFill="1" applyBorder="1" applyAlignment="1" applyProtection="1">
      <alignment horizontal="center" vertical="top"/>
    </xf>
    <xf numFmtId="2" fontId="1" fillId="35" borderId="1" xfId="0" applyNumberFormat="1" applyFont="1" applyFill="1" applyBorder="1" applyAlignment="1" applyProtection="1">
      <alignment horizontal="center" vertical="top"/>
    </xf>
    <xf numFmtId="0" fontId="1" fillId="0" borderId="0" xfId="0" applyFont="1" applyFill="1" applyAlignment="1" applyProtection="1">
      <alignment horizontal="left" vertical="center" wrapText="1"/>
    </xf>
    <xf numFmtId="0" fontId="1" fillId="35" borderId="1" xfId="46" applyFont="1" applyFill="1" applyBorder="1" applyAlignment="1" applyProtection="1">
      <alignment horizontal="left" vertical="top" wrapText="1"/>
    </xf>
    <xf numFmtId="0" fontId="9" fillId="35" borderId="1" xfId="0" applyFont="1" applyFill="1" applyBorder="1" applyAlignment="1" applyProtection="1">
      <alignment horizontal="left" vertical="top" wrapText="1"/>
    </xf>
    <xf numFmtId="0" fontId="9" fillId="35" borderId="1" xfId="0" applyFont="1" applyFill="1" applyBorder="1" applyAlignment="1" applyProtection="1">
      <alignment horizontal="center" vertical="top"/>
    </xf>
    <xf numFmtId="11" fontId="9" fillId="35" borderId="1" xfId="0" applyNumberFormat="1" applyFont="1" applyFill="1" applyBorder="1" applyAlignment="1" applyProtection="1">
      <alignment horizontal="center" vertical="top"/>
    </xf>
    <xf numFmtId="0" fontId="9" fillId="35" borderId="1" xfId="0" applyFont="1" applyFill="1" applyBorder="1" applyAlignment="1" applyProtection="1">
      <alignment vertical="top" wrapText="1"/>
    </xf>
    <xf numFmtId="0" fontId="9" fillId="35" borderId="1" xfId="0" applyFont="1" applyFill="1" applyBorder="1" applyAlignment="1" applyProtection="1">
      <alignment horizontal="center" vertical="center" wrapText="1"/>
    </xf>
    <xf numFmtId="0" fontId="9" fillId="35" borderId="1" xfId="0" applyFont="1" applyFill="1" applyBorder="1" applyAlignment="1" applyProtection="1">
      <alignment horizontal="left" vertical="top"/>
    </xf>
    <xf numFmtId="2" fontId="9" fillId="35" borderId="1" xfId="0" applyNumberFormat="1" applyFont="1" applyFill="1" applyBorder="1" applyAlignment="1" applyProtection="1">
      <alignment horizontal="center" vertical="top"/>
    </xf>
    <xf numFmtId="0" fontId="64" fillId="35" borderId="0" xfId="0" applyFont="1" applyFill="1" applyAlignment="1" applyProtection="1">
      <alignment horizontal="left" vertical="top" wrapText="1"/>
    </xf>
    <xf numFmtId="0" fontId="1" fillId="35" borderId="1" xfId="45" applyFont="1" applyFill="1" applyBorder="1" applyAlignment="1" applyProtection="1">
      <alignment horizontal="center" vertical="top"/>
    </xf>
    <xf numFmtId="11" fontId="1" fillId="35" borderId="1" xfId="45" applyNumberFormat="1" applyFont="1" applyFill="1" applyBorder="1" applyAlignment="1" applyProtection="1">
      <alignment horizontal="center" vertical="top"/>
    </xf>
    <xf numFmtId="11" fontId="1" fillId="35" borderId="1" xfId="45" applyNumberFormat="1" applyFont="1" applyFill="1" applyBorder="1" applyAlignment="1" applyProtection="1">
      <alignment horizontal="center" vertical="top" wrapText="1"/>
    </xf>
    <xf numFmtId="0" fontId="1" fillId="35" borderId="1" xfId="45" applyFont="1" applyFill="1" applyBorder="1" applyAlignment="1" applyProtection="1">
      <alignment horizontal="center" vertical="center" wrapText="1"/>
    </xf>
    <xf numFmtId="0" fontId="1" fillId="35" borderId="1" xfId="45" applyFont="1" applyFill="1" applyBorder="1" applyAlignment="1" applyProtection="1">
      <alignment horizontal="left" vertical="top"/>
    </xf>
    <xf numFmtId="2" fontId="1" fillId="35" borderId="1" xfId="45" applyNumberFormat="1" applyFont="1" applyFill="1" applyBorder="1" applyAlignment="1" applyProtection="1">
      <alignment horizontal="center" vertical="top"/>
    </xf>
    <xf numFmtId="11" fontId="1" fillId="35" borderId="1" xfId="45" applyNumberFormat="1" applyFont="1" applyFill="1" applyBorder="1" applyAlignment="1" applyProtection="1">
      <alignment horizontal="center" vertical="center" wrapText="1"/>
    </xf>
    <xf numFmtId="166" fontId="1" fillId="35" borderId="1" xfId="45" applyNumberFormat="1" applyFont="1" applyFill="1" applyBorder="1" applyAlignment="1" applyProtection="1">
      <alignment horizontal="center" vertical="top"/>
    </xf>
    <xf numFmtId="0" fontId="0" fillId="35" borderId="1" xfId="0" applyFill="1" applyBorder="1" applyProtection="1"/>
    <xf numFmtId="0" fontId="1" fillId="35" borderId="1" xfId="46" applyFont="1" applyFill="1" applyBorder="1" applyAlignment="1" applyProtection="1">
      <alignment vertical="top" wrapText="1"/>
    </xf>
    <xf numFmtId="0" fontId="6" fillId="0" borderId="33" xfId="0" applyFont="1" applyFill="1" applyBorder="1" applyAlignment="1" applyProtection="1">
      <alignment horizontal="left" vertical="top" wrapText="1"/>
    </xf>
    <xf numFmtId="0" fontId="17" fillId="0" borderId="38" xfId="0" applyFont="1" applyFill="1" applyBorder="1" applyAlignment="1" applyProtection="1">
      <alignment horizontal="left" vertical="top" wrapText="1"/>
    </xf>
    <xf numFmtId="0" fontId="1" fillId="0" borderId="41" xfId="0" applyFont="1" applyFill="1" applyBorder="1" applyAlignment="1" applyProtection="1">
      <alignment horizontal="center" vertical="top"/>
    </xf>
    <xf numFmtId="0" fontId="1" fillId="0" borderId="38" xfId="0" applyFont="1" applyFill="1" applyBorder="1" applyAlignment="1" applyProtection="1">
      <alignment horizontal="center" vertical="top"/>
    </xf>
    <xf numFmtId="0" fontId="1" fillId="0" borderId="1" xfId="0" applyFont="1" applyFill="1" applyBorder="1" applyAlignment="1" applyProtection="1">
      <alignment horizontal="center" vertical="top"/>
    </xf>
    <xf numFmtId="0" fontId="1" fillId="0" borderId="38" xfId="0" applyFont="1" applyFill="1" applyBorder="1" applyAlignment="1" applyProtection="1">
      <alignment horizontal="center" vertical="top" wrapText="1"/>
    </xf>
    <xf numFmtId="11" fontId="1" fillId="0" borderId="42" xfId="0" applyNumberFormat="1" applyFont="1" applyFill="1" applyBorder="1" applyAlignment="1" applyProtection="1">
      <alignment horizontal="center" vertical="top"/>
    </xf>
    <xf numFmtId="0" fontId="1" fillId="0" borderId="42" xfId="0" applyFont="1" applyFill="1" applyBorder="1" applyAlignment="1" applyProtection="1">
      <alignment horizontal="left" vertical="top" wrapText="1"/>
    </xf>
    <xf numFmtId="0" fontId="1" fillId="0" borderId="42" xfId="46" applyFont="1" applyFill="1" applyBorder="1" applyAlignment="1" applyProtection="1">
      <alignment vertical="top" wrapText="1"/>
    </xf>
    <xf numFmtId="11" fontId="1" fillId="0" borderId="42" xfId="0" applyNumberFormat="1" applyFont="1" applyFill="1" applyBorder="1" applyAlignment="1" applyProtection="1">
      <alignment horizontal="center" vertical="center" wrapText="1"/>
    </xf>
    <xf numFmtId="0" fontId="1" fillId="0" borderId="42" xfId="0" applyFont="1" applyFill="1" applyBorder="1" applyAlignment="1" applyProtection="1">
      <alignment vertical="top" wrapText="1"/>
    </xf>
    <xf numFmtId="0" fontId="1" fillId="0" borderId="42" xfId="0" applyFont="1" applyFill="1" applyBorder="1" applyAlignment="1" applyProtection="1">
      <alignment horizontal="center" vertical="center" wrapText="1"/>
    </xf>
    <xf numFmtId="0" fontId="1" fillId="0" borderId="42" xfId="0" applyFont="1" applyFill="1" applyBorder="1" applyAlignment="1" applyProtection="1">
      <alignment horizontal="center" vertical="top"/>
    </xf>
    <xf numFmtId="0" fontId="1" fillId="0" borderId="42" xfId="0" applyFont="1" applyFill="1" applyBorder="1" applyAlignment="1" applyProtection="1">
      <alignment horizontal="left" vertical="top"/>
    </xf>
    <xf numFmtId="0" fontId="1" fillId="0" borderId="42" xfId="45" applyFont="1" applyFill="1" applyBorder="1" applyAlignment="1" applyProtection="1">
      <alignment horizontal="left" vertical="top" wrapText="1"/>
    </xf>
    <xf numFmtId="2" fontId="1" fillId="0" borderId="42" xfId="0" applyNumberFormat="1" applyFont="1" applyFill="1" applyBorder="1" applyAlignment="1" applyProtection="1">
      <alignment horizontal="center" vertical="top"/>
    </xf>
    <xf numFmtId="11" fontId="1" fillId="0" borderId="38" xfId="0" applyNumberFormat="1" applyFont="1" applyFill="1" applyBorder="1" applyAlignment="1" applyProtection="1">
      <alignment horizontal="center" vertical="top"/>
    </xf>
    <xf numFmtId="166" fontId="1" fillId="35" borderId="1" xfId="0" applyNumberFormat="1" applyFont="1" applyFill="1" applyBorder="1" applyAlignment="1" applyProtection="1">
      <alignment horizontal="center" vertical="top"/>
    </xf>
    <xf numFmtId="164" fontId="1" fillId="35" borderId="1" xfId="0" applyNumberFormat="1" applyFont="1" applyFill="1" applyBorder="1" applyAlignment="1" applyProtection="1">
      <alignment horizontal="center" vertical="top"/>
    </xf>
    <xf numFmtId="11" fontId="1" fillId="35" borderId="1" xfId="0" applyNumberFormat="1" applyFont="1" applyFill="1" applyBorder="1" applyAlignment="1" applyProtection="1">
      <alignment horizontal="left" vertical="top"/>
    </xf>
    <xf numFmtId="11" fontId="1" fillId="35" borderId="1" xfId="0" applyNumberFormat="1" applyFont="1" applyFill="1" applyBorder="1" applyAlignment="1" applyProtection="1">
      <alignment vertical="top"/>
    </xf>
    <xf numFmtId="164" fontId="9" fillId="35" borderId="1" xfId="0" applyNumberFormat="1" applyFont="1" applyFill="1" applyBorder="1" applyAlignment="1" applyProtection="1">
      <alignment horizontal="center" vertical="top"/>
    </xf>
    <xf numFmtId="0" fontId="19" fillId="35" borderId="1" xfId="0" applyFont="1" applyFill="1" applyBorder="1" applyAlignment="1" applyProtection="1">
      <alignment horizontal="left" vertical="top" wrapText="1"/>
    </xf>
    <xf numFmtId="11" fontId="1" fillId="35" borderId="8" xfId="0" applyNumberFormat="1" applyFont="1" applyFill="1" applyBorder="1" applyAlignment="1" applyProtection="1">
      <alignment horizontal="center" vertical="top"/>
    </xf>
    <xf numFmtId="0" fontId="6" fillId="0" borderId="33" xfId="45" applyFont="1" applyFill="1" applyBorder="1" applyAlignment="1" applyProtection="1">
      <alignment horizontal="left" vertical="top" wrapText="1"/>
    </xf>
    <xf numFmtId="0" fontId="17" fillId="0" borderId="38" xfId="45" applyFont="1" applyFill="1" applyBorder="1" applyAlignment="1" applyProtection="1">
      <alignment horizontal="left" vertical="top" wrapText="1"/>
    </xf>
    <xf numFmtId="0" fontId="1" fillId="0" borderId="38" xfId="45" applyFont="1" applyFill="1" applyBorder="1" applyAlignment="1" applyProtection="1">
      <alignment horizontal="center" vertical="top"/>
    </xf>
    <xf numFmtId="11" fontId="1" fillId="0" borderId="38" xfId="45" applyNumberFormat="1" applyFont="1" applyFill="1" applyBorder="1" applyAlignment="1" applyProtection="1">
      <alignment horizontal="center" vertical="top"/>
    </xf>
    <xf numFmtId="0" fontId="1" fillId="0" borderId="38" xfId="45" applyFont="1" applyFill="1" applyBorder="1" applyAlignment="1" applyProtection="1">
      <alignment horizontal="left" vertical="top" wrapText="1"/>
    </xf>
    <xf numFmtId="11" fontId="1" fillId="0" borderId="38" xfId="45" applyNumberFormat="1" applyFont="1" applyFill="1" applyBorder="1" applyAlignment="1" applyProtection="1">
      <alignment horizontal="center" vertical="top" wrapText="1"/>
    </xf>
    <xf numFmtId="0" fontId="1" fillId="0" borderId="38" xfId="45" applyFont="1" applyFill="1" applyBorder="1" applyAlignment="1" applyProtection="1">
      <alignment vertical="top" wrapText="1"/>
    </xf>
    <xf numFmtId="11" fontId="1" fillId="0" borderId="38" xfId="45" applyNumberFormat="1" applyFont="1" applyFill="1" applyBorder="1" applyAlignment="1" applyProtection="1">
      <alignment horizontal="center" vertical="center" wrapText="1"/>
    </xf>
    <xf numFmtId="0" fontId="1" fillId="0" borderId="38" xfId="45" applyFont="1" applyFill="1" applyBorder="1" applyAlignment="1" applyProtection="1">
      <alignment horizontal="center" vertical="center" wrapText="1"/>
    </xf>
    <xf numFmtId="0" fontId="1" fillId="0" borderId="38" xfId="45" applyFont="1" applyFill="1" applyBorder="1" applyAlignment="1" applyProtection="1">
      <alignment horizontal="left" vertical="top"/>
    </xf>
    <xf numFmtId="2" fontId="1" fillId="0" borderId="38" xfId="45" applyNumberFormat="1" applyFont="1" applyFill="1" applyBorder="1" applyAlignment="1" applyProtection="1">
      <alignment horizontal="center" vertical="top"/>
    </xf>
    <xf numFmtId="0" fontId="1" fillId="0" borderId="0" xfId="45" applyFont="1" applyFill="1" applyAlignment="1" applyProtection="1">
      <alignment horizontal="left" vertical="center"/>
    </xf>
    <xf numFmtId="0" fontId="1" fillId="35" borderId="1" xfId="40" applyFont="1" applyFill="1" applyBorder="1" applyAlignment="1" applyProtection="1">
      <alignment horizontal="left" vertical="top" wrapText="1"/>
    </xf>
    <xf numFmtId="0" fontId="1" fillId="0" borderId="38" xfId="0" applyFont="1" applyFill="1" applyBorder="1" applyAlignment="1" applyProtection="1">
      <alignment vertical="top" wrapText="1"/>
    </xf>
    <xf numFmtId="11" fontId="1" fillId="0" borderId="38" xfId="0" applyNumberFormat="1" applyFont="1" applyFill="1" applyBorder="1" applyAlignment="1" applyProtection="1">
      <alignment horizontal="center" vertical="center" wrapText="1"/>
    </xf>
    <xf numFmtId="0" fontId="1" fillId="0" borderId="38" xfId="0" applyFont="1" applyFill="1" applyBorder="1" applyAlignment="1" applyProtection="1">
      <alignment horizontal="left" vertical="top"/>
    </xf>
    <xf numFmtId="2" fontId="1" fillId="0" borderId="38" xfId="0" applyNumberFormat="1" applyFont="1" applyFill="1" applyBorder="1" applyAlignment="1" applyProtection="1">
      <alignment horizontal="center" vertical="top"/>
    </xf>
    <xf numFmtId="0" fontId="6" fillId="0" borderId="38" xfId="0" applyFont="1" applyFill="1" applyBorder="1" applyAlignment="1" applyProtection="1">
      <alignment horizontal="center" vertical="top"/>
    </xf>
    <xf numFmtId="11" fontId="6" fillId="0" borderId="38" xfId="0" applyNumberFormat="1" applyFont="1" applyFill="1" applyBorder="1" applyAlignment="1" applyProtection="1">
      <alignment horizontal="center" vertical="top"/>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left" vertical="top" wrapText="1"/>
    </xf>
    <xf numFmtId="11" fontId="6" fillId="0" borderId="0" xfId="0" applyNumberFormat="1" applyFont="1" applyFill="1" applyBorder="1" applyAlignment="1" applyProtection="1">
      <alignment horizontal="center" vertical="center"/>
    </xf>
    <xf numFmtId="11" fontId="6" fillId="0" borderId="0" xfId="0" applyNumberFormat="1" applyFont="1" applyFill="1" applyBorder="1" applyAlignment="1" applyProtection="1">
      <alignment horizontal="center" vertical="center"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xf>
    <xf numFmtId="11" fontId="1" fillId="0" borderId="0" xfId="0" applyNumberFormat="1" applyFont="1" applyFill="1" applyBorder="1" applyAlignment="1" applyProtection="1">
      <alignment horizontal="center" vertical="top"/>
    </xf>
    <xf numFmtId="2" fontId="1" fillId="0" borderId="0" xfId="0" applyNumberFormat="1" applyFont="1" applyFill="1" applyBorder="1" applyAlignment="1" applyProtection="1">
      <alignment horizontal="center" vertical="top"/>
    </xf>
    <xf numFmtId="0" fontId="6" fillId="0" borderId="0" xfId="0" applyFont="1" applyFill="1" applyBorder="1" applyAlignment="1" applyProtection="1">
      <alignment horizontal="left" vertical="center" wrapText="1"/>
    </xf>
    <xf numFmtId="0" fontId="65" fillId="0" borderId="0" xfId="0" applyFont="1" applyFill="1" applyBorder="1" applyAlignment="1" applyProtection="1">
      <alignment horizontal="left" vertical="center"/>
    </xf>
    <xf numFmtId="0" fontId="0" fillId="0" borderId="0" xfId="0" applyAlignment="1" applyProtection="1">
      <alignment vertical="center" wrapText="1"/>
    </xf>
    <xf numFmtId="11" fontId="1" fillId="0" borderId="0" xfId="0" applyNumberFormat="1" applyFont="1" applyFill="1" applyBorder="1" applyAlignment="1" applyProtection="1">
      <alignment horizontal="center" vertical="center"/>
    </xf>
    <xf numFmtId="11" fontId="1"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0" fontId="62" fillId="0" borderId="0" xfId="0" applyFont="1" applyFill="1" applyBorder="1" applyAlignment="1" applyProtection="1">
      <alignment horizontal="left" vertical="center"/>
    </xf>
    <xf numFmtId="0" fontId="1" fillId="0" borderId="0" xfId="0" applyFont="1" applyFill="1" applyAlignment="1" applyProtection="1"/>
    <xf numFmtId="0" fontId="2" fillId="0" borderId="0" xfId="0" applyNumberFormat="1" applyFont="1" applyAlignment="1" applyProtection="1">
      <alignment horizontal="center"/>
    </xf>
    <xf numFmtId="0" fontId="4" fillId="0" borderId="0" xfId="0" applyFont="1" applyFill="1" applyProtection="1"/>
    <xf numFmtId="0" fontId="4" fillId="0" borderId="0" xfId="0" applyFont="1" applyFill="1" applyAlignment="1" applyProtection="1">
      <alignment horizontal="left" vertical="top" wrapText="1"/>
    </xf>
    <xf numFmtId="0" fontId="4" fillId="0" borderId="0" xfId="0" applyFont="1" applyProtection="1"/>
    <xf numFmtId="0" fontId="4" fillId="0" borderId="0" xfId="0" applyFont="1" applyAlignment="1" applyProtection="1">
      <alignment vertical="top"/>
    </xf>
    <xf numFmtId="0" fontId="4" fillId="0" borderId="0" xfId="0" applyFont="1" applyAlignment="1" applyProtection="1">
      <alignment horizontal="center"/>
    </xf>
    <xf numFmtId="0" fontId="4" fillId="0" borderId="0" xfId="0" applyFont="1" applyAlignment="1" applyProtection="1">
      <alignment horizontal="center" vertical="top"/>
    </xf>
    <xf numFmtId="2" fontId="4" fillId="0" borderId="0" xfId="0" applyNumberFormat="1" applyFont="1" applyAlignment="1" applyProtection="1">
      <alignment horizontal="center" vertical="top"/>
    </xf>
    <xf numFmtId="0" fontId="1" fillId="0" borderId="0" xfId="0" applyFont="1" applyFill="1" applyAlignment="1" applyProtection="1">
      <alignment wrapText="1"/>
    </xf>
    <xf numFmtId="0" fontId="1" fillId="0" borderId="0" xfId="0" applyFont="1" applyFill="1" applyBorder="1" applyAlignment="1" applyProtection="1">
      <alignment vertical="top"/>
    </xf>
    <xf numFmtId="0" fontId="64" fillId="0" borderId="0" xfId="0" applyFont="1" applyFill="1" applyAlignment="1" applyProtection="1">
      <alignment horizontal="left"/>
    </xf>
    <xf numFmtId="2" fontId="1" fillId="0" borderId="0" xfId="0" applyNumberFormat="1" applyFont="1" applyFill="1" applyBorder="1" applyAlignment="1" applyProtection="1">
      <alignment horizontal="center" vertical="center"/>
    </xf>
    <xf numFmtId="0" fontId="0" fillId="35" borderId="1" xfId="0" applyFill="1" applyBorder="1" applyAlignment="1" applyProtection="1">
      <alignment wrapText="1"/>
    </xf>
    <xf numFmtId="11" fontId="1" fillId="0" borderId="42" xfId="0" applyNumberFormat="1" applyFont="1" applyFill="1" applyBorder="1" applyAlignment="1" applyProtection="1">
      <alignment horizontal="center" vertical="top" wrapText="1"/>
    </xf>
    <xf numFmtId="11" fontId="1" fillId="0" borderId="38" xfId="0" applyNumberFormat="1" applyFont="1" applyFill="1" applyBorder="1" applyAlignment="1" applyProtection="1">
      <alignment horizontal="center" vertical="top" wrapText="1"/>
    </xf>
    <xf numFmtId="11" fontId="1" fillId="0" borderId="0" xfId="0" applyNumberFormat="1" applyFont="1" applyFill="1" applyBorder="1" applyAlignment="1" applyProtection="1">
      <alignment horizontal="center" vertical="top" wrapText="1"/>
    </xf>
    <xf numFmtId="0" fontId="4" fillId="0" borderId="0" xfId="0" applyFont="1" applyAlignment="1" applyProtection="1">
      <alignment horizontal="center" vertical="top" wrapText="1"/>
    </xf>
    <xf numFmtId="9" fontId="4" fillId="0" borderId="1" xfId="0" applyNumberFormat="1" applyFont="1" applyBorder="1" applyAlignment="1">
      <alignment horizontal="center"/>
    </xf>
    <xf numFmtId="11" fontId="1" fillId="35" borderId="1" xfId="0" applyNumberFormat="1" applyFont="1" applyFill="1" applyBorder="1" applyAlignment="1">
      <alignment horizontal="center" vertical="top"/>
    </xf>
    <xf numFmtId="11" fontId="1" fillId="35" borderId="1" xfId="0" applyNumberFormat="1" applyFont="1" applyFill="1" applyBorder="1" applyAlignment="1">
      <alignment horizontal="center" vertical="top" wrapText="1"/>
    </xf>
    <xf numFmtId="11" fontId="1" fillId="35" borderId="1" xfId="0" applyNumberFormat="1" applyFont="1" applyFill="1" applyBorder="1" applyAlignment="1">
      <alignment horizontal="center" vertical="center" wrapText="1"/>
    </xf>
    <xf numFmtId="0" fontId="1" fillId="35" borderId="1" xfId="0" applyFont="1" applyFill="1" applyBorder="1" applyAlignment="1">
      <alignment horizontal="left" vertical="center" wrapText="1"/>
    </xf>
    <xf numFmtId="0" fontId="1" fillId="35" borderId="1" xfId="0" applyFont="1" applyFill="1" applyBorder="1" applyAlignment="1">
      <alignment horizontal="center" vertical="center"/>
    </xf>
    <xf numFmtId="0" fontId="1" fillId="35" borderId="1" xfId="0" applyFont="1" applyFill="1" applyBorder="1" applyAlignment="1">
      <alignment horizontal="center" vertical="top"/>
    </xf>
    <xf numFmtId="0" fontId="1" fillId="35" borderId="1" xfId="45" applyFont="1" applyFill="1" applyBorder="1" applyAlignment="1" applyProtection="1">
      <alignment vertical="top" wrapText="1"/>
    </xf>
    <xf numFmtId="1" fontId="1" fillId="35" borderId="1" xfId="0" applyNumberFormat="1" applyFont="1" applyFill="1" applyBorder="1" applyAlignment="1">
      <alignment horizontal="center" vertical="top"/>
    </xf>
    <xf numFmtId="0" fontId="1" fillId="35" borderId="1" xfId="0" applyFont="1" applyFill="1" applyBorder="1" applyAlignment="1">
      <alignment horizontal="center" vertical="center" wrapText="1"/>
    </xf>
    <xf numFmtId="0" fontId="1" fillId="35" borderId="1" xfId="45" applyFont="1" applyFill="1" applyBorder="1" applyAlignment="1">
      <alignment horizontal="left" vertical="top" wrapText="1"/>
    </xf>
    <xf numFmtId="0" fontId="1" fillId="35" borderId="1" xfId="0" applyFont="1" applyFill="1" applyBorder="1" applyAlignment="1">
      <alignment horizontal="left" vertical="top" wrapText="1"/>
    </xf>
    <xf numFmtId="0" fontId="1" fillId="35" borderId="1" xfId="0" applyFont="1" applyFill="1" applyBorder="1" applyAlignment="1">
      <alignment horizontal="left" vertical="top"/>
    </xf>
    <xf numFmtId="2" fontId="1" fillId="35" borderId="1" xfId="0" applyNumberFormat="1" applyFont="1" applyFill="1" applyBorder="1" applyAlignment="1">
      <alignment horizontal="center" vertical="top"/>
    </xf>
    <xf numFmtId="168" fontId="1" fillId="34" borderId="1" xfId="41" applyNumberFormat="1" applyFont="1" applyFill="1" applyBorder="1" applyAlignment="1" applyProtection="1">
      <alignment horizontal="center"/>
      <protection locked="0"/>
    </xf>
    <xf numFmtId="168" fontId="6" fillId="34" borderId="1" xfId="41" applyNumberFormat="1" applyFont="1" applyFill="1" applyBorder="1" applyAlignment="1" applyProtection="1">
      <alignment horizontal="center"/>
      <protection locked="0"/>
    </xf>
    <xf numFmtId="11" fontId="1" fillId="37" borderId="38" xfId="0" applyNumberFormat="1" applyFont="1" applyFill="1" applyBorder="1" applyAlignment="1" applyProtection="1">
      <alignment horizontal="center" vertical="top"/>
    </xf>
    <xf numFmtId="11" fontId="1" fillId="37" borderId="14" xfId="0" applyNumberFormat="1" applyFont="1" applyFill="1" applyBorder="1" applyAlignment="1" applyProtection="1">
      <alignment horizontal="center" vertical="top"/>
    </xf>
    <xf numFmtId="0" fontId="4" fillId="0" borderId="43" xfId="0" applyFont="1" applyBorder="1"/>
    <xf numFmtId="0" fontId="4" fillId="0" borderId="44" xfId="0" applyFont="1" applyBorder="1"/>
    <xf numFmtId="0" fontId="1" fillId="0" borderId="30" xfId="0" applyFont="1" applyFill="1" applyBorder="1"/>
    <xf numFmtId="49" fontId="4" fillId="0" borderId="1" xfId="0" applyNumberFormat="1" applyFont="1" applyFill="1" applyBorder="1" applyAlignment="1">
      <alignment horizontal="center"/>
    </xf>
    <xf numFmtId="166" fontId="4" fillId="0" borderId="1" xfId="0" applyNumberFormat="1" applyFont="1" applyBorder="1" applyAlignment="1">
      <alignment horizontal="center"/>
    </xf>
    <xf numFmtId="166" fontId="4" fillId="0" borderId="45" xfId="0" applyNumberFormat="1" applyFont="1" applyBorder="1" applyAlignment="1">
      <alignment horizontal="center"/>
    </xf>
    <xf numFmtId="166" fontId="4" fillId="0" borderId="0" xfId="0" applyNumberFormat="1" applyFont="1" applyBorder="1" applyAlignment="1">
      <alignment horizontal="center"/>
    </xf>
    <xf numFmtId="0" fontId="2" fillId="0" borderId="0" xfId="0" applyFont="1" applyBorder="1" applyAlignment="1">
      <alignment horizontal="center"/>
    </xf>
    <xf numFmtId="1" fontId="66" fillId="0" borderId="1" xfId="0" applyNumberFormat="1" applyFont="1" applyBorder="1" applyAlignment="1">
      <alignment horizontal="center"/>
    </xf>
    <xf numFmtId="165" fontId="4" fillId="0" borderId="1" xfId="0" applyNumberFormat="1" applyFont="1" applyBorder="1" applyAlignment="1">
      <alignment horizontal="center"/>
    </xf>
    <xf numFmtId="0" fontId="4" fillId="0" borderId="0" xfId="0" applyFont="1" applyFill="1" applyAlignment="1">
      <alignment horizontal="left"/>
    </xf>
    <xf numFmtId="0" fontId="67" fillId="0" borderId="0" xfId="0" applyFont="1"/>
    <xf numFmtId="11" fontId="1" fillId="0" borderId="30" xfId="0" applyNumberFormat="1" applyFont="1" applyFill="1" applyBorder="1" applyAlignment="1">
      <alignment horizontal="center" vertical="center"/>
    </xf>
    <xf numFmtId="11" fontId="10" fillId="0" borderId="1" xfId="0" applyNumberFormat="1" applyFont="1" applyBorder="1" applyAlignment="1">
      <alignment horizontal="center" vertical="center"/>
    </xf>
    <xf numFmtId="11" fontId="1" fillId="0" borderId="1" xfId="0" applyNumberFormat="1" applyFont="1" applyFill="1" applyBorder="1" applyAlignment="1">
      <alignment horizontal="center" vertical="center"/>
    </xf>
    <xf numFmtId="11" fontId="1" fillId="0" borderId="14" xfId="0" applyNumberFormat="1" applyFont="1" applyFill="1" applyBorder="1" applyAlignment="1">
      <alignment horizontal="center" vertical="center"/>
    </xf>
    <xf numFmtId="11" fontId="1" fillId="0" borderId="32" xfId="0" applyNumberFormat="1" applyFont="1" applyBorder="1" applyAlignment="1">
      <alignment horizontal="center" vertical="center"/>
    </xf>
    <xf numFmtId="2" fontId="1" fillId="0" borderId="32" xfId="0" applyNumberFormat="1" applyFont="1" applyBorder="1" applyAlignment="1">
      <alignment horizontal="center" vertical="center"/>
    </xf>
    <xf numFmtId="0" fontId="1" fillId="0" borderId="18" xfId="0" applyFont="1" applyBorder="1" applyAlignment="1">
      <alignment vertical="center"/>
    </xf>
    <xf numFmtId="0" fontId="10" fillId="0" borderId="0" xfId="0" applyFont="1" applyAlignment="1">
      <alignment vertical="center"/>
    </xf>
    <xf numFmtId="0" fontId="1" fillId="0" borderId="18" xfId="0" applyFont="1" applyBorder="1" applyAlignment="1">
      <alignment vertical="center" wrapText="1"/>
    </xf>
    <xf numFmtId="0" fontId="1" fillId="0" borderId="0" xfId="0" applyFont="1" applyAlignment="1">
      <alignment vertical="center"/>
    </xf>
    <xf numFmtId="11" fontId="6" fillId="0" borderId="46" xfId="0" applyNumberFormat="1" applyFont="1" applyBorder="1" applyAlignment="1">
      <alignment horizontal="center" vertical="center" wrapText="1"/>
    </xf>
    <xf numFmtId="1" fontId="6" fillId="0" borderId="21" xfId="0" applyNumberFormat="1" applyFont="1" applyBorder="1" applyAlignment="1">
      <alignment horizontal="center" vertical="center" wrapText="1"/>
    </xf>
    <xf numFmtId="1" fontId="1" fillId="0" borderId="34" xfId="0" applyNumberFormat="1" applyFont="1" applyBorder="1" applyAlignment="1">
      <alignment horizontal="center" vertical="center"/>
    </xf>
    <xf numFmtId="0" fontId="17" fillId="35" borderId="0" xfId="0" applyFont="1" applyFill="1"/>
    <xf numFmtId="0" fontId="6" fillId="35" borderId="0" xfId="0" applyNumberFormat="1" applyFont="1" applyFill="1" applyAlignment="1">
      <alignment horizontal="center"/>
    </xf>
    <xf numFmtId="0" fontId="1" fillId="35" borderId="0" xfId="0" applyFont="1" applyFill="1"/>
    <xf numFmtId="0" fontId="17" fillId="35" borderId="45" xfId="0" applyFont="1" applyFill="1" applyBorder="1" applyAlignment="1"/>
    <xf numFmtId="0" fontId="1" fillId="35" borderId="38" xfId="0" applyNumberFormat="1" applyFont="1" applyFill="1" applyBorder="1" applyAlignment="1">
      <alignment horizontal="center" vertical="center"/>
    </xf>
    <xf numFmtId="0" fontId="1" fillId="35" borderId="0" xfId="0" applyFont="1" applyFill="1" applyBorder="1" applyAlignment="1">
      <alignment horizontal="center" vertical="center"/>
    </xf>
    <xf numFmtId="11" fontId="1" fillId="35" borderId="38" xfId="0" applyNumberFormat="1" applyFont="1" applyFill="1" applyBorder="1" applyAlignment="1">
      <alignment horizontal="center" vertical="center"/>
    </xf>
    <xf numFmtId="0" fontId="17" fillId="35" borderId="47" xfId="0" applyFont="1" applyFill="1" applyBorder="1" applyAlignment="1"/>
    <xf numFmtId="0" fontId="1" fillId="35" borderId="42" xfId="0" applyNumberFormat="1" applyFont="1" applyFill="1" applyBorder="1" applyAlignment="1">
      <alignment horizontal="center" vertical="center"/>
    </xf>
    <xf numFmtId="0" fontId="1" fillId="35" borderId="41" xfId="0" applyNumberFormat="1" applyFont="1" applyFill="1" applyBorder="1" applyAlignment="1">
      <alignment horizontal="center" vertical="center"/>
    </xf>
    <xf numFmtId="0" fontId="1" fillId="35" borderId="42" xfId="0" applyFont="1" applyFill="1" applyBorder="1" applyAlignment="1">
      <alignment horizontal="center" vertical="center"/>
    </xf>
    <xf numFmtId="0" fontId="17" fillId="35" borderId="47" xfId="0" applyFont="1" applyFill="1" applyBorder="1"/>
    <xf numFmtId="0" fontId="1" fillId="35" borderId="48" xfId="0" applyFont="1" applyFill="1" applyBorder="1" applyAlignment="1">
      <alignment horizontal="center" vertical="center"/>
    </xf>
    <xf numFmtId="0" fontId="6" fillId="35" borderId="42" xfId="0" applyNumberFormat="1" applyFont="1" applyFill="1" applyBorder="1" applyAlignment="1">
      <alignment horizontal="center"/>
    </xf>
    <xf numFmtId="0" fontId="6" fillId="35" borderId="41" xfId="0" applyNumberFormat="1" applyFont="1" applyFill="1" applyBorder="1" applyAlignment="1">
      <alignment horizontal="center"/>
    </xf>
    <xf numFmtId="0" fontId="1" fillId="35" borderId="42" xfId="0" applyFont="1" applyFill="1" applyBorder="1"/>
    <xf numFmtId="11" fontId="10" fillId="35" borderId="38" xfId="0" applyNumberFormat="1" applyFont="1" applyFill="1" applyBorder="1" applyAlignment="1">
      <alignment horizontal="center"/>
    </xf>
    <xf numFmtId="11" fontId="1" fillId="35" borderId="38" xfId="0" applyNumberFormat="1" applyFont="1" applyFill="1" applyBorder="1" applyAlignment="1">
      <alignment horizontal="center"/>
    </xf>
    <xf numFmtId="2" fontId="1" fillId="35" borderId="38" xfId="0" applyNumberFormat="1" applyFont="1" applyFill="1" applyBorder="1" applyAlignment="1">
      <alignment horizontal="center"/>
    </xf>
    <xf numFmtId="0" fontId="1" fillId="35" borderId="38" xfId="0" applyFont="1" applyFill="1" applyBorder="1" applyAlignment="1">
      <alignment horizontal="center"/>
    </xf>
    <xf numFmtId="0" fontId="1" fillId="35" borderId="38" xfId="0" applyFont="1" applyFill="1" applyBorder="1" applyAlignment="1">
      <alignment horizontal="center" vertical="center"/>
    </xf>
    <xf numFmtId="0" fontId="1" fillId="35" borderId="49" xfId="0" applyFont="1" applyFill="1" applyBorder="1"/>
    <xf numFmtId="0" fontId="1" fillId="35" borderId="48" xfId="0" applyFont="1" applyFill="1" applyBorder="1"/>
    <xf numFmtId="0" fontId="17" fillId="35" borderId="33" xfId="0" applyFont="1" applyFill="1" applyBorder="1"/>
    <xf numFmtId="0" fontId="17" fillId="35" borderId="33" xfId="0" applyFont="1" applyFill="1" applyBorder="1" applyAlignment="1"/>
    <xf numFmtId="0" fontId="17" fillId="35" borderId="0" xfId="41" applyFont="1" applyFill="1" applyAlignment="1">
      <alignment vertical="center"/>
    </xf>
    <xf numFmtId="11" fontId="10" fillId="35" borderId="38" xfId="0" applyNumberFormat="1" applyFont="1" applyFill="1" applyBorder="1" applyAlignment="1">
      <alignment horizontal="center" vertical="center"/>
    </xf>
    <xf numFmtId="11" fontId="0" fillId="35" borderId="38" xfId="0" applyNumberFormat="1" applyFill="1" applyBorder="1" applyAlignment="1">
      <alignment vertical="center"/>
    </xf>
    <xf numFmtId="1" fontId="0" fillId="35" borderId="38" xfId="0" applyNumberFormat="1" applyFill="1" applyBorder="1" applyAlignment="1">
      <alignment vertical="center"/>
    </xf>
    <xf numFmtId="2" fontId="1" fillId="35" borderId="38" xfId="0" applyNumberFormat="1" applyFont="1" applyFill="1" applyBorder="1" applyAlignment="1">
      <alignment horizontal="center" vertical="center"/>
    </xf>
    <xf numFmtId="0" fontId="1" fillId="35" borderId="49" xfId="0" applyFont="1" applyFill="1" applyBorder="1" applyAlignment="1">
      <alignment vertical="center"/>
    </xf>
    <xf numFmtId="0" fontId="6" fillId="0" borderId="0" xfId="0" applyFont="1" applyAlignment="1">
      <alignment horizontal="center" vertical="center"/>
    </xf>
    <xf numFmtId="0" fontId="1" fillId="0" borderId="18" xfId="0" applyFont="1" applyFill="1" applyBorder="1" applyAlignment="1">
      <alignment vertical="center" wrapText="1"/>
    </xf>
    <xf numFmtId="0" fontId="1" fillId="0" borderId="18" xfId="0" applyFont="1" applyFill="1" applyBorder="1" applyAlignment="1">
      <alignment vertical="center"/>
    </xf>
    <xf numFmtId="0" fontId="9" fillId="0" borderId="18" xfId="0" applyFont="1" applyFill="1" applyBorder="1" applyAlignment="1">
      <alignment vertical="center"/>
    </xf>
    <xf numFmtId="0" fontId="1" fillId="0" borderId="18" xfId="45" applyFont="1" applyFill="1" applyBorder="1" applyAlignment="1">
      <alignment vertical="center"/>
    </xf>
    <xf numFmtId="11" fontId="10" fillId="0" borderId="1" xfId="0" applyNumberFormat="1" applyFont="1" applyFill="1" applyBorder="1" applyAlignment="1">
      <alignment horizontal="center" vertical="center"/>
    </xf>
    <xf numFmtId="11" fontId="1" fillId="0" borderId="33" xfId="0" applyNumberFormat="1" applyFont="1" applyFill="1" applyBorder="1" applyAlignment="1">
      <alignment horizontal="center" vertical="center"/>
    </xf>
    <xf numFmtId="11" fontId="1" fillId="0" borderId="32" xfId="0" applyNumberFormat="1" applyFont="1" applyFill="1" applyBorder="1" applyAlignment="1">
      <alignment horizontal="center" vertical="center"/>
    </xf>
    <xf numFmtId="11" fontId="1" fillId="0" borderId="34" xfId="0" applyNumberFormat="1" applyFont="1" applyFill="1" applyBorder="1" applyAlignment="1">
      <alignment horizontal="center" vertical="center"/>
    </xf>
    <xf numFmtId="0" fontId="10" fillId="0" borderId="0" xfId="0" applyFont="1" applyFill="1" applyAlignment="1">
      <alignment vertical="center"/>
    </xf>
    <xf numFmtId="0" fontId="10" fillId="0" borderId="0" xfId="0" applyFont="1" applyFill="1" applyAlignment="1">
      <alignment horizontal="left" vertical="center"/>
    </xf>
    <xf numFmtId="0" fontId="10" fillId="0" borderId="37" xfId="0" applyFont="1" applyBorder="1" applyAlignment="1">
      <alignment vertical="center"/>
    </xf>
    <xf numFmtId="1" fontId="1" fillId="35" borderId="38" xfId="0" applyNumberFormat="1" applyFont="1" applyFill="1" applyBorder="1" applyAlignment="1">
      <alignment horizontal="center" vertical="center"/>
    </xf>
    <xf numFmtId="0" fontId="19" fillId="0" borderId="18" xfId="0" applyFont="1" applyFill="1" applyBorder="1" applyAlignment="1">
      <alignment vertical="center"/>
    </xf>
    <xf numFmtId="11" fontId="1" fillId="33" borderId="33" xfId="0" applyNumberFormat="1" applyFont="1" applyFill="1" applyBorder="1" applyAlignment="1">
      <alignment horizontal="center" vertical="center"/>
    </xf>
    <xf numFmtId="0" fontId="1" fillId="0" borderId="35" xfId="0" applyFont="1" applyBorder="1" applyAlignment="1">
      <alignment vertical="center"/>
    </xf>
    <xf numFmtId="0" fontId="1" fillId="0" borderId="18" xfId="0" applyFont="1" applyFill="1" applyBorder="1" applyAlignment="1">
      <alignment horizontal="left" vertical="center"/>
    </xf>
    <xf numFmtId="164" fontId="1" fillId="0" borderId="0" xfId="0" applyNumberFormat="1" applyFont="1" applyAlignment="1">
      <alignment horizontal="left" vertical="center"/>
    </xf>
    <xf numFmtId="0" fontId="10" fillId="0" borderId="0" xfId="0" applyNumberFormat="1" applyFont="1" applyAlignment="1">
      <alignment horizontal="center" vertical="center"/>
    </xf>
    <xf numFmtId="0" fontId="10" fillId="0" borderId="0" xfId="0" applyFont="1" applyAlignment="1">
      <alignment horizontal="center" vertical="center"/>
    </xf>
    <xf numFmtId="11" fontId="10" fillId="0" borderId="0" xfId="0" applyNumberFormat="1" applyFont="1" applyAlignment="1">
      <alignment horizontal="center" vertical="center"/>
    </xf>
    <xf numFmtId="11" fontId="1" fillId="0" borderId="0" xfId="0" applyNumberFormat="1" applyFont="1" applyAlignment="1">
      <alignment vertical="center"/>
    </xf>
    <xf numFmtId="11" fontId="1" fillId="0" borderId="0" xfId="0" applyNumberFormat="1" applyFont="1" applyFill="1" applyAlignment="1">
      <alignment horizontal="center" vertical="center"/>
    </xf>
    <xf numFmtId="11" fontId="0" fillId="0" borderId="0" xfId="0" applyNumberFormat="1" applyFill="1" applyAlignment="1">
      <alignment vertical="center"/>
    </xf>
    <xf numFmtId="0" fontId="0" fillId="0" borderId="0" xfId="0" applyAlignment="1">
      <alignment vertical="center"/>
    </xf>
    <xf numFmtId="11" fontId="0" fillId="0" borderId="0" xfId="0" applyNumberFormat="1" applyAlignment="1">
      <alignment vertical="center"/>
    </xf>
    <xf numFmtId="1" fontId="0" fillId="0" borderId="0" xfId="0" applyNumberFormat="1" applyAlignment="1">
      <alignment vertical="center"/>
    </xf>
    <xf numFmtId="1" fontId="1" fillId="0" borderId="0" xfId="0" applyNumberFormat="1" applyFont="1" applyAlignment="1">
      <alignment horizontal="center" vertical="center"/>
    </xf>
    <xf numFmtId="0" fontId="1" fillId="0" borderId="0" xfId="0" applyFont="1" applyFill="1" applyAlignment="1">
      <alignment horizontal="center" vertical="center"/>
    </xf>
    <xf numFmtId="164" fontId="6" fillId="0" borderId="0" xfId="0" applyNumberFormat="1" applyFont="1" applyAlignment="1">
      <alignment horizontal="left" vertical="center"/>
    </xf>
    <xf numFmtId="11" fontId="10" fillId="0" borderId="0" xfId="0" applyNumberFormat="1" applyFont="1" applyFill="1" applyAlignment="1">
      <alignment vertical="center"/>
    </xf>
    <xf numFmtId="0" fontId="16" fillId="0" borderId="0" xfId="0" applyFont="1" applyAlignment="1">
      <alignment vertical="center"/>
    </xf>
    <xf numFmtId="11" fontId="16" fillId="0" borderId="0" xfId="0" applyNumberFormat="1" applyFont="1" applyAlignment="1">
      <alignment vertical="center"/>
    </xf>
    <xf numFmtId="1" fontId="16" fillId="0" borderId="0" xfId="0" applyNumberFormat="1" applyFont="1" applyAlignment="1">
      <alignment vertical="center"/>
    </xf>
    <xf numFmtId="1" fontId="16" fillId="0" borderId="0" xfId="0" applyNumberFormat="1" applyFont="1" applyAlignment="1">
      <alignment horizontal="center" vertical="center"/>
    </xf>
    <xf numFmtId="0" fontId="1" fillId="0" borderId="0" xfId="39" applyFont="1" applyFill="1" applyAlignment="1"/>
    <xf numFmtId="1" fontId="66" fillId="0" borderId="0" xfId="0" applyNumberFormat="1" applyFont="1" applyBorder="1" applyAlignment="1">
      <alignment horizontal="center"/>
    </xf>
    <xf numFmtId="165" fontId="4" fillId="0" borderId="0" xfId="0" applyNumberFormat="1" applyFont="1" applyBorder="1" applyAlignment="1">
      <alignment horizontal="center"/>
    </xf>
    <xf numFmtId="0" fontId="68" fillId="0" borderId="45" xfId="0" applyFont="1" applyBorder="1" applyAlignment="1">
      <alignment horizontal="center" vertical="center" wrapText="1"/>
    </xf>
    <xf numFmtId="0" fontId="2" fillId="0" borderId="0" xfId="0" applyFont="1" applyFill="1" applyBorder="1" applyAlignment="1">
      <alignment horizontal="left"/>
    </xf>
    <xf numFmtId="165" fontId="4" fillId="0" borderId="1" xfId="0" applyNumberFormat="1" applyFont="1" applyFill="1" applyBorder="1" applyAlignment="1">
      <alignment horizontal="center"/>
    </xf>
    <xf numFmtId="0" fontId="4" fillId="0" borderId="0" xfId="0" applyFont="1" applyFill="1"/>
    <xf numFmtId="0" fontId="4" fillId="0" borderId="0" xfId="0" applyFont="1" applyFill="1" applyAlignment="1">
      <alignment horizontal="center"/>
    </xf>
    <xf numFmtId="0" fontId="66" fillId="0" borderId="0" xfId="0" applyFont="1" applyBorder="1" applyAlignment="1">
      <alignment horizontal="left"/>
    </xf>
    <xf numFmtId="166" fontId="69" fillId="0" borderId="0" xfId="0" applyNumberFormat="1" applyFont="1" applyBorder="1" applyAlignment="1">
      <alignment horizontal="center"/>
    </xf>
    <xf numFmtId="1" fontId="68" fillId="0" borderId="0" xfId="0" applyNumberFormat="1" applyFont="1" applyBorder="1" applyAlignment="1">
      <alignment horizontal="center"/>
    </xf>
    <xf numFmtId="0" fontId="66" fillId="0" borderId="45" xfId="0" applyFont="1" applyBorder="1" applyAlignment="1">
      <alignment horizontal="center" vertical="center" wrapText="1"/>
    </xf>
    <xf numFmtId="1" fontId="66" fillId="0" borderId="45" xfId="0" applyNumberFormat="1" applyFont="1" applyBorder="1" applyAlignment="1">
      <alignment horizontal="center"/>
    </xf>
    <xf numFmtId="1" fontId="4" fillId="0" borderId="1" xfId="0" applyNumberFormat="1" applyFont="1" applyFill="1" applyBorder="1" applyAlignment="1">
      <alignment horizontal="center"/>
    </xf>
    <xf numFmtId="1" fontId="4" fillId="0" borderId="0" xfId="0" applyNumberFormat="1" applyFont="1" applyBorder="1" applyAlignment="1">
      <alignment horizontal="center"/>
    </xf>
    <xf numFmtId="49" fontId="4" fillId="0" borderId="50" xfId="0" applyNumberFormat="1" applyFont="1" applyBorder="1" applyAlignment="1">
      <alignment horizontal="center"/>
    </xf>
    <xf numFmtId="0" fontId="4" fillId="0" borderId="50" xfId="0" applyFont="1" applyBorder="1" applyAlignment="1">
      <alignment horizontal="center"/>
    </xf>
    <xf numFmtId="165" fontId="69" fillId="0" borderId="1" xfId="0" applyNumberFormat="1" applyFont="1" applyBorder="1" applyAlignment="1">
      <alignment horizontal="center"/>
    </xf>
    <xf numFmtId="0" fontId="4" fillId="0" borderId="0" xfId="0" applyFont="1" applyBorder="1" applyAlignment="1">
      <alignment horizontal="left"/>
    </xf>
    <xf numFmtId="165" fontId="69" fillId="0" borderId="0" xfId="0" applyNumberFormat="1" applyFont="1" applyBorder="1" applyAlignment="1">
      <alignment horizontal="center"/>
    </xf>
    <xf numFmtId="0" fontId="2" fillId="0" borderId="45" xfId="0" applyFont="1" applyBorder="1" applyAlignment="1">
      <alignment horizontal="center" vertical="center" wrapText="1"/>
    </xf>
    <xf numFmtId="49" fontId="4" fillId="0" borderId="8" xfId="0" applyNumberFormat="1" applyFont="1" applyFill="1" applyBorder="1" applyAlignment="1">
      <alignment horizontal="center"/>
    </xf>
    <xf numFmtId="49" fontId="4" fillId="0" borderId="16" xfId="0" applyNumberFormat="1" applyFont="1" applyBorder="1" applyAlignment="1">
      <alignment horizontal="center"/>
    </xf>
    <xf numFmtId="0" fontId="4" fillId="0" borderId="1" xfId="0" applyFont="1" applyBorder="1"/>
    <xf numFmtId="2" fontId="4" fillId="0" borderId="1" xfId="0" applyNumberFormat="1" applyFont="1" applyBorder="1" applyAlignment="1">
      <alignment horizontal="center"/>
    </xf>
    <xf numFmtId="2" fontId="4" fillId="0" borderId="1" xfId="0" applyNumberFormat="1" applyFont="1" applyFill="1" applyBorder="1" applyAlignment="1">
      <alignment horizontal="center"/>
    </xf>
    <xf numFmtId="0" fontId="4" fillId="0" borderId="45" xfId="0" applyFont="1" applyBorder="1" applyAlignment="1">
      <alignment horizontal="center" vertical="center"/>
    </xf>
    <xf numFmtId="0" fontId="70" fillId="0" borderId="0" xfId="0" applyFont="1"/>
    <xf numFmtId="0" fontId="2" fillId="0" borderId="0" xfId="0" applyFont="1"/>
    <xf numFmtId="0" fontId="71" fillId="0" borderId="0" xfId="0" applyFont="1"/>
    <xf numFmtId="0" fontId="71" fillId="0" borderId="1" xfId="0" applyFont="1" applyBorder="1" applyAlignment="1">
      <alignment horizontal="center" vertical="center"/>
    </xf>
    <xf numFmtId="0" fontId="71" fillId="0" borderId="1" xfId="0" applyFont="1" applyBorder="1" applyAlignment="1">
      <alignment horizontal="center" wrapText="1"/>
    </xf>
    <xf numFmtId="0" fontId="71" fillId="0" borderId="0" xfId="0" applyFont="1" applyBorder="1" applyAlignment="1">
      <alignment horizontal="center"/>
    </xf>
    <xf numFmtId="0" fontId="66" fillId="0" borderId="0" xfId="0" applyFont="1" applyFill="1" applyAlignment="1">
      <alignment horizontal="left"/>
    </xf>
    <xf numFmtId="0" fontId="4" fillId="38" borderId="38" xfId="0" applyFont="1" applyFill="1" applyBorder="1" applyAlignment="1"/>
    <xf numFmtId="0" fontId="4" fillId="38" borderId="14" xfId="0" applyFont="1" applyFill="1" applyBorder="1" applyAlignment="1"/>
    <xf numFmtId="0" fontId="4" fillId="39" borderId="38" xfId="0" applyFont="1" applyFill="1" applyBorder="1" applyAlignment="1"/>
    <xf numFmtId="0" fontId="4" fillId="39" borderId="14" xfId="0" applyFont="1" applyFill="1" applyBorder="1" applyAlignment="1"/>
    <xf numFmtId="0" fontId="4" fillId="40" borderId="38" xfId="0" applyFont="1" applyFill="1" applyBorder="1" applyAlignment="1"/>
    <xf numFmtId="0" fontId="4" fillId="40" borderId="14" xfId="0" applyFont="1" applyFill="1" applyBorder="1" applyAlignment="1"/>
    <xf numFmtId="0" fontId="4" fillId="41" borderId="38" xfId="0" applyFont="1" applyFill="1" applyBorder="1" applyAlignment="1"/>
    <xf numFmtId="0" fontId="4" fillId="41" borderId="14" xfId="0" applyFont="1" applyFill="1" applyBorder="1" applyAlignment="1"/>
    <xf numFmtId="0" fontId="4" fillId="42" borderId="38" xfId="0" applyFont="1" applyFill="1" applyBorder="1" applyAlignment="1"/>
    <xf numFmtId="0" fontId="4" fillId="42" borderId="14" xfId="0" applyFont="1" applyFill="1" applyBorder="1" applyAlignment="1"/>
    <xf numFmtId="0" fontId="4" fillId="0" borderId="1" xfId="0" applyFont="1" applyFill="1" applyBorder="1"/>
    <xf numFmtId="2" fontId="4" fillId="0" borderId="0" xfId="0" applyNumberFormat="1" applyFont="1" applyBorder="1" applyAlignment="1">
      <alignment horizontal="center"/>
    </xf>
    <xf numFmtId="2" fontId="4" fillId="38" borderId="1" xfId="0" applyNumberFormat="1" applyFont="1" applyFill="1" applyBorder="1" applyAlignment="1">
      <alignment horizontal="center"/>
    </xf>
    <xf numFmtId="2" fontId="4" fillId="39" borderId="1" xfId="0" applyNumberFormat="1" applyFont="1" applyFill="1" applyBorder="1" applyAlignment="1">
      <alignment horizontal="center"/>
    </xf>
    <xf numFmtId="2" fontId="4" fillId="40" borderId="1" xfId="0" applyNumberFormat="1" applyFont="1" applyFill="1" applyBorder="1" applyAlignment="1">
      <alignment horizontal="center"/>
    </xf>
    <xf numFmtId="2" fontId="4" fillId="41" borderId="1" xfId="0" applyNumberFormat="1" applyFont="1" applyFill="1" applyBorder="1" applyAlignment="1">
      <alignment horizontal="center"/>
    </xf>
    <xf numFmtId="2" fontId="4" fillId="42" borderId="1" xfId="0" applyNumberFormat="1" applyFont="1" applyFill="1" applyBorder="1" applyAlignment="1">
      <alignment horizontal="center"/>
    </xf>
    <xf numFmtId="0" fontId="4" fillId="0" borderId="0" xfId="0" applyFont="1" applyAlignment="1">
      <alignment horizontal="left"/>
    </xf>
    <xf numFmtId="0" fontId="69" fillId="0" borderId="45" xfId="0" applyFont="1" applyBorder="1" applyAlignment="1">
      <alignment wrapText="1"/>
    </xf>
    <xf numFmtId="0" fontId="69" fillId="38" borderId="33" xfId="0" applyFont="1" applyFill="1" applyBorder="1" applyAlignment="1"/>
    <xf numFmtId="0" fontId="69" fillId="39" borderId="33" xfId="0" applyFont="1" applyFill="1" applyBorder="1" applyAlignment="1"/>
    <xf numFmtId="0" fontId="69" fillId="40" borderId="33" xfId="0" applyFont="1" applyFill="1" applyBorder="1" applyAlignment="1"/>
    <xf numFmtId="0" fontId="69" fillId="41" borderId="33" xfId="0" applyFont="1" applyFill="1" applyBorder="1" applyAlignment="1"/>
    <xf numFmtId="0" fontId="69" fillId="42" borderId="33" xfId="0" applyFont="1" applyFill="1" applyBorder="1" applyAlignment="1"/>
    <xf numFmtId="0" fontId="72" fillId="0" borderId="45" xfId="0" applyFont="1" applyBorder="1" applyAlignment="1">
      <alignment horizontal="center" vertical="center"/>
    </xf>
    <xf numFmtId="0" fontId="71" fillId="0" borderId="1" xfId="0" applyFont="1" applyBorder="1"/>
    <xf numFmtId="0" fontId="71" fillId="0" borderId="1" xfId="0" applyFont="1" applyBorder="1" applyAlignment="1">
      <alignment horizontal="center"/>
    </xf>
    <xf numFmtId="0" fontId="68" fillId="0" borderId="45" xfId="0" applyFont="1" applyFill="1" applyBorder="1" applyAlignment="1">
      <alignment horizontal="center"/>
    </xf>
    <xf numFmtId="0" fontId="68" fillId="0" borderId="0" xfId="0" applyFont="1" applyFill="1" applyBorder="1" applyAlignment="1">
      <alignment horizontal="center"/>
    </xf>
    <xf numFmtId="2" fontId="69" fillId="0" borderId="45" xfId="0" applyNumberFormat="1" applyFont="1" applyFill="1" applyBorder="1" applyAlignment="1">
      <alignment horizontal="center"/>
    </xf>
    <xf numFmtId="2" fontId="69" fillId="0" borderId="0" xfId="0" applyNumberFormat="1" applyFont="1" applyFill="1" applyBorder="1" applyAlignment="1">
      <alignment horizontal="center"/>
    </xf>
    <xf numFmtId="49" fontId="12" fillId="0" borderId="0" xfId="0" applyNumberFormat="1" applyFont="1" applyAlignment="1">
      <alignment horizontal="left"/>
    </xf>
    <xf numFmtId="0" fontId="63" fillId="0" borderId="30" xfId="0" applyFont="1" applyFill="1" applyBorder="1" applyAlignment="1"/>
    <xf numFmtId="0" fontId="1" fillId="0" borderId="1" xfId="0" applyFont="1" applyFill="1" applyBorder="1" applyAlignment="1">
      <alignment horizontal="center" wrapText="1"/>
    </xf>
    <xf numFmtId="0" fontId="17" fillId="35" borderId="0" xfId="0" applyFont="1" applyFill="1" applyAlignment="1">
      <alignment horizontal="center"/>
    </xf>
    <xf numFmtId="0" fontId="17" fillId="35" borderId="37" xfId="0" applyFont="1" applyFill="1" applyBorder="1" applyAlignment="1">
      <alignment horizontal="center"/>
    </xf>
    <xf numFmtId="0" fontId="6" fillId="0" borderId="0" xfId="0" applyFont="1" applyFill="1" applyAlignment="1">
      <alignment horizontal="center" wrapText="1"/>
    </xf>
    <xf numFmtId="0" fontId="1" fillId="0" borderId="0" xfId="39" applyFont="1" applyFill="1" applyAlignment="1">
      <alignment horizontal="center"/>
    </xf>
    <xf numFmtId="0" fontId="1" fillId="0" borderId="0" xfId="0" applyFont="1" applyFill="1" applyAlignment="1">
      <alignment horizontal="center" wrapText="1"/>
    </xf>
    <xf numFmtId="0" fontId="6" fillId="0" borderId="0" xfId="0" applyFont="1" applyFill="1" applyBorder="1" applyAlignment="1">
      <alignment horizontal="center"/>
    </xf>
    <xf numFmtId="0" fontId="6" fillId="0" borderId="0" xfId="0" applyFont="1" applyFill="1" applyAlignment="1">
      <alignment horizontal="center"/>
    </xf>
    <xf numFmtId="0" fontId="6" fillId="38" borderId="1" xfId="0" applyFont="1" applyFill="1" applyBorder="1" applyAlignment="1">
      <alignment horizontal="center" wrapText="1"/>
    </xf>
    <xf numFmtId="0" fontId="1" fillId="35" borderId="8" xfId="0" applyFont="1" applyFill="1" applyBorder="1" applyAlignment="1">
      <alignment horizontal="center" vertical="center"/>
    </xf>
    <xf numFmtId="0" fontId="73" fillId="0" borderId="1" xfId="41" applyFont="1" applyBorder="1"/>
    <xf numFmtId="0" fontId="1" fillId="43" borderId="1" xfId="0" applyNumberFormat="1" applyFont="1" applyFill="1" applyBorder="1" applyAlignment="1">
      <alignment horizontal="center" vertical="center"/>
    </xf>
    <xf numFmtId="0" fontId="63" fillId="43" borderId="1" xfId="0" applyFont="1" applyFill="1" applyBorder="1" applyAlignment="1">
      <alignment wrapText="1"/>
    </xf>
    <xf numFmtId="0" fontId="1" fillId="43" borderId="1" xfId="0" applyFont="1" applyFill="1" applyBorder="1" applyAlignment="1">
      <alignment wrapText="1"/>
    </xf>
    <xf numFmtId="0" fontId="1" fillId="43" borderId="1" xfId="0" applyFont="1" applyFill="1" applyBorder="1" applyAlignment="1"/>
    <xf numFmtId="0" fontId="1" fillId="43" borderId="14" xfId="0" applyNumberFormat="1" applyFont="1" applyFill="1" applyBorder="1" applyAlignment="1">
      <alignment horizontal="center" vertical="center"/>
    </xf>
    <xf numFmtId="0" fontId="1" fillId="43" borderId="30" xfId="0" applyFont="1" applyFill="1" applyBorder="1" applyAlignment="1"/>
    <xf numFmtId="0" fontId="6" fillId="43" borderId="1" xfId="0" applyFont="1" applyFill="1" applyBorder="1" applyAlignment="1">
      <alignment horizontal="center" wrapText="1"/>
    </xf>
    <xf numFmtId="0" fontId="4" fillId="0" borderId="8" xfId="0" applyFont="1" applyBorder="1" applyAlignment="1">
      <alignment horizontal="center" vertical="center"/>
    </xf>
    <xf numFmtId="0" fontId="4" fillId="0" borderId="7" xfId="0" applyFont="1" applyBorder="1" applyAlignment="1">
      <alignment vertical="center"/>
    </xf>
    <xf numFmtId="0" fontId="4" fillId="0" borderId="9" xfId="0" applyFont="1" applyBorder="1" applyAlignment="1">
      <alignment vertical="center"/>
    </xf>
    <xf numFmtId="167" fontId="0" fillId="34" borderId="8" xfId="0" applyNumberFormat="1" applyFill="1" applyBorder="1" applyAlignment="1">
      <alignment horizontal="center" vertical="center"/>
    </xf>
    <xf numFmtId="1" fontId="0" fillId="34" borderId="16" xfId="0" applyNumberFormat="1" applyFill="1" applyBorder="1" applyAlignment="1">
      <alignment horizontal="center"/>
    </xf>
    <xf numFmtId="164" fontId="0" fillId="34" borderId="8" xfId="0" applyNumberFormat="1" applyFill="1" applyBorder="1" applyAlignment="1">
      <alignment horizontal="center"/>
    </xf>
    <xf numFmtId="1" fontId="0" fillId="34" borderId="1" xfId="0" applyNumberFormat="1" applyFill="1" applyBorder="1" applyAlignment="1">
      <alignment horizontal="center"/>
    </xf>
    <xf numFmtId="2" fontId="4" fillId="0" borderId="16" xfId="0" applyNumberFormat="1" applyFont="1" applyFill="1" applyBorder="1" applyAlignment="1">
      <alignment horizontal="center"/>
    </xf>
    <xf numFmtId="167" fontId="0" fillId="34" borderId="8" xfId="0" applyNumberFormat="1" applyFill="1" applyBorder="1" applyAlignment="1">
      <alignment horizontal="center"/>
    </xf>
    <xf numFmtId="1" fontId="4" fillId="34" borderId="1" xfId="0" applyNumberFormat="1" applyFont="1" applyFill="1" applyBorder="1" applyAlignment="1">
      <alignment horizontal="center"/>
    </xf>
    <xf numFmtId="164" fontId="0" fillId="34" borderId="1" xfId="0" applyNumberFormat="1" applyFill="1" applyBorder="1" applyAlignment="1">
      <alignment horizontal="center"/>
    </xf>
    <xf numFmtId="0" fontId="2" fillId="0" borderId="0" xfId="0" applyFont="1" applyBorder="1" applyAlignment="1">
      <alignment horizontal="center" wrapText="1"/>
    </xf>
    <xf numFmtId="0" fontId="1" fillId="0" borderId="0" xfId="41" applyFont="1" applyBorder="1"/>
    <xf numFmtId="0" fontId="6" fillId="0" borderId="0" xfId="41" applyFont="1" applyBorder="1" applyAlignment="1" applyProtection="1">
      <protection locked="0"/>
    </xf>
    <xf numFmtId="168" fontId="6" fillId="0" borderId="16" xfId="41" applyNumberFormat="1" applyFont="1" applyBorder="1" applyAlignment="1">
      <alignment horizontal="center"/>
    </xf>
    <xf numFmtId="0" fontId="1" fillId="0" borderId="0" xfId="0" applyFont="1" applyBorder="1" applyAlignment="1">
      <alignment horizontal="right" wrapText="1"/>
    </xf>
    <xf numFmtId="0" fontId="28" fillId="0" borderId="0" xfId="0" applyFont="1" applyBorder="1" applyAlignment="1">
      <alignment horizontal="center"/>
    </xf>
    <xf numFmtId="0" fontId="28" fillId="0" borderId="0" xfId="0" applyFont="1" applyAlignment="1">
      <alignment horizontal="center"/>
    </xf>
    <xf numFmtId="168" fontId="6" fillId="34" borderId="1" xfId="41" applyNumberFormat="1" applyFont="1" applyFill="1" applyBorder="1" applyAlignment="1">
      <alignment horizontal="center"/>
    </xf>
    <xf numFmtId="0" fontId="1" fillId="0" borderId="51" xfId="0" applyFont="1" applyFill="1" applyBorder="1" applyAlignment="1" applyProtection="1">
      <alignment horizontal="left" vertical="center"/>
    </xf>
    <xf numFmtId="0" fontId="1" fillId="0" borderId="0" xfId="0" applyFont="1" applyFill="1" applyAlignment="1" applyProtection="1">
      <alignment horizontal="center" vertical="center"/>
    </xf>
    <xf numFmtId="0" fontId="1" fillId="0" borderId="0" xfId="0" applyFont="1" applyFill="1" applyAlignment="1" applyProtection="1">
      <alignment horizontal="left" vertical="top"/>
    </xf>
    <xf numFmtId="0" fontId="1" fillId="0" borderId="51" xfId="0" applyFont="1" applyFill="1" applyBorder="1" applyAlignment="1" applyProtection="1">
      <alignment horizontal="left" vertical="top"/>
    </xf>
    <xf numFmtId="0" fontId="1" fillId="0" borderId="14" xfId="0" applyFont="1" applyFill="1" applyBorder="1" applyAlignment="1" applyProtection="1">
      <alignment horizontal="left" vertical="top"/>
    </xf>
    <xf numFmtId="0" fontId="1" fillId="0" borderId="0" xfId="0" applyFont="1" applyFill="1" applyAlignment="1" applyProtection="1">
      <alignment horizontal="center" vertical="top"/>
    </xf>
    <xf numFmtId="11" fontId="1" fillId="0" borderId="0" xfId="0" applyNumberFormat="1" applyFont="1" applyFill="1" applyAlignment="1" applyProtection="1">
      <alignment horizontal="center" vertical="top"/>
    </xf>
    <xf numFmtId="11" fontId="1" fillId="0" borderId="40" xfId="0" applyNumberFormat="1" applyFont="1" applyFill="1" applyBorder="1" applyAlignment="1" applyProtection="1">
      <alignment horizontal="center" vertical="top"/>
    </xf>
    <xf numFmtId="0" fontId="1" fillId="36" borderId="18" xfId="0" applyFont="1" applyFill="1" applyBorder="1" applyAlignment="1">
      <alignment vertical="center"/>
    </xf>
    <xf numFmtId="0" fontId="1" fillId="36" borderId="1" xfId="40" applyFont="1" applyFill="1" applyBorder="1" applyAlignment="1">
      <alignment horizontal="left" vertical="center" wrapText="1"/>
    </xf>
    <xf numFmtId="0" fontId="1" fillId="36" borderId="18" xfId="0" applyFont="1" applyFill="1" applyBorder="1" applyAlignment="1"/>
    <xf numFmtId="11" fontId="1" fillId="36" borderId="1" xfId="0" applyNumberFormat="1" applyFont="1" applyFill="1" applyBorder="1" applyAlignment="1">
      <alignment horizontal="center" vertical="center"/>
    </xf>
    <xf numFmtId="11" fontId="1" fillId="36" borderId="38" xfId="0" applyNumberFormat="1" applyFont="1" applyFill="1" applyBorder="1" applyAlignment="1">
      <alignment horizontal="center"/>
    </xf>
    <xf numFmtId="11" fontId="1" fillId="36" borderId="38" xfId="0" applyNumberFormat="1" applyFont="1" applyFill="1" applyBorder="1" applyAlignment="1">
      <alignment horizontal="center" vertical="center"/>
    </xf>
    <xf numFmtId="11" fontId="1" fillId="36" borderId="1" xfId="0" applyNumberFormat="1" applyFont="1" applyFill="1" applyBorder="1" applyAlignment="1">
      <alignment horizontal="center"/>
    </xf>
    <xf numFmtId="0" fontId="17" fillId="35" borderId="30" xfId="0" applyFont="1" applyFill="1" applyBorder="1" applyAlignment="1">
      <alignment vertical="center"/>
    </xf>
    <xf numFmtId="0" fontId="1" fillId="0" borderId="1" xfId="0" applyFont="1" applyFill="1" applyBorder="1" applyAlignment="1" applyProtection="1">
      <alignment horizontal="center" vertical="center"/>
    </xf>
    <xf numFmtId="0" fontId="17" fillId="35" borderId="30" xfId="0" applyFont="1" applyFill="1" applyBorder="1"/>
    <xf numFmtId="0" fontId="17" fillId="35" borderId="30" xfId="0" applyFont="1" applyFill="1" applyBorder="1" applyAlignment="1"/>
    <xf numFmtId="0" fontId="1" fillId="0" borderId="0" xfId="42" applyFont="1" applyAlignment="1">
      <alignment horizontal="center"/>
    </xf>
    <xf numFmtId="0" fontId="17" fillId="37" borderId="33" xfId="42" applyFont="1" applyFill="1" applyBorder="1" applyAlignment="1">
      <alignment horizontal="left"/>
    </xf>
    <xf numFmtId="0" fontId="1" fillId="37" borderId="38" xfId="42" applyFont="1" applyFill="1" applyBorder="1" applyAlignment="1">
      <alignment horizontal="center"/>
    </xf>
    <xf numFmtId="0" fontId="1" fillId="37" borderId="14" xfId="42" applyFont="1" applyFill="1" applyBorder="1" applyAlignment="1">
      <alignment horizontal="center"/>
    </xf>
    <xf numFmtId="0" fontId="1" fillId="0" borderId="1" xfId="42" applyFont="1" applyBorder="1" applyAlignment="1">
      <alignment horizontal="center"/>
    </xf>
    <xf numFmtId="0" fontId="1" fillId="34" borderId="1" xfId="42" applyFont="1" applyFill="1" applyBorder="1" applyAlignment="1">
      <alignment horizontal="center"/>
    </xf>
    <xf numFmtId="0" fontId="6" fillId="0" borderId="1" xfId="42" applyFont="1" applyBorder="1" applyAlignment="1">
      <alignment horizontal="center"/>
    </xf>
    <xf numFmtId="0" fontId="17" fillId="0" borderId="33" xfId="42" applyFont="1" applyBorder="1" applyAlignment="1">
      <alignment horizontal="left"/>
    </xf>
    <xf numFmtId="0" fontId="1" fillId="0" borderId="38" xfId="42" applyFont="1" applyBorder="1" applyAlignment="1">
      <alignment horizontal="center"/>
    </xf>
    <xf numFmtId="0" fontId="1" fillId="0" borderId="38" xfId="42" applyFont="1" applyFill="1" applyBorder="1" applyAlignment="1">
      <alignment horizontal="center"/>
    </xf>
    <xf numFmtId="0" fontId="1" fillId="0" borderId="14" xfId="42" applyFont="1" applyBorder="1" applyAlignment="1">
      <alignment horizontal="center"/>
    </xf>
    <xf numFmtId="0" fontId="6" fillId="0" borderId="1" xfId="42" quotePrefix="1" applyFont="1" applyBorder="1" applyAlignment="1">
      <alignment horizontal="center"/>
    </xf>
    <xf numFmtId="0" fontId="1" fillId="0" borderId="0" xfId="42" applyFont="1" applyBorder="1" applyAlignment="1">
      <alignment horizontal="center"/>
    </xf>
    <xf numFmtId="0" fontId="6" fillId="0" borderId="0" xfId="42" applyFont="1" applyBorder="1" applyAlignment="1">
      <alignment horizontal="center"/>
    </xf>
    <xf numFmtId="0" fontId="6" fillId="0" borderId="0" xfId="42" applyFont="1" applyAlignment="1">
      <alignment horizontal="center"/>
    </xf>
    <xf numFmtId="0" fontId="6" fillId="0" borderId="0" xfId="42" applyFont="1" applyBorder="1" applyAlignment="1" applyProtection="1">
      <alignment horizontal="center"/>
      <protection locked="0"/>
    </xf>
    <xf numFmtId="0" fontId="6" fillId="34" borderId="1" xfId="42" applyFont="1" applyFill="1" applyBorder="1" applyAlignment="1">
      <alignment horizontal="center"/>
    </xf>
    <xf numFmtId="0" fontId="1" fillId="0" borderId="0" xfId="42" applyFont="1" applyAlignment="1">
      <alignment horizontal="left"/>
    </xf>
    <xf numFmtId="0" fontId="0" fillId="35" borderId="38" xfId="0" applyFill="1" applyBorder="1" applyAlignment="1" applyProtection="1">
      <alignment horizontal="center" vertical="center"/>
    </xf>
    <xf numFmtId="164" fontId="1" fillId="0" borderId="0" xfId="0" applyNumberFormat="1" applyFont="1" applyAlignment="1">
      <alignment horizontal="center" vertical="center"/>
    </xf>
    <xf numFmtId="164" fontId="6" fillId="0" borderId="0" xfId="0" applyNumberFormat="1" applyFont="1" applyAlignment="1">
      <alignment horizontal="center" vertical="center"/>
    </xf>
    <xf numFmtId="0" fontId="1"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xf>
    <xf numFmtId="0" fontId="1" fillId="0" borderId="1" xfId="45" applyFont="1" applyFill="1" applyBorder="1" applyAlignment="1" applyProtection="1">
      <alignment horizontal="center" vertical="center"/>
    </xf>
    <xf numFmtId="0" fontId="17" fillId="35" borderId="38" xfId="0" applyFont="1" applyFill="1" applyBorder="1" applyAlignment="1" applyProtection="1">
      <alignment horizontal="center" vertical="center" wrapText="1"/>
    </xf>
    <xf numFmtId="0" fontId="17" fillId="35" borderId="38" xfId="45"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7" fillId="35" borderId="0" xfId="0" applyFont="1" applyFill="1" applyAlignment="1">
      <alignment horizontal="center" vertical="center"/>
    </xf>
    <xf numFmtId="0" fontId="1" fillId="43" borderId="1" xfId="0" applyFont="1" applyFill="1" applyBorder="1" applyAlignment="1" applyProtection="1">
      <alignment horizontal="center" vertical="center" wrapText="1"/>
    </xf>
    <xf numFmtId="0" fontId="1" fillId="43" borderId="1" xfId="0" applyFont="1" applyFill="1" applyBorder="1" applyAlignment="1" applyProtection="1">
      <alignment horizontal="center" vertical="center"/>
    </xf>
    <xf numFmtId="0" fontId="6" fillId="0" borderId="0" xfId="0" applyFont="1" applyFill="1" applyAlignment="1">
      <alignment horizontal="center" vertical="center" wrapText="1"/>
    </xf>
    <xf numFmtId="0" fontId="1" fillId="0" borderId="0" xfId="39" applyFont="1" applyFill="1" applyAlignment="1">
      <alignment horizontal="center" vertical="center"/>
    </xf>
    <xf numFmtId="0" fontId="1" fillId="0" borderId="0" xfId="0" applyFont="1" applyFill="1" applyAlignment="1">
      <alignment horizontal="center" vertical="center" wrapText="1"/>
    </xf>
    <xf numFmtId="0" fontId="6" fillId="0" borderId="0" xfId="0" applyFont="1" applyFill="1" applyBorder="1" applyAlignment="1">
      <alignment horizontal="center" vertical="center"/>
    </xf>
    <xf numFmtId="0" fontId="1" fillId="0" borderId="0" xfId="0" applyNumberFormat="1" applyFont="1" applyAlignment="1">
      <alignment horizontal="center" vertical="center"/>
    </xf>
    <xf numFmtId="0" fontId="6" fillId="0" borderId="0" xfId="0" applyFont="1" applyFill="1" applyAlignment="1">
      <alignment horizontal="center" vertical="center"/>
    </xf>
    <xf numFmtId="0" fontId="1" fillId="0" borderId="1" xfId="0" applyFont="1" applyFill="1" applyBorder="1" applyAlignment="1">
      <alignment horizontal="center" vertical="center" wrapText="1"/>
    </xf>
    <xf numFmtId="11" fontId="1" fillId="43" borderId="8" xfId="0" applyNumberFormat="1" applyFont="1" applyFill="1" applyBorder="1" applyAlignment="1">
      <alignment horizontal="center" vertical="center"/>
    </xf>
    <xf numFmtId="0" fontId="1" fillId="43" borderId="1" xfId="40" applyFont="1" applyFill="1" applyBorder="1" applyAlignment="1">
      <alignment horizontal="left" vertical="center" wrapText="1"/>
    </xf>
    <xf numFmtId="0" fontId="72" fillId="0" borderId="0" xfId="0" applyFont="1"/>
    <xf numFmtId="0" fontId="64" fillId="0" borderId="0" xfId="0" applyFont="1" applyFill="1" applyBorder="1" applyAlignment="1">
      <alignment horizontal="left" vertical="center"/>
    </xf>
    <xf numFmtId="0" fontId="64" fillId="0" borderId="0" xfId="0" applyNumberFormat="1" applyFont="1" applyAlignment="1">
      <alignment horizontal="center" vertical="center"/>
    </xf>
    <xf numFmtId="0" fontId="64" fillId="0" borderId="0" xfId="0" applyFont="1" applyAlignment="1">
      <alignment horizontal="center" vertical="center"/>
    </xf>
    <xf numFmtId="0" fontId="6" fillId="0" borderId="0" xfId="42" applyFont="1" applyBorder="1" applyAlignment="1" applyProtection="1">
      <alignment horizontal="left"/>
      <protection locked="0"/>
    </xf>
    <xf numFmtId="0" fontId="4" fillId="34" borderId="16" xfId="0" applyFont="1" applyFill="1" applyBorder="1" applyAlignment="1">
      <alignment horizontal="center"/>
    </xf>
    <xf numFmtId="0" fontId="4" fillId="34" borderId="8" xfId="0" applyFont="1" applyFill="1" applyBorder="1" applyAlignment="1">
      <alignment horizontal="center"/>
    </xf>
    <xf numFmtId="0" fontId="74" fillId="0" borderId="0" xfId="0" applyFont="1"/>
    <xf numFmtId="2" fontId="1" fillId="0" borderId="1" xfId="41" applyNumberFormat="1" applyFont="1" applyBorder="1" applyAlignment="1">
      <alignment horizontal="center"/>
    </xf>
    <xf numFmtId="1" fontId="1" fillId="0" borderId="1" xfId="41" applyNumberFormat="1" applyFont="1" applyBorder="1" applyAlignment="1">
      <alignment horizontal="center"/>
    </xf>
    <xf numFmtId="0" fontId="75" fillId="0" borderId="0" xfId="0" applyFont="1"/>
    <xf numFmtId="0" fontId="75" fillId="0" borderId="0" xfId="41" applyFont="1"/>
    <xf numFmtId="0" fontId="75" fillId="0" borderId="0" xfId="0" applyFont="1" applyFill="1" applyBorder="1" applyAlignment="1">
      <alignment horizontal="left" vertical="center"/>
    </xf>
    <xf numFmtId="11" fontId="75" fillId="0" borderId="0" xfId="0" applyNumberFormat="1" applyFont="1" applyFill="1" applyBorder="1" applyAlignment="1" applyProtection="1">
      <alignment horizontal="center" vertical="center"/>
    </xf>
    <xf numFmtId="11" fontId="76" fillId="0" borderId="0" xfId="0" applyNumberFormat="1" applyFont="1" applyFill="1" applyBorder="1" applyAlignment="1" applyProtection="1">
      <alignment horizontal="left" vertical="center"/>
    </xf>
    <xf numFmtId="0" fontId="4" fillId="34" borderId="23" xfId="0" applyFont="1" applyFill="1" applyBorder="1" applyAlignment="1">
      <alignment horizontal="center"/>
    </xf>
    <xf numFmtId="0" fontId="75" fillId="0" borderId="1" xfId="0" applyFont="1" applyFill="1" applyBorder="1" applyAlignment="1"/>
    <xf numFmtId="0" fontId="1" fillId="0" borderId="40" xfId="41" applyFont="1" applyFill="1" applyBorder="1" applyAlignment="1">
      <alignment horizontal="center"/>
    </xf>
    <xf numFmtId="0" fontId="75" fillId="0" borderId="0" xfId="42" applyFont="1" applyAlignment="1">
      <alignment horizontal="center"/>
    </xf>
    <xf numFmtId="0" fontId="1" fillId="44" borderId="1" xfId="0" applyFont="1" applyFill="1" applyBorder="1" applyAlignment="1" applyProtection="1">
      <alignment horizontal="center" vertical="top"/>
    </xf>
    <xf numFmtId="0" fontId="1" fillId="45" borderId="1" xfId="0" applyFont="1" applyFill="1" applyBorder="1" applyAlignment="1" applyProtection="1">
      <alignment horizontal="center" vertical="top"/>
    </xf>
    <xf numFmtId="0" fontId="1" fillId="43" borderId="33" xfId="0" applyFont="1" applyFill="1" applyBorder="1" applyAlignment="1"/>
    <xf numFmtId="11" fontId="10" fillId="0" borderId="0" xfId="0" applyNumberFormat="1" applyFont="1" applyAlignment="1">
      <alignment vertical="center"/>
    </xf>
    <xf numFmtId="0" fontId="10" fillId="0" borderId="0" xfId="0" applyNumberFormat="1" applyFont="1" applyAlignment="1">
      <alignment vertical="center"/>
    </xf>
    <xf numFmtId="0" fontId="4" fillId="34" borderId="0" xfId="39" applyFont="1" applyFill="1"/>
    <xf numFmtId="0" fontId="4" fillId="36" borderId="0" xfId="39" applyFont="1" applyFill="1" applyAlignment="1">
      <alignment horizontal="left" vertical="center"/>
    </xf>
    <xf numFmtId="0" fontId="19" fillId="35" borderId="1" xfId="0" applyFont="1" applyFill="1" applyBorder="1" applyAlignment="1">
      <alignment vertical="top"/>
    </xf>
    <xf numFmtId="0" fontId="19" fillId="36" borderId="18" xfId="0" applyFont="1" applyFill="1" applyBorder="1" applyAlignment="1"/>
    <xf numFmtId="0" fontId="1" fillId="35" borderId="14" xfId="0" applyFont="1" applyFill="1" applyBorder="1" applyAlignment="1" applyProtection="1">
      <alignment horizontal="center" vertical="top"/>
    </xf>
    <xf numFmtId="0" fontId="17" fillId="35" borderId="38" xfId="0" applyFont="1" applyFill="1" applyBorder="1" applyAlignment="1">
      <alignment vertical="center"/>
    </xf>
    <xf numFmtId="0" fontId="4" fillId="0" borderId="0" xfId="0" applyFont="1" applyBorder="1" applyAlignment="1">
      <alignment wrapText="1"/>
    </xf>
    <xf numFmtId="0" fontId="2" fillId="0" borderId="0" xfId="0" applyFont="1" applyBorder="1" applyAlignment="1">
      <alignment wrapText="1"/>
    </xf>
    <xf numFmtId="11" fontId="70" fillId="0" borderId="1" xfId="0" applyNumberFormat="1" applyFont="1" applyBorder="1" applyAlignment="1">
      <alignment horizontal="center"/>
    </xf>
    <xf numFmtId="0" fontId="70" fillId="0" borderId="1" xfId="0" applyNumberFormat="1" applyFont="1" applyBorder="1" applyAlignment="1">
      <alignment horizontal="center"/>
    </xf>
    <xf numFmtId="11" fontId="70" fillId="0" borderId="1" xfId="0" applyNumberFormat="1" applyFont="1" applyFill="1" applyBorder="1" applyAlignment="1">
      <alignment horizontal="center"/>
    </xf>
    <xf numFmtId="0" fontId="4" fillId="0" borderId="8" xfId="0" applyFont="1" applyBorder="1" applyAlignment="1">
      <alignment horizontal="center"/>
    </xf>
    <xf numFmtId="11" fontId="1" fillId="35" borderId="1" xfId="0" applyNumberFormat="1" applyFont="1" applyFill="1" applyBorder="1" applyAlignment="1" applyProtection="1">
      <alignment horizontal="left" vertical="top" wrapText="1"/>
    </xf>
    <xf numFmtId="0" fontId="1" fillId="35" borderId="1" xfId="0" applyNumberFormat="1" applyFont="1" applyFill="1" applyBorder="1" applyAlignment="1" applyProtection="1">
      <alignment horizontal="center" vertical="top"/>
    </xf>
    <xf numFmtId="0" fontId="1" fillId="35" borderId="1" xfId="0" applyNumberFormat="1" applyFont="1" applyFill="1" applyBorder="1" applyAlignment="1" applyProtection="1">
      <alignment horizontal="center" vertical="top" wrapText="1"/>
    </xf>
    <xf numFmtId="2" fontId="4" fillId="0" borderId="0" xfId="0" applyNumberFormat="1" applyFont="1" applyFill="1" applyBorder="1" applyAlignment="1">
      <alignment horizontal="center"/>
    </xf>
    <xf numFmtId="11" fontId="0" fillId="0" borderId="1" xfId="0" applyNumberFormat="1" applyFill="1" applyBorder="1" applyAlignment="1">
      <alignment horizontal="center"/>
    </xf>
    <xf numFmtId="13" fontId="0" fillId="0" borderId="1" xfId="0" applyNumberFormat="1" applyFill="1" applyBorder="1" applyAlignment="1">
      <alignment horizontal="center"/>
    </xf>
    <xf numFmtId="1" fontId="4" fillId="0" borderId="8" xfId="0" applyNumberFormat="1" applyFont="1" applyBorder="1" applyAlignment="1">
      <alignment horizontal="center"/>
    </xf>
    <xf numFmtId="11" fontId="0" fillId="0" borderId="0" xfId="0" applyNumberFormat="1"/>
    <xf numFmtId="11" fontId="4" fillId="0" borderId="0" xfId="0" applyNumberFormat="1" applyFont="1"/>
    <xf numFmtId="0" fontId="4" fillId="0" borderId="4" xfId="0" applyFont="1" applyFill="1" applyBorder="1"/>
    <xf numFmtId="0" fontId="1" fillId="44" borderId="18" xfId="0" applyFont="1" applyFill="1" applyBorder="1" applyAlignment="1">
      <alignment vertical="center"/>
    </xf>
    <xf numFmtId="11" fontId="1" fillId="44" borderId="39" xfId="0" applyNumberFormat="1" applyFont="1" applyFill="1" applyBorder="1" applyAlignment="1">
      <alignment horizontal="center" vertical="center"/>
    </xf>
    <xf numFmtId="11" fontId="1" fillId="44" borderId="1" xfId="0" applyNumberFormat="1" applyFont="1" applyFill="1" applyBorder="1" applyAlignment="1">
      <alignment horizontal="center" vertical="center"/>
    </xf>
    <xf numFmtId="11" fontId="1" fillId="44" borderId="14" xfId="0" applyNumberFormat="1" applyFont="1" applyFill="1" applyBorder="1" applyAlignment="1">
      <alignment horizontal="center" vertical="center"/>
    </xf>
    <xf numFmtId="0" fontId="1" fillId="45" borderId="18" xfId="0" applyFont="1" applyFill="1" applyBorder="1" applyAlignment="1">
      <alignment vertical="center"/>
    </xf>
    <xf numFmtId="11" fontId="1" fillId="45" borderId="39" xfId="0" applyNumberFormat="1" applyFont="1" applyFill="1" applyBorder="1" applyAlignment="1">
      <alignment horizontal="center" vertical="center"/>
    </xf>
    <xf numFmtId="11" fontId="1" fillId="45" borderId="1" xfId="0" applyNumberFormat="1" applyFont="1" applyFill="1" applyBorder="1" applyAlignment="1">
      <alignment horizontal="center" vertical="center"/>
    </xf>
    <xf numFmtId="11" fontId="1" fillId="45" borderId="14" xfId="0" applyNumberFormat="1" applyFont="1" applyFill="1" applyBorder="1" applyAlignment="1">
      <alignment horizontal="center" vertical="center"/>
    </xf>
    <xf numFmtId="0" fontId="17" fillId="35" borderId="0" xfId="0" applyFont="1" applyFill="1" applyBorder="1" applyAlignment="1" applyProtection="1">
      <alignment horizontal="center" vertical="center" wrapText="1"/>
    </xf>
    <xf numFmtId="0" fontId="17" fillId="35" borderId="37" xfId="45" applyFont="1" applyFill="1" applyBorder="1" applyAlignment="1" applyProtection="1">
      <alignment horizontal="center" vertical="center" wrapText="1"/>
    </xf>
    <xf numFmtId="0" fontId="17" fillId="35" borderId="37" xfId="0" applyFont="1" applyFill="1" applyBorder="1" applyAlignment="1" applyProtection="1">
      <alignment horizontal="center" vertical="center" wrapText="1"/>
    </xf>
    <xf numFmtId="166" fontId="1" fillId="0" borderId="32" xfId="0" applyNumberFormat="1" applyFont="1" applyBorder="1" applyAlignment="1">
      <alignment horizontal="center" vertical="center"/>
    </xf>
    <xf numFmtId="0" fontId="1" fillId="35" borderId="54" xfId="0" applyFont="1" applyFill="1" applyBorder="1"/>
    <xf numFmtId="0" fontId="1" fillId="36" borderId="32" xfId="40" applyFont="1" applyFill="1" applyBorder="1" applyAlignment="1">
      <alignment horizontal="left" vertical="center" wrapText="1"/>
    </xf>
    <xf numFmtId="165" fontId="1" fillId="0" borderId="32" xfId="0" applyNumberFormat="1" applyFont="1" applyBorder="1" applyAlignment="1">
      <alignment horizontal="center" vertical="center"/>
    </xf>
    <xf numFmtId="11" fontId="6" fillId="0" borderId="1" xfId="52" applyNumberFormat="1" applyFont="1" applyBorder="1" applyAlignment="1">
      <alignment horizontal="center" vertical="center"/>
    </xf>
    <xf numFmtId="11" fontId="1" fillId="35" borderId="38" xfId="52" applyNumberFormat="1" applyFont="1" applyFill="1" applyBorder="1"/>
    <xf numFmtId="11" fontId="1" fillId="35" borderId="14" xfId="52" applyNumberFormat="1" applyFont="1" applyFill="1" applyBorder="1"/>
    <xf numFmtId="0" fontId="1" fillId="0" borderId="0" xfId="52" applyFont="1" applyFill="1" applyAlignment="1"/>
    <xf numFmtId="0" fontId="1" fillId="0" borderId="0" xfId="52" applyFont="1" applyFill="1" applyAlignment="1">
      <alignment wrapText="1"/>
    </xf>
    <xf numFmtId="0" fontId="17" fillId="35" borderId="38" xfId="0" applyFont="1" applyFill="1" applyBorder="1" applyAlignment="1">
      <alignment horizontal="center"/>
    </xf>
    <xf numFmtId="0" fontId="1" fillId="0" borderId="18" xfId="34" applyFont="1" applyBorder="1" applyAlignment="1" applyProtection="1">
      <alignment vertical="center"/>
    </xf>
    <xf numFmtId="0" fontId="1" fillId="35" borderId="1" xfId="0" applyFont="1" applyFill="1" applyBorder="1" applyAlignment="1">
      <alignment vertical="top"/>
    </xf>
    <xf numFmtId="0" fontId="1" fillId="35" borderId="1" xfId="0" applyFont="1" applyFill="1" applyBorder="1" applyAlignment="1">
      <alignment vertical="top" wrapText="1"/>
    </xf>
    <xf numFmtId="0" fontId="70" fillId="0" borderId="1" xfId="0" applyFont="1" applyBorder="1" applyAlignment="1">
      <alignment horizontal="center"/>
    </xf>
    <xf numFmtId="0" fontId="1" fillId="0" borderId="1" xfId="0" applyFont="1" applyFill="1" applyBorder="1" applyAlignment="1">
      <alignment vertical="center"/>
    </xf>
    <xf numFmtId="11" fontId="1" fillId="0" borderId="0" xfId="0" applyNumberFormat="1" applyFont="1" applyFill="1" applyAlignment="1" applyProtection="1">
      <alignment horizontal="left" vertical="center"/>
    </xf>
    <xf numFmtId="0" fontId="1" fillId="0" borderId="38" xfId="0" applyFont="1" applyFill="1" applyBorder="1" applyAlignment="1"/>
    <xf numFmtId="0" fontId="1" fillId="35" borderId="1" xfId="45" applyFont="1" applyFill="1" applyBorder="1" applyAlignment="1" applyProtection="1">
      <alignment horizontal="center" vertical="top" wrapText="1"/>
    </xf>
    <xf numFmtId="0" fontId="17" fillId="35" borderId="40" xfId="45" applyFont="1" applyFill="1" applyBorder="1" applyAlignment="1" applyProtection="1">
      <alignment horizontal="center" vertical="center" wrapText="1"/>
    </xf>
    <xf numFmtId="0" fontId="1" fillId="0" borderId="49" xfId="0" applyFont="1" applyFill="1" applyBorder="1" applyAlignment="1">
      <alignment vertical="center"/>
    </xf>
    <xf numFmtId="0" fontId="1" fillId="0" borderId="49" xfId="0" applyFont="1" applyFill="1" applyBorder="1"/>
    <xf numFmtId="0" fontId="1" fillId="35" borderId="40" xfId="0" applyNumberFormat="1" applyFont="1" applyFill="1" applyBorder="1" applyAlignment="1">
      <alignment horizontal="center" vertical="center"/>
    </xf>
    <xf numFmtId="0" fontId="1" fillId="35" borderId="73" xfId="0" applyFont="1" applyFill="1" applyBorder="1" applyAlignment="1">
      <alignment horizontal="center" vertical="center"/>
    </xf>
    <xf numFmtId="0" fontId="1" fillId="0" borderId="1" xfId="45" applyFont="1" applyFill="1" applyBorder="1" applyAlignment="1" applyProtection="1">
      <alignment horizontal="center" vertical="center" wrapText="1"/>
    </xf>
    <xf numFmtId="11" fontId="1" fillId="0" borderId="0" xfId="52" applyNumberFormat="1" applyFont="1" applyFill="1" applyBorder="1" applyAlignment="1">
      <alignment vertical="center"/>
    </xf>
    <xf numFmtId="0" fontId="1" fillId="35" borderId="1" xfId="52" applyFont="1" applyFill="1" applyBorder="1"/>
    <xf numFmtId="0" fontId="1" fillId="0" borderId="1" xfId="0" applyFont="1" applyBorder="1"/>
    <xf numFmtId="11" fontId="1" fillId="0" borderId="1" xfId="52" applyNumberFormat="1" applyFont="1" applyFill="1" applyBorder="1" applyAlignment="1">
      <alignment vertical="center"/>
    </xf>
    <xf numFmtId="11" fontId="64" fillId="35" borderId="1" xfId="0" applyNumberFormat="1" applyFont="1" applyFill="1" applyBorder="1" applyAlignment="1" applyProtection="1">
      <alignment horizontal="center" vertical="top" wrapText="1"/>
    </xf>
    <xf numFmtId="11" fontId="64" fillId="35" borderId="1" xfId="52" applyNumberFormat="1" applyFont="1" applyFill="1" applyBorder="1" applyAlignment="1" applyProtection="1">
      <alignment horizontal="center" vertical="top" wrapText="1"/>
    </xf>
    <xf numFmtId="0" fontId="64" fillId="35" borderId="1" xfId="52" applyFont="1" applyFill="1" applyBorder="1" applyAlignment="1" applyProtection="1">
      <alignment horizontal="left" vertical="top" wrapText="1"/>
    </xf>
    <xf numFmtId="2" fontId="1" fillId="35" borderId="0" xfId="0" applyNumberFormat="1" applyFont="1" applyFill="1"/>
    <xf numFmtId="2" fontId="1" fillId="0" borderId="1" xfId="0" applyNumberFormat="1" applyFont="1" applyBorder="1" applyAlignment="1">
      <alignment horizontal="center" vertical="center"/>
    </xf>
    <xf numFmtId="2" fontId="1" fillId="0" borderId="0" xfId="0" applyNumberFormat="1" applyFont="1"/>
    <xf numFmtId="2" fontId="1" fillId="0" borderId="0" xfId="0" applyNumberFormat="1" applyFont="1" applyAlignment="1">
      <alignment wrapText="1"/>
    </xf>
    <xf numFmtId="2" fontId="1" fillId="0" borderId="0" xfId="0" applyNumberFormat="1" applyFont="1" applyFill="1" applyBorder="1" applyAlignment="1">
      <alignment horizontal="left" vertical="center"/>
    </xf>
    <xf numFmtId="2" fontId="1" fillId="0" borderId="8" xfId="52" applyNumberFormat="1" applyFont="1" applyFill="1" applyBorder="1" applyAlignment="1">
      <alignment horizontal="center" vertical="center"/>
    </xf>
    <xf numFmtId="11" fontId="1" fillId="35" borderId="54" xfId="0" applyNumberFormat="1" applyFont="1" applyFill="1" applyBorder="1"/>
    <xf numFmtId="11" fontId="1" fillId="0" borderId="8" xfId="0" applyNumberFormat="1" applyFont="1" applyBorder="1" applyAlignment="1">
      <alignment horizontal="center" vertical="center"/>
    </xf>
    <xf numFmtId="11" fontId="1" fillId="35" borderId="14" xfId="0" applyNumberFormat="1" applyFont="1" applyFill="1" applyBorder="1" applyAlignment="1">
      <alignment horizontal="center" vertical="center"/>
    </xf>
    <xf numFmtId="11" fontId="6" fillId="0" borderId="1" xfId="52" applyNumberFormat="1" applyFont="1" applyFill="1" applyBorder="1" applyAlignment="1">
      <alignment horizontal="center" vertical="center"/>
    </xf>
    <xf numFmtId="11" fontId="1" fillId="0" borderId="0" xfId="0" applyNumberFormat="1" applyFont="1" applyAlignment="1">
      <alignment wrapText="1"/>
    </xf>
    <xf numFmtId="11" fontId="1" fillId="0" borderId="0" xfId="0" applyNumberFormat="1" applyFont="1" applyFill="1" applyBorder="1" applyAlignment="1">
      <alignment horizontal="left" vertical="center"/>
    </xf>
    <xf numFmtId="2" fontId="1" fillId="35" borderId="33" xfId="52" applyNumberFormat="1" applyFont="1" applyFill="1" applyBorder="1" applyAlignment="1">
      <alignment horizontal="center" vertical="center"/>
    </xf>
    <xf numFmtId="2" fontId="1" fillId="35" borderId="38" xfId="52" applyNumberFormat="1" applyFont="1" applyFill="1" applyBorder="1" applyAlignment="1">
      <alignment horizontal="center" vertical="center"/>
    </xf>
    <xf numFmtId="2" fontId="1" fillId="35" borderId="14" xfId="52" applyNumberFormat="1" applyFont="1" applyFill="1" applyBorder="1" applyAlignment="1">
      <alignment horizontal="center" vertical="center"/>
    </xf>
    <xf numFmtId="2" fontId="6" fillId="0" borderId="1" xfId="52" applyNumberFormat="1" applyFont="1" applyFill="1" applyBorder="1" applyAlignment="1">
      <alignment horizontal="center" vertical="center"/>
    </xf>
    <xf numFmtId="2" fontId="1" fillId="0" borderId="0" xfId="0" applyNumberFormat="1" applyFont="1" applyAlignment="1"/>
    <xf numFmtId="2" fontId="1" fillId="35" borderId="38" xfId="52" applyNumberFormat="1" applyFont="1" applyFill="1" applyBorder="1"/>
    <xf numFmtId="2" fontId="1" fillId="35" borderId="14" xfId="52" applyNumberFormat="1" applyFont="1" applyFill="1" applyBorder="1"/>
    <xf numFmtId="11" fontId="1" fillId="35" borderId="14" xfId="0" applyNumberFormat="1" applyFont="1" applyFill="1" applyBorder="1"/>
    <xf numFmtId="2" fontId="1" fillId="0" borderId="1" xfId="0" applyNumberFormat="1" applyFont="1" applyFill="1" applyBorder="1" applyAlignment="1">
      <alignment horizontal="center" vertical="center"/>
    </xf>
    <xf numFmtId="11" fontId="1" fillId="0" borderId="8" xfId="0" applyNumberFormat="1" applyFont="1" applyFill="1" applyBorder="1" applyAlignment="1">
      <alignment horizontal="center" vertical="center"/>
    </xf>
    <xf numFmtId="0" fontId="1" fillId="0" borderId="1" xfId="34" applyFont="1" applyFill="1" applyBorder="1" applyAlignment="1" applyProtection="1"/>
    <xf numFmtId="0" fontId="1" fillId="35" borderId="1" xfId="0" applyFont="1" applyFill="1" applyBorder="1" applyAlignment="1">
      <alignment horizontal="center" vertical="top" wrapText="1"/>
    </xf>
    <xf numFmtId="0" fontId="75" fillId="35" borderId="1" xfId="0" applyFont="1" applyFill="1" applyBorder="1" applyAlignment="1" applyProtection="1">
      <alignment horizontal="center" vertical="top"/>
    </xf>
    <xf numFmtId="0" fontId="64" fillId="35" borderId="1" xfId="0" applyFont="1" applyFill="1" applyBorder="1" applyAlignment="1" applyProtection="1">
      <alignment horizontal="center" vertical="top" wrapText="1"/>
    </xf>
    <xf numFmtId="0" fontId="64" fillId="35" borderId="1" xfId="0" applyFont="1" applyFill="1" applyBorder="1" applyAlignment="1" applyProtection="1">
      <alignment horizontal="center" vertical="top"/>
    </xf>
    <xf numFmtId="0" fontId="64" fillId="0" borderId="0" xfId="0" applyFont="1" applyFill="1" applyAlignment="1"/>
    <xf numFmtId="0" fontId="1" fillId="35" borderId="0" xfId="0" applyFont="1" applyFill="1" applyAlignment="1" applyProtection="1">
      <alignment horizontal="left" vertical="center"/>
    </xf>
    <xf numFmtId="11" fontId="1" fillId="35" borderId="0" xfId="0" applyNumberFormat="1" applyFont="1" applyFill="1" applyAlignment="1" applyProtection="1">
      <alignment horizontal="left" vertical="center"/>
    </xf>
    <xf numFmtId="0" fontId="1" fillId="0" borderId="1" xfId="0" applyFont="1" applyFill="1" applyBorder="1" applyAlignment="1" applyProtection="1">
      <alignment horizontal="left" vertical="top" wrapText="1"/>
    </xf>
    <xf numFmtId="0" fontId="1" fillId="0" borderId="1" xfId="0" applyFont="1" applyFill="1" applyBorder="1" applyAlignment="1" applyProtection="1">
      <alignment horizontal="center" vertical="top" wrapText="1"/>
    </xf>
    <xf numFmtId="1" fontId="1" fillId="0" borderId="34" xfId="0" applyNumberFormat="1" applyFont="1" applyFill="1" applyBorder="1" applyAlignment="1">
      <alignment horizontal="center" vertical="center"/>
    </xf>
    <xf numFmtId="0" fontId="1" fillId="0" borderId="36" xfId="0" applyFont="1" applyFill="1" applyBorder="1" applyAlignment="1">
      <alignment horizontal="center" vertical="center"/>
    </xf>
    <xf numFmtId="0" fontId="64" fillId="35" borderId="1" xfId="0" applyFont="1" applyFill="1" applyBorder="1" applyAlignment="1">
      <alignment horizontal="left" vertical="top" wrapText="1"/>
    </xf>
    <xf numFmtId="11" fontId="64" fillId="35" borderId="1" xfId="0" applyNumberFormat="1" applyFont="1" applyFill="1" applyBorder="1" applyAlignment="1">
      <alignment horizontal="center" vertical="top"/>
    </xf>
    <xf numFmtId="0" fontId="64" fillId="35" borderId="1" xfId="0" applyFont="1" applyFill="1" applyBorder="1" applyAlignment="1">
      <alignment vertical="top" wrapText="1"/>
    </xf>
    <xf numFmtId="0" fontId="64" fillId="0" borderId="0" xfId="0" applyFont="1" applyFill="1" applyBorder="1"/>
    <xf numFmtId="0" fontId="64" fillId="0" borderId="0" xfId="41" applyFont="1"/>
    <xf numFmtId="0" fontId="64" fillId="0" borderId="1" xfId="0" applyFont="1" applyFill="1" applyBorder="1" applyAlignment="1" applyProtection="1">
      <alignment horizontal="center" vertical="center"/>
    </xf>
    <xf numFmtId="0" fontId="64" fillId="0" borderId="1" xfId="0" applyFont="1" applyFill="1" applyBorder="1" applyAlignment="1" applyProtection="1">
      <alignment horizontal="center" vertical="center" wrapText="1"/>
    </xf>
    <xf numFmtId="0" fontId="64" fillId="0" borderId="1" xfId="41" applyNumberFormat="1" applyFont="1" applyBorder="1" applyAlignment="1">
      <alignment horizontal="center"/>
    </xf>
    <xf numFmtId="0" fontId="64" fillId="0" borderId="1" xfId="41" quotePrefix="1" applyNumberFormat="1" applyFont="1" applyBorder="1" applyAlignment="1">
      <alignment horizontal="center"/>
    </xf>
    <xf numFmtId="0" fontId="1" fillId="0" borderId="14" xfId="0" applyFont="1" applyFill="1" applyBorder="1" applyAlignment="1" applyProtection="1">
      <alignment horizontal="center" vertical="top" wrapText="1"/>
    </xf>
    <xf numFmtId="0" fontId="28" fillId="0" borderId="0" xfId="0" applyFont="1" applyBorder="1" applyAlignment="1">
      <alignment horizontal="center"/>
    </xf>
    <xf numFmtId="0" fontId="28" fillId="0" borderId="0" xfId="0" applyFont="1" applyAlignment="1">
      <alignment horizontal="center"/>
    </xf>
    <xf numFmtId="0" fontId="0" fillId="0" borderId="0" xfId="0" applyAlignment="1">
      <alignment horizontal="left" vertical="top" wrapText="1"/>
    </xf>
    <xf numFmtId="0" fontId="6" fillId="0" borderId="16" xfId="0" applyFont="1" applyFill="1" applyBorder="1" applyAlignment="1" applyProtection="1">
      <alignment horizontal="center" vertical="center" wrapText="1"/>
    </xf>
    <xf numFmtId="0" fontId="4" fillId="0" borderId="26" xfId="0" applyFont="1" applyBorder="1" applyAlignment="1" applyProtection="1">
      <alignment vertical="center" wrapText="1"/>
    </xf>
    <xf numFmtId="0" fontId="4" fillId="0" borderId="8" xfId="0" applyFont="1" applyBorder="1" applyAlignment="1" applyProtection="1">
      <alignment vertical="center" wrapText="1"/>
    </xf>
    <xf numFmtId="11" fontId="6" fillId="0" borderId="16" xfId="0" applyNumberFormat="1" applyFont="1" applyFill="1" applyBorder="1" applyAlignment="1" applyProtection="1">
      <alignment horizontal="center" vertical="center" wrapText="1"/>
    </xf>
    <xf numFmtId="0" fontId="0" fillId="0" borderId="8" xfId="0" applyBorder="1" applyAlignment="1" applyProtection="1">
      <alignment horizontal="center" vertical="center"/>
    </xf>
    <xf numFmtId="0" fontId="6" fillId="0" borderId="16"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2" fillId="0" borderId="33" xfId="0" applyFont="1" applyFill="1" applyBorder="1" applyAlignment="1" applyProtection="1">
      <alignment horizontal="center" vertical="center" wrapText="1"/>
    </xf>
    <xf numFmtId="0" fontId="2" fillId="0" borderId="38" xfId="0" applyFont="1" applyFill="1" applyBorder="1" applyAlignment="1" applyProtection="1">
      <alignment horizontal="center" vertical="center" wrapText="1"/>
    </xf>
    <xf numFmtId="0" fontId="0" fillId="0" borderId="38" xfId="0" applyBorder="1" applyAlignment="1" applyProtection="1">
      <alignment horizontal="center" vertical="center"/>
    </xf>
    <xf numFmtId="0" fontId="0" fillId="0" borderId="14" xfId="0" applyBorder="1" applyAlignment="1" applyProtection="1">
      <alignment horizontal="center" vertical="center"/>
    </xf>
    <xf numFmtId="0" fontId="6" fillId="0" borderId="16" xfId="0" applyFont="1" applyFill="1" applyBorder="1" applyAlignment="1" applyProtection="1">
      <alignment horizontal="center" vertical="center" textRotation="90" wrapText="1"/>
    </xf>
    <xf numFmtId="0" fontId="4" fillId="0" borderId="26"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6" fillId="0" borderId="16" xfId="0" applyFont="1" applyBorder="1" applyAlignment="1" applyProtection="1">
      <alignment horizontal="center" vertical="center"/>
    </xf>
    <xf numFmtId="0" fontId="0" fillId="0" borderId="8" xfId="0" applyBorder="1" applyAlignment="1" applyProtection="1">
      <alignment vertical="center" wrapText="1"/>
    </xf>
    <xf numFmtId="0" fontId="0" fillId="0" borderId="26" xfId="0" applyFill="1" applyBorder="1" applyAlignment="1" applyProtection="1">
      <alignment horizontal="center" vertical="center" wrapText="1"/>
    </xf>
    <xf numFmtId="0" fontId="0" fillId="0" borderId="8" xfId="0" applyFill="1" applyBorder="1" applyAlignment="1" applyProtection="1">
      <alignment horizontal="center" vertical="center" wrapText="1"/>
    </xf>
    <xf numFmtId="0" fontId="6" fillId="0" borderId="16" xfId="0" applyFont="1" applyFill="1" applyBorder="1" applyAlignment="1" applyProtection="1">
      <alignment horizontal="center" vertical="center"/>
    </xf>
    <xf numFmtId="0" fontId="0" fillId="0" borderId="26" xfId="0" applyBorder="1" applyAlignment="1" applyProtection="1">
      <alignment vertical="center"/>
    </xf>
    <xf numFmtId="0" fontId="0" fillId="0" borderId="8" xfId="0" applyBorder="1" applyAlignment="1" applyProtection="1">
      <alignment vertical="center"/>
    </xf>
    <xf numFmtId="0" fontId="0" fillId="0" borderId="8" xfId="0" applyBorder="1" applyAlignment="1" applyProtection="1">
      <alignment horizontal="center" vertical="center" wrapText="1"/>
    </xf>
    <xf numFmtId="11" fontId="6" fillId="0" borderId="1" xfId="0" applyNumberFormat="1" applyFont="1" applyFill="1" applyBorder="1" applyAlignment="1" applyProtection="1">
      <alignment horizontal="center" vertical="center" wrapText="1"/>
    </xf>
    <xf numFmtId="0" fontId="0" fillId="0" borderId="1" xfId="0"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 xfId="0" applyFont="1" applyBorder="1" applyAlignment="1" applyProtection="1">
      <alignment vertical="center"/>
    </xf>
    <xf numFmtId="0" fontId="0" fillId="0" borderId="1" xfId="0" applyBorder="1" applyAlignment="1">
      <alignment vertical="center"/>
    </xf>
    <xf numFmtId="11" fontId="2" fillId="0" borderId="1" xfId="0" applyNumberFormat="1" applyFont="1" applyFill="1" applyBorder="1" applyAlignment="1" applyProtection="1">
      <alignment horizontal="center" vertical="center" wrapText="1"/>
    </xf>
    <xf numFmtId="0" fontId="4" fillId="0" borderId="1" xfId="0" applyFont="1" applyBorder="1" applyAlignment="1" applyProtection="1">
      <alignment vertical="center" wrapText="1"/>
    </xf>
    <xf numFmtId="0" fontId="2" fillId="0"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33" xfId="0" applyFont="1" applyBorder="1" applyAlignment="1" applyProtection="1">
      <alignment horizontal="center" vertical="center"/>
    </xf>
    <xf numFmtId="0" fontId="2" fillId="0" borderId="38" xfId="0" applyFont="1" applyBorder="1" applyAlignment="1" applyProtection="1">
      <alignment vertical="center"/>
    </xf>
    <xf numFmtId="0" fontId="2" fillId="0" borderId="14" xfId="0" applyFont="1" applyBorder="1" applyAlignment="1" applyProtection="1">
      <alignment vertical="center"/>
    </xf>
    <xf numFmtId="0" fontId="6" fillId="0" borderId="1" xfId="0" applyFont="1" applyFill="1" applyBorder="1" applyAlignment="1" applyProtection="1">
      <alignment horizontal="center" vertical="center" wrapText="1"/>
    </xf>
    <xf numFmtId="0" fontId="0" fillId="0" borderId="1" xfId="0" applyBorder="1" applyAlignment="1" applyProtection="1">
      <alignment vertical="center" wrapText="1"/>
    </xf>
    <xf numFmtId="0" fontId="1" fillId="35" borderId="33" xfId="0" applyFont="1" applyFill="1" applyBorder="1" applyAlignment="1" applyProtection="1">
      <alignment horizontal="left" vertical="top" wrapText="1"/>
    </xf>
    <xf numFmtId="0" fontId="0" fillId="35" borderId="38" xfId="0" applyFill="1" applyBorder="1" applyAlignment="1" applyProtection="1">
      <alignment horizontal="left" vertical="top" wrapText="1"/>
    </xf>
    <xf numFmtId="0" fontId="0" fillId="35" borderId="14" xfId="0" applyFill="1" applyBorder="1" applyAlignment="1" applyProtection="1">
      <alignment horizontal="left" vertical="top" wrapText="1"/>
    </xf>
    <xf numFmtId="0" fontId="6" fillId="0" borderId="33" xfId="0" applyFont="1" applyFill="1" applyBorder="1" applyAlignment="1" applyProtection="1">
      <alignment horizontal="center" vertical="center" wrapText="1"/>
    </xf>
    <xf numFmtId="0" fontId="0" fillId="0" borderId="14" xfId="0" applyBorder="1" applyAlignment="1" applyProtection="1">
      <alignment vertical="center"/>
    </xf>
    <xf numFmtId="0" fontId="0" fillId="0" borderId="1" xfId="0" applyFill="1" applyBorder="1" applyAlignment="1" applyProtection="1">
      <alignment horizontal="center" vertical="center"/>
    </xf>
    <xf numFmtId="2" fontId="6" fillId="0" borderId="1" xfId="0" applyNumberFormat="1" applyFont="1" applyFill="1" applyBorder="1" applyAlignment="1" applyProtection="1">
      <alignment horizontal="center" vertical="center" wrapText="1"/>
    </xf>
    <xf numFmtId="2" fontId="0" fillId="0" borderId="1" xfId="0" applyNumberFormat="1" applyBorder="1" applyAlignment="1" applyProtection="1">
      <alignment horizontal="center" vertical="center"/>
    </xf>
    <xf numFmtId="0" fontId="66" fillId="0" borderId="16" xfId="0" applyFont="1" applyBorder="1" applyAlignment="1">
      <alignment horizontal="center" vertical="center" wrapText="1"/>
    </xf>
    <xf numFmtId="0" fontId="72" fillId="0" borderId="26" xfId="0" applyFont="1" applyBorder="1" applyAlignment="1">
      <alignment horizontal="center" vertical="center"/>
    </xf>
    <xf numFmtId="0" fontId="72" fillId="0" borderId="8" xfId="0" applyFont="1" applyBorder="1" applyAlignment="1">
      <alignment horizontal="center" vertical="center"/>
    </xf>
    <xf numFmtId="0" fontId="2" fillId="0" borderId="16" xfId="0" applyFont="1" applyBorder="1" applyAlignment="1">
      <alignment horizontal="center" vertical="center" wrapText="1"/>
    </xf>
    <xf numFmtId="0" fontId="4" fillId="0" borderId="26" xfId="0" applyFont="1" applyBorder="1" applyAlignment="1">
      <alignment horizontal="center" vertical="center"/>
    </xf>
    <xf numFmtId="0" fontId="4" fillId="0" borderId="8" xfId="0" applyFont="1" applyBorder="1" applyAlignment="1">
      <alignment horizontal="center" vertical="center"/>
    </xf>
    <xf numFmtId="0" fontId="2" fillId="0" borderId="0" xfId="0" applyFont="1" applyBorder="1" applyAlignment="1">
      <alignment horizontal="center" vertical="center" wrapText="1"/>
    </xf>
    <xf numFmtId="0" fontId="4" fillId="0" borderId="0" xfId="0" applyFont="1" applyBorder="1" applyAlignment="1">
      <alignment wrapText="1"/>
    </xf>
    <xf numFmtId="0" fontId="71" fillId="0" borderId="16" xfId="0" applyFont="1" applyBorder="1" applyAlignment="1">
      <alignment horizontal="center" vertical="center" wrapText="1"/>
    </xf>
    <xf numFmtId="0" fontId="71" fillId="0" borderId="8" xfId="0" applyFont="1" applyBorder="1" applyAlignment="1">
      <alignment horizontal="center" vertical="center" wrapText="1"/>
    </xf>
    <xf numFmtId="0" fontId="68" fillId="0" borderId="16" xfId="0" applyFont="1" applyBorder="1" applyAlignment="1">
      <alignment horizontal="center" vertical="center" wrapText="1"/>
    </xf>
    <xf numFmtId="0" fontId="2" fillId="0" borderId="0" xfId="0" applyFont="1" applyBorder="1" applyAlignment="1">
      <alignment horizontal="center" wrapText="1"/>
    </xf>
    <xf numFmtId="0" fontId="4" fillId="0" borderId="8" xfId="0" applyFont="1" applyBorder="1" applyAlignment="1">
      <alignment horizontal="center"/>
    </xf>
    <xf numFmtId="0" fontId="2" fillId="0" borderId="16" xfId="0" applyFont="1" applyBorder="1" applyAlignment="1">
      <alignment horizontal="center" wrapText="1"/>
    </xf>
    <xf numFmtId="0" fontId="2" fillId="0" borderId="1" xfId="0" applyFont="1" applyBorder="1" applyAlignment="1">
      <alignment horizontal="center" vertical="center" wrapText="1"/>
    </xf>
    <xf numFmtId="0" fontId="4" fillId="0" borderId="1" xfId="0" applyFont="1" applyBorder="1" applyAlignment="1">
      <alignment wrapText="1"/>
    </xf>
    <xf numFmtId="0" fontId="2" fillId="0" borderId="33"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26" xfId="0" applyFont="1" applyBorder="1" applyAlignment="1">
      <alignment vertical="center" wrapText="1"/>
    </xf>
    <xf numFmtId="0" fontId="4" fillId="0" borderId="8" xfId="0" applyFont="1" applyBorder="1" applyAlignment="1">
      <alignment vertical="center" wrapText="1"/>
    </xf>
    <xf numFmtId="0" fontId="66" fillId="0" borderId="26" xfId="0" applyFont="1" applyBorder="1" applyAlignment="1">
      <alignment horizontal="center" vertical="center"/>
    </xf>
    <xf numFmtId="0" fontId="66" fillId="0" borderId="8" xfId="0" applyFont="1" applyBorder="1" applyAlignment="1">
      <alignment horizontal="center" vertical="center"/>
    </xf>
    <xf numFmtId="0" fontId="68" fillId="0" borderId="52" xfId="0" applyFont="1" applyBorder="1" applyAlignment="1">
      <alignment horizontal="center" vertical="center" wrapText="1"/>
    </xf>
    <xf numFmtId="0" fontId="4" fillId="0" borderId="51" xfId="0" applyFont="1" applyBorder="1" applyAlignment="1">
      <alignment wrapText="1"/>
    </xf>
    <xf numFmtId="0" fontId="4" fillId="0" borderId="45" xfId="0" applyFont="1" applyBorder="1" applyAlignment="1">
      <alignment wrapText="1"/>
    </xf>
    <xf numFmtId="0" fontId="4" fillId="0" borderId="53" xfId="0" applyFont="1" applyBorder="1" applyAlignment="1">
      <alignment wrapText="1"/>
    </xf>
    <xf numFmtId="0" fontId="4" fillId="0" borderId="47" xfId="0" applyFont="1" applyBorder="1" applyAlignment="1">
      <alignment wrapText="1"/>
    </xf>
    <xf numFmtId="0" fontId="4" fillId="0" borderId="54" xfId="0" applyFont="1" applyBorder="1" applyAlignment="1">
      <alignment wrapText="1"/>
    </xf>
    <xf numFmtId="0" fontId="4" fillId="0" borderId="38"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26" xfId="0" applyFont="1" applyBorder="1" applyAlignment="1">
      <alignment horizontal="center" vertical="center"/>
    </xf>
    <xf numFmtId="0" fontId="2" fillId="0" borderId="8" xfId="0" applyFont="1" applyBorder="1" applyAlignment="1">
      <alignment horizontal="center" vertical="center"/>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6" fillId="0" borderId="58"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60" xfId="0" applyFont="1" applyBorder="1" applyAlignment="1">
      <alignment horizontal="center" vertical="center" wrapText="1"/>
    </xf>
    <xf numFmtId="0" fontId="6" fillId="0" borderId="35"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0" fillId="0" borderId="63" xfId="0" applyBorder="1" applyAlignment="1">
      <alignment horizontal="center" vertical="center" wrapText="1"/>
    </xf>
    <xf numFmtId="11" fontId="2" fillId="0" borderId="55" xfId="0" applyNumberFormat="1" applyFont="1" applyBorder="1" applyAlignment="1">
      <alignment horizontal="center" vertical="center" wrapText="1"/>
    </xf>
    <xf numFmtId="0" fontId="2" fillId="0" borderId="56" xfId="0" applyFont="1" applyBorder="1" applyAlignment="1">
      <alignment vertical="center" wrapText="1"/>
    </xf>
    <xf numFmtId="0" fontId="2" fillId="0" borderId="57" xfId="0" applyFont="1" applyBorder="1" applyAlignment="1">
      <alignment vertical="center" wrapText="1"/>
    </xf>
    <xf numFmtId="0" fontId="6" fillId="0" borderId="18" xfId="0" applyFont="1" applyFill="1" applyBorder="1" applyAlignment="1" applyProtection="1">
      <alignment horizontal="center" vertical="center"/>
    </xf>
    <xf numFmtId="0" fontId="0" fillId="0" borderId="18" xfId="0" applyBorder="1" applyAlignment="1">
      <alignment horizontal="center" vertical="center"/>
    </xf>
    <xf numFmtId="0" fontId="6" fillId="0" borderId="16" xfId="52" applyFont="1" applyBorder="1" applyAlignment="1">
      <alignment horizontal="center" vertical="center"/>
    </xf>
    <xf numFmtId="0" fontId="6" fillId="0" borderId="8" xfId="52" applyFont="1" applyBorder="1" applyAlignment="1">
      <alignment horizontal="center" vertical="center"/>
    </xf>
    <xf numFmtId="0" fontId="6" fillId="0" borderId="33" xfId="52" applyFont="1" applyFill="1" applyBorder="1" applyAlignment="1">
      <alignment horizontal="right" vertical="center"/>
    </xf>
    <xf numFmtId="0" fontId="6" fillId="0" borderId="38" xfId="52" applyFont="1" applyFill="1" applyBorder="1" applyAlignment="1">
      <alignment horizontal="right" vertical="center"/>
    </xf>
    <xf numFmtId="11" fontId="6" fillId="0" borderId="1" xfId="0" applyNumberFormat="1" applyFont="1" applyBorder="1" applyAlignment="1">
      <alignment horizontal="center" vertical="center" wrapText="1"/>
    </xf>
    <xf numFmtId="11" fontId="6" fillId="0" borderId="33" xfId="52" applyNumberFormat="1" applyFont="1" applyBorder="1" applyAlignment="1">
      <alignment horizontal="center" vertical="center" wrapText="1"/>
    </xf>
    <xf numFmtId="11" fontId="6" fillId="0" borderId="38" xfId="52" applyNumberFormat="1" applyFont="1" applyBorder="1" applyAlignment="1">
      <alignment horizontal="center" vertical="center" wrapText="1"/>
    </xf>
    <xf numFmtId="11" fontId="6" fillId="0" borderId="14" xfId="52"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83" fillId="0" borderId="1" xfId="0" applyFont="1" applyBorder="1" applyAlignment="1">
      <alignment horizontal="center" vertical="center" wrapText="1"/>
    </xf>
    <xf numFmtId="2"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pplyProtection="1">
      <alignment horizontal="center" vertical="center"/>
    </xf>
    <xf numFmtId="0" fontId="6" fillId="0" borderId="1" xfId="0" applyFont="1" applyBorder="1" applyAlignment="1">
      <alignment horizontal="center" vertical="center" wrapText="1"/>
    </xf>
    <xf numFmtId="0" fontId="4" fillId="0" borderId="38" xfId="0" applyFont="1" applyBorder="1" applyAlignment="1">
      <alignment horizontal="center" wrapText="1"/>
    </xf>
    <xf numFmtId="0" fontId="4" fillId="0" borderId="14" xfId="0" applyFont="1" applyBorder="1" applyAlignment="1">
      <alignment horizontal="center" wrapText="1"/>
    </xf>
    <xf numFmtId="0" fontId="6" fillId="0" borderId="35" xfId="0" applyFont="1" applyBorder="1" applyAlignment="1">
      <alignment horizontal="center" wrapText="1"/>
    </xf>
    <xf numFmtId="11" fontId="2" fillId="0" borderId="55" xfId="0" applyNumberFormat="1" applyFont="1" applyBorder="1" applyAlignment="1">
      <alignment horizontal="center" wrapText="1"/>
    </xf>
    <xf numFmtId="0" fontId="2" fillId="0" borderId="56" xfId="0" applyFont="1" applyBorder="1" applyAlignment="1">
      <alignment wrapText="1"/>
    </xf>
    <xf numFmtId="0" fontId="2" fillId="0" borderId="55" xfId="0" applyFont="1" applyBorder="1" applyAlignment="1">
      <alignment horizontal="center" wrapText="1"/>
    </xf>
    <xf numFmtId="0" fontId="2" fillId="0" borderId="57" xfId="0" applyFont="1" applyBorder="1" applyAlignment="1">
      <alignment wrapText="1"/>
    </xf>
    <xf numFmtId="167" fontId="6" fillId="0" borderId="1" xfId="0" applyNumberFormat="1" applyFont="1" applyBorder="1" applyAlignment="1">
      <alignment horizontal="center" vertical="center" wrapText="1"/>
    </xf>
    <xf numFmtId="0" fontId="6" fillId="0" borderId="1" xfId="41" applyNumberFormat="1" applyFont="1" applyBorder="1" applyAlignment="1">
      <alignment horizontal="center" vertical="center" wrapText="1"/>
    </xf>
    <xf numFmtId="0" fontId="6" fillId="34" borderId="33" xfId="0" applyFont="1" applyFill="1" applyBorder="1" applyAlignment="1">
      <alignment horizontal="center" vertical="center" wrapText="1"/>
    </xf>
    <xf numFmtId="0" fontId="0" fillId="34" borderId="14" xfId="0" applyFill="1" applyBorder="1" applyAlignment="1">
      <alignment horizontal="center" vertical="center" wrapText="1"/>
    </xf>
    <xf numFmtId="0" fontId="6" fillId="0" borderId="1" xfId="41" quotePrefix="1" applyFont="1" applyFill="1" applyBorder="1" applyAlignment="1" applyProtection="1">
      <alignment horizontal="center" vertical="center" wrapText="1"/>
      <protection locked="0"/>
    </xf>
    <xf numFmtId="0" fontId="6" fillId="0" borderId="40" xfId="41" applyFont="1" applyBorder="1" applyAlignment="1" applyProtection="1">
      <alignment horizontal="center" wrapText="1"/>
      <protection locked="0"/>
    </xf>
    <xf numFmtId="0" fontId="1" fillId="0" borderId="51" xfId="0" applyFont="1" applyBorder="1" applyAlignment="1">
      <alignment horizontal="center" wrapText="1"/>
    </xf>
    <xf numFmtId="0" fontId="6" fillId="0" borderId="16" xfId="41" applyFont="1" applyBorder="1" applyAlignment="1">
      <alignment horizontal="center" vertical="center" wrapText="1"/>
    </xf>
    <xf numFmtId="0" fontId="6" fillId="0" borderId="26" xfId="0" applyFont="1" applyBorder="1" applyAlignment="1">
      <alignment horizontal="center" vertical="center" wrapText="1"/>
    </xf>
    <xf numFmtId="0" fontId="0" fillId="0" borderId="8" xfId="0" applyBorder="1" applyAlignment="1">
      <alignment horizontal="center" vertical="center" wrapText="1"/>
    </xf>
    <xf numFmtId="0" fontId="6" fillId="0" borderId="16" xfId="42" applyFont="1" applyFill="1" applyBorder="1" applyAlignment="1">
      <alignment horizontal="center" vertical="center" wrapText="1"/>
    </xf>
    <xf numFmtId="0" fontId="6" fillId="0" borderId="26" xfId="0" applyFont="1" applyFill="1" applyBorder="1" applyAlignment="1">
      <alignment horizontal="center" vertical="center" wrapText="1"/>
    </xf>
    <xf numFmtId="0" fontId="0" fillId="0" borderId="8" xfId="0" applyFill="1" applyBorder="1" applyAlignment="1">
      <alignment horizontal="center" vertical="center" wrapText="1"/>
    </xf>
    <xf numFmtId="0" fontId="6" fillId="0" borderId="1" xfId="42"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42" applyFont="1" applyBorder="1" applyAlignment="1">
      <alignment horizontal="center" vertical="center" wrapText="1"/>
    </xf>
    <xf numFmtId="0" fontId="6" fillId="34" borderId="1" xfId="0" applyFont="1" applyFill="1" applyBorder="1" applyAlignment="1">
      <alignment horizontal="center" vertical="center" wrapText="1"/>
    </xf>
    <xf numFmtId="0" fontId="0" fillId="34" borderId="1" xfId="0" applyFill="1" applyBorder="1" applyAlignment="1">
      <alignment horizontal="center" vertical="center" wrapText="1"/>
    </xf>
    <xf numFmtId="0" fontId="6" fillId="0" borderId="0" xfId="42" applyFont="1" applyBorder="1" applyAlignment="1" applyProtection="1">
      <alignment horizontal="center" wrapText="1"/>
      <protection locked="0"/>
    </xf>
    <xf numFmtId="0" fontId="0" fillId="0" borderId="1" xfId="0" applyBorder="1" applyAlignment="1">
      <alignment horizontal="center"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rmal 2 2" xfId="52" xr:uid="{00000000-0005-0000-0000-000027000000}"/>
    <cellStyle name="Normal 3" xfId="39" xr:uid="{00000000-0005-0000-0000-000028000000}"/>
    <cellStyle name="Normal 4" xfId="40" xr:uid="{00000000-0005-0000-0000-000029000000}"/>
    <cellStyle name="Normal 5" xfId="41" xr:uid="{00000000-0005-0000-0000-00002A000000}"/>
    <cellStyle name="Normal 5 2" xfId="42" xr:uid="{00000000-0005-0000-0000-00002B000000}"/>
    <cellStyle name="Normal 5 3" xfId="43" xr:uid="{00000000-0005-0000-0000-00002C000000}"/>
    <cellStyle name="Normal 6" xfId="44" xr:uid="{00000000-0005-0000-0000-00002D000000}"/>
    <cellStyle name="Normal 7" xfId="55" xr:uid="{46952E3D-9BA6-4863-A2E4-D3AC2DABF526}"/>
    <cellStyle name="Normal 8" xfId="53" xr:uid="{00000000-0005-0000-0000-00002E000000}"/>
    <cellStyle name="Normal 9" xfId="54" xr:uid="{00000000-0005-0000-0000-00002F000000}"/>
    <cellStyle name="Normal_chem-info" xfId="45" xr:uid="{00000000-0005-0000-0000-000030000000}"/>
    <cellStyle name="Normal_chem-info (2)" xfId="46" xr:uid="{00000000-0005-0000-0000-000031000000}"/>
    <cellStyle name="Note 2" xfId="47" xr:uid="{00000000-0005-0000-0000-000032000000}"/>
    <cellStyle name="Output" xfId="48" builtinId="21" customBuiltin="1"/>
    <cellStyle name="Title 2" xfId="49" xr:uid="{00000000-0005-0000-0000-000034000000}"/>
    <cellStyle name="Total" xfId="50" builtinId="25" customBuiltin="1"/>
    <cellStyle name="Warning Text" xfId="5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emf"/><Relationship Id="rId1"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9525</xdr:colOff>
      <xdr:row>80</xdr:row>
      <xdr:rowOff>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0" y="0"/>
          <a:ext cx="10220325" cy="13344525"/>
        </a:xfrm>
        <a:prstGeom prst="rect">
          <a:avLst/>
        </a:prstGeom>
        <a:noFill/>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b="1"/>
            <a:t>April 2026</a:t>
          </a:r>
        </a:p>
        <a:p>
          <a:endParaRPr lang="en-US" sz="1200"/>
        </a:p>
        <a:p>
          <a:r>
            <a:rPr lang="en-US" sz="1200">
              <a:solidFill>
                <a:srgbClr val="C00000"/>
              </a:solidFill>
            </a:rPr>
            <a:t>**This spreadsheet will be updated</a:t>
          </a:r>
          <a:r>
            <a:rPr lang="en-US" sz="1200" baseline="0">
              <a:solidFill>
                <a:srgbClr val="C00000"/>
              </a:solidFill>
            </a:rPr>
            <a:t> periodically. Notifications of updates will be provided using MPCA's email subscription service GovDelivery. MPCA reserves the right to use the most up-to-date chemical information during site-specific risk assessments.** </a:t>
          </a:r>
        </a:p>
        <a:p>
          <a:endParaRPr lang="en-US" sz="1200" baseline="0">
            <a:solidFill>
              <a:sysClr val="windowText" lastClr="000000"/>
            </a:solidFill>
          </a:endParaRPr>
        </a:p>
        <a:p>
          <a:r>
            <a:rPr lang="en-US" sz="1200" baseline="0">
              <a:solidFill>
                <a:sysClr val="windowText" lastClr="000000"/>
              </a:solidFill>
            </a:rPr>
            <a:t>The Soil Reference Value (SRV) spreadsheet calculates SRVs specific to a land use category. There are 2 land use category SRVs: Residential/Recreational and Commercial/Industrial. Each land use category has 3 tabs: Equations, Calculations and Worksheet. </a:t>
          </a:r>
        </a:p>
        <a:p>
          <a:endParaRPr lang="en-US" sz="1200" b="0" i="0" baseline="0">
            <a:solidFill>
              <a:srgbClr val="FF0000"/>
            </a:solidFill>
          </a:endParaRPr>
        </a:p>
        <a:p>
          <a:r>
            <a:rPr lang="en-US" sz="1200" b="1" i="1"/>
            <a:t>Overview:</a:t>
          </a:r>
          <a:r>
            <a:rPr lang="en-US" sz="1200" b="1"/>
            <a:t> </a:t>
          </a:r>
          <a:r>
            <a:rPr lang="en-US" sz="1200"/>
            <a:t>Provides an explanation of the different tabs within the SRV spreadsheet and how to use them.</a:t>
          </a:r>
        </a:p>
        <a:p>
          <a:r>
            <a:rPr lang="en-US" sz="1200" b="1"/>
            <a:t> </a:t>
          </a:r>
          <a:endParaRPr lang="en-US" sz="1200"/>
        </a:p>
        <a:p>
          <a:r>
            <a:rPr lang="en-US" sz="1200" b="1" i="1"/>
            <a:t>Chemical Info</a:t>
          </a:r>
          <a:r>
            <a:rPr lang="en-US" sz="1200" b="1"/>
            <a:t>: </a:t>
          </a:r>
          <a:r>
            <a:rPr lang="en-US" sz="1200"/>
            <a:t>Contains toxicity values and chemicals specific parameters for all chemicals for which SRVs are derived. </a:t>
          </a:r>
        </a:p>
        <a:p>
          <a:r>
            <a:rPr lang="en-US" sz="1200" b="1"/>
            <a:t> </a:t>
          </a:r>
          <a:endParaRPr lang="en-US" sz="1200"/>
        </a:p>
        <a:p>
          <a:r>
            <a:rPr lang="en-US" sz="1200" b="1" i="1">
              <a:solidFill>
                <a:srgbClr val="008000"/>
              </a:solidFill>
            </a:rPr>
            <a:t>Res-Rec Equations</a:t>
          </a:r>
          <a:r>
            <a:rPr lang="en-US" sz="1200" b="1"/>
            <a:t>:</a:t>
          </a:r>
          <a:r>
            <a:rPr lang="en-US" sz="1200"/>
            <a:t> Provides equations used to derive Residential/Recreational SRVs. </a:t>
          </a:r>
        </a:p>
        <a:p>
          <a:endParaRPr lang="en-US" sz="1200" b="1" i="1">
            <a:solidFill>
              <a:srgbClr val="008000"/>
            </a:solidFill>
          </a:endParaRPr>
        </a:p>
        <a:p>
          <a:r>
            <a:rPr lang="en-US" sz="1200" b="1" i="1">
              <a:solidFill>
                <a:srgbClr val="008000"/>
              </a:solidFill>
            </a:rPr>
            <a:t>Res-Rec Calculations</a:t>
          </a:r>
          <a:r>
            <a:rPr lang="en-US" sz="1200" b="1"/>
            <a:t>: </a:t>
          </a:r>
          <a:r>
            <a:rPr lang="en-US" sz="1200"/>
            <a:t>Contains calculations to derive Residential/Recreational SRVs. Includes both noncancer and cancer calculations and the contribution of each exposure pathway. </a:t>
          </a:r>
        </a:p>
        <a:p>
          <a:r>
            <a:rPr lang="en-US" sz="1200"/>
            <a:t> </a:t>
          </a:r>
        </a:p>
        <a:p>
          <a:r>
            <a:rPr lang="en-US" sz="1200" b="1" i="1">
              <a:solidFill>
                <a:srgbClr val="008000"/>
              </a:solidFill>
            </a:rPr>
            <a:t>Res-Rec Worksheet</a:t>
          </a:r>
          <a:r>
            <a:rPr lang="en-US" sz="1200" b="1"/>
            <a:t>: </a:t>
          </a:r>
          <a:r>
            <a:rPr lang="en-US" sz="1200"/>
            <a:t>Provides acute SRVs </a:t>
          </a:r>
          <a:r>
            <a:rPr lang="en-US" sz="1200" baseline="0"/>
            <a:t>and </a:t>
          </a:r>
          <a:r>
            <a:rPr lang="en-US" sz="1200"/>
            <a:t>final chronic Residential/Recreational SRVs,</a:t>
          </a:r>
          <a:r>
            <a:rPr lang="en-US" sz="1200" baseline="0"/>
            <a:t> </a:t>
          </a:r>
          <a:r>
            <a:rPr lang="en-US" sz="1200"/>
            <a:t>a column to enter site chemical concentrations (highlighted in blue) for comparison to SRVs, and calculates individual hazard quotients (HQs)</a:t>
          </a:r>
          <a:r>
            <a:rPr lang="en-US" sz="1200" baseline="0"/>
            <a:t> and excess lifetime cancer risks (ELCRs)</a:t>
          </a:r>
          <a:r>
            <a:rPr lang="en-US" sz="1200"/>
            <a:t>.  </a:t>
          </a:r>
        </a:p>
        <a:p>
          <a:r>
            <a:rPr lang="en-US" sz="1200"/>
            <a:t> </a:t>
          </a:r>
        </a:p>
        <a:p>
          <a:r>
            <a:rPr lang="en-US" sz="1200" b="1" i="1">
              <a:solidFill>
                <a:srgbClr val="0070C0"/>
              </a:solidFill>
            </a:rPr>
            <a:t>Com-Ind Equations</a:t>
          </a:r>
          <a:r>
            <a:rPr lang="en-US" sz="1200" b="1"/>
            <a:t>: </a:t>
          </a:r>
          <a:r>
            <a:rPr lang="en-US" sz="1200"/>
            <a:t>Provides equations used to derive Commercial/Industrial SRVs.</a:t>
          </a:r>
        </a:p>
        <a:p>
          <a:r>
            <a:rPr lang="en-US" sz="1200" b="1"/>
            <a:t> </a:t>
          </a:r>
          <a:endParaRPr lang="en-US" sz="1200"/>
        </a:p>
        <a:p>
          <a:r>
            <a:rPr lang="en-US" sz="1200" b="1" i="1">
              <a:solidFill>
                <a:srgbClr val="0070C0"/>
              </a:solidFill>
            </a:rPr>
            <a:t>Com-Ind</a:t>
          </a:r>
          <a:r>
            <a:rPr lang="en-US" sz="1200" b="1" i="1" baseline="0">
              <a:solidFill>
                <a:srgbClr val="0070C0"/>
              </a:solidFill>
            </a:rPr>
            <a:t> </a:t>
          </a:r>
          <a:r>
            <a:rPr lang="en-US" sz="1200" b="1" i="1">
              <a:solidFill>
                <a:srgbClr val="0070C0"/>
              </a:solidFill>
            </a:rPr>
            <a:t>Calculations</a:t>
          </a:r>
          <a:r>
            <a:rPr lang="en-US" sz="1200" b="1"/>
            <a:t>: </a:t>
          </a:r>
          <a:r>
            <a:rPr lang="en-US" sz="1200"/>
            <a:t>Contains calculations to derive Commercial/Industrial SRVs. Includes both noncancer and cancer calculations and the contribution of each exposure pathway.</a:t>
          </a:r>
        </a:p>
        <a:p>
          <a:r>
            <a:rPr lang="en-US" sz="1200" b="1"/>
            <a:t> </a:t>
          </a:r>
          <a:endParaRPr lang="en-US" sz="1200"/>
        </a:p>
        <a:p>
          <a:pPr>
            <a:lnSpc>
              <a:spcPts val="1400"/>
            </a:lnSpc>
          </a:pPr>
          <a:r>
            <a:rPr lang="en-US" sz="1200" b="1" i="1">
              <a:solidFill>
                <a:srgbClr val="0070C0"/>
              </a:solidFill>
            </a:rPr>
            <a:t>Com-Ind Worksheet</a:t>
          </a:r>
          <a:r>
            <a:rPr lang="en-US" sz="1200" b="1"/>
            <a:t>: </a:t>
          </a:r>
          <a:r>
            <a:rPr lang="en-US" sz="1200"/>
            <a:t>Provides final chronic Commercial/Industrial SRVs, a column to enter site chemicals concentrations (highlighted in blue) for comparison to the SRVs, and calculates individual HQs and ELCRs.  </a:t>
          </a:r>
        </a:p>
        <a:p>
          <a:pPr>
            <a:lnSpc>
              <a:spcPts val="1400"/>
            </a:lnSpc>
          </a:pPr>
          <a:r>
            <a:rPr lang="en-US" sz="1200" b="1"/>
            <a:t> </a:t>
          </a:r>
          <a:endParaRPr lang="en-US" sz="1200"/>
        </a:p>
        <a:p>
          <a:r>
            <a:rPr lang="en-US" sz="1200" b="1" i="1"/>
            <a:t>BaP Equivalents</a:t>
          </a:r>
          <a:r>
            <a:rPr lang="en-US" sz="1200" b="1"/>
            <a:t>: </a:t>
          </a:r>
          <a:r>
            <a:rPr lang="en-US" sz="1200"/>
            <a:t>Worksheet used to calculate B[a]P Equivalents to be used in the applicable land</a:t>
          </a:r>
          <a:r>
            <a:rPr lang="en-US" sz="1200" baseline="0"/>
            <a:t> use category</a:t>
          </a:r>
          <a:r>
            <a:rPr lang="en-US" sz="1200"/>
            <a:t> SRV Worksheet. Once</a:t>
          </a:r>
          <a:r>
            <a:rPr lang="en-US" sz="1200" baseline="0"/>
            <a:t> calculated, </a:t>
          </a:r>
          <a:r>
            <a:rPr lang="en-US" sz="1200"/>
            <a:t>B[a]P Equivalent concentration should be entered in the applicable land use category SRV Worksheet. </a:t>
          </a:r>
        </a:p>
        <a:p>
          <a:r>
            <a:rPr lang="en-US" sz="1200" b="1"/>
            <a:t> </a:t>
          </a:r>
          <a:endParaRPr lang="en-US" sz="1200"/>
        </a:p>
        <a:p>
          <a:r>
            <a:rPr lang="en-US" sz="1200" b="1" i="1"/>
            <a:t>TCDD Equivalents</a:t>
          </a:r>
          <a:r>
            <a:rPr lang="en-US" sz="1200" b="1"/>
            <a:t>: </a:t>
          </a:r>
          <a:r>
            <a:rPr lang="en-US" sz="1200"/>
            <a:t>Worksheet used to calculate TCDD Equivalents to be used in the applicable land use category SRV Worksheet. Once calculated, TCDD Equivalent concentration should be entered in the applicable</a:t>
          </a:r>
          <a:r>
            <a:rPr lang="en-US" sz="1200" baseline="0"/>
            <a:t> </a:t>
          </a:r>
          <a:r>
            <a:rPr lang="en-US" sz="1200"/>
            <a:t>land use category SRV Worksheet. </a:t>
          </a:r>
        </a:p>
        <a:p>
          <a:r>
            <a:rPr lang="en-US" sz="1200"/>
            <a:t> </a:t>
          </a:r>
        </a:p>
        <a:p>
          <a:r>
            <a:rPr lang="en-US" sz="1400" b="1">
              <a:solidFill>
                <a:sysClr val="windowText" lastClr="000000"/>
              </a:solidFill>
            </a:rPr>
            <a:t>Instructions</a:t>
          </a:r>
        </a:p>
        <a:p>
          <a:r>
            <a:rPr lang="en-US" sz="1200"/>
            <a:t>This SRV spreadsheet may be used for risk evaluation. The SRVs calculated</a:t>
          </a:r>
          <a:r>
            <a:rPr lang="en-US" sz="1200" baseline="0"/>
            <a:t> in</a:t>
          </a:r>
          <a:r>
            <a:rPr lang="en-US" sz="1200"/>
            <a:t> this spreadsheet are based on default exposure assumptions/parameters</a:t>
          </a:r>
          <a:r>
            <a:rPr lang="en-US" sz="1200" baseline="0"/>
            <a:t> or, as noted on the Worksheet tabs for a small number of compounds, background threshold values (BTVs). Please refer to the Soil Reference Value Technical Support Document (SRV TSD) and program-specific guidance for additional information.  </a:t>
          </a:r>
        </a:p>
        <a:p>
          <a:pPr>
            <a:lnSpc>
              <a:spcPts val="1400"/>
            </a:lnSpc>
          </a:pPr>
          <a:endParaRPr lang="en-US" sz="1200" baseline="0"/>
        </a:p>
        <a:p>
          <a:r>
            <a:rPr lang="en-US" sz="1200" b="1" i="1" baseline="0">
              <a:solidFill>
                <a:sysClr val="windowText" lastClr="000000"/>
              </a:solidFill>
            </a:rPr>
            <a:t>Risk Evaluation using SRV Spreadsheet</a:t>
          </a:r>
        </a:p>
        <a:p>
          <a:r>
            <a:rPr lang="en-US" sz="1200" b="0" i="0" baseline="0">
              <a:solidFill>
                <a:sysClr val="windowText" lastClr="000000"/>
              </a:solidFill>
            </a:rPr>
            <a:t>1) Choose </a:t>
          </a:r>
          <a:r>
            <a:rPr lang="en-US" sz="1200" b="0" i="0" baseline="0"/>
            <a:t>appropriate land use category.</a:t>
          </a:r>
        </a:p>
        <a:p>
          <a:r>
            <a:rPr lang="en-US" sz="1200" b="0" i="0" baseline="0"/>
            <a:t>2) In land use category "Worksheet" tab:</a:t>
          </a:r>
        </a:p>
        <a:p>
          <a:r>
            <a:rPr lang="en-US" sz="1200" b="0" i="0" baseline="0"/>
            <a:t>       If using the "Res-Rec" land use category, enter site maximum concentration for each chemical included in the evaluation that has an acute SRV into the</a:t>
          </a:r>
        </a:p>
        <a:p>
          <a:r>
            <a:rPr lang="en-US" sz="1200" b="0" i="0" baseline="0"/>
            <a:t>      "Site Maximum Concentration" column. There is no "Site Maximum Concentration" column in the Com/Ind land use category Worksheet tab.</a:t>
          </a:r>
        </a:p>
        <a:p>
          <a:pPr>
            <a:lnSpc>
              <a:spcPts val="1400"/>
            </a:lnSpc>
          </a:pPr>
          <a:r>
            <a:rPr lang="en-US" sz="1200" b="0" i="0" baseline="0"/>
            <a:t>3) In land use category "Worksheet" tab: </a:t>
          </a:r>
        </a:p>
        <a:p>
          <a:pPr>
            <a:lnSpc>
              <a:spcPts val="1400"/>
            </a:lnSpc>
          </a:pPr>
          <a:r>
            <a:rPr lang="en-US" sz="1200" b="0" i="0" baseline="0"/>
            <a:t>       Enter maximum site sample concentration, or the 95% upper confidence limit (95% UCL) of the mean concentration of defined exposure area, for each chemical included in the evaluation into the "Maximum Site Sample Concentration" column.</a:t>
          </a:r>
        </a:p>
        <a:p>
          <a:r>
            <a:rPr lang="en-US" sz="1200" b="0" i="0" baseline="0"/>
            <a:t>4) If evaluating B[a]P and/or TCDD, enter individual B[a]P and/or TCDD concentrations into "Site Concentrations" columns of the "BaP Equivalents" and /or    </a:t>
          </a:r>
        </a:p>
        <a:p>
          <a:r>
            <a:rPr lang="en-US" sz="1200" b="0" i="0" baseline="0"/>
            <a:t>       "TCDD Equivalents" tabs. Equivalent concentrations will automatically calculate in the respective tabs. The final equivalent concentrations should </a:t>
          </a:r>
        </a:p>
        <a:p>
          <a:r>
            <a:rPr lang="en-US" sz="1200" b="0" i="0" baseline="0"/>
            <a:t>        be entered into the applicable land use category SRV Worksheet.</a:t>
          </a:r>
        </a:p>
        <a:p>
          <a:r>
            <a:rPr lang="en-US" sz="1200" b="0" i="0" baseline="0"/>
            <a:t>5) Evaluating acute risks</a:t>
          </a:r>
        </a:p>
        <a:p>
          <a:r>
            <a:rPr lang="en-US" sz="1200" b="0" i="0" baseline="0"/>
            <a:t>       Compare site maximum concentration to acute SRV.</a:t>
          </a:r>
        </a:p>
        <a:p>
          <a:r>
            <a:rPr lang="en-US" sz="1200" b="0" i="0" baseline="0"/>
            <a:t>       Please refer to the SRV TSD and program-specific guidance for information. </a:t>
          </a:r>
        </a:p>
        <a:p>
          <a:r>
            <a:rPr lang="en-US" sz="1200" b="0" i="0" baseline="0"/>
            <a:t>6) Evaluating chronic risks</a:t>
          </a:r>
        </a:p>
        <a:p>
          <a:r>
            <a:rPr lang="en-US" sz="1200" b="0" i="0" baseline="0"/>
            <a:t>       Compare maximum site sample concentration (or site 95% UCL of the mean) to chronic SRV.</a:t>
          </a:r>
        </a:p>
        <a:p>
          <a:r>
            <a:rPr lang="en-US" sz="1200" b="0" i="0" baseline="0"/>
            <a:t>       Please refer to the SRV TSD and program-specific guidance for information. </a:t>
          </a:r>
        </a:p>
        <a:p>
          <a:endParaRPr lang="en-US" sz="1200" baseline="0"/>
        </a:p>
        <a:p>
          <a:endParaRPr lang="en-US" sz="1200" b="0" i="0" kern="1200" baseline="0">
            <a:solidFill>
              <a:schemeClr val="tx1"/>
            </a:solidFill>
            <a:effectLst/>
            <a:latin typeface="+mn-lt"/>
            <a:ea typeface="+mn-ea"/>
            <a:cs typeface="+mn-cs"/>
          </a:endParaRPr>
        </a:p>
        <a:p>
          <a:endParaRPr lang="en-US" sz="1200" b="0" i="0" kern="1200" baseline="0">
            <a:solidFill>
              <a:schemeClr val="tx1"/>
            </a:solidFill>
            <a:effectLst/>
            <a:latin typeface="+mn-lt"/>
            <a:ea typeface="+mn-ea"/>
            <a:cs typeface="+mn-cs"/>
          </a:endParaRPr>
        </a:p>
        <a:p>
          <a:endParaRPr lang="en-US" sz="1200" b="0" i="0" baseline="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139562</xdr:colOff>
      <xdr:row>97</xdr:row>
      <xdr:rowOff>120429</xdr:rowOff>
    </xdr:from>
    <xdr:ext cx="2819485" cy="610571"/>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139562" y="16564555"/>
              <a:ext cx="2906542" cy="5911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a:rPr>
                      <m:t>𝑉𝐹</m:t>
                    </m:r>
                    <m:r>
                      <a:rPr lang="en-US" sz="1200" i="1">
                        <a:latin typeface="Cambria Math"/>
                      </a:rPr>
                      <m:t>=</m:t>
                    </m:r>
                    <m:f>
                      <m:fPr>
                        <m:ctrlPr>
                          <a:rPr lang="en-US" sz="1200" i="1">
                            <a:latin typeface="Cambria Math" panose="02040503050406030204" pitchFamily="18" charset="0"/>
                          </a:rPr>
                        </m:ctrlPr>
                      </m:fPr>
                      <m:num>
                        <m:f>
                          <m:fPr>
                            <m:ctrlPr>
                              <a:rPr lang="en-US" sz="1200" b="0" i="1">
                                <a:latin typeface="Cambria Math" panose="02040503050406030204" pitchFamily="18" charset="0"/>
                              </a:rPr>
                            </m:ctrlPr>
                          </m:fPr>
                          <m:num>
                            <m:r>
                              <a:rPr lang="en-US" sz="1200" b="0" i="1">
                                <a:latin typeface="Cambria Math"/>
                              </a:rPr>
                              <m:t>𝑄</m:t>
                            </m:r>
                          </m:num>
                          <m:den>
                            <m:r>
                              <a:rPr lang="en-US" sz="1200" b="0" i="1">
                                <a:latin typeface="Cambria Math"/>
                              </a:rPr>
                              <m:t>𝐶</m:t>
                            </m:r>
                          </m:den>
                        </m:f>
                        <m:r>
                          <a:rPr lang="en-US" sz="1200" b="0" i="1">
                            <a:latin typeface="Cambria Math"/>
                          </a:rPr>
                          <m:t>∗</m:t>
                        </m:r>
                        <m:sSup>
                          <m:sSupPr>
                            <m:ctrlPr>
                              <a:rPr lang="en-US" sz="1200" b="0" i="1">
                                <a:latin typeface="Cambria Math" panose="02040503050406030204" pitchFamily="18" charset="0"/>
                              </a:rPr>
                            </m:ctrlPr>
                          </m:sSupPr>
                          <m:e>
                            <m:d>
                              <m:dPr>
                                <m:ctrlPr>
                                  <a:rPr lang="en-US" sz="1200" b="0" i="1">
                                    <a:latin typeface="Cambria Math" panose="02040503050406030204" pitchFamily="18" charset="0"/>
                                  </a:rPr>
                                </m:ctrlPr>
                              </m:dPr>
                              <m:e>
                                <m:r>
                                  <a:rPr lang="en-US" sz="1200" b="0" i="1">
                                    <a:latin typeface="Cambria Math"/>
                                  </a:rPr>
                                  <m:t>3.14∗</m:t>
                                </m:r>
                                <m:r>
                                  <a:rPr lang="en-US" sz="1200" b="0" i="1">
                                    <a:latin typeface="Cambria Math"/>
                                  </a:rPr>
                                  <m:t>𝐷𝑎</m:t>
                                </m:r>
                                <m:r>
                                  <a:rPr lang="en-US" sz="1200" b="0" i="1">
                                    <a:latin typeface="Cambria Math"/>
                                  </a:rPr>
                                  <m:t>∗</m:t>
                                </m:r>
                                <m:r>
                                  <a:rPr lang="en-US" sz="1200" b="0" i="1">
                                    <a:latin typeface="Cambria Math"/>
                                  </a:rPr>
                                  <m:t>𝑇</m:t>
                                </m:r>
                              </m:e>
                            </m:d>
                          </m:e>
                          <m:sup>
                            <m:r>
                              <a:rPr lang="en-US" sz="1200" b="0" i="1">
                                <a:latin typeface="Cambria Math"/>
                              </a:rPr>
                              <m:t>1/2</m:t>
                            </m:r>
                          </m:sup>
                        </m:sSup>
                        <m:r>
                          <a:rPr lang="en-US" sz="1200" b="0" i="1">
                            <a:latin typeface="Cambria Math"/>
                          </a:rPr>
                          <m:t>∗0.0001</m:t>
                        </m:r>
                      </m:num>
                      <m:den>
                        <m:r>
                          <a:rPr lang="en-US" sz="1200" b="0" i="1">
                            <a:latin typeface="Cambria Math"/>
                          </a:rPr>
                          <m:t>2∗</m:t>
                        </m:r>
                        <m:r>
                          <a:rPr lang="en-US" sz="1200" b="0" i="1">
                            <a:latin typeface="Cambria Math"/>
                          </a:rPr>
                          <m:t>𝑝𝑏</m:t>
                        </m:r>
                        <m:r>
                          <a:rPr lang="en-US" sz="1200" b="0" i="1">
                            <a:latin typeface="Cambria Math"/>
                          </a:rPr>
                          <m:t>∗</m:t>
                        </m:r>
                        <m:r>
                          <a:rPr lang="en-US" sz="1200" b="0" i="1">
                            <a:latin typeface="Cambria Math"/>
                          </a:rPr>
                          <m:t>𝐷𝑎</m:t>
                        </m:r>
                      </m:den>
                    </m:f>
                  </m:oMath>
                </m:oMathPara>
              </a14:m>
              <a:endParaRPr lang="en-US" sz="1200"/>
            </a:p>
          </xdr:txBody>
        </xdr:sp>
      </mc:Choice>
      <mc:Fallback xmlns="">
        <xdr:sp macro="" textlink="">
          <xdr:nvSpPr>
            <xdr:cNvPr id="8" name="TextBox 7"/>
            <xdr:cNvSpPr txBox="1"/>
          </xdr:nvSpPr>
          <xdr:spPr>
            <a:xfrm xmlns:a="http://schemas.openxmlformats.org/drawingml/2006/main">
              <a:off x="139562" y="16564555"/>
              <a:ext cx="2906542" cy="591187"/>
            </a:xfrm>
            <a:prstGeom xmlns:a="http://schemas.openxmlformats.org/drawingml/2006/main" prst="rect">
              <a:avLst/>
            </a:prstGeom>
            <a:noFill xmlns:a="http://schemas.openxmlformats.org/drawingml/2006/main"/>
          </xdr:spPr>
          <x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xmlns:a="http://schemas.openxmlformats.org/drawingml/2006/main" vertOverflow="clip" horzOverflow="clip" wrap="square" rtlCol="0" anchor="t">
              <a:spAutoFit/>
            </a:bodyPr>
            <a:lstStyle xmlns:a="http://schemas.openxmlformats.org/drawingml/2006/main"/>
            <a:p xmlns:a="http://schemas.openxmlformats.org/drawingml/2006/main">
              <a:pPr/>
              <a:r>
                <a:rPr lang="en-US" sz="1200" b="0" i="0">
                  <a:latin typeface="Cambria Math"/>
                </a:rPr>
                <a:t>𝑉𝐹</a:t>
              </a:r>
              <a:r>
                <a:rPr lang="en-US" sz="1200" i="0">
                  <a:latin typeface="Cambria Math"/>
                </a:rPr>
                <a:t>=</a:t>
              </a:r>
              <a:r>
                <a:rPr lang="en-US" sz="1200" i="0">
                  <a:latin typeface="Cambria Math" panose="02040503050406030204" pitchFamily="18" charset="0"/>
                </a:rPr>
                <a:t>(</a:t>
              </a:r>
              <a:r>
                <a:rPr lang="en-US" sz="1200" b="0" i="0">
                  <a:latin typeface="Cambria Math"/>
                </a:rPr>
                <a:t>𝑄</a:t>
              </a:r>
              <a:r>
                <a:rPr lang="en-US" sz="1200" b="0" i="0">
                  <a:latin typeface="Cambria Math" panose="02040503050406030204" pitchFamily="18" charset="0"/>
                </a:rPr>
                <a:t>/</a:t>
              </a:r>
              <a:r>
                <a:rPr lang="en-US" sz="1200" b="0" i="0">
                  <a:latin typeface="Cambria Math"/>
                </a:rPr>
                <a:t>𝐶∗</a:t>
              </a:r>
              <a:r>
                <a:rPr lang="en-US" sz="1200" b="0" i="0">
                  <a:latin typeface="Cambria Math" panose="02040503050406030204" pitchFamily="18" charset="0"/>
                </a:rPr>
                <a:t>(</a:t>
              </a:r>
              <a:r>
                <a:rPr lang="en-US" sz="1200" b="0" i="0">
                  <a:latin typeface="Cambria Math"/>
                </a:rPr>
                <a:t>3.14∗𝐷𝑎∗𝑇</a:t>
              </a:r>
              <a:r>
                <a:rPr lang="en-US" sz="1200" b="0" i="0">
                  <a:latin typeface="Cambria Math" panose="02040503050406030204" pitchFamily="18" charset="0"/>
                </a:rPr>
                <a:t>)^(</a:t>
              </a:r>
              <a:r>
                <a:rPr lang="en-US" sz="1200" b="0" i="0">
                  <a:latin typeface="Cambria Math"/>
                </a:rPr>
                <a:t>1/2</a:t>
              </a:r>
              <a:r>
                <a:rPr lang="en-US" sz="1200" b="0" i="0">
                  <a:latin typeface="Cambria Math" panose="02040503050406030204" pitchFamily="18" charset="0"/>
                </a:rPr>
                <a:t>)</a:t>
              </a:r>
              <a:r>
                <a:rPr lang="en-US" sz="1200" b="0" i="0">
                  <a:latin typeface="Cambria Math"/>
                </a:rPr>
                <a:t>∗0.0001</a:t>
              </a:r>
              <a:r>
                <a:rPr lang="en-US" sz="1200" b="0" i="0">
                  <a:latin typeface="Cambria Math" panose="02040503050406030204" pitchFamily="18" charset="0"/>
                </a:rPr>
                <a:t>)/(</a:t>
              </a:r>
              <a:r>
                <a:rPr lang="en-US" sz="1200" b="0" i="0">
                  <a:latin typeface="Cambria Math"/>
                </a:rPr>
                <a:t>2∗𝑝𝑏∗𝐷𝑎</a:t>
              </a:r>
              <a:r>
                <a:rPr lang="en-US" sz="1200" b="0" i="0">
                  <a:latin typeface="Cambria Math" panose="02040503050406030204" pitchFamily="18" charset="0"/>
                </a:rPr>
                <a:t>)</a:t>
              </a:r>
              <a:endParaRPr lang="en-US" sz="1200"/>
            </a:p>
          </xdr:txBody>
        </xdr:sp>
      </mc:Fallback>
    </mc:AlternateContent>
    <xdr:clientData/>
  </xdr:oneCellAnchor>
  <xdr:oneCellAnchor>
    <xdr:from>
      <xdr:col>0</xdr:col>
      <xdr:colOff>156127</xdr:colOff>
      <xdr:row>110</xdr:row>
      <xdr:rowOff>91108</xdr:rowOff>
    </xdr:from>
    <xdr:ext cx="2805818" cy="592470"/>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6127" y="19107978"/>
              <a:ext cx="2805818"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a:rPr>
                      <m:t>𝑉𝐹</m:t>
                    </m:r>
                    <m:r>
                      <a:rPr lang="en-US" sz="1200" i="1">
                        <a:latin typeface="Cambria Math"/>
                      </a:rPr>
                      <m:t>=</m:t>
                    </m:r>
                    <m:f>
                      <m:fPr>
                        <m:ctrlPr>
                          <a:rPr lang="en-US" sz="1200" i="1">
                            <a:latin typeface="Cambria Math" panose="02040503050406030204" pitchFamily="18" charset="0"/>
                          </a:rPr>
                        </m:ctrlPr>
                      </m:fPr>
                      <m:num>
                        <m:f>
                          <m:fPr>
                            <m:ctrlPr>
                              <a:rPr lang="en-US" sz="1200" b="0" i="1">
                                <a:latin typeface="Cambria Math" panose="02040503050406030204" pitchFamily="18" charset="0"/>
                              </a:rPr>
                            </m:ctrlPr>
                          </m:fPr>
                          <m:num>
                            <m:r>
                              <a:rPr lang="en-US" sz="1200" b="0" i="1">
                                <a:latin typeface="Cambria Math"/>
                              </a:rPr>
                              <m:t>𝑄</m:t>
                            </m:r>
                          </m:num>
                          <m:den>
                            <m:r>
                              <a:rPr lang="en-US" sz="1200" b="0" i="1">
                                <a:latin typeface="Cambria Math"/>
                              </a:rPr>
                              <m:t>𝐶</m:t>
                            </m:r>
                          </m:den>
                        </m:f>
                        <m:r>
                          <a:rPr lang="en-US" sz="1200" b="0" i="1">
                            <a:latin typeface="Cambria Math"/>
                          </a:rPr>
                          <m:t>∗</m:t>
                        </m:r>
                        <m:d>
                          <m:dPr>
                            <m:ctrlPr>
                              <a:rPr lang="en-US" sz="1200" b="0" i="1">
                                <a:latin typeface="Cambria Math" panose="02040503050406030204" pitchFamily="18" charset="0"/>
                              </a:rPr>
                            </m:ctrlPr>
                          </m:dPr>
                          <m:e>
                            <m:r>
                              <a:rPr lang="en-US" sz="1200" b="0" i="1">
                                <a:latin typeface="Cambria Math"/>
                              </a:rPr>
                              <m:t>𝑇</m:t>
                            </m:r>
                            <m:r>
                              <a:rPr lang="en-US" sz="1200" b="0" i="1">
                                <a:latin typeface="Cambria Math"/>
                              </a:rPr>
                              <m:t>∗</m:t>
                            </m:r>
                            <m:d>
                              <m:dPr>
                                <m:ctrlPr>
                                  <a:rPr lang="en-US" sz="1200" b="0" i="1">
                                    <a:latin typeface="Cambria Math" panose="02040503050406030204" pitchFamily="18" charset="0"/>
                                  </a:rPr>
                                </m:ctrlPr>
                              </m:dPr>
                              <m:e>
                                <m:r>
                                  <a:rPr lang="en-US" sz="1200" b="0" i="1">
                                    <a:latin typeface="Cambria Math"/>
                                  </a:rPr>
                                  <m:t>3.15∗</m:t>
                                </m:r>
                                <m:sSup>
                                  <m:sSupPr>
                                    <m:ctrlPr>
                                      <a:rPr lang="en-US" sz="1200" b="0" i="1">
                                        <a:latin typeface="Cambria Math" panose="02040503050406030204" pitchFamily="18" charset="0"/>
                                      </a:rPr>
                                    </m:ctrlPr>
                                  </m:sSupPr>
                                  <m:e>
                                    <m:r>
                                      <a:rPr lang="en-US" sz="1200" b="0" i="1">
                                        <a:latin typeface="Cambria Math"/>
                                      </a:rPr>
                                      <m:t>10</m:t>
                                    </m:r>
                                  </m:e>
                                  <m:sup>
                                    <m:r>
                                      <a:rPr lang="en-US" sz="1200" b="0" i="1">
                                        <a:latin typeface="Cambria Math"/>
                                      </a:rPr>
                                      <m:t>7</m:t>
                                    </m:r>
                                  </m:sup>
                                </m:sSup>
                                <m:r>
                                  <a:rPr lang="en-US" sz="1200" b="0" i="1">
                                    <a:latin typeface="Cambria Math"/>
                                  </a:rPr>
                                  <m:t>𝑠</m:t>
                                </m:r>
                                <m:r>
                                  <a:rPr lang="en-US" sz="1200" b="0" i="1">
                                    <a:latin typeface="Cambria Math"/>
                                  </a:rPr>
                                  <m:t>/</m:t>
                                </m:r>
                                <m:r>
                                  <a:rPr lang="en-US" sz="1200" b="0" i="1">
                                    <a:latin typeface="Cambria Math"/>
                                  </a:rPr>
                                  <m:t>𝑦𝑟</m:t>
                                </m:r>
                              </m:e>
                            </m:d>
                          </m:e>
                        </m:d>
                      </m:num>
                      <m:den>
                        <m:r>
                          <a:rPr lang="en-US" sz="1200" b="0" i="1">
                            <a:latin typeface="Cambria Math"/>
                          </a:rPr>
                          <m:t>𝑝𝑏</m:t>
                        </m:r>
                        <m:r>
                          <a:rPr lang="en-US" sz="1200" b="0" i="1">
                            <a:latin typeface="Cambria Math"/>
                          </a:rPr>
                          <m:t>∗</m:t>
                        </m:r>
                        <m:r>
                          <a:rPr lang="en-US" sz="1200" b="0" i="1">
                            <a:latin typeface="Cambria Math"/>
                          </a:rPr>
                          <m:t>𝑑𝑠</m:t>
                        </m:r>
                        <m:r>
                          <a:rPr lang="en-US" sz="1200" b="0" i="1">
                            <a:latin typeface="Cambria Math"/>
                          </a:rPr>
                          <m:t>∗</m:t>
                        </m:r>
                        <m:sSup>
                          <m:sSupPr>
                            <m:ctrlPr>
                              <a:rPr lang="en-US" sz="1200" b="0" i="1">
                                <a:latin typeface="Cambria Math" panose="02040503050406030204" pitchFamily="18" charset="0"/>
                              </a:rPr>
                            </m:ctrlPr>
                          </m:sSupPr>
                          <m:e>
                            <m:r>
                              <a:rPr lang="en-US" sz="1200" b="0" i="1">
                                <a:latin typeface="Cambria Math"/>
                              </a:rPr>
                              <m:t>10</m:t>
                            </m:r>
                          </m:e>
                          <m:sup>
                            <m:r>
                              <a:rPr lang="en-US" sz="1200" b="0" i="1">
                                <a:latin typeface="Cambria Math"/>
                              </a:rPr>
                              <m:t>6</m:t>
                            </m:r>
                          </m:sup>
                        </m:sSup>
                        <m:r>
                          <a:rPr lang="en-US" sz="1200" b="0" i="1">
                            <a:latin typeface="Cambria Math"/>
                          </a:rPr>
                          <m:t>𝑔</m:t>
                        </m:r>
                        <m:r>
                          <a:rPr lang="en-US" sz="1200" b="0" i="1">
                            <a:latin typeface="Cambria Math"/>
                          </a:rPr>
                          <m:t>/</m:t>
                        </m:r>
                        <m:r>
                          <a:rPr lang="en-US" sz="1200" b="0" i="1">
                            <a:latin typeface="Cambria Math"/>
                          </a:rPr>
                          <m:t>𝑚𝑔</m:t>
                        </m:r>
                      </m:den>
                    </m:f>
                  </m:oMath>
                </m:oMathPara>
              </a14:m>
              <a:endParaRPr lang="en-US" sz="1200"/>
            </a:p>
          </xdr:txBody>
        </xdr:sp>
      </mc:Choice>
      <mc:Fallback xmlns="">
        <xdr:sp macro="" textlink="">
          <xdr:nvSpPr>
            <xdr:cNvPr id="10" name="TextBox 9"/>
            <xdr:cNvSpPr txBox="1"/>
          </xdr:nvSpPr>
          <xdr:spPr>
            <a:xfrm xmlns:a="http://schemas.openxmlformats.org/drawingml/2006/main">
              <a:off x="156127" y="19107978"/>
              <a:ext cx="2805818" cy="592470"/>
            </a:xfrm>
            <a:prstGeom xmlns:a="http://schemas.openxmlformats.org/drawingml/2006/main" prst="rect">
              <a:avLst/>
            </a:prstGeom>
            <a:noFill xmlns:a="http://schemas.openxmlformats.org/drawingml/2006/main"/>
          </xdr:spPr>
          <x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xmlns:a="http://schemas.openxmlformats.org/drawingml/2006/main" vertOverflow="clip" horzOverflow="clip" wrap="square" rtlCol="0" anchor="t">
              <a:spAutoFit/>
            </a:bodyPr>
            <a:lstStyle xmlns:a="http://schemas.openxmlformats.org/drawingml/2006/main"/>
            <a:p xmlns:a="http://schemas.openxmlformats.org/drawingml/2006/main">
              <a:pPr/>
              <a:r>
                <a:rPr lang="en-US" sz="1200" b="0" i="0">
                  <a:latin typeface="Cambria Math"/>
                </a:rPr>
                <a:t>𝑉𝐹</a:t>
              </a:r>
              <a:r>
                <a:rPr lang="en-US" sz="1200" i="0">
                  <a:latin typeface="Cambria Math"/>
                </a:rPr>
                <a:t>=</a:t>
              </a:r>
              <a:r>
                <a:rPr lang="en-US" sz="1200" i="0">
                  <a:latin typeface="Cambria Math" panose="02040503050406030204" pitchFamily="18" charset="0"/>
                </a:rPr>
                <a:t>(</a:t>
              </a:r>
              <a:r>
                <a:rPr lang="en-US" sz="1200" b="0" i="0">
                  <a:latin typeface="Cambria Math"/>
                </a:rPr>
                <a:t>𝑄</a:t>
              </a:r>
              <a:r>
                <a:rPr lang="en-US" sz="1200" b="0" i="0">
                  <a:latin typeface="Cambria Math" panose="02040503050406030204" pitchFamily="18" charset="0"/>
                </a:rPr>
                <a:t>/</a:t>
              </a:r>
              <a:r>
                <a:rPr lang="en-US" sz="1200" b="0" i="0">
                  <a:latin typeface="Cambria Math"/>
                </a:rPr>
                <a:t>𝐶∗</a:t>
              </a:r>
              <a:r>
                <a:rPr lang="en-US" sz="1200" b="0" i="0">
                  <a:latin typeface="Cambria Math" panose="02040503050406030204" pitchFamily="18" charset="0"/>
                </a:rPr>
                <a:t>(</a:t>
              </a:r>
              <a:r>
                <a:rPr lang="en-US" sz="1200" b="0" i="0">
                  <a:latin typeface="Cambria Math"/>
                </a:rPr>
                <a:t>𝑇∗</a:t>
              </a:r>
              <a:r>
                <a:rPr lang="en-US" sz="1200" b="0" i="0">
                  <a:latin typeface="Cambria Math" panose="02040503050406030204" pitchFamily="18" charset="0"/>
                </a:rPr>
                <a:t>(</a:t>
              </a:r>
              <a:r>
                <a:rPr lang="en-US" sz="1200" b="0" i="0">
                  <a:latin typeface="Cambria Math"/>
                </a:rPr>
                <a:t>3.15∗</a:t>
              </a:r>
              <a:r>
                <a:rPr lang="en-US" sz="1200" b="0" i="0">
                  <a:latin typeface="Cambria Math" panose="02040503050406030204" pitchFamily="18" charset="0"/>
                </a:rPr>
                <a:t>〖</a:t>
              </a:r>
              <a:r>
                <a:rPr lang="en-US" sz="1200" b="0" i="0">
                  <a:latin typeface="Cambria Math"/>
                </a:rPr>
                <a:t>10</a:t>
              </a:r>
              <a:r>
                <a:rPr lang="en-US" sz="1200" b="0" i="0">
                  <a:latin typeface="Cambria Math" panose="02040503050406030204" pitchFamily="18" charset="0"/>
                </a:rPr>
                <a:t>〗^</a:t>
              </a:r>
              <a:r>
                <a:rPr lang="en-US" sz="1200" b="0" i="0">
                  <a:latin typeface="Cambria Math"/>
                </a:rPr>
                <a:t>7 𝑠/𝑦𝑟</a:t>
              </a:r>
              <a:r>
                <a:rPr lang="en-US" sz="1200" b="0" i="0">
                  <a:latin typeface="Cambria Math" panose="02040503050406030204" pitchFamily="18" charset="0"/>
                </a:rPr>
                <a:t>)))/(</a:t>
              </a:r>
              <a:r>
                <a:rPr lang="en-US" sz="1200" b="0" i="0">
                  <a:latin typeface="Cambria Math"/>
                </a:rPr>
                <a:t>𝑝𝑏∗𝑑𝑠∗</a:t>
              </a:r>
              <a:r>
                <a:rPr lang="en-US" sz="1200" b="0" i="0">
                  <a:latin typeface="Cambria Math" panose="02040503050406030204" pitchFamily="18" charset="0"/>
                </a:rPr>
                <a:t>〖</a:t>
              </a:r>
              <a:r>
                <a:rPr lang="en-US" sz="1200" b="0" i="0">
                  <a:latin typeface="Cambria Math"/>
                </a:rPr>
                <a:t>10</a:t>
              </a:r>
              <a:r>
                <a:rPr lang="en-US" sz="1200" b="0" i="0">
                  <a:latin typeface="Cambria Math" panose="02040503050406030204" pitchFamily="18" charset="0"/>
                </a:rPr>
                <a:t>〗^</a:t>
              </a:r>
              <a:r>
                <a:rPr lang="en-US" sz="1200" b="0" i="0">
                  <a:latin typeface="Cambria Math"/>
                </a:rPr>
                <a:t>6 𝑔/𝑚𝑔</a:t>
              </a:r>
              <a:r>
                <a:rPr lang="en-US" sz="1200" b="0" i="0">
                  <a:latin typeface="Cambria Math" panose="02040503050406030204" pitchFamily="18" charset="0"/>
                </a:rPr>
                <a:t>)</a:t>
              </a:r>
              <a:endParaRPr lang="en-US" sz="1200"/>
            </a:p>
          </xdr:txBody>
        </xdr:sp>
      </mc:Fallback>
    </mc:AlternateContent>
    <xdr:clientData/>
  </xdr:oneCellAnchor>
  <xdr:oneCellAnchor>
    <xdr:from>
      <xdr:col>0</xdr:col>
      <xdr:colOff>66261</xdr:colOff>
      <xdr:row>161</xdr:row>
      <xdr:rowOff>24185</xdr:rowOff>
    </xdr:from>
    <xdr:ext cx="3195568" cy="470322"/>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66261" y="27903446"/>
              <a:ext cx="3195568" cy="4703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a:rPr>
                      <m:t>𝐶𝑠𝑎𝑡</m:t>
                    </m:r>
                    <m:r>
                      <a:rPr lang="en-US" sz="1200" i="1">
                        <a:latin typeface="Cambria Math"/>
                      </a:rPr>
                      <m:t>=</m:t>
                    </m:r>
                    <m:f>
                      <m:fPr>
                        <m:ctrlPr>
                          <a:rPr lang="en-US" sz="1200" i="1">
                            <a:latin typeface="Cambria Math" panose="02040503050406030204" pitchFamily="18" charset="0"/>
                          </a:rPr>
                        </m:ctrlPr>
                      </m:fPr>
                      <m:num>
                        <m:r>
                          <a:rPr lang="en-US" sz="1200" b="0" i="1">
                            <a:latin typeface="Cambria Math"/>
                          </a:rPr>
                          <m:t>𝑆</m:t>
                        </m:r>
                      </m:num>
                      <m:den>
                        <m:r>
                          <a:rPr lang="en-US" sz="1200" b="0" i="1">
                            <a:latin typeface="Cambria Math"/>
                          </a:rPr>
                          <m:t>𝑝𝑏</m:t>
                        </m:r>
                      </m:den>
                    </m:f>
                    <m:r>
                      <a:rPr lang="en-US" sz="1200" b="0" i="1">
                        <a:latin typeface="Cambria Math"/>
                      </a:rPr>
                      <m:t>∗</m:t>
                    </m:r>
                    <m:d>
                      <m:dPr>
                        <m:ctrlPr>
                          <a:rPr lang="en-US" sz="1200" b="0" i="1">
                            <a:latin typeface="Cambria Math" panose="02040503050406030204" pitchFamily="18" charset="0"/>
                          </a:rPr>
                        </m:ctrlPr>
                      </m:dPr>
                      <m:e>
                        <m:r>
                          <a:rPr lang="en-US" sz="1200" b="0" i="1">
                            <a:latin typeface="Cambria Math"/>
                          </a:rPr>
                          <m:t>𝐾𝑑</m:t>
                        </m:r>
                        <m:r>
                          <a:rPr lang="en-US" sz="1200" b="0" i="1">
                            <a:latin typeface="Cambria Math"/>
                          </a:rPr>
                          <m:t>∗</m:t>
                        </m:r>
                        <m:r>
                          <a:rPr lang="en-US" sz="1200" b="0" i="1">
                            <a:latin typeface="Cambria Math"/>
                          </a:rPr>
                          <m:t>𝑝𝑏</m:t>
                        </m:r>
                        <m:r>
                          <a:rPr lang="en-US" sz="1200" b="0" i="1">
                            <a:latin typeface="Cambria Math"/>
                          </a:rPr>
                          <m:t>+</m:t>
                        </m:r>
                        <m:r>
                          <a:rPr lang="en-US" sz="1200" b="0" i="1">
                            <a:latin typeface="Cambria Math"/>
                          </a:rPr>
                          <m:t>𝑂𝑤</m:t>
                        </m:r>
                        <m:r>
                          <a:rPr lang="en-US" sz="1200" b="0" i="1">
                            <a:latin typeface="Cambria Math"/>
                          </a:rPr>
                          <m:t>+</m:t>
                        </m:r>
                        <m:sSup>
                          <m:sSupPr>
                            <m:ctrlPr>
                              <a:rPr lang="en-US" sz="1200" b="0" i="1">
                                <a:latin typeface="Cambria Math" panose="02040503050406030204" pitchFamily="18" charset="0"/>
                              </a:rPr>
                            </m:ctrlPr>
                          </m:sSupPr>
                          <m:e>
                            <m:r>
                              <a:rPr lang="en-US" sz="1200" b="0" i="1">
                                <a:latin typeface="Cambria Math"/>
                              </a:rPr>
                              <m:t>𝐻</m:t>
                            </m:r>
                          </m:e>
                          <m:sup>
                            <m:r>
                              <a:rPr lang="en-US" sz="1200" b="0" i="1">
                                <a:latin typeface="Cambria Math"/>
                              </a:rPr>
                              <m:t>′</m:t>
                            </m:r>
                          </m:sup>
                        </m:sSup>
                        <m:r>
                          <a:rPr lang="en-US" sz="1200" b="0" i="1">
                            <a:latin typeface="Cambria Math"/>
                          </a:rPr>
                          <m:t>∗</m:t>
                        </m:r>
                        <m:r>
                          <a:rPr lang="en-US" sz="1200" b="0" i="1">
                            <a:latin typeface="Cambria Math"/>
                          </a:rPr>
                          <m:t>𝑂𝑎</m:t>
                        </m:r>
                      </m:e>
                    </m:d>
                  </m:oMath>
                </m:oMathPara>
              </a14:m>
              <a:endParaRPr lang="en-US" sz="1200"/>
            </a:p>
          </xdr:txBody>
        </xdr:sp>
      </mc:Choice>
      <mc:Fallback xmlns="">
        <xdr:sp macro="" textlink="">
          <xdr:nvSpPr>
            <xdr:cNvPr id="14" name="TextBox 13"/>
            <xdr:cNvSpPr txBox="1"/>
          </xdr:nvSpPr>
          <xdr:spPr>
            <a:xfrm xmlns:a="http://schemas.openxmlformats.org/drawingml/2006/main">
              <a:off x="66261" y="27903446"/>
              <a:ext cx="3195568" cy="470322"/>
            </a:xfrm>
            <a:prstGeom xmlns:a="http://schemas.openxmlformats.org/drawingml/2006/main" prst="rect">
              <a:avLst/>
            </a:prstGeom>
            <a:noFill xmlns:a="http://schemas.openxmlformats.org/drawingml/2006/main"/>
          </xdr:spPr>
          <x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xmlns:a="http://schemas.openxmlformats.org/drawingml/2006/main" vertOverflow="clip" horzOverflow="clip" wrap="square" rtlCol="0" anchor="t">
              <a:spAutoFit/>
            </a:bodyPr>
            <a:lstStyle xmlns:a="http://schemas.openxmlformats.org/drawingml/2006/main"/>
            <a:p xmlns:a="http://schemas.openxmlformats.org/drawingml/2006/main">
              <a:pPr/>
              <a:r>
                <a:rPr lang="en-US" sz="1200" b="0" i="0">
                  <a:latin typeface="Cambria Math"/>
                </a:rPr>
                <a:t>𝐶𝑠𝑎𝑡</a:t>
              </a:r>
              <a:r>
                <a:rPr lang="en-US" sz="1200" i="0">
                  <a:latin typeface="Cambria Math"/>
                </a:rPr>
                <a:t>=</a:t>
              </a:r>
              <a:r>
                <a:rPr lang="en-US" sz="1200" b="0" i="0">
                  <a:latin typeface="Cambria Math"/>
                </a:rPr>
                <a:t>𝑆</a:t>
              </a:r>
              <a:r>
                <a:rPr lang="en-US" sz="1200" b="0" i="0">
                  <a:latin typeface="Cambria Math" panose="02040503050406030204" pitchFamily="18" charset="0"/>
                </a:rPr>
                <a:t>/</a:t>
              </a:r>
              <a:r>
                <a:rPr lang="en-US" sz="1200" b="0" i="0">
                  <a:latin typeface="Cambria Math"/>
                </a:rPr>
                <a:t>𝑝𝑏∗</a:t>
              </a:r>
              <a:r>
                <a:rPr lang="en-US" sz="1200" b="0" i="0">
                  <a:latin typeface="Cambria Math" panose="02040503050406030204" pitchFamily="18" charset="0"/>
                </a:rPr>
                <a:t>(</a:t>
              </a:r>
              <a:r>
                <a:rPr lang="en-US" sz="1200" b="0" i="0">
                  <a:latin typeface="Cambria Math"/>
                </a:rPr>
                <a:t>𝐾𝑑∗𝑝𝑏+𝑂𝑤+𝐻</a:t>
              </a:r>
              <a:r>
                <a:rPr lang="en-US" sz="1200" b="0" i="0">
                  <a:latin typeface="Cambria Math" panose="02040503050406030204" pitchFamily="18" charset="0"/>
                </a:rPr>
                <a:t>^</a:t>
              </a:r>
              <a:r>
                <a:rPr lang="en-US" sz="1200" b="0" i="0">
                  <a:latin typeface="Cambria Math"/>
                </a:rPr>
                <a:t>′∗𝑂𝑎</a:t>
              </a:r>
              <a:r>
                <a:rPr lang="en-US" sz="1200" b="0" i="0">
                  <a:latin typeface="Cambria Math" panose="02040503050406030204" pitchFamily="18" charset="0"/>
                </a:rPr>
                <a:t>)</a:t>
              </a:r>
              <a:endParaRPr lang="en-US" sz="1200"/>
            </a:p>
          </xdr:txBody>
        </xdr:sp>
      </mc:Fallback>
    </mc:AlternateContent>
    <xdr:clientData/>
  </xdr:oneCellAnchor>
  <xdr:twoCellAnchor editAs="oneCell">
    <xdr:from>
      <xdr:col>0</xdr:col>
      <xdr:colOff>19050</xdr:colOff>
      <xdr:row>178</xdr:row>
      <xdr:rowOff>85725</xdr:rowOff>
    </xdr:from>
    <xdr:to>
      <xdr:col>0</xdr:col>
      <xdr:colOff>2876550</xdr:colOff>
      <xdr:row>182</xdr:row>
      <xdr:rowOff>19050</xdr:rowOff>
    </xdr:to>
    <xdr:pic>
      <xdr:nvPicPr>
        <xdr:cNvPr id="15777" name="Picture 10">
          <a:extLst>
            <a:ext uri="{FF2B5EF4-FFF2-40B4-BE49-F238E27FC236}">
              <a16:creationId xmlns:a16="http://schemas.microsoft.com/office/drawing/2014/main" id="{00000000-0008-0000-0200-0000A13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0422850"/>
          <a:ext cx="2857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124</xdr:row>
      <xdr:rowOff>133350</xdr:rowOff>
    </xdr:from>
    <xdr:to>
      <xdr:col>1</xdr:col>
      <xdr:colOff>114300</xdr:colOff>
      <xdr:row>129</xdr:row>
      <xdr:rowOff>38100</xdr:rowOff>
    </xdr:to>
    <xdr:pic>
      <xdr:nvPicPr>
        <xdr:cNvPr id="15778" name="Picture 17">
          <a:extLst>
            <a:ext uri="{FF2B5EF4-FFF2-40B4-BE49-F238E27FC236}">
              <a16:creationId xmlns:a16="http://schemas.microsoft.com/office/drawing/2014/main" id="{00000000-0008-0000-0200-0000A23D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1193125"/>
          <a:ext cx="32670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66</xdr:row>
      <xdr:rowOff>114300</xdr:rowOff>
    </xdr:from>
    <xdr:to>
      <xdr:col>6</xdr:col>
      <xdr:colOff>85725</xdr:colOff>
      <xdr:row>71</xdr:row>
      <xdr:rowOff>66675</xdr:rowOff>
    </xdr:to>
    <xdr:pic>
      <xdr:nvPicPr>
        <xdr:cNvPr id="15780" name="Picture 16">
          <a:extLst>
            <a:ext uri="{FF2B5EF4-FFF2-40B4-BE49-F238E27FC236}">
              <a16:creationId xmlns:a16="http://schemas.microsoft.com/office/drawing/2014/main" id="{00000000-0008-0000-0200-0000A43D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 y="11182350"/>
          <a:ext cx="95821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145</xdr:row>
      <xdr:rowOff>28575</xdr:rowOff>
    </xdr:from>
    <xdr:to>
      <xdr:col>1</xdr:col>
      <xdr:colOff>152400</xdr:colOff>
      <xdr:row>149</xdr:row>
      <xdr:rowOff>133350</xdr:rowOff>
    </xdr:to>
    <xdr:pic>
      <xdr:nvPicPr>
        <xdr:cNvPr id="15781" name="Picture 17">
          <a:extLst>
            <a:ext uri="{FF2B5EF4-FFF2-40B4-BE49-F238E27FC236}">
              <a16:creationId xmlns:a16="http://schemas.microsoft.com/office/drawing/2014/main" id="{00000000-0008-0000-0200-0000A53D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24774525"/>
          <a:ext cx="33051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3</xdr:col>
      <xdr:colOff>1866900</xdr:colOff>
      <xdr:row>11</xdr:row>
      <xdr:rowOff>133350</xdr:rowOff>
    </xdr:to>
    <xdr:pic>
      <xdr:nvPicPr>
        <xdr:cNvPr id="15782" name="Picture 10">
          <a:extLst>
            <a:ext uri="{FF2B5EF4-FFF2-40B4-BE49-F238E27FC236}">
              <a16:creationId xmlns:a16="http://schemas.microsoft.com/office/drawing/2014/main" id="{00000000-0008-0000-0200-0000A63D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685800"/>
          <a:ext cx="70961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193</xdr:row>
      <xdr:rowOff>123825</xdr:rowOff>
    </xdr:from>
    <xdr:to>
      <xdr:col>6</xdr:col>
      <xdr:colOff>600489</xdr:colOff>
      <xdr:row>203</xdr:row>
      <xdr:rowOff>119269</xdr:rowOff>
    </xdr:to>
    <xdr:pic>
      <xdr:nvPicPr>
        <xdr:cNvPr id="11" name="Picture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4775" y="32946975"/>
          <a:ext cx="10001664" cy="1614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48</xdr:row>
      <xdr:rowOff>66675</xdr:rowOff>
    </xdr:from>
    <xdr:to>
      <xdr:col>5</xdr:col>
      <xdr:colOff>304800</xdr:colOff>
      <xdr:row>57</xdr:row>
      <xdr:rowOff>0</xdr:rowOff>
    </xdr:to>
    <xdr:pic>
      <xdr:nvPicPr>
        <xdr:cNvPr id="22" name="Picture 21">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162925"/>
          <a:ext cx="8982075" cy="140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68</xdr:row>
      <xdr:rowOff>7327</xdr:rowOff>
    </xdr:from>
    <xdr:ext cx="2965698" cy="591187"/>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11752385"/>
              <a:ext cx="3055327" cy="5911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a:rPr>
                      <m:t>𝑉𝐹</m:t>
                    </m:r>
                    <m:r>
                      <a:rPr lang="en-US" sz="1200" i="1">
                        <a:latin typeface="Cambria Math"/>
                      </a:rPr>
                      <m:t>=</m:t>
                    </m:r>
                    <m:f>
                      <m:fPr>
                        <m:ctrlPr>
                          <a:rPr lang="en-US" sz="1200" i="1">
                            <a:latin typeface="Cambria Math" panose="02040503050406030204" pitchFamily="18" charset="0"/>
                          </a:rPr>
                        </m:ctrlPr>
                      </m:fPr>
                      <m:num>
                        <m:f>
                          <m:fPr>
                            <m:ctrlPr>
                              <a:rPr lang="en-US" sz="1200" b="0" i="1">
                                <a:latin typeface="Cambria Math" panose="02040503050406030204" pitchFamily="18" charset="0"/>
                              </a:rPr>
                            </m:ctrlPr>
                          </m:fPr>
                          <m:num>
                            <m:r>
                              <a:rPr lang="en-US" sz="1200" b="0" i="1">
                                <a:latin typeface="Cambria Math"/>
                              </a:rPr>
                              <m:t>𝑄</m:t>
                            </m:r>
                          </m:num>
                          <m:den>
                            <m:r>
                              <a:rPr lang="en-US" sz="1200" b="0" i="1">
                                <a:latin typeface="Cambria Math"/>
                              </a:rPr>
                              <m:t>𝐶</m:t>
                            </m:r>
                          </m:den>
                        </m:f>
                        <m:r>
                          <a:rPr lang="en-US" sz="1200" b="0" i="1">
                            <a:latin typeface="Cambria Math"/>
                          </a:rPr>
                          <m:t>∗</m:t>
                        </m:r>
                        <m:sSup>
                          <m:sSupPr>
                            <m:ctrlPr>
                              <a:rPr lang="en-US" sz="1200" b="0" i="1">
                                <a:latin typeface="Cambria Math" panose="02040503050406030204" pitchFamily="18" charset="0"/>
                              </a:rPr>
                            </m:ctrlPr>
                          </m:sSupPr>
                          <m:e>
                            <m:d>
                              <m:dPr>
                                <m:ctrlPr>
                                  <a:rPr lang="en-US" sz="1200" b="0" i="1">
                                    <a:latin typeface="Cambria Math" panose="02040503050406030204" pitchFamily="18" charset="0"/>
                                  </a:rPr>
                                </m:ctrlPr>
                              </m:dPr>
                              <m:e>
                                <m:r>
                                  <a:rPr lang="en-US" sz="1200" b="0" i="1">
                                    <a:latin typeface="Cambria Math"/>
                                  </a:rPr>
                                  <m:t>3.14∗</m:t>
                                </m:r>
                                <m:r>
                                  <a:rPr lang="en-US" sz="1200" b="0" i="1">
                                    <a:latin typeface="Cambria Math"/>
                                  </a:rPr>
                                  <m:t>𝐷𝑎</m:t>
                                </m:r>
                                <m:r>
                                  <a:rPr lang="en-US" sz="1200" b="0" i="1">
                                    <a:latin typeface="Cambria Math"/>
                                  </a:rPr>
                                  <m:t>∗</m:t>
                                </m:r>
                                <m:r>
                                  <a:rPr lang="en-US" sz="1200" b="0" i="1">
                                    <a:latin typeface="Cambria Math"/>
                                  </a:rPr>
                                  <m:t>𝑇</m:t>
                                </m:r>
                              </m:e>
                            </m:d>
                          </m:e>
                          <m:sup>
                            <m:r>
                              <a:rPr lang="en-US" sz="1200" b="0" i="1">
                                <a:latin typeface="Cambria Math"/>
                              </a:rPr>
                              <m:t>1/2</m:t>
                            </m:r>
                          </m:sup>
                        </m:sSup>
                        <m:r>
                          <a:rPr lang="en-US" sz="1200" b="0" i="1">
                            <a:latin typeface="Cambria Math"/>
                          </a:rPr>
                          <m:t>∗0.0001</m:t>
                        </m:r>
                      </m:num>
                      <m:den>
                        <m:r>
                          <a:rPr lang="en-US" sz="1200" b="0" i="1">
                            <a:latin typeface="Cambria Math"/>
                          </a:rPr>
                          <m:t>2∗</m:t>
                        </m:r>
                        <m:r>
                          <a:rPr lang="en-US" sz="1200" b="0" i="1">
                            <a:latin typeface="Cambria Math"/>
                          </a:rPr>
                          <m:t>𝑝𝑏</m:t>
                        </m:r>
                        <m:r>
                          <a:rPr lang="en-US" sz="1200" b="0" i="1">
                            <a:latin typeface="Cambria Math"/>
                          </a:rPr>
                          <m:t>∗</m:t>
                        </m:r>
                        <m:r>
                          <a:rPr lang="en-US" sz="1200" b="0" i="1">
                            <a:latin typeface="Cambria Math"/>
                          </a:rPr>
                          <m:t>𝐷𝑎</m:t>
                        </m:r>
                      </m:den>
                    </m:f>
                  </m:oMath>
                </m:oMathPara>
              </a14:m>
              <a:endParaRPr lang="en-US" sz="1200"/>
            </a:p>
          </xdr:txBody>
        </xdr:sp>
      </mc:Choice>
      <mc:Fallback xmlns="">
        <xdr:sp macro="" textlink="">
          <xdr:nvSpPr>
            <xdr:cNvPr id="2" name="TextBox 1"/>
            <xdr:cNvSpPr txBox="1"/>
          </xdr:nvSpPr>
          <xdr:spPr>
            <a:xfrm xmlns:a="http://schemas.openxmlformats.org/drawingml/2006/main">
              <a:off x="0" y="11752385"/>
              <a:ext cx="3055327" cy="591187"/>
            </a:xfrm>
            <a:prstGeom xmlns:a="http://schemas.openxmlformats.org/drawingml/2006/main" prst="rect">
              <a:avLst/>
            </a:prstGeom>
            <a:noFill xmlns:a="http://schemas.openxmlformats.org/drawingml/2006/main"/>
          </xdr:spPr>
          <x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xmlns:a="http://schemas.openxmlformats.org/drawingml/2006/main" vertOverflow="clip" horzOverflow="clip" wrap="square" rtlCol="0" anchor="t">
              <a:spAutoFit/>
            </a:bodyPr>
            <a:lstStyle xmlns:a="http://schemas.openxmlformats.org/drawingml/2006/main"/>
            <a:p xmlns:a="http://schemas.openxmlformats.org/drawingml/2006/main">
              <a:pPr/>
              <a:r>
                <a:rPr lang="en-US" sz="1200" b="0" i="0">
                  <a:latin typeface="Cambria Math"/>
                </a:rPr>
                <a:t>𝑉𝐹</a:t>
              </a:r>
              <a:r>
                <a:rPr lang="en-US" sz="1200" i="0">
                  <a:latin typeface="Cambria Math"/>
                </a:rPr>
                <a:t>=</a:t>
              </a:r>
              <a:r>
                <a:rPr lang="en-US" sz="1200" i="0">
                  <a:latin typeface="Cambria Math" panose="02040503050406030204" pitchFamily="18" charset="0"/>
                </a:rPr>
                <a:t>(</a:t>
              </a:r>
              <a:r>
                <a:rPr lang="en-US" sz="1200" b="0" i="0">
                  <a:latin typeface="Cambria Math"/>
                </a:rPr>
                <a:t>𝑄</a:t>
              </a:r>
              <a:r>
                <a:rPr lang="en-US" sz="1200" b="0" i="0">
                  <a:latin typeface="Cambria Math" panose="02040503050406030204" pitchFamily="18" charset="0"/>
                </a:rPr>
                <a:t>/</a:t>
              </a:r>
              <a:r>
                <a:rPr lang="en-US" sz="1200" b="0" i="0">
                  <a:latin typeface="Cambria Math"/>
                </a:rPr>
                <a:t>𝐶∗</a:t>
              </a:r>
              <a:r>
                <a:rPr lang="en-US" sz="1200" b="0" i="0">
                  <a:latin typeface="Cambria Math" panose="02040503050406030204" pitchFamily="18" charset="0"/>
                </a:rPr>
                <a:t>(</a:t>
              </a:r>
              <a:r>
                <a:rPr lang="en-US" sz="1200" b="0" i="0">
                  <a:latin typeface="Cambria Math"/>
                </a:rPr>
                <a:t>3.14∗𝐷𝑎∗𝑇</a:t>
              </a:r>
              <a:r>
                <a:rPr lang="en-US" sz="1200" b="0" i="0">
                  <a:latin typeface="Cambria Math" panose="02040503050406030204" pitchFamily="18" charset="0"/>
                </a:rPr>
                <a:t>)^(</a:t>
              </a:r>
              <a:r>
                <a:rPr lang="en-US" sz="1200" b="0" i="0">
                  <a:latin typeface="Cambria Math"/>
                </a:rPr>
                <a:t>1/2</a:t>
              </a:r>
              <a:r>
                <a:rPr lang="en-US" sz="1200" b="0" i="0">
                  <a:latin typeface="Cambria Math" panose="02040503050406030204" pitchFamily="18" charset="0"/>
                </a:rPr>
                <a:t>)</a:t>
              </a:r>
              <a:r>
                <a:rPr lang="en-US" sz="1200" b="0" i="0">
                  <a:latin typeface="Cambria Math"/>
                </a:rPr>
                <a:t>∗0.0001</a:t>
              </a:r>
              <a:r>
                <a:rPr lang="en-US" sz="1200" b="0" i="0">
                  <a:latin typeface="Cambria Math" panose="02040503050406030204" pitchFamily="18" charset="0"/>
                </a:rPr>
                <a:t>)/(</a:t>
              </a:r>
              <a:r>
                <a:rPr lang="en-US" sz="1200" b="0" i="0">
                  <a:latin typeface="Cambria Math"/>
                </a:rPr>
                <a:t>2∗𝑝𝑏∗𝐷𝑎</a:t>
              </a:r>
              <a:r>
                <a:rPr lang="en-US" sz="1200" b="0" i="0">
                  <a:latin typeface="Cambria Math" panose="02040503050406030204" pitchFamily="18" charset="0"/>
                </a:rPr>
                <a:t>)</a:t>
              </a:r>
              <a:endParaRPr lang="en-US" sz="1200"/>
            </a:p>
          </xdr:txBody>
        </xdr:sp>
      </mc:Fallback>
    </mc:AlternateContent>
    <xdr:clientData/>
  </xdr:oneCellAnchor>
  <xdr:oneCellAnchor>
    <xdr:from>
      <xdr:col>0</xdr:col>
      <xdr:colOff>7034</xdr:colOff>
      <xdr:row>81</xdr:row>
      <xdr:rowOff>78399</xdr:rowOff>
    </xdr:from>
    <xdr:ext cx="2817712" cy="612219"/>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4654" y="14045712"/>
              <a:ext cx="2886075"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a:rPr>
                      <m:t>𝑉𝐹</m:t>
                    </m:r>
                    <m:r>
                      <a:rPr lang="en-US" sz="1200" i="1">
                        <a:latin typeface="Cambria Math"/>
                      </a:rPr>
                      <m:t>=</m:t>
                    </m:r>
                    <m:f>
                      <m:fPr>
                        <m:ctrlPr>
                          <a:rPr lang="en-US" sz="1200" i="1">
                            <a:latin typeface="Cambria Math" panose="02040503050406030204" pitchFamily="18" charset="0"/>
                          </a:rPr>
                        </m:ctrlPr>
                      </m:fPr>
                      <m:num>
                        <m:f>
                          <m:fPr>
                            <m:ctrlPr>
                              <a:rPr lang="en-US" sz="1200" b="0" i="1">
                                <a:latin typeface="Cambria Math" panose="02040503050406030204" pitchFamily="18" charset="0"/>
                              </a:rPr>
                            </m:ctrlPr>
                          </m:fPr>
                          <m:num>
                            <m:r>
                              <a:rPr lang="en-US" sz="1200" b="0" i="1">
                                <a:latin typeface="Cambria Math"/>
                              </a:rPr>
                              <m:t>𝑄</m:t>
                            </m:r>
                          </m:num>
                          <m:den>
                            <m:r>
                              <a:rPr lang="en-US" sz="1200" b="0" i="1">
                                <a:latin typeface="Cambria Math"/>
                              </a:rPr>
                              <m:t>𝐶</m:t>
                            </m:r>
                          </m:den>
                        </m:f>
                        <m:r>
                          <a:rPr lang="en-US" sz="1200" b="0" i="1">
                            <a:latin typeface="Cambria Math"/>
                          </a:rPr>
                          <m:t>∗</m:t>
                        </m:r>
                        <m:d>
                          <m:dPr>
                            <m:ctrlPr>
                              <a:rPr lang="en-US" sz="1200" b="0" i="1">
                                <a:latin typeface="Cambria Math" panose="02040503050406030204" pitchFamily="18" charset="0"/>
                              </a:rPr>
                            </m:ctrlPr>
                          </m:dPr>
                          <m:e>
                            <m:r>
                              <a:rPr lang="en-US" sz="1200" b="0" i="1">
                                <a:latin typeface="Cambria Math"/>
                              </a:rPr>
                              <m:t>𝑇</m:t>
                            </m:r>
                            <m:r>
                              <a:rPr lang="en-US" sz="1200" b="0" i="1">
                                <a:latin typeface="Cambria Math"/>
                              </a:rPr>
                              <m:t>∗</m:t>
                            </m:r>
                            <m:d>
                              <m:dPr>
                                <m:ctrlPr>
                                  <a:rPr lang="en-US" sz="1200" b="0" i="1">
                                    <a:latin typeface="Cambria Math" panose="02040503050406030204" pitchFamily="18" charset="0"/>
                                  </a:rPr>
                                </m:ctrlPr>
                              </m:dPr>
                              <m:e>
                                <m:r>
                                  <a:rPr lang="en-US" sz="1200" b="0" i="1">
                                    <a:latin typeface="Cambria Math"/>
                                  </a:rPr>
                                  <m:t>3.15∗</m:t>
                                </m:r>
                                <m:sSup>
                                  <m:sSupPr>
                                    <m:ctrlPr>
                                      <a:rPr lang="en-US" sz="1200" b="0" i="1">
                                        <a:latin typeface="Cambria Math" panose="02040503050406030204" pitchFamily="18" charset="0"/>
                                      </a:rPr>
                                    </m:ctrlPr>
                                  </m:sSupPr>
                                  <m:e>
                                    <m:r>
                                      <a:rPr lang="en-US" sz="1200" b="0" i="1">
                                        <a:latin typeface="Cambria Math"/>
                                      </a:rPr>
                                      <m:t>10</m:t>
                                    </m:r>
                                  </m:e>
                                  <m:sup>
                                    <m:r>
                                      <a:rPr lang="en-US" sz="1200" b="0" i="1">
                                        <a:latin typeface="Cambria Math"/>
                                      </a:rPr>
                                      <m:t>7</m:t>
                                    </m:r>
                                  </m:sup>
                                </m:sSup>
                                <m:r>
                                  <a:rPr lang="en-US" sz="1200" b="0" i="1">
                                    <a:latin typeface="Cambria Math"/>
                                  </a:rPr>
                                  <m:t>𝑠</m:t>
                                </m:r>
                                <m:r>
                                  <a:rPr lang="en-US" sz="1200" b="0" i="1">
                                    <a:latin typeface="Cambria Math"/>
                                  </a:rPr>
                                  <m:t>/</m:t>
                                </m:r>
                                <m:r>
                                  <a:rPr lang="en-US" sz="1200" b="0" i="1">
                                    <a:latin typeface="Cambria Math"/>
                                  </a:rPr>
                                  <m:t>𝑦𝑟</m:t>
                                </m:r>
                              </m:e>
                            </m:d>
                          </m:e>
                        </m:d>
                      </m:num>
                      <m:den>
                        <m:r>
                          <a:rPr lang="en-US" sz="1200" b="0" i="1">
                            <a:latin typeface="Cambria Math"/>
                          </a:rPr>
                          <m:t>𝑝𝑏</m:t>
                        </m:r>
                        <m:r>
                          <a:rPr lang="en-US" sz="1200" b="0" i="1">
                            <a:latin typeface="Cambria Math"/>
                          </a:rPr>
                          <m:t>∗</m:t>
                        </m:r>
                        <m:r>
                          <a:rPr lang="en-US" sz="1200" b="0" i="1">
                            <a:latin typeface="Cambria Math"/>
                          </a:rPr>
                          <m:t>𝑑𝑠</m:t>
                        </m:r>
                        <m:r>
                          <a:rPr lang="en-US" sz="1200" b="0" i="1">
                            <a:latin typeface="Cambria Math"/>
                          </a:rPr>
                          <m:t>∗</m:t>
                        </m:r>
                        <m:sSup>
                          <m:sSupPr>
                            <m:ctrlPr>
                              <a:rPr lang="en-US" sz="1200" b="0" i="1">
                                <a:latin typeface="Cambria Math" panose="02040503050406030204" pitchFamily="18" charset="0"/>
                              </a:rPr>
                            </m:ctrlPr>
                          </m:sSupPr>
                          <m:e>
                            <m:r>
                              <a:rPr lang="en-US" sz="1200" b="0" i="1">
                                <a:latin typeface="Cambria Math"/>
                              </a:rPr>
                              <m:t>10</m:t>
                            </m:r>
                          </m:e>
                          <m:sup>
                            <m:r>
                              <a:rPr lang="en-US" sz="1200" b="0" i="1">
                                <a:latin typeface="Cambria Math"/>
                              </a:rPr>
                              <m:t>6</m:t>
                            </m:r>
                          </m:sup>
                        </m:sSup>
                        <m:r>
                          <a:rPr lang="en-US" sz="1200" b="0" i="1">
                            <a:latin typeface="Cambria Math"/>
                          </a:rPr>
                          <m:t>𝑔</m:t>
                        </m:r>
                        <m:r>
                          <a:rPr lang="en-US" sz="1200" b="0" i="1">
                            <a:latin typeface="Cambria Math"/>
                          </a:rPr>
                          <m:t>/</m:t>
                        </m:r>
                        <m:r>
                          <a:rPr lang="en-US" sz="1200" b="0" i="1">
                            <a:latin typeface="Cambria Math"/>
                          </a:rPr>
                          <m:t>𝑚𝑔</m:t>
                        </m:r>
                      </m:den>
                    </m:f>
                  </m:oMath>
                </m:oMathPara>
              </a14:m>
              <a:endParaRPr lang="en-US" sz="1200"/>
            </a:p>
          </xdr:txBody>
        </xdr:sp>
      </mc:Choice>
      <mc:Fallback xmlns="">
        <xdr:sp macro="" textlink="">
          <xdr:nvSpPr>
            <xdr:cNvPr id="3" name="TextBox 2"/>
            <xdr:cNvSpPr txBox="1"/>
          </xdr:nvSpPr>
          <xdr:spPr>
            <a:xfrm xmlns:a="http://schemas.openxmlformats.org/drawingml/2006/main">
              <a:off x="14654" y="14045712"/>
              <a:ext cx="2886075" cy="592470"/>
            </a:xfrm>
            <a:prstGeom xmlns:a="http://schemas.openxmlformats.org/drawingml/2006/main" prst="rect">
              <a:avLst/>
            </a:prstGeom>
            <a:noFill xmlns:a="http://schemas.openxmlformats.org/drawingml/2006/main"/>
          </xdr:spPr>
          <x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xmlns:a="http://schemas.openxmlformats.org/drawingml/2006/main" vertOverflow="clip" horzOverflow="clip" wrap="square" rtlCol="0" anchor="t">
              <a:spAutoFit/>
            </a:bodyPr>
            <a:lstStyle xmlns:a="http://schemas.openxmlformats.org/drawingml/2006/main"/>
            <a:p xmlns:a="http://schemas.openxmlformats.org/drawingml/2006/main">
              <a:pPr/>
              <a:r>
                <a:rPr lang="en-US" sz="1200" b="0" i="0">
                  <a:latin typeface="Cambria Math"/>
                </a:rPr>
                <a:t>𝑉𝐹</a:t>
              </a:r>
              <a:r>
                <a:rPr lang="en-US" sz="1200" i="0">
                  <a:latin typeface="Cambria Math"/>
                </a:rPr>
                <a:t>=</a:t>
              </a:r>
              <a:r>
                <a:rPr lang="en-US" sz="1200" i="0">
                  <a:latin typeface="Cambria Math" panose="02040503050406030204" pitchFamily="18" charset="0"/>
                </a:rPr>
                <a:t>(</a:t>
              </a:r>
              <a:r>
                <a:rPr lang="en-US" sz="1200" b="0" i="0">
                  <a:latin typeface="Cambria Math"/>
                </a:rPr>
                <a:t>𝑄</a:t>
              </a:r>
              <a:r>
                <a:rPr lang="en-US" sz="1200" b="0" i="0">
                  <a:latin typeface="Cambria Math" panose="02040503050406030204" pitchFamily="18" charset="0"/>
                </a:rPr>
                <a:t>/</a:t>
              </a:r>
              <a:r>
                <a:rPr lang="en-US" sz="1200" b="0" i="0">
                  <a:latin typeface="Cambria Math"/>
                </a:rPr>
                <a:t>𝐶∗</a:t>
              </a:r>
              <a:r>
                <a:rPr lang="en-US" sz="1200" b="0" i="0">
                  <a:latin typeface="Cambria Math" panose="02040503050406030204" pitchFamily="18" charset="0"/>
                </a:rPr>
                <a:t>(</a:t>
              </a:r>
              <a:r>
                <a:rPr lang="en-US" sz="1200" b="0" i="0">
                  <a:latin typeface="Cambria Math"/>
                </a:rPr>
                <a:t>𝑇∗</a:t>
              </a:r>
              <a:r>
                <a:rPr lang="en-US" sz="1200" b="0" i="0">
                  <a:latin typeface="Cambria Math" panose="02040503050406030204" pitchFamily="18" charset="0"/>
                </a:rPr>
                <a:t>(</a:t>
              </a:r>
              <a:r>
                <a:rPr lang="en-US" sz="1200" b="0" i="0">
                  <a:latin typeface="Cambria Math"/>
                </a:rPr>
                <a:t>3.15∗</a:t>
              </a:r>
              <a:r>
                <a:rPr lang="en-US" sz="1200" b="0" i="0">
                  <a:latin typeface="Cambria Math" panose="02040503050406030204" pitchFamily="18" charset="0"/>
                </a:rPr>
                <a:t>〖</a:t>
              </a:r>
              <a:r>
                <a:rPr lang="en-US" sz="1200" b="0" i="0">
                  <a:latin typeface="Cambria Math"/>
                </a:rPr>
                <a:t>10</a:t>
              </a:r>
              <a:r>
                <a:rPr lang="en-US" sz="1200" b="0" i="0">
                  <a:latin typeface="Cambria Math" panose="02040503050406030204" pitchFamily="18" charset="0"/>
                </a:rPr>
                <a:t>〗^</a:t>
              </a:r>
              <a:r>
                <a:rPr lang="en-US" sz="1200" b="0" i="0">
                  <a:latin typeface="Cambria Math"/>
                </a:rPr>
                <a:t>7 𝑠/𝑦𝑟</a:t>
              </a:r>
              <a:r>
                <a:rPr lang="en-US" sz="1200" b="0" i="0">
                  <a:latin typeface="Cambria Math" panose="02040503050406030204" pitchFamily="18" charset="0"/>
                </a:rPr>
                <a:t>)))/(</a:t>
              </a:r>
              <a:r>
                <a:rPr lang="en-US" sz="1200" b="0" i="0">
                  <a:latin typeface="Cambria Math"/>
                </a:rPr>
                <a:t>𝑝𝑏∗𝑑𝑠∗</a:t>
              </a:r>
              <a:r>
                <a:rPr lang="en-US" sz="1200" b="0" i="0">
                  <a:latin typeface="Cambria Math" panose="02040503050406030204" pitchFamily="18" charset="0"/>
                </a:rPr>
                <a:t>〖</a:t>
              </a:r>
              <a:r>
                <a:rPr lang="en-US" sz="1200" b="0" i="0">
                  <a:latin typeface="Cambria Math"/>
                </a:rPr>
                <a:t>10</a:t>
              </a:r>
              <a:r>
                <a:rPr lang="en-US" sz="1200" b="0" i="0">
                  <a:latin typeface="Cambria Math" panose="02040503050406030204" pitchFamily="18" charset="0"/>
                </a:rPr>
                <a:t>〗^</a:t>
              </a:r>
              <a:r>
                <a:rPr lang="en-US" sz="1200" b="0" i="0">
                  <a:latin typeface="Cambria Math"/>
                </a:rPr>
                <a:t>6 𝑔/𝑚𝑔</a:t>
              </a:r>
              <a:r>
                <a:rPr lang="en-US" sz="1200" b="0" i="0">
                  <a:latin typeface="Cambria Math" panose="02040503050406030204" pitchFamily="18" charset="0"/>
                </a:rPr>
                <a:t>)</a:t>
              </a:r>
              <a:endParaRPr lang="en-US" sz="1200"/>
            </a:p>
          </xdr:txBody>
        </xdr:sp>
      </mc:Fallback>
    </mc:AlternateContent>
    <xdr:clientData/>
  </xdr:oneCellAnchor>
  <xdr:oneCellAnchor>
    <xdr:from>
      <xdr:col>0</xdr:col>
      <xdr:colOff>0</xdr:colOff>
      <xdr:row>132</xdr:row>
      <xdr:rowOff>65943</xdr:rowOff>
    </xdr:from>
    <xdr:ext cx="3686515" cy="444650"/>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0" y="22691481"/>
              <a:ext cx="3695700" cy="4392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a:rPr>
                      <m:t>𝐶𝑠𝑎𝑡</m:t>
                    </m:r>
                    <m:r>
                      <a:rPr lang="en-US" sz="1200" i="1">
                        <a:latin typeface="Cambria Math"/>
                      </a:rPr>
                      <m:t>=</m:t>
                    </m:r>
                    <m:f>
                      <m:fPr>
                        <m:ctrlPr>
                          <a:rPr lang="en-US" sz="1200" i="1">
                            <a:latin typeface="Cambria Math" panose="02040503050406030204" pitchFamily="18" charset="0"/>
                          </a:rPr>
                        </m:ctrlPr>
                      </m:fPr>
                      <m:num>
                        <m:r>
                          <a:rPr lang="en-US" sz="1200" b="0" i="1">
                            <a:latin typeface="Cambria Math"/>
                          </a:rPr>
                          <m:t>𝑆</m:t>
                        </m:r>
                      </m:num>
                      <m:den>
                        <m:r>
                          <a:rPr lang="en-US" sz="1200" b="0" i="1">
                            <a:latin typeface="Cambria Math"/>
                          </a:rPr>
                          <m:t>𝑃𝑏</m:t>
                        </m:r>
                      </m:den>
                    </m:f>
                    <m:r>
                      <a:rPr lang="en-US" sz="1200" b="0" i="1">
                        <a:latin typeface="Cambria Math"/>
                      </a:rPr>
                      <m:t>∗</m:t>
                    </m:r>
                    <m:d>
                      <m:dPr>
                        <m:ctrlPr>
                          <a:rPr lang="en-US" sz="1200" b="0" i="1">
                            <a:latin typeface="Cambria Math" panose="02040503050406030204" pitchFamily="18" charset="0"/>
                          </a:rPr>
                        </m:ctrlPr>
                      </m:dPr>
                      <m:e>
                        <m:r>
                          <a:rPr lang="en-US" sz="1200" b="0" i="1">
                            <a:latin typeface="Cambria Math"/>
                          </a:rPr>
                          <m:t>𝐾𝑑</m:t>
                        </m:r>
                        <m:r>
                          <a:rPr lang="en-US" sz="1200" b="0" i="1">
                            <a:latin typeface="Cambria Math"/>
                          </a:rPr>
                          <m:t>∗</m:t>
                        </m:r>
                        <m:r>
                          <a:rPr lang="en-US" sz="1200" b="0" i="1">
                            <a:latin typeface="Cambria Math"/>
                          </a:rPr>
                          <m:t>𝑝𝑏</m:t>
                        </m:r>
                        <m:r>
                          <a:rPr lang="en-US" sz="1200" b="0" i="1">
                            <a:latin typeface="Cambria Math"/>
                          </a:rPr>
                          <m:t>+</m:t>
                        </m:r>
                        <m:r>
                          <a:rPr lang="en-US" sz="1200" b="0" i="1">
                            <a:latin typeface="Cambria Math"/>
                          </a:rPr>
                          <m:t>𝑂𝑤</m:t>
                        </m:r>
                        <m:r>
                          <a:rPr lang="en-US" sz="1200" b="0" i="1">
                            <a:latin typeface="Cambria Math"/>
                          </a:rPr>
                          <m:t>+</m:t>
                        </m:r>
                        <m:sSup>
                          <m:sSupPr>
                            <m:ctrlPr>
                              <a:rPr lang="en-US" sz="1200" b="0" i="1">
                                <a:latin typeface="Cambria Math" panose="02040503050406030204" pitchFamily="18" charset="0"/>
                              </a:rPr>
                            </m:ctrlPr>
                          </m:sSupPr>
                          <m:e>
                            <m:r>
                              <a:rPr lang="en-US" sz="1200" b="0" i="1">
                                <a:latin typeface="Cambria Math"/>
                              </a:rPr>
                              <m:t>𝐻</m:t>
                            </m:r>
                          </m:e>
                          <m:sup>
                            <m:r>
                              <a:rPr lang="en-US" sz="1200" b="0" i="1">
                                <a:latin typeface="Cambria Math"/>
                              </a:rPr>
                              <m:t>′</m:t>
                            </m:r>
                          </m:sup>
                        </m:sSup>
                        <m:r>
                          <a:rPr lang="en-US" sz="1200" b="0" i="1">
                            <a:latin typeface="Cambria Math"/>
                          </a:rPr>
                          <m:t>∗</m:t>
                        </m:r>
                        <m:r>
                          <a:rPr lang="en-US" sz="1200" b="0" i="1">
                            <a:latin typeface="Cambria Math"/>
                          </a:rPr>
                          <m:t>𝑂𝑎</m:t>
                        </m:r>
                      </m:e>
                    </m:d>
                  </m:oMath>
                </m:oMathPara>
              </a14:m>
              <a:endParaRPr lang="en-US" sz="1200"/>
            </a:p>
          </xdr:txBody>
        </xdr:sp>
      </mc:Choice>
      <mc:Fallback xmlns="">
        <xdr:sp macro="" textlink="">
          <xdr:nvSpPr>
            <xdr:cNvPr id="6" name="TextBox 5"/>
            <xdr:cNvSpPr txBox="1"/>
          </xdr:nvSpPr>
          <xdr:spPr>
            <a:xfrm xmlns:a="http://schemas.openxmlformats.org/drawingml/2006/main">
              <a:off x="0" y="22691481"/>
              <a:ext cx="3695700" cy="439223"/>
            </a:xfrm>
            <a:prstGeom xmlns:a="http://schemas.openxmlformats.org/drawingml/2006/main" prst="rect">
              <a:avLst/>
            </a:prstGeom>
            <a:noFill xmlns:a="http://schemas.openxmlformats.org/drawingml/2006/main"/>
          </xdr:spPr>
          <x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xmlns:a="http://schemas.openxmlformats.org/drawingml/2006/main" vertOverflow="clip" horzOverflow="clip" wrap="square" rtlCol="0" anchor="t">
              <a:spAutoFit/>
            </a:bodyPr>
            <a:lstStyle xmlns:a="http://schemas.openxmlformats.org/drawingml/2006/main"/>
            <a:p xmlns:a="http://schemas.openxmlformats.org/drawingml/2006/main">
              <a:pPr/>
              <a:r>
                <a:rPr lang="en-US" sz="1200" b="0" i="0">
                  <a:latin typeface="Cambria Math"/>
                </a:rPr>
                <a:t>𝐶𝑠𝑎𝑡</a:t>
              </a:r>
              <a:r>
                <a:rPr lang="en-US" sz="1200" i="0">
                  <a:latin typeface="Cambria Math"/>
                </a:rPr>
                <a:t>=</a:t>
              </a:r>
              <a:r>
                <a:rPr lang="en-US" sz="1200" b="0" i="0">
                  <a:latin typeface="Cambria Math"/>
                </a:rPr>
                <a:t>𝑆</a:t>
              </a:r>
              <a:r>
                <a:rPr lang="en-US" sz="1200" b="0" i="0">
                  <a:latin typeface="Cambria Math" panose="02040503050406030204" pitchFamily="18" charset="0"/>
                </a:rPr>
                <a:t>/</a:t>
              </a:r>
              <a:r>
                <a:rPr lang="en-US" sz="1200" b="0" i="0">
                  <a:latin typeface="Cambria Math"/>
                </a:rPr>
                <a:t>𝑃𝑏∗</a:t>
              </a:r>
              <a:r>
                <a:rPr lang="en-US" sz="1200" b="0" i="0">
                  <a:latin typeface="Cambria Math" panose="02040503050406030204" pitchFamily="18" charset="0"/>
                </a:rPr>
                <a:t>(</a:t>
              </a:r>
              <a:r>
                <a:rPr lang="en-US" sz="1200" b="0" i="0">
                  <a:latin typeface="Cambria Math"/>
                </a:rPr>
                <a:t>𝐾𝑑∗𝑝𝑏+𝑂𝑤+𝐻</a:t>
              </a:r>
              <a:r>
                <a:rPr lang="en-US" sz="1200" b="0" i="0">
                  <a:latin typeface="Cambria Math" panose="02040503050406030204" pitchFamily="18" charset="0"/>
                </a:rPr>
                <a:t>^</a:t>
              </a:r>
              <a:r>
                <a:rPr lang="en-US" sz="1200" b="0" i="0">
                  <a:latin typeface="Cambria Math"/>
                </a:rPr>
                <a:t>′∗𝑂𝑎</a:t>
              </a:r>
              <a:r>
                <a:rPr lang="en-US" sz="1200" b="0" i="0">
                  <a:latin typeface="Cambria Math" panose="02040503050406030204" pitchFamily="18" charset="0"/>
                </a:rPr>
                <a:t>)</a:t>
              </a:r>
              <a:endParaRPr lang="en-US" sz="1200"/>
            </a:p>
          </xdr:txBody>
        </xdr:sp>
      </mc:Fallback>
    </mc:AlternateContent>
    <xdr:clientData/>
  </xdr:oneCellAnchor>
  <xdr:twoCellAnchor editAs="oneCell">
    <xdr:from>
      <xdr:col>0</xdr:col>
      <xdr:colOff>38100</xdr:colOff>
      <xdr:row>95</xdr:row>
      <xdr:rowOff>133350</xdr:rowOff>
    </xdr:from>
    <xdr:to>
      <xdr:col>1</xdr:col>
      <xdr:colOff>209550</xdr:colOff>
      <xdr:row>100</xdr:row>
      <xdr:rowOff>38100</xdr:rowOff>
    </xdr:to>
    <xdr:pic>
      <xdr:nvPicPr>
        <xdr:cNvPr id="16709" name="Picture 8">
          <a:extLst>
            <a:ext uri="{FF2B5EF4-FFF2-40B4-BE49-F238E27FC236}">
              <a16:creationId xmlns:a16="http://schemas.microsoft.com/office/drawing/2014/main" id="{00000000-0008-0000-0500-0000454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5944850"/>
          <a:ext cx="3286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116</xdr:row>
      <xdr:rowOff>19050</xdr:rowOff>
    </xdr:from>
    <xdr:to>
      <xdr:col>1</xdr:col>
      <xdr:colOff>190500</xdr:colOff>
      <xdr:row>120</xdr:row>
      <xdr:rowOff>123825</xdr:rowOff>
    </xdr:to>
    <xdr:pic>
      <xdr:nvPicPr>
        <xdr:cNvPr id="16712" name="Picture 11">
          <a:extLst>
            <a:ext uri="{FF2B5EF4-FFF2-40B4-BE49-F238E27FC236}">
              <a16:creationId xmlns:a16="http://schemas.microsoft.com/office/drawing/2014/main" id="{00000000-0008-0000-0500-0000484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9516725"/>
          <a:ext cx="33051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859735</xdr:colOff>
      <xdr:row>39</xdr:row>
      <xdr:rowOff>155713</xdr:rowOff>
    </xdr:from>
    <xdr:ext cx="65" cy="172227"/>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5108713" y="6980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57978</xdr:colOff>
      <xdr:row>36</xdr:row>
      <xdr:rowOff>66261</xdr:rowOff>
    </xdr:from>
    <xdr:ext cx="9959137" cy="679738"/>
    <mc:AlternateContent xmlns:mc="http://schemas.openxmlformats.org/markup-compatibility/2006" xmlns:a14="http://schemas.microsoft.com/office/drawing/2010/main">
      <mc:Choice Requires="a14">
        <xdr:sp macro="" textlink="">
          <xdr:nvSpPr>
            <xdr:cNvPr id="34" name="TextBox 33">
              <a:extLst>
                <a:ext uri="{FF2B5EF4-FFF2-40B4-BE49-F238E27FC236}">
                  <a16:creationId xmlns:a16="http://schemas.microsoft.com/office/drawing/2014/main" id="{00000000-0008-0000-0500-000022000000}"/>
                </a:ext>
              </a:extLst>
            </xdr:cNvPr>
            <xdr:cNvSpPr txBox="1"/>
          </xdr:nvSpPr>
          <xdr:spPr>
            <a:xfrm>
              <a:off x="57978" y="6394174"/>
              <a:ext cx="9959137" cy="679738"/>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𝑆𝑅𝑉</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f>
                      <m:fPr>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𝐻𝑄</m:t>
                        </m:r>
                      </m:num>
                      <m:den>
                        <m:d>
                          <m:dPr>
                            <m:begChr m:val="["/>
                            <m:endChr m:val="]"/>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d>
                              <m:dPr>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type m:val="lin"/>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d>
                                      <m:dPr>
                                        <m:begChr m:val="{"/>
                                        <m:endChr m:val="}"/>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𝐼𝑅</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𝑅𝐵𝐴</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𝐶𝐹</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𝐸𝐷</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𝐸𝐹𝑖𝑛𝑔</m:t>
                                            </m:r>
                                          </m:num>
                                          <m:den>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𝐵𝑊</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𝐴𝑇</m:t>
                                            </m:r>
                                          </m:den>
                                        </m:f>
                                      </m:e>
                                    </m:d>
                                  </m:num>
                                  <m:den>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𝑅𝑓𝐷</m:t>
                                    </m:r>
                                  </m:den>
                                </m:f>
                              </m:e>
                            </m:d>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d>
                              <m:dPr>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type m:val="lin"/>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d>
                                      <m:dPr>
                                        <m:begChr m:val="{"/>
                                        <m:endChr m:val="}"/>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𝑆𝐴</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𝐴𝐹</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𝐶𝐹</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𝐸𝐹𝑑𝑒𝑟</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𝐸𝐷</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𝐴𝐵𝑆𝑑</m:t>
                                            </m:r>
                                          </m:num>
                                          <m:den>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𝐵𝑊</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𝐴𝑇</m:t>
                                            </m:r>
                                          </m:den>
                                        </m:f>
                                      </m:e>
                                    </m:d>
                                  </m:num>
                                  <m:den>
                                    <m:d>
                                      <m:dPr>
                                        <m:begChr m:val="{"/>
                                        <m:endChr m:val="}"/>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𝑅𝑓𝐷</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𝐴𝐵𝑆𝑔𝑖</m:t>
                                        </m:r>
                                      </m:e>
                                    </m:d>
                                  </m:den>
                                </m:f>
                              </m:e>
                            </m:d>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d>
                              <m:dPr>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d>
                                  <m:dPr>
                                    <m:begChr m:val="{"/>
                                    <m:endChr m:val="}"/>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𝐸𝐹𝑖𝑛h</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𝐸𝐷</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𝐸𝑇𝑖𝑛h</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d>
                                          <m:dPr>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1</m:t>
                                                </m:r>
                                              </m:num>
                                              <m:den>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𝑃𝐹</m:t>
                                                </m:r>
                                              </m:den>
                                            </m:f>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f>
                                              <m:fPr>
                                                <m:ctrlP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1</m:t>
                                                </m:r>
                                              </m:num>
                                              <m:den>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𝑉𝐹</m:t>
                                                </m:r>
                                              </m:den>
                                            </m:f>
                                          </m:e>
                                        </m:d>
                                      </m:num>
                                      <m:den>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𝐴𝑇</m:t>
                                        </m:r>
                                      </m:den>
                                    </m:f>
                                  </m:e>
                                </m:d>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n-US" sz="12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𝑅𝑓𝐶</m:t>
                                </m:r>
                              </m:e>
                            </m:d>
                          </m:e>
                        </m:d>
                      </m:den>
                    </m:f>
                  </m:oMath>
                </m:oMathPara>
              </a14:m>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34" name="TextBox 33"/>
            <xdr:cNvSpPr txBox="1"/>
          </xdr:nvSpPr>
          <xdr:spPr>
            <a:xfrm>
              <a:off x="57978" y="6394174"/>
              <a:ext cx="9959137" cy="679738"/>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a:t>𝑆𝑅𝑉=𝐻𝑄/[</a:t>
              </a:r>
              <a:r>
                <a:rPr kumimoji="0" lang="en-US" sz="1200" b="0" i="0" u="none" strike="noStrike" kern="0" cap="none" spc="0" normalizeH="0" baseline="0" noProof="0" smtClean="0">
                  <a:ln>
                    <a:noFill/>
                  </a:ln>
                  <a:solidFill>
                    <a:sysClr val="windowText" lastClr="000000"/>
                  </a:solidFill>
                  <a:effectLst/>
                  <a:uLnTx/>
                  <a:uFillTx/>
                  <a:latin typeface="+mn-lt"/>
                  <a:ea typeface="+mn-ea"/>
                  <a:cs typeface="+mn-cs"/>
                </a:rPr>
                <a:t>({(𝐼𝑅∗𝑅𝐵𝐴∗𝐶𝐹∗𝐸𝐷∗𝐸𝐹𝑖𝑛𝑔)/(𝐵𝑊∗𝐴𝑇)}∕𝑅𝑓𝐷)+({(𝑆𝐴∗𝐴𝐹∗𝐶𝐹∗𝐸𝐹𝑑𝑒𝑟∗𝐸𝐷∗𝐴𝐵𝑆𝑑)/(𝐵𝑊∗𝐴𝑇)}∕{𝑅𝑓𝐷∗𝐴𝐵𝑆𝑔𝑖} )+(</a:t>
              </a:r>
              <a:r>
                <a:rPr kumimoji="0" lang="en-US" sz="1200" b="0" i="0"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a:t>{(𝐸𝐹𝑖𝑛ℎ∗𝐸𝐷∗𝐸𝑇𝑖𝑛ℎ∗(1/𝑃𝐹+1/𝑉𝐹))/𝐴𝑇}/𝑅𝑓𝐶</a:t>
              </a:r>
              <a:r>
                <a:rPr kumimoji="0" lang="en-US" sz="1200" b="0" i="0" u="none" strike="noStrike" kern="0" cap="none" spc="0" normalizeH="0" baseline="0" noProof="0" smtClean="0">
                  <a:ln>
                    <a:noFill/>
                  </a:ln>
                  <a:solidFill>
                    <a:sysClr val="windowText" lastClr="000000"/>
                  </a:solidFill>
                  <a:effectLst/>
                  <a:uLnTx/>
                  <a:uFillTx/>
                  <a:latin typeface="+mn-lt"/>
                  <a:ea typeface="+mn-ea"/>
                  <a:cs typeface="+mn-cs"/>
                </a:rPr>
                <a:t>)</a:t>
              </a:r>
              <a:r>
                <a:rPr kumimoji="0" lang="en-US" sz="1200" b="0" i="0"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a:t>] </a:t>
              </a:r>
              <a:endParaRPr kumimoji="0" lang="en-US" sz="1200" b="0" i="0" u="none" strike="noStrike" kern="0" cap="none" spc="0" normalizeH="0" baseline="0" noProof="0" smtClean="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twoCellAnchor editAs="oneCell">
    <xdr:from>
      <xdr:col>0</xdr:col>
      <xdr:colOff>82826</xdr:colOff>
      <xdr:row>4</xdr:row>
      <xdr:rowOff>49696</xdr:rowOff>
    </xdr:from>
    <xdr:to>
      <xdr:col>6</xdr:col>
      <xdr:colOff>120134</xdr:colOff>
      <xdr:row>7</xdr:row>
      <xdr:rowOff>95330</xdr:rowOff>
    </xdr:to>
    <xdr:pic>
      <xdr:nvPicPr>
        <xdr:cNvPr id="36" name="Picture 35">
          <a:extLst>
            <a:ext uri="{FF2B5EF4-FFF2-40B4-BE49-F238E27FC236}">
              <a16:creationId xmlns:a16="http://schemas.microsoft.com/office/drawing/2014/main" id="{00000000-0008-0000-0500-000024000000}"/>
            </a:ext>
          </a:extLst>
        </xdr:cNvPr>
        <xdr:cNvPicPr>
          <a:picLocks noChangeAspect="1"/>
        </xdr:cNvPicPr>
      </xdr:nvPicPr>
      <xdr:blipFill>
        <a:blip xmlns:r="http://schemas.openxmlformats.org/officeDocument/2006/relationships" r:embed="rId3"/>
        <a:stretch>
          <a:fillRect/>
        </a:stretch>
      </xdr:blipFill>
      <xdr:spPr>
        <a:xfrm>
          <a:off x="82826" y="745435"/>
          <a:ext cx="9522777" cy="54259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hyperlink" Target="http://www.oehha.ca.gov/air/hot_spots/tsd052909.html" TargetMode="Externa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R435"/>
  <sheetViews>
    <sheetView showGridLines="0" tabSelected="1" view="pageLayout" zoomScale="70" zoomScaleNormal="100" zoomScalePageLayoutView="70" workbookViewId="0">
      <selection activeCell="M92" sqref="M92"/>
    </sheetView>
  </sheetViews>
  <sheetFormatPr defaultRowHeight="12.5"/>
  <sheetData>
    <row r="1" spans="1:18" ht="23">
      <c r="A1" s="741"/>
      <c r="B1" s="742"/>
      <c r="C1" s="742"/>
      <c r="D1" s="742"/>
      <c r="E1" s="742"/>
      <c r="F1" s="742"/>
      <c r="G1" s="742"/>
      <c r="H1" s="742"/>
      <c r="I1" s="742"/>
      <c r="J1" s="742"/>
      <c r="K1" s="742"/>
      <c r="L1" s="742"/>
      <c r="M1" s="742"/>
      <c r="N1" s="742"/>
      <c r="O1" s="742"/>
      <c r="P1" s="107"/>
      <c r="Q1" s="107"/>
    </row>
    <row r="2" spans="1:18" ht="23">
      <c r="A2" s="547"/>
      <c r="B2" s="548"/>
      <c r="C2" s="548"/>
      <c r="D2" s="548"/>
      <c r="E2" s="548"/>
      <c r="F2" s="548"/>
      <c r="G2" s="548"/>
      <c r="H2" s="548"/>
      <c r="I2" s="548"/>
      <c r="J2" s="548"/>
      <c r="K2" s="548"/>
      <c r="L2" s="548"/>
      <c r="M2" s="548"/>
      <c r="N2" s="548"/>
      <c r="O2" s="548"/>
      <c r="P2" s="107"/>
      <c r="Q2" s="107"/>
    </row>
    <row r="3" spans="1:18" ht="23">
      <c r="A3" s="547"/>
      <c r="B3" s="548"/>
      <c r="C3" s="548"/>
      <c r="D3" s="548"/>
      <c r="E3" s="548"/>
      <c r="F3" s="548"/>
      <c r="G3" s="548"/>
      <c r="H3" s="548"/>
      <c r="I3" s="548"/>
      <c r="J3" s="548"/>
      <c r="K3" s="548"/>
      <c r="L3" s="548"/>
      <c r="M3" s="548"/>
      <c r="N3" s="548"/>
      <c r="O3" s="548"/>
      <c r="P3" s="107"/>
      <c r="Q3" s="107"/>
    </row>
    <row r="4" spans="1:18">
      <c r="A4" s="743"/>
      <c r="B4" s="743"/>
      <c r="C4" s="743"/>
      <c r="D4" s="743"/>
      <c r="E4" s="743"/>
      <c r="F4" s="743"/>
      <c r="G4" s="743"/>
      <c r="H4" s="743"/>
      <c r="I4" s="743"/>
      <c r="J4" s="743"/>
      <c r="K4" s="743"/>
      <c r="L4" s="743"/>
      <c r="M4" s="743"/>
      <c r="N4" s="743"/>
      <c r="O4" s="743"/>
      <c r="P4" s="107"/>
      <c r="Q4" s="107"/>
    </row>
    <row r="5" spans="1:18">
      <c r="A5" s="743"/>
      <c r="B5" s="743"/>
      <c r="C5" s="743"/>
      <c r="D5" s="743"/>
      <c r="E5" s="743"/>
      <c r="F5" s="743"/>
      <c r="G5" s="743"/>
      <c r="H5" s="743"/>
      <c r="I5" s="743"/>
      <c r="J5" s="743"/>
      <c r="K5" s="743"/>
      <c r="L5" s="743"/>
      <c r="M5" s="743"/>
      <c r="N5" s="743"/>
      <c r="O5" s="743"/>
      <c r="P5" s="107"/>
      <c r="Q5" s="107"/>
    </row>
    <row r="6" spans="1:18">
      <c r="A6" s="743"/>
      <c r="B6" s="743"/>
      <c r="C6" s="743"/>
      <c r="D6" s="743"/>
      <c r="E6" s="743"/>
      <c r="F6" s="743"/>
      <c r="G6" s="743"/>
      <c r="H6" s="743"/>
      <c r="I6" s="743"/>
      <c r="J6" s="743"/>
      <c r="K6" s="743"/>
      <c r="L6" s="743"/>
      <c r="M6" s="743"/>
      <c r="N6" s="743"/>
      <c r="O6" s="743"/>
      <c r="P6" s="107"/>
      <c r="Q6" s="107"/>
    </row>
    <row r="7" spans="1:18">
      <c r="A7" s="743"/>
      <c r="B7" s="743"/>
      <c r="C7" s="743"/>
      <c r="D7" s="743"/>
      <c r="E7" s="743"/>
      <c r="F7" s="743"/>
      <c r="G7" s="743"/>
      <c r="H7" s="743"/>
      <c r="I7" s="743"/>
      <c r="J7" s="743"/>
      <c r="K7" s="743"/>
      <c r="L7" s="743"/>
      <c r="M7" s="743"/>
      <c r="N7" s="743"/>
      <c r="O7" s="743"/>
      <c r="P7" s="107"/>
      <c r="Q7" s="107"/>
    </row>
    <row r="8" spans="1:18">
      <c r="A8" s="107"/>
      <c r="B8" s="107"/>
      <c r="C8" s="107"/>
      <c r="D8" s="107"/>
      <c r="E8" s="107"/>
      <c r="F8" s="107"/>
      <c r="G8" s="107"/>
      <c r="H8" s="107"/>
      <c r="I8" s="107"/>
      <c r="J8" s="107"/>
      <c r="K8" s="107"/>
      <c r="L8" s="107"/>
      <c r="M8" s="107"/>
      <c r="N8" s="107"/>
      <c r="O8" s="107"/>
      <c r="P8" s="107"/>
      <c r="Q8" s="107"/>
      <c r="R8" s="1"/>
    </row>
    <row r="9" spans="1:18">
      <c r="A9" s="107"/>
      <c r="B9" s="107"/>
      <c r="C9" s="107"/>
      <c r="D9" s="107"/>
      <c r="E9" s="107"/>
      <c r="F9" s="107"/>
      <c r="G9" s="107"/>
      <c r="H9" s="107"/>
      <c r="I9" s="107"/>
      <c r="J9" s="107"/>
      <c r="K9" s="107"/>
      <c r="L9" s="107"/>
      <c r="M9" s="107"/>
      <c r="N9" s="107"/>
      <c r="O9" s="107"/>
      <c r="P9" s="107"/>
      <c r="Q9" s="107"/>
    </row>
    <row r="10" spans="1:18">
      <c r="A10" s="107"/>
      <c r="B10" s="107"/>
      <c r="C10" s="107"/>
      <c r="D10" s="107"/>
      <c r="E10" s="107"/>
      <c r="F10" s="107"/>
      <c r="G10" s="107"/>
      <c r="H10" s="107"/>
      <c r="I10" s="107"/>
      <c r="J10" s="107"/>
      <c r="K10" s="107"/>
      <c r="L10" s="107"/>
      <c r="M10" s="107"/>
      <c r="N10" s="107"/>
      <c r="O10" s="107"/>
      <c r="P10" s="107"/>
      <c r="Q10" s="107"/>
    </row>
    <row r="11" spans="1:18">
      <c r="A11" s="107"/>
      <c r="B11" s="107"/>
      <c r="C11" s="107"/>
      <c r="D11" s="107"/>
      <c r="E11" s="107"/>
      <c r="F11" s="107"/>
      <c r="G11" s="107"/>
      <c r="H11" s="107"/>
      <c r="I11" s="107"/>
      <c r="J11" s="107"/>
      <c r="K11" s="107"/>
      <c r="L11" s="107"/>
      <c r="M11" s="107"/>
      <c r="N11" s="107"/>
      <c r="O11" s="107"/>
      <c r="P11" s="107"/>
      <c r="Q11" s="107"/>
    </row>
    <row r="12" spans="1:18">
      <c r="A12" s="107"/>
      <c r="B12" s="107"/>
      <c r="C12" s="107"/>
      <c r="D12" s="107"/>
      <c r="E12" s="107"/>
      <c r="F12" s="107"/>
      <c r="G12" s="107"/>
      <c r="H12" s="107"/>
      <c r="I12" s="107"/>
      <c r="J12" s="107"/>
      <c r="K12" s="107"/>
      <c r="L12" s="107"/>
      <c r="M12" s="107"/>
      <c r="N12" s="107"/>
      <c r="O12" s="107"/>
      <c r="P12" s="107"/>
      <c r="Q12" s="107"/>
    </row>
    <row r="13" spans="1:18">
      <c r="A13" s="107"/>
      <c r="B13" s="107"/>
      <c r="C13" s="107"/>
      <c r="D13" s="107"/>
      <c r="E13" s="107"/>
      <c r="F13" s="107"/>
      <c r="G13" s="107"/>
      <c r="H13" s="107"/>
      <c r="I13" s="107"/>
      <c r="J13" s="107"/>
      <c r="K13" s="107"/>
      <c r="L13" s="107"/>
      <c r="M13" s="107"/>
      <c r="N13" s="107"/>
      <c r="O13" s="107"/>
      <c r="P13" s="107"/>
      <c r="Q13" s="107"/>
    </row>
    <row r="14" spans="1:18">
      <c r="A14" s="107"/>
      <c r="B14" s="107"/>
      <c r="C14" s="107"/>
      <c r="D14" s="107"/>
      <c r="E14" s="107"/>
      <c r="F14" s="107"/>
      <c r="G14" s="107"/>
      <c r="H14" s="107"/>
      <c r="I14" s="107"/>
      <c r="J14" s="107"/>
      <c r="K14" s="107"/>
      <c r="L14" s="107"/>
      <c r="M14" s="107"/>
      <c r="N14" s="107"/>
      <c r="O14" s="107"/>
      <c r="P14" s="107"/>
      <c r="Q14" s="107"/>
    </row>
    <row r="15" spans="1:18">
      <c r="A15" s="107"/>
      <c r="B15" s="107"/>
      <c r="C15" s="107"/>
      <c r="D15" s="107"/>
      <c r="E15" s="107"/>
      <c r="F15" s="107"/>
      <c r="G15" s="107"/>
      <c r="H15" s="107"/>
      <c r="I15" s="107"/>
      <c r="J15" s="107"/>
      <c r="K15" s="107"/>
      <c r="L15" s="107"/>
      <c r="M15" s="107"/>
      <c r="N15" s="107"/>
      <c r="O15" s="107"/>
      <c r="P15" s="107"/>
      <c r="Q15" s="107"/>
    </row>
    <row r="16" spans="1:18">
      <c r="A16" s="107"/>
      <c r="B16" s="107"/>
      <c r="C16" s="107"/>
      <c r="D16" s="107"/>
      <c r="E16" s="107"/>
      <c r="F16" s="107"/>
      <c r="G16" s="107"/>
      <c r="H16" s="107"/>
      <c r="I16" s="107"/>
      <c r="J16" s="107"/>
      <c r="K16" s="107"/>
      <c r="L16" s="107"/>
      <c r="M16" s="107"/>
      <c r="N16" s="107"/>
      <c r="O16" s="107"/>
      <c r="P16" s="107"/>
      <c r="Q16" s="107"/>
    </row>
    <row r="17" spans="1:17">
      <c r="A17" s="107"/>
      <c r="B17" s="107"/>
      <c r="C17" s="107"/>
      <c r="D17" s="107"/>
      <c r="E17" s="107"/>
      <c r="F17" s="107"/>
      <c r="G17" s="107"/>
      <c r="H17" s="107"/>
      <c r="I17" s="107"/>
      <c r="J17" s="107"/>
      <c r="K17" s="107"/>
      <c r="L17" s="107"/>
      <c r="M17" s="107"/>
      <c r="N17" s="107"/>
      <c r="O17" s="107"/>
      <c r="P17" s="107"/>
      <c r="Q17" s="107"/>
    </row>
    <row r="18" spans="1:17">
      <c r="A18" s="107"/>
      <c r="B18" s="107"/>
      <c r="C18" s="107"/>
      <c r="D18" s="107"/>
      <c r="E18" s="107"/>
      <c r="F18" s="107"/>
      <c r="G18" s="107"/>
      <c r="H18" s="107"/>
      <c r="I18" s="107"/>
      <c r="J18" s="107"/>
      <c r="K18" s="107"/>
      <c r="L18" s="107"/>
      <c r="M18" s="107"/>
      <c r="N18" s="107"/>
      <c r="O18" s="107"/>
      <c r="P18" s="107"/>
      <c r="Q18" s="107"/>
    </row>
    <row r="19" spans="1:17">
      <c r="A19" s="107"/>
      <c r="B19" s="107"/>
      <c r="C19" s="107"/>
      <c r="D19" s="107"/>
      <c r="E19" s="107"/>
      <c r="F19" s="107"/>
      <c r="G19" s="107"/>
      <c r="H19" s="107"/>
      <c r="I19" s="107"/>
      <c r="J19" s="107"/>
      <c r="K19" s="107"/>
      <c r="L19" s="107"/>
      <c r="M19" s="107"/>
      <c r="N19" s="107"/>
      <c r="O19" s="107"/>
      <c r="P19" s="107"/>
      <c r="Q19" s="107"/>
    </row>
    <row r="20" spans="1:17">
      <c r="A20" s="107"/>
      <c r="B20" s="107"/>
      <c r="C20" s="107"/>
      <c r="D20" s="107"/>
      <c r="E20" s="107"/>
      <c r="F20" s="107"/>
      <c r="G20" s="107"/>
      <c r="H20" s="107"/>
      <c r="I20" s="107"/>
      <c r="J20" s="107"/>
      <c r="K20" s="107"/>
      <c r="L20" s="107"/>
      <c r="M20" s="107"/>
      <c r="N20" s="107"/>
      <c r="O20" s="107"/>
      <c r="P20" s="107"/>
      <c r="Q20" s="107"/>
    </row>
    <row r="21" spans="1:17">
      <c r="A21" s="107"/>
      <c r="B21" s="107"/>
      <c r="C21" s="107"/>
      <c r="D21" s="107"/>
      <c r="E21" s="107"/>
      <c r="F21" s="107"/>
      <c r="G21" s="107"/>
      <c r="H21" s="107"/>
      <c r="I21" s="107"/>
      <c r="J21" s="107"/>
      <c r="K21" s="107"/>
      <c r="L21" s="107"/>
      <c r="M21" s="107"/>
      <c r="N21" s="107"/>
      <c r="O21" s="107"/>
      <c r="P21" s="107"/>
      <c r="Q21" s="107"/>
    </row>
    <row r="22" spans="1:17">
      <c r="A22" s="107"/>
      <c r="B22" s="107"/>
      <c r="C22" s="107"/>
      <c r="D22" s="107"/>
      <c r="E22" s="107"/>
      <c r="F22" s="107"/>
      <c r="G22" s="107"/>
      <c r="H22" s="107"/>
      <c r="I22" s="107"/>
      <c r="J22" s="107"/>
      <c r="K22" s="107"/>
      <c r="L22" s="107"/>
      <c r="M22" s="107"/>
      <c r="N22" s="107"/>
      <c r="O22" s="107"/>
      <c r="P22" s="107"/>
      <c r="Q22" s="107"/>
    </row>
    <row r="23" spans="1:17">
      <c r="A23" s="107"/>
      <c r="B23" s="107"/>
      <c r="C23" s="107"/>
      <c r="D23" s="107"/>
      <c r="E23" s="107"/>
      <c r="F23" s="107"/>
      <c r="G23" s="107"/>
      <c r="H23" s="107"/>
      <c r="I23" s="107"/>
      <c r="J23" s="107"/>
      <c r="K23" s="107"/>
      <c r="L23" s="107"/>
      <c r="M23" s="107"/>
      <c r="N23" s="107"/>
      <c r="O23" s="107"/>
      <c r="P23" s="107"/>
      <c r="Q23" s="107"/>
    </row>
    <row r="24" spans="1:17">
      <c r="A24" s="107"/>
      <c r="B24" s="107"/>
      <c r="C24" s="107"/>
      <c r="D24" s="107"/>
      <c r="E24" s="107"/>
      <c r="F24" s="107"/>
      <c r="G24" s="107"/>
      <c r="H24" s="107"/>
      <c r="I24" s="107"/>
      <c r="J24" s="107"/>
      <c r="K24" s="107"/>
      <c r="L24" s="107"/>
      <c r="M24" s="107"/>
      <c r="N24" s="107"/>
      <c r="O24" s="107"/>
      <c r="P24" s="107"/>
      <c r="Q24" s="107"/>
    </row>
    <row r="25" spans="1:17">
      <c r="A25" s="107"/>
      <c r="B25" s="107"/>
      <c r="C25" s="107"/>
      <c r="D25" s="107"/>
      <c r="E25" s="107"/>
      <c r="F25" s="107"/>
      <c r="G25" s="107"/>
      <c r="H25" s="107"/>
      <c r="I25" s="107"/>
      <c r="J25" s="107"/>
      <c r="K25" s="107"/>
      <c r="L25" s="107"/>
      <c r="M25" s="107"/>
      <c r="N25" s="107"/>
      <c r="O25" s="107"/>
      <c r="P25" s="107"/>
      <c r="Q25" s="107"/>
    </row>
    <row r="26" spans="1:17">
      <c r="A26" s="107"/>
      <c r="B26" s="107"/>
      <c r="C26" s="107"/>
      <c r="D26" s="107"/>
      <c r="E26" s="107"/>
      <c r="F26" s="107"/>
      <c r="G26" s="107"/>
      <c r="H26" s="107"/>
      <c r="I26" s="107"/>
      <c r="J26" s="107"/>
      <c r="K26" s="107"/>
      <c r="L26" s="107"/>
      <c r="M26" s="107"/>
      <c r="N26" s="107"/>
      <c r="O26" s="107"/>
      <c r="P26" s="107"/>
      <c r="Q26" s="107"/>
    </row>
    <row r="27" spans="1:17">
      <c r="A27" s="107"/>
      <c r="B27" s="107"/>
      <c r="C27" s="107"/>
      <c r="D27" s="107"/>
      <c r="E27" s="107"/>
      <c r="F27" s="107"/>
      <c r="G27" s="107"/>
      <c r="H27" s="107"/>
      <c r="I27" s="107"/>
      <c r="J27" s="107"/>
      <c r="K27" s="107"/>
      <c r="L27" s="107"/>
      <c r="M27" s="107"/>
      <c r="N27" s="107"/>
      <c r="O27" s="107"/>
      <c r="P27" s="107"/>
      <c r="Q27" s="107"/>
    </row>
    <row r="28" spans="1:17" ht="12" customHeight="1">
      <c r="A28" s="107"/>
      <c r="B28" s="107"/>
      <c r="C28" s="107"/>
      <c r="D28" s="107"/>
      <c r="E28" s="107"/>
      <c r="F28" s="107"/>
      <c r="G28" s="107"/>
      <c r="H28" s="107"/>
      <c r="I28" s="107"/>
      <c r="J28" s="107"/>
      <c r="K28" s="107"/>
      <c r="L28" s="107"/>
      <c r="M28" s="107"/>
      <c r="N28" s="107"/>
      <c r="O28" s="107"/>
      <c r="P28" s="107"/>
      <c r="Q28" s="107"/>
    </row>
    <row r="29" spans="1:17">
      <c r="A29" s="107"/>
      <c r="B29" s="107"/>
      <c r="C29" s="107"/>
      <c r="D29" s="107"/>
      <c r="E29" s="107"/>
      <c r="F29" s="107"/>
      <c r="G29" s="107"/>
      <c r="H29" s="107"/>
      <c r="I29" s="107"/>
      <c r="J29" s="107"/>
      <c r="K29" s="107"/>
      <c r="L29" s="107"/>
      <c r="M29" s="107"/>
      <c r="N29" s="107"/>
      <c r="O29" s="107"/>
      <c r="P29" s="107"/>
      <c r="Q29" s="107"/>
    </row>
    <row r="30" spans="1:17">
      <c r="A30" s="107"/>
      <c r="B30" s="107"/>
      <c r="C30" s="107"/>
      <c r="D30" s="107"/>
      <c r="E30" s="107"/>
      <c r="F30" s="107"/>
      <c r="G30" s="107"/>
      <c r="H30" s="107"/>
      <c r="I30" s="107"/>
      <c r="J30" s="107"/>
      <c r="K30" s="107"/>
      <c r="L30" s="107"/>
      <c r="M30" s="107"/>
      <c r="N30" s="107"/>
      <c r="O30" s="107"/>
      <c r="P30" s="107"/>
      <c r="Q30" s="107"/>
    </row>
    <row r="31" spans="1:17">
      <c r="A31" s="107"/>
      <c r="B31" s="107"/>
      <c r="C31" s="107"/>
      <c r="D31" s="107"/>
      <c r="E31" s="107"/>
      <c r="F31" s="107"/>
      <c r="G31" s="107"/>
      <c r="H31" s="107"/>
      <c r="I31" s="107"/>
      <c r="J31" s="107"/>
      <c r="K31" s="107"/>
      <c r="L31" s="107"/>
      <c r="M31" s="107"/>
      <c r="N31" s="107"/>
      <c r="O31" s="107"/>
      <c r="P31" s="107"/>
      <c r="Q31" s="107"/>
    </row>
    <row r="32" spans="1:17">
      <c r="A32" s="107"/>
      <c r="B32" s="107"/>
      <c r="C32" s="107"/>
      <c r="D32" s="107"/>
      <c r="E32" s="107"/>
      <c r="F32" s="107"/>
      <c r="G32" s="107"/>
      <c r="H32" s="107"/>
      <c r="I32" s="107"/>
      <c r="J32" s="107"/>
      <c r="K32" s="107"/>
      <c r="L32" s="107"/>
      <c r="M32" s="107"/>
      <c r="N32" s="107"/>
      <c r="O32" s="107"/>
      <c r="P32" s="107"/>
      <c r="Q32" s="107"/>
    </row>
    <row r="33" spans="1:17">
      <c r="A33" s="107"/>
      <c r="B33" s="107"/>
      <c r="C33" s="107"/>
      <c r="D33" s="107"/>
      <c r="E33" s="107"/>
      <c r="F33" s="107"/>
      <c r="G33" s="107"/>
      <c r="H33" s="107"/>
      <c r="I33" s="107"/>
      <c r="J33" s="107"/>
      <c r="K33" s="107"/>
      <c r="L33" s="107"/>
      <c r="M33" s="107"/>
      <c r="N33" s="107"/>
      <c r="O33" s="107"/>
      <c r="P33" s="107"/>
      <c r="Q33" s="107"/>
    </row>
    <row r="34" spans="1:17">
      <c r="A34" s="107"/>
      <c r="B34" s="107"/>
      <c r="C34" s="107"/>
      <c r="D34" s="107"/>
      <c r="E34" s="107"/>
      <c r="F34" s="107"/>
      <c r="G34" s="107"/>
      <c r="H34" s="107"/>
      <c r="I34" s="107"/>
      <c r="J34" s="107"/>
      <c r="K34" s="107"/>
      <c r="L34" s="107"/>
      <c r="M34" s="107"/>
      <c r="N34" s="107"/>
      <c r="O34" s="107"/>
      <c r="P34" s="107"/>
      <c r="Q34" s="107"/>
    </row>
    <row r="35" spans="1:17">
      <c r="A35" s="107"/>
      <c r="B35" s="107"/>
      <c r="C35" s="107"/>
      <c r="D35" s="107"/>
      <c r="E35" s="107"/>
      <c r="F35" s="107"/>
      <c r="G35" s="107"/>
      <c r="H35" s="107"/>
      <c r="I35" s="107"/>
      <c r="J35" s="107"/>
      <c r="K35" s="107"/>
      <c r="L35" s="107"/>
      <c r="M35" s="107"/>
      <c r="N35" s="107"/>
      <c r="O35" s="107"/>
      <c r="P35" s="107"/>
      <c r="Q35" s="107"/>
    </row>
    <row r="36" spans="1:17">
      <c r="A36" s="107"/>
      <c r="B36" s="107"/>
      <c r="C36" s="107"/>
      <c r="D36" s="107"/>
      <c r="E36" s="107"/>
      <c r="F36" s="107"/>
      <c r="G36" s="107"/>
      <c r="H36" s="107"/>
      <c r="I36" s="107"/>
      <c r="J36" s="107"/>
      <c r="K36" s="107"/>
      <c r="L36" s="107"/>
      <c r="M36" s="107"/>
      <c r="N36" s="107"/>
      <c r="O36" s="107"/>
      <c r="P36" s="107"/>
      <c r="Q36" s="107"/>
    </row>
    <row r="37" spans="1:17">
      <c r="A37" s="107"/>
      <c r="B37" s="107"/>
      <c r="C37" s="107"/>
      <c r="D37" s="107"/>
      <c r="E37" s="107"/>
      <c r="F37" s="107"/>
      <c r="G37" s="107"/>
      <c r="H37" s="107"/>
      <c r="I37" s="107"/>
      <c r="J37" s="107"/>
      <c r="K37" s="107"/>
      <c r="L37" s="107"/>
      <c r="M37" s="107"/>
      <c r="N37" s="107"/>
      <c r="O37" s="107"/>
      <c r="P37" s="107"/>
      <c r="Q37" s="107"/>
    </row>
    <row r="38" spans="1:17">
      <c r="A38" s="107"/>
      <c r="B38" s="107"/>
      <c r="C38" s="107"/>
      <c r="D38" s="107"/>
      <c r="E38" s="107"/>
      <c r="F38" s="107"/>
      <c r="G38" s="107"/>
      <c r="H38" s="107"/>
      <c r="I38" s="107"/>
      <c r="J38" s="107"/>
      <c r="K38" s="107"/>
      <c r="L38" s="107"/>
      <c r="M38" s="107"/>
      <c r="N38" s="107"/>
      <c r="O38" s="107"/>
      <c r="P38" s="107"/>
      <c r="Q38" s="107"/>
    </row>
    <row r="39" spans="1:17">
      <c r="A39" s="107"/>
      <c r="B39" s="107"/>
      <c r="C39" s="107"/>
      <c r="D39" s="107"/>
      <c r="E39" s="107"/>
      <c r="F39" s="107"/>
      <c r="G39" s="107"/>
      <c r="H39" s="107"/>
      <c r="I39" s="107"/>
      <c r="J39" s="107"/>
      <c r="K39" s="107"/>
      <c r="L39" s="107"/>
      <c r="M39" s="107"/>
      <c r="N39" s="107"/>
      <c r="O39" s="107"/>
      <c r="P39" s="107"/>
      <c r="Q39" s="107"/>
    </row>
    <row r="40" spans="1:17">
      <c r="A40" s="107"/>
      <c r="B40" s="107"/>
      <c r="C40" s="107"/>
      <c r="D40" s="107"/>
      <c r="E40" s="107"/>
      <c r="F40" s="107"/>
      <c r="G40" s="107"/>
      <c r="H40" s="107"/>
      <c r="I40" s="107"/>
      <c r="J40" s="107"/>
      <c r="K40" s="107"/>
      <c r="L40" s="107"/>
      <c r="M40" s="107"/>
      <c r="N40" s="107"/>
      <c r="O40" s="107"/>
      <c r="P40" s="107"/>
      <c r="Q40" s="107"/>
    </row>
    <row r="41" spans="1:17">
      <c r="A41" s="107"/>
      <c r="B41" s="107"/>
      <c r="C41" s="107"/>
      <c r="D41" s="107"/>
      <c r="E41" s="107"/>
      <c r="F41" s="107"/>
      <c r="G41" s="107"/>
      <c r="H41" s="107"/>
      <c r="I41" s="107"/>
      <c r="J41" s="107"/>
      <c r="K41" s="107"/>
      <c r="L41" s="107"/>
      <c r="M41" s="107"/>
      <c r="N41" s="107"/>
      <c r="O41" s="107"/>
      <c r="P41" s="107"/>
      <c r="Q41" s="107"/>
    </row>
    <row r="42" spans="1:17">
      <c r="A42" s="107"/>
      <c r="B42" s="107"/>
      <c r="C42" s="107"/>
      <c r="D42" s="107"/>
      <c r="E42" s="107"/>
      <c r="F42" s="107"/>
      <c r="G42" s="107"/>
      <c r="H42" s="107"/>
      <c r="I42" s="107"/>
      <c r="J42" s="107"/>
      <c r="K42" s="107"/>
      <c r="L42" s="107"/>
      <c r="M42" s="107"/>
      <c r="N42" s="107"/>
      <c r="O42" s="107"/>
      <c r="P42" s="107"/>
      <c r="Q42" s="107"/>
    </row>
    <row r="43" spans="1:17">
      <c r="A43" s="107"/>
      <c r="B43" s="107"/>
      <c r="C43" s="107"/>
      <c r="D43" s="107"/>
      <c r="E43" s="107"/>
      <c r="F43" s="107"/>
      <c r="G43" s="107"/>
      <c r="H43" s="107"/>
      <c r="I43" s="107"/>
      <c r="J43" s="107"/>
      <c r="K43" s="107"/>
      <c r="L43" s="107"/>
      <c r="M43" s="107"/>
      <c r="N43" s="107"/>
      <c r="O43" s="107"/>
      <c r="P43" s="107"/>
      <c r="Q43" s="107"/>
    </row>
    <row r="44" spans="1:17">
      <c r="A44" s="107"/>
      <c r="B44" s="107"/>
      <c r="C44" s="107"/>
      <c r="D44" s="107"/>
      <c r="E44" s="107"/>
      <c r="F44" s="107"/>
      <c r="G44" s="107"/>
      <c r="H44" s="107"/>
      <c r="I44" s="107"/>
      <c r="J44" s="107"/>
      <c r="K44" s="107"/>
      <c r="L44" s="107"/>
      <c r="M44" s="107"/>
      <c r="N44" s="107"/>
      <c r="O44" s="107"/>
      <c r="P44" s="107"/>
      <c r="Q44" s="107"/>
    </row>
    <row r="45" spans="1:17">
      <c r="A45" s="107"/>
      <c r="B45" s="107"/>
      <c r="C45" s="107"/>
      <c r="D45" s="107"/>
      <c r="E45" s="107"/>
      <c r="F45" s="107"/>
      <c r="G45" s="107"/>
      <c r="H45" s="107"/>
      <c r="I45" s="107"/>
      <c r="J45" s="107"/>
      <c r="K45" s="107"/>
      <c r="L45" s="107"/>
      <c r="M45" s="107"/>
      <c r="N45" s="107"/>
      <c r="O45" s="107"/>
      <c r="P45" s="107"/>
      <c r="Q45" s="107"/>
    </row>
    <row r="46" spans="1:17">
      <c r="A46" s="107"/>
      <c r="B46" s="107"/>
      <c r="C46" s="107"/>
      <c r="D46" s="107"/>
      <c r="E46" s="107"/>
      <c r="F46" s="107"/>
      <c r="G46" s="107"/>
      <c r="H46" s="107"/>
      <c r="I46" s="107"/>
      <c r="J46" s="107"/>
      <c r="K46" s="107"/>
      <c r="L46" s="107"/>
      <c r="M46" s="107"/>
      <c r="N46" s="107"/>
      <c r="O46" s="107"/>
      <c r="P46" s="107"/>
      <c r="Q46" s="107"/>
    </row>
    <row r="47" spans="1:17">
      <c r="A47" s="107"/>
      <c r="B47" s="107"/>
      <c r="C47" s="107"/>
      <c r="D47" s="107"/>
      <c r="E47" s="107"/>
      <c r="F47" s="107"/>
      <c r="G47" s="107"/>
      <c r="H47" s="107"/>
      <c r="I47" s="107"/>
      <c r="J47" s="107"/>
      <c r="K47" s="107"/>
      <c r="L47" s="107"/>
      <c r="M47" s="107"/>
      <c r="N47" s="107"/>
      <c r="O47" s="107"/>
      <c r="P47" s="107"/>
      <c r="Q47" s="107"/>
    </row>
    <row r="48" spans="1:17">
      <c r="A48" s="107"/>
      <c r="B48" s="107"/>
      <c r="C48" s="107"/>
      <c r="D48" s="107"/>
      <c r="E48" s="107"/>
      <c r="F48" s="107"/>
      <c r="G48" s="107"/>
      <c r="H48" s="107"/>
      <c r="I48" s="107"/>
      <c r="J48" s="107"/>
      <c r="K48" s="107"/>
      <c r="L48" s="107"/>
      <c r="M48" s="107"/>
      <c r="N48" s="107"/>
      <c r="O48" s="107"/>
      <c r="P48" s="107"/>
      <c r="Q48" s="107"/>
    </row>
    <row r="49" spans="1:17">
      <c r="A49" s="107"/>
      <c r="B49" s="107"/>
      <c r="C49" s="107"/>
      <c r="D49" s="107"/>
      <c r="E49" s="107"/>
      <c r="F49" s="107"/>
      <c r="G49" s="107"/>
      <c r="H49" s="107"/>
      <c r="I49" s="107"/>
      <c r="J49" s="107"/>
      <c r="K49" s="107"/>
      <c r="L49" s="107"/>
      <c r="M49" s="107"/>
      <c r="N49" s="107"/>
      <c r="O49" s="107"/>
      <c r="P49" s="107"/>
      <c r="Q49" s="107"/>
    </row>
    <row r="50" spans="1:17">
      <c r="A50" s="107"/>
      <c r="B50" s="107"/>
      <c r="C50" s="107"/>
      <c r="D50" s="107"/>
      <c r="E50" s="107"/>
      <c r="F50" s="107"/>
      <c r="G50" s="107"/>
      <c r="H50" s="107"/>
      <c r="I50" s="107"/>
      <c r="J50" s="107"/>
      <c r="K50" s="107"/>
      <c r="L50" s="107"/>
      <c r="M50" s="107"/>
      <c r="N50" s="107"/>
      <c r="O50" s="107"/>
      <c r="P50" s="107"/>
      <c r="Q50" s="107"/>
    </row>
    <row r="51" spans="1:17">
      <c r="A51" s="107"/>
      <c r="B51" s="107"/>
      <c r="C51" s="107"/>
      <c r="D51" s="107"/>
      <c r="E51" s="107"/>
      <c r="F51" s="107"/>
      <c r="G51" s="107"/>
      <c r="H51" s="107"/>
      <c r="I51" s="107"/>
      <c r="J51" s="107"/>
      <c r="K51" s="107"/>
      <c r="L51" s="107"/>
      <c r="M51" s="107"/>
      <c r="N51" s="107"/>
      <c r="O51" s="107"/>
      <c r="P51" s="107"/>
      <c r="Q51" s="107"/>
    </row>
    <row r="52" spans="1:17">
      <c r="A52" s="107"/>
      <c r="B52" s="107"/>
      <c r="C52" s="107"/>
      <c r="D52" s="107"/>
      <c r="E52" s="107"/>
      <c r="F52" s="107"/>
      <c r="G52" s="107"/>
      <c r="H52" s="107"/>
      <c r="I52" s="107"/>
      <c r="J52" s="107"/>
      <c r="K52" s="107"/>
      <c r="L52" s="107"/>
      <c r="M52" s="107"/>
      <c r="N52" s="107"/>
      <c r="O52" s="107"/>
      <c r="P52" s="107"/>
      <c r="Q52" s="107"/>
    </row>
    <row r="53" spans="1:17">
      <c r="A53" s="107"/>
      <c r="B53" s="107"/>
      <c r="C53" s="107"/>
      <c r="D53" s="107"/>
      <c r="E53" s="107"/>
      <c r="F53" s="107"/>
      <c r="G53" s="107"/>
      <c r="H53" s="107"/>
      <c r="I53" s="107"/>
      <c r="J53" s="107"/>
      <c r="K53" s="107"/>
      <c r="L53" s="107"/>
      <c r="M53" s="107"/>
      <c r="N53" s="107"/>
      <c r="O53" s="107"/>
      <c r="P53" s="107"/>
      <c r="Q53" s="107"/>
    </row>
    <row r="54" spans="1:17">
      <c r="A54" s="107"/>
      <c r="B54" s="107"/>
      <c r="C54" s="107"/>
      <c r="D54" s="107"/>
      <c r="E54" s="107"/>
      <c r="F54" s="107"/>
      <c r="G54" s="107"/>
      <c r="H54" s="107"/>
      <c r="I54" s="107"/>
      <c r="J54" s="107"/>
      <c r="K54" s="107"/>
      <c r="L54" s="107"/>
      <c r="M54" s="107"/>
      <c r="N54" s="107"/>
      <c r="O54" s="107"/>
      <c r="P54" s="107"/>
      <c r="Q54" s="107"/>
    </row>
    <row r="55" spans="1:17">
      <c r="A55" s="107"/>
      <c r="B55" s="107"/>
      <c r="C55" s="107"/>
      <c r="D55" s="107"/>
      <c r="E55" s="107"/>
      <c r="F55" s="107"/>
      <c r="G55" s="107"/>
      <c r="H55" s="107"/>
      <c r="I55" s="107"/>
      <c r="J55" s="107"/>
      <c r="K55" s="107"/>
      <c r="L55" s="107"/>
      <c r="M55" s="107"/>
      <c r="N55" s="107"/>
      <c r="O55" s="107"/>
      <c r="P55" s="107"/>
      <c r="Q55" s="107"/>
    </row>
    <row r="56" spans="1:17">
      <c r="A56" s="107"/>
      <c r="B56" s="107"/>
      <c r="C56" s="107"/>
      <c r="D56" s="107"/>
      <c r="E56" s="107"/>
      <c r="F56" s="107"/>
      <c r="G56" s="107"/>
      <c r="H56" s="107"/>
      <c r="I56" s="107"/>
      <c r="J56" s="107"/>
      <c r="K56" s="107"/>
      <c r="L56" s="107"/>
      <c r="M56" s="107"/>
      <c r="N56" s="107"/>
      <c r="O56" s="107"/>
      <c r="P56" s="107"/>
      <c r="Q56" s="107"/>
    </row>
    <row r="57" spans="1:17">
      <c r="A57" s="107"/>
      <c r="B57" s="107"/>
      <c r="C57" s="107"/>
      <c r="D57" s="107"/>
      <c r="E57" s="107"/>
      <c r="F57" s="107"/>
      <c r="G57" s="107"/>
      <c r="H57" s="107"/>
      <c r="I57" s="107"/>
      <c r="J57" s="107"/>
      <c r="K57" s="107"/>
      <c r="L57" s="107"/>
      <c r="M57" s="107"/>
      <c r="N57" s="107"/>
      <c r="O57" s="107"/>
      <c r="P57" s="107"/>
      <c r="Q57" s="107"/>
    </row>
    <row r="58" spans="1:17">
      <c r="A58" s="107"/>
      <c r="B58" s="107"/>
      <c r="C58" s="107"/>
      <c r="D58" s="107"/>
      <c r="E58" s="107"/>
      <c r="F58" s="107"/>
      <c r="G58" s="107"/>
      <c r="H58" s="107"/>
      <c r="I58" s="107"/>
      <c r="J58" s="107"/>
      <c r="K58" s="107"/>
      <c r="L58" s="107"/>
      <c r="M58" s="107"/>
      <c r="N58" s="107"/>
      <c r="O58" s="107"/>
      <c r="P58" s="107"/>
      <c r="Q58" s="107"/>
    </row>
    <row r="59" spans="1:17">
      <c r="A59" s="107"/>
      <c r="B59" s="107"/>
      <c r="C59" s="107"/>
      <c r="D59" s="107"/>
      <c r="E59" s="107"/>
      <c r="F59" s="107"/>
      <c r="G59" s="107"/>
      <c r="H59" s="107"/>
      <c r="I59" s="107"/>
      <c r="J59" s="107"/>
      <c r="K59" s="107"/>
      <c r="L59" s="107"/>
      <c r="M59" s="107"/>
      <c r="N59" s="107"/>
      <c r="O59" s="107"/>
      <c r="P59" s="107"/>
      <c r="Q59" s="107"/>
    </row>
    <row r="60" spans="1:17">
      <c r="A60" s="107"/>
      <c r="B60" s="107"/>
      <c r="C60" s="107"/>
      <c r="D60" s="107"/>
      <c r="E60" s="107"/>
      <c r="F60" s="107"/>
      <c r="G60" s="107"/>
      <c r="H60" s="107"/>
      <c r="I60" s="107"/>
      <c r="J60" s="107"/>
      <c r="K60" s="107"/>
      <c r="L60" s="107"/>
      <c r="M60" s="107"/>
      <c r="N60" s="107"/>
      <c r="O60" s="107"/>
      <c r="P60" s="107"/>
      <c r="Q60" s="107"/>
    </row>
    <row r="61" spans="1:17">
      <c r="A61" s="107"/>
      <c r="B61" s="107"/>
      <c r="C61" s="107"/>
      <c r="D61" s="107"/>
      <c r="E61" s="107"/>
      <c r="F61" s="107"/>
      <c r="G61" s="107"/>
      <c r="H61" s="107"/>
      <c r="I61" s="107"/>
      <c r="J61" s="107"/>
      <c r="K61" s="107"/>
      <c r="L61" s="107"/>
      <c r="M61" s="107"/>
      <c r="N61" s="107"/>
      <c r="O61" s="107"/>
      <c r="P61" s="107"/>
      <c r="Q61" s="107"/>
    </row>
    <row r="62" spans="1:17">
      <c r="A62" s="107"/>
      <c r="B62" s="107"/>
      <c r="C62" s="107"/>
      <c r="D62" s="107"/>
      <c r="E62" s="107"/>
      <c r="F62" s="107"/>
      <c r="G62" s="107"/>
      <c r="H62" s="107"/>
      <c r="I62" s="107"/>
      <c r="J62" s="107"/>
      <c r="K62" s="107"/>
      <c r="L62" s="107"/>
      <c r="M62" s="107"/>
      <c r="N62" s="107"/>
      <c r="O62" s="107"/>
      <c r="P62" s="107"/>
      <c r="Q62" s="107"/>
    </row>
    <row r="63" spans="1:17">
      <c r="A63" s="107"/>
      <c r="B63" s="107"/>
      <c r="C63" s="107"/>
      <c r="D63" s="107"/>
      <c r="E63" s="107"/>
      <c r="F63" s="107"/>
      <c r="G63" s="107"/>
      <c r="H63" s="107"/>
      <c r="I63" s="107"/>
      <c r="J63" s="107"/>
      <c r="K63" s="107"/>
      <c r="L63" s="107"/>
      <c r="M63" s="107"/>
      <c r="N63" s="107"/>
      <c r="O63" s="107"/>
      <c r="P63" s="107"/>
      <c r="Q63" s="107"/>
    </row>
    <row r="64" spans="1:17">
      <c r="A64" s="107"/>
      <c r="B64" s="107"/>
      <c r="C64" s="107"/>
      <c r="D64" s="107"/>
      <c r="E64" s="107"/>
      <c r="F64" s="107"/>
      <c r="G64" s="107"/>
      <c r="H64" s="107"/>
      <c r="I64" s="107"/>
      <c r="J64" s="107"/>
      <c r="K64" s="107"/>
      <c r="L64" s="107"/>
      <c r="M64" s="107"/>
      <c r="N64" s="107"/>
      <c r="O64" s="107"/>
      <c r="P64" s="107"/>
      <c r="Q64" s="107"/>
    </row>
    <row r="65" spans="1:17">
      <c r="A65" s="107"/>
      <c r="B65" s="107"/>
      <c r="C65" s="107"/>
      <c r="D65" s="107"/>
      <c r="E65" s="107"/>
      <c r="F65" s="107"/>
      <c r="G65" s="107"/>
      <c r="H65" s="107"/>
      <c r="I65" s="107"/>
      <c r="J65" s="107"/>
      <c r="K65" s="107"/>
      <c r="L65" s="107"/>
      <c r="M65" s="107"/>
      <c r="N65" s="107"/>
      <c r="O65" s="107"/>
      <c r="P65" s="107"/>
      <c r="Q65" s="107"/>
    </row>
    <row r="66" spans="1:17">
      <c r="A66" s="107"/>
      <c r="B66" s="107"/>
      <c r="C66" s="107"/>
      <c r="D66" s="107"/>
      <c r="E66" s="107"/>
      <c r="F66" s="107"/>
      <c r="G66" s="107"/>
      <c r="H66" s="107"/>
      <c r="I66" s="107"/>
      <c r="J66" s="107"/>
      <c r="K66" s="107"/>
      <c r="L66" s="107"/>
      <c r="M66" s="107"/>
      <c r="N66" s="107"/>
      <c r="O66" s="107"/>
      <c r="P66" s="107"/>
      <c r="Q66" s="107"/>
    </row>
    <row r="67" spans="1:17">
      <c r="A67" s="107"/>
      <c r="B67" s="107"/>
      <c r="C67" s="107"/>
      <c r="D67" s="107"/>
      <c r="E67" s="107"/>
      <c r="F67" s="107"/>
      <c r="G67" s="107"/>
      <c r="H67" s="107"/>
      <c r="I67" s="107"/>
      <c r="J67" s="107"/>
      <c r="K67" s="107"/>
      <c r="L67" s="107"/>
      <c r="M67" s="107"/>
      <c r="N67" s="107"/>
      <c r="O67" s="107"/>
      <c r="P67" s="107"/>
      <c r="Q67" s="107"/>
    </row>
    <row r="68" spans="1:17">
      <c r="A68" s="107"/>
      <c r="B68" s="107"/>
      <c r="C68" s="107"/>
      <c r="D68" s="107"/>
      <c r="E68" s="107"/>
      <c r="F68" s="107"/>
      <c r="G68" s="107"/>
      <c r="H68" s="107"/>
      <c r="I68" s="107"/>
      <c r="J68" s="107"/>
      <c r="K68" s="107"/>
      <c r="L68" s="107"/>
      <c r="M68" s="107"/>
      <c r="N68" s="107"/>
      <c r="O68" s="107"/>
      <c r="P68" s="107"/>
      <c r="Q68" s="107"/>
    </row>
    <row r="69" spans="1:17">
      <c r="A69" s="107"/>
      <c r="B69" s="107"/>
      <c r="C69" s="107"/>
      <c r="D69" s="107"/>
      <c r="E69" s="107"/>
      <c r="F69" s="107"/>
      <c r="G69" s="107"/>
      <c r="H69" s="107"/>
      <c r="I69" s="107"/>
      <c r="J69" s="107"/>
      <c r="K69" s="107"/>
      <c r="L69" s="107"/>
      <c r="M69" s="107"/>
      <c r="N69" s="107"/>
      <c r="O69" s="107"/>
      <c r="P69" s="107"/>
      <c r="Q69" s="107"/>
    </row>
    <row r="70" spans="1:17">
      <c r="A70" s="107"/>
      <c r="B70" s="107"/>
      <c r="C70" s="107"/>
      <c r="D70" s="107"/>
      <c r="E70" s="107"/>
      <c r="F70" s="107"/>
      <c r="G70" s="107"/>
      <c r="H70" s="107"/>
      <c r="I70" s="107"/>
      <c r="J70" s="107"/>
      <c r="K70" s="107"/>
      <c r="L70" s="107"/>
      <c r="M70" s="107"/>
      <c r="N70" s="107"/>
      <c r="O70" s="107"/>
      <c r="P70" s="107"/>
      <c r="Q70" s="107"/>
    </row>
    <row r="71" spans="1:17">
      <c r="A71" s="107"/>
      <c r="B71" s="107"/>
      <c r="C71" s="107"/>
      <c r="D71" s="107"/>
      <c r="E71" s="107"/>
      <c r="F71" s="107"/>
      <c r="G71" s="107"/>
      <c r="H71" s="107"/>
      <c r="I71" s="107"/>
      <c r="J71" s="107"/>
      <c r="K71" s="107"/>
      <c r="L71" s="107"/>
      <c r="M71" s="107"/>
      <c r="N71" s="107"/>
      <c r="O71" s="107"/>
      <c r="P71" s="107"/>
      <c r="Q71" s="107"/>
    </row>
    <row r="72" spans="1:17">
      <c r="A72" s="107"/>
      <c r="B72" s="107"/>
      <c r="C72" s="107"/>
      <c r="D72" s="107"/>
      <c r="E72" s="107"/>
      <c r="F72" s="107"/>
      <c r="G72" s="107"/>
      <c r="H72" s="107"/>
      <c r="I72" s="107"/>
      <c r="J72" s="107"/>
      <c r="K72" s="107"/>
      <c r="L72" s="107"/>
      <c r="M72" s="107"/>
      <c r="N72" s="107"/>
      <c r="O72" s="107"/>
      <c r="P72" s="107"/>
      <c r="Q72" s="107"/>
    </row>
    <row r="73" spans="1:17">
      <c r="A73" s="107"/>
      <c r="B73" s="107"/>
      <c r="C73" s="107"/>
      <c r="D73" s="107"/>
      <c r="E73" s="107"/>
      <c r="F73" s="107"/>
      <c r="G73" s="107"/>
      <c r="H73" s="107"/>
      <c r="I73" s="107"/>
      <c r="J73" s="107"/>
      <c r="K73" s="107"/>
      <c r="L73" s="107"/>
      <c r="M73" s="107"/>
      <c r="N73" s="107"/>
      <c r="O73" s="107"/>
      <c r="P73" s="107"/>
      <c r="Q73" s="107"/>
    </row>
    <row r="74" spans="1:17">
      <c r="A74" s="107"/>
      <c r="B74" s="107"/>
      <c r="C74" s="107"/>
      <c r="D74" s="107"/>
      <c r="E74" s="107"/>
      <c r="F74" s="107"/>
      <c r="G74" s="107"/>
      <c r="H74" s="107"/>
      <c r="I74" s="107"/>
      <c r="J74" s="107"/>
      <c r="K74" s="107"/>
      <c r="L74" s="107"/>
      <c r="M74" s="107"/>
      <c r="N74" s="107"/>
      <c r="O74" s="107"/>
      <c r="P74" s="107"/>
      <c r="Q74" s="107"/>
    </row>
    <row r="75" spans="1:17">
      <c r="A75" s="107"/>
      <c r="B75" s="107"/>
      <c r="C75" s="107"/>
      <c r="D75" s="107"/>
      <c r="E75" s="107"/>
      <c r="F75" s="107"/>
      <c r="G75" s="107"/>
      <c r="H75" s="107"/>
      <c r="I75" s="107"/>
      <c r="J75" s="107"/>
      <c r="K75" s="107"/>
      <c r="L75" s="107"/>
      <c r="M75" s="107"/>
      <c r="N75" s="107"/>
      <c r="O75" s="107"/>
      <c r="P75" s="107"/>
      <c r="Q75" s="107"/>
    </row>
    <row r="76" spans="1:17">
      <c r="A76" s="107"/>
      <c r="B76" s="107"/>
      <c r="C76" s="107"/>
      <c r="D76" s="107"/>
      <c r="E76" s="107"/>
      <c r="F76" s="107"/>
      <c r="G76" s="107"/>
      <c r="H76" s="107"/>
      <c r="I76" s="107"/>
      <c r="J76" s="107"/>
      <c r="K76" s="107"/>
      <c r="L76" s="107"/>
      <c r="M76" s="107"/>
      <c r="N76" s="107"/>
      <c r="O76" s="107"/>
      <c r="P76" s="107"/>
      <c r="Q76" s="107"/>
    </row>
    <row r="77" spans="1:17">
      <c r="A77" s="107"/>
      <c r="B77" s="107"/>
      <c r="C77" s="107"/>
      <c r="D77" s="107"/>
      <c r="E77" s="107"/>
      <c r="F77" s="107"/>
      <c r="G77" s="107"/>
      <c r="H77" s="107"/>
      <c r="I77" s="107"/>
      <c r="J77" s="107"/>
      <c r="K77" s="107"/>
      <c r="L77" s="107"/>
      <c r="M77" s="107"/>
      <c r="N77" s="107"/>
      <c r="O77" s="107"/>
      <c r="P77" s="107"/>
      <c r="Q77" s="107"/>
    </row>
    <row r="78" spans="1:17">
      <c r="A78" s="107"/>
      <c r="B78" s="107"/>
      <c r="C78" s="107"/>
      <c r="D78" s="107"/>
      <c r="E78" s="107"/>
      <c r="F78" s="107"/>
      <c r="G78" s="107"/>
      <c r="H78" s="107"/>
      <c r="I78" s="107"/>
      <c r="J78" s="107"/>
      <c r="K78" s="107"/>
      <c r="L78" s="107"/>
      <c r="M78" s="107"/>
      <c r="N78" s="107"/>
      <c r="O78" s="107"/>
      <c r="P78" s="107"/>
      <c r="Q78" s="107"/>
    </row>
    <row r="79" spans="1:17">
      <c r="A79" s="107"/>
      <c r="B79" s="107"/>
      <c r="C79" s="107"/>
      <c r="D79" s="107"/>
      <c r="E79" s="107"/>
      <c r="F79" s="107"/>
      <c r="G79" s="107"/>
      <c r="H79" s="107"/>
      <c r="I79" s="107"/>
      <c r="J79" s="107"/>
      <c r="K79" s="107"/>
      <c r="L79" s="107"/>
      <c r="M79" s="107"/>
      <c r="N79" s="107"/>
      <c r="O79" s="107"/>
      <c r="P79" s="107"/>
      <c r="Q79" s="107"/>
    </row>
    <row r="80" spans="1:17">
      <c r="A80" s="107"/>
      <c r="B80" s="107"/>
      <c r="C80" s="107"/>
      <c r="D80" s="107"/>
      <c r="E80" s="107"/>
      <c r="F80" s="107"/>
      <c r="G80" s="107"/>
      <c r="H80" s="107"/>
      <c r="I80" s="107"/>
      <c r="J80" s="107"/>
      <c r="K80" s="107"/>
      <c r="L80" s="107"/>
      <c r="M80" s="107"/>
      <c r="N80" s="107"/>
      <c r="O80" s="107"/>
      <c r="P80" s="107"/>
      <c r="Q80" s="107"/>
    </row>
    <row r="81" spans="1:17">
      <c r="A81" s="107"/>
      <c r="B81" s="107"/>
      <c r="C81" s="107"/>
      <c r="D81" s="107"/>
      <c r="E81" s="107"/>
      <c r="F81" s="107"/>
      <c r="G81" s="107"/>
      <c r="H81" s="107"/>
      <c r="I81" s="107"/>
      <c r="J81" s="107"/>
      <c r="K81" s="107"/>
      <c r="L81" s="107"/>
      <c r="M81" s="107"/>
      <c r="N81" s="107"/>
      <c r="O81" s="107"/>
      <c r="P81" s="107"/>
      <c r="Q81" s="107"/>
    </row>
    <row r="82" spans="1:17">
      <c r="A82" s="107"/>
      <c r="B82" s="107"/>
      <c r="C82" s="107"/>
      <c r="D82" s="107"/>
      <c r="E82" s="107"/>
      <c r="F82" s="107"/>
      <c r="G82" s="107"/>
      <c r="H82" s="107"/>
      <c r="I82" s="107"/>
      <c r="J82" s="107"/>
      <c r="K82" s="107"/>
      <c r="L82" s="107"/>
      <c r="M82" s="107"/>
      <c r="N82" s="107"/>
      <c r="O82" s="107"/>
      <c r="P82" s="107"/>
      <c r="Q82" s="107"/>
    </row>
    <row r="83" spans="1:17">
      <c r="A83" s="107"/>
      <c r="B83" s="107"/>
      <c r="C83" s="107"/>
      <c r="D83" s="107"/>
      <c r="E83" s="107"/>
      <c r="F83" s="107"/>
      <c r="G83" s="107"/>
      <c r="H83" s="107"/>
      <c r="I83" s="107"/>
      <c r="J83" s="107"/>
      <c r="K83" s="107"/>
      <c r="L83" s="107"/>
      <c r="M83" s="107"/>
      <c r="N83" s="107"/>
      <c r="O83" s="107"/>
      <c r="P83" s="107"/>
      <c r="Q83" s="107"/>
    </row>
    <row r="84" spans="1:17">
      <c r="A84" s="107"/>
      <c r="B84" s="107"/>
      <c r="C84" s="107"/>
      <c r="D84" s="107"/>
      <c r="E84" s="107"/>
      <c r="F84" s="107"/>
      <c r="G84" s="107"/>
      <c r="H84" s="107"/>
      <c r="I84" s="107"/>
      <c r="J84" s="107"/>
      <c r="K84" s="107"/>
      <c r="L84" s="107"/>
      <c r="M84" s="107"/>
      <c r="N84" s="107"/>
      <c r="O84" s="107"/>
      <c r="P84" s="107"/>
      <c r="Q84" s="107"/>
    </row>
    <row r="85" spans="1:17">
      <c r="A85" s="107"/>
      <c r="B85" s="107"/>
      <c r="C85" s="107"/>
      <c r="D85" s="107"/>
      <c r="E85" s="107"/>
      <c r="F85" s="107"/>
      <c r="G85" s="107"/>
      <c r="H85" s="107"/>
      <c r="I85" s="107"/>
      <c r="J85" s="107"/>
      <c r="K85" s="107"/>
      <c r="L85" s="107"/>
      <c r="M85" s="107"/>
      <c r="N85" s="107"/>
      <c r="O85" s="107"/>
      <c r="P85" s="107"/>
      <c r="Q85" s="107"/>
    </row>
    <row r="86" spans="1:17">
      <c r="A86" s="107"/>
      <c r="B86" s="107"/>
      <c r="C86" s="107"/>
      <c r="D86" s="107"/>
      <c r="E86" s="107"/>
      <c r="F86" s="107"/>
      <c r="G86" s="107"/>
      <c r="H86" s="107"/>
      <c r="I86" s="107"/>
      <c r="J86" s="107"/>
      <c r="K86" s="107"/>
      <c r="L86" s="107"/>
      <c r="M86" s="107"/>
      <c r="N86" s="107"/>
      <c r="O86" s="107"/>
      <c r="P86" s="107"/>
      <c r="Q86" s="107"/>
    </row>
    <row r="87" spans="1:17">
      <c r="A87" s="107"/>
      <c r="B87" s="107"/>
      <c r="C87" s="107"/>
      <c r="D87" s="107"/>
      <c r="E87" s="107"/>
      <c r="F87" s="107"/>
      <c r="G87" s="107"/>
      <c r="H87" s="107"/>
      <c r="I87" s="107"/>
      <c r="J87" s="107"/>
      <c r="K87" s="107"/>
      <c r="L87" s="107"/>
      <c r="M87" s="107"/>
      <c r="N87" s="107"/>
      <c r="O87" s="107"/>
      <c r="P87" s="107"/>
      <c r="Q87" s="107"/>
    </row>
    <row r="88" spans="1:17">
      <c r="A88" s="107"/>
      <c r="B88" s="107"/>
      <c r="C88" s="107"/>
      <c r="D88" s="107"/>
      <c r="E88" s="107"/>
      <c r="F88" s="107"/>
      <c r="G88" s="107"/>
      <c r="H88" s="107"/>
      <c r="I88" s="107"/>
      <c r="J88" s="107"/>
      <c r="K88" s="107"/>
      <c r="L88" s="107"/>
      <c r="M88" s="107"/>
      <c r="N88" s="107"/>
      <c r="O88" s="107"/>
      <c r="P88" s="107"/>
      <c r="Q88" s="107"/>
    </row>
    <row r="89" spans="1:17">
      <c r="A89" s="107"/>
      <c r="B89" s="107"/>
      <c r="C89" s="107"/>
      <c r="D89" s="107"/>
      <c r="E89" s="107"/>
      <c r="F89" s="107"/>
      <c r="G89" s="107"/>
      <c r="H89" s="107"/>
      <c r="I89" s="107"/>
      <c r="J89" s="107"/>
      <c r="K89" s="107"/>
      <c r="L89" s="107"/>
      <c r="M89" s="107"/>
      <c r="N89" s="107"/>
      <c r="O89" s="107"/>
      <c r="P89" s="107"/>
      <c r="Q89" s="107"/>
    </row>
    <row r="90" spans="1:17">
      <c r="A90" s="107"/>
      <c r="B90" s="107"/>
      <c r="C90" s="107"/>
      <c r="D90" s="107"/>
      <c r="E90" s="107"/>
      <c r="F90" s="107"/>
      <c r="G90" s="107"/>
      <c r="H90" s="107"/>
      <c r="I90" s="107"/>
      <c r="J90" s="107"/>
      <c r="K90" s="107"/>
      <c r="L90" s="107"/>
      <c r="M90" s="107"/>
      <c r="N90" s="107"/>
      <c r="O90" s="107"/>
      <c r="P90" s="107"/>
      <c r="Q90" s="107"/>
    </row>
    <row r="91" spans="1:17">
      <c r="A91" s="107"/>
      <c r="B91" s="107"/>
      <c r="C91" s="107"/>
      <c r="D91" s="107"/>
      <c r="E91" s="107"/>
      <c r="F91" s="107"/>
      <c r="G91" s="107"/>
      <c r="H91" s="107"/>
      <c r="I91" s="107"/>
      <c r="J91" s="107"/>
      <c r="K91" s="107"/>
      <c r="L91" s="107"/>
      <c r="M91" s="107"/>
      <c r="N91" s="107"/>
      <c r="O91" s="107"/>
      <c r="P91" s="107"/>
      <c r="Q91" s="107"/>
    </row>
    <row r="92" spans="1:17">
      <c r="A92" s="107"/>
      <c r="B92" s="107"/>
      <c r="C92" s="107"/>
      <c r="D92" s="107"/>
      <c r="E92" s="107"/>
      <c r="F92" s="107"/>
      <c r="G92" s="107"/>
      <c r="H92" s="107"/>
      <c r="I92" s="107"/>
      <c r="J92" s="107"/>
      <c r="K92" s="107"/>
      <c r="L92" s="107"/>
      <c r="M92" s="107"/>
      <c r="N92" s="107"/>
      <c r="O92" s="107"/>
      <c r="P92" s="107"/>
      <c r="Q92" s="107"/>
    </row>
    <row r="93" spans="1:17">
      <c r="A93" s="107"/>
      <c r="B93" s="107"/>
      <c r="C93" s="107"/>
      <c r="D93" s="107"/>
      <c r="E93" s="107"/>
      <c r="F93" s="107"/>
      <c r="G93" s="107"/>
      <c r="H93" s="107"/>
      <c r="I93" s="107"/>
      <c r="J93" s="107"/>
      <c r="K93" s="107"/>
      <c r="L93" s="107"/>
      <c r="M93" s="107"/>
      <c r="N93" s="107"/>
      <c r="O93" s="107"/>
      <c r="P93" s="107"/>
      <c r="Q93" s="107"/>
    </row>
    <row r="94" spans="1:17">
      <c r="A94" s="107"/>
      <c r="B94" s="107"/>
      <c r="C94" s="107"/>
      <c r="D94" s="107"/>
      <c r="E94" s="107"/>
      <c r="F94" s="107"/>
      <c r="G94" s="107"/>
      <c r="H94" s="107"/>
      <c r="I94" s="107"/>
      <c r="J94" s="107"/>
      <c r="K94" s="107"/>
      <c r="L94" s="107"/>
      <c r="M94" s="107"/>
      <c r="N94" s="107"/>
      <c r="O94" s="107"/>
      <c r="P94" s="107"/>
      <c r="Q94" s="107"/>
    </row>
    <row r="95" spans="1:17">
      <c r="A95" s="107"/>
      <c r="B95" s="107"/>
      <c r="C95" s="107"/>
      <c r="D95" s="107"/>
      <c r="E95" s="107"/>
      <c r="F95" s="107"/>
      <c r="G95" s="107"/>
      <c r="H95" s="107"/>
      <c r="I95" s="107"/>
      <c r="J95" s="107"/>
      <c r="K95" s="107"/>
      <c r="L95" s="107"/>
      <c r="M95" s="107"/>
      <c r="N95" s="107"/>
      <c r="O95" s="107"/>
      <c r="P95" s="107"/>
      <c r="Q95" s="107"/>
    </row>
    <row r="96" spans="1:17">
      <c r="A96" s="107"/>
      <c r="B96" s="107"/>
      <c r="C96" s="107"/>
      <c r="D96" s="107"/>
      <c r="E96" s="107"/>
      <c r="F96" s="107"/>
      <c r="G96" s="107"/>
      <c r="H96" s="107"/>
      <c r="I96" s="107"/>
      <c r="J96" s="107"/>
      <c r="K96" s="107"/>
      <c r="L96" s="107"/>
      <c r="M96" s="107"/>
      <c r="N96" s="107"/>
      <c r="O96" s="107"/>
      <c r="P96" s="107"/>
      <c r="Q96" s="107"/>
    </row>
    <row r="97" spans="1:17">
      <c r="A97" s="107"/>
      <c r="B97" s="107"/>
      <c r="C97" s="107"/>
      <c r="D97" s="107"/>
      <c r="E97" s="107"/>
      <c r="F97" s="107"/>
      <c r="G97" s="107"/>
      <c r="H97" s="107"/>
      <c r="I97" s="107"/>
      <c r="J97" s="107"/>
      <c r="K97" s="107"/>
      <c r="L97" s="107"/>
      <c r="M97" s="107"/>
      <c r="N97" s="107"/>
      <c r="O97" s="107"/>
      <c r="P97" s="107"/>
      <c r="Q97" s="107"/>
    </row>
    <row r="98" spans="1:17">
      <c r="A98" s="107"/>
      <c r="B98" s="107"/>
      <c r="C98" s="107"/>
      <c r="D98" s="107"/>
      <c r="E98" s="107"/>
      <c r="F98" s="107"/>
      <c r="G98" s="107"/>
      <c r="H98" s="107"/>
      <c r="I98" s="107"/>
      <c r="J98" s="107"/>
      <c r="K98" s="107"/>
      <c r="L98" s="107"/>
      <c r="M98" s="107"/>
      <c r="N98" s="107"/>
      <c r="O98" s="107"/>
      <c r="P98" s="107"/>
      <c r="Q98" s="107"/>
    </row>
    <row r="99" spans="1:17">
      <c r="A99" s="107"/>
      <c r="B99" s="107"/>
      <c r="C99" s="107"/>
      <c r="D99" s="107"/>
      <c r="E99" s="107"/>
      <c r="F99" s="107"/>
      <c r="G99" s="107"/>
      <c r="H99" s="107"/>
      <c r="I99" s="107"/>
      <c r="J99" s="107"/>
      <c r="K99" s="107"/>
      <c r="L99" s="107"/>
      <c r="M99" s="107"/>
      <c r="N99" s="107"/>
      <c r="O99" s="107"/>
      <c r="P99" s="107"/>
      <c r="Q99" s="107"/>
    </row>
    <row r="100" spans="1:17">
      <c r="A100" s="107"/>
      <c r="B100" s="107"/>
      <c r="C100" s="107"/>
      <c r="D100" s="107"/>
      <c r="E100" s="107"/>
      <c r="F100" s="107"/>
      <c r="G100" s="107"/>
      <c r="H100" s="107"/>
      <c r="I100" s="107"/>
      <c r="J100" s="107"/>
      <c r="K100" s="107"/>
      <c r="L100" s="107"/>
      <c r="M100" s="107"/>
      <c r="N100" s="107"/>
      <c r="O100" s="107"/>
      <c r="P100" s="107"/>
      <c r="Q100" s="107"/>
    </row>
    <row r="101" spans="1:17">
      <c r="A101" s="107"/>
      <c r="B101" s="107"/>
      <c r="C101" s="107"/>
      <c r="D101" s="107"/>
      <c r="E101" s="107"/>
      <c r="F101" s="107"/>
      <c r="G101" s="107"/>
      <c r="H101" s="107"/>
      <c r="I101" s="107"/>
      <c r="J101" s="107"/>
      <c r="K101" s="107"/>
      <c r="L101" s="107"/>
      <c r="M101" s="107"/>
      <c r="N101" s="107"/>
      <c r="O101" s="107"/>
      <c r="P101" s="107"/>
      <c r="Q101" s="107"/>
    </row>
    <row r="102" spans="1:17">
      <c r="A102" s="107"/>
      <c r="B102" s="107"/>
      <c r="C102" s="107"/>
      <c r="D102" s="107"/>
      <c r="E102" s="107"/>
      <c r="F102" s="107"/>
      <c r="G102" s="107"/>
      <c r="H102" s="107"/>
      <c r="I102" s="107"/>
      <c r="J102" s="107"/>
      <c r="K102" s="107"/>
      <c r="L102" s="107"/>
      <c r="M102" s="107"/>
      <c r="N102" s="107"/>
      <c r="O102" s="107"/>
      <c r="P102" s="107"/>
      <c r="Q102" s="107"/>
    </row>
    <row r="103" spans="1:17">
      <c r="A103" s="107"/>
      <c r="B103" s="107"/>
      <c r="C103" s="107"/>
      <c r="D103" s="107"/>
      <c r="E103" s="107"/>
      <c r="F103" s="107"/>
      <c r="G103" s="107"/>
      <c r="H103" s="107"/>
      <c r="I103" s="107"/>
      <c r="J103" s="107"/>
      <c r="K103" s="107"/>
      <c r="L103" s="107"/>
      <c r="M103" s="107"/>
      <c r="N103" s="107"/>
      <c r="O103" s="107"/>
      <c r="P103" s="107"/>
      <c r="Q103" s="107"/>
    </row>
    <row r="104" spans="1:17">
      <c r="A104" s="107"/>
      <c r="B104" s="107"/>
      <c r="C104" s="107"/>
      <c r="D104" s="107"/>
      <c r="E104" s="107"/>
      <c r="F104" s="107"/>
      <c r="G104" s="107"/>
      <c r="H104" s="107"/>
      <c r="I104" s="107"/>
      <c r="J104" s="107"/>
      <c r="K104" s="107"/>
      <c r="L104" s="107"/>
      <c r="M104" s="107"/>
      <c r="N104" s="107"/>
      <c r="O104" s="107"/>
      <c r="P104" s="107"/>
      <c r="Q104" s="107"/>
    </row>
    <row r="105" spans="1:17">
      <c r="A105" s="107"/>
      <c r="B105" s="107"/>
      <c r="C105" s="107"/>
      <c r="D105" s="107"/>
      <c r="E105" s="107"/>
      <c r="F105" s="107"/>
      <c r="G105" s="107"/>
      <c r="H105" s="107"/>
      <c r="I105" s="107"/>
      <c r="J105" s="107"/>
      <c r="K105" s="107"/>
      <c r="L105" s="107"/>
      <c r="M105" s="107"/>
      <c r="N105" s="107"/>
      <c r="O105" s="107"/>
      <c r="P105" s="107"/>
      <c r="Q105" s="107"/>
    </row>
    <row r="106" spans="1:17">
      <c r="A106" s="107"/>
      <c r="B106" s="107"/>
      <c r="C106" s="107"/>
      <c r="D106" s="107"/>
      <c r="E106" s="107"/>
      <c r="F106" s="107"/>
      <c r="G106" s="107"/>
      <c r="H106" s="107"/>
      <c r="I106" s="107"/>
      <c r="J106" s="107"/>
      <c r="K106" s="107"/>
      <c r="L106" s="107"/>
      <c r="M106" s="107"/>
      <c r="N106" s="107"/>
      <c r="O106" s="107"/>
      <c r="P106" s="107"/>
      <c r="Q106" s="107"/>
    </row>
    <row r="107" spans="1:17">
      <c r="A107" s="107"/>
      <c r="B107" s="107"/>
      <c r="C107" s="107"/>
      <c r="D107" s="107"/>
      <c r="E107" s="107"/>
      <c r="F107" s="107"/>
      <c r="G107" s="107"/>
      <c r="H107" s="107"/>
      <c r="I107" s="107"/>
      <c r="J107" s="107"/>
      <c r="K107" s="107"/>
      <c r="L107" s="107"/>
      <c r="M107" s="107"/>
      <c r="N107" s="107"/>
      <c r="O107" s="107"/>
      <c r="P107" s="107"/>
      <c r="Q107" s="107"/>
    </row>
    <row r="108" spans="1:17">
      <c r="A108" s="107"/>
      <c r="B108" s="107"/>
      <c r="C108" s="107"/>
      <c r="D108" s="107"/>
      <c r="E108" s="107"/>
      <c r="F108" s="107"/>
      <c r="G108" s="107"/>
      <c r="H108" s="107"/>
      <c r="I108" s="107"/>
      <c r="J108" s="107"/>
      <c r="K108" s="107"/>
      <c r="L108" s="107"/>
      <c r="M108" s="107"/>
      <c r="N108" s="107"/>
      <c r="O108" s="107"/>
      <c r="P108" s="107"/>
      <c r="Q108" s="107"/>
    </row>
    <row r="109" spans="1:17">
      <c r="A109" s="107"/>
      <c r="B109" s="107"/>
      <c r="C109" s="107"/>
      <c r="D109" s="107"/>
      <c r="E109" s="107"/>
      <c r="F109" s="107"/>
      <c r="G109" s="107"/>
      <c r="H109" s="107"/>
      <c r="I109" s="107"/>
      <c r="J109" s="107"/>
      <c r="K109" s="107"/>
      <c r="L109" s="107"/>
      <c r="M109" s="107"/>
      <c r="N109" s="107"/>
      <c r="O109" s="107"/>
      <c r="P109" s="107"/>
      <c r="Q109" s="107"/>
    </row>
    <row r="110" spans="1:17">
      <c r="A110" s="107"/>
      <c r="B110" s="107"/>
      <c r="C110" s="107"/>
      <c r="D110" s="107"/>
      <c r="E110" s="107"/>
      <c r="F110" s="107"/>
      <c r="G110" s="107"/>
      <c r="H110" s="107"/>
      <c r="I110" s="107"/>
      <c r="J110" s="107"/>
      <c r="K110" s="107"/>
      <c r="L110" s="107"/>
      <c r="M110" s="107"/>
      <c r="N110" s="107"/>
      <c r="O110" s="107"/>
      <c r="P110" s="107"/>
      <c r="Q110" s="107"/>
    </row>
    <row r="111" spans="1:17">
      <c r="A111" s="107"/>
      <c r="B111" s="107"/>
      <c r="C111" s="107"/>
      <c r="D111" s="107"/>
      <c r="E111" s="107"/>
      <c r="F111" s="107"/>
      <c r="G111" s="107"/>
      <c r="H111" s="107"/>
      <c r="I111" s="107"/>
      <c r="J111" s="107"/>
      <c r="K111" s="107"/>
      <c r="L111" s="107"/>
      <c r="M111" s="107"/>
      <c r="N111" s="107"/>
      <c r="O111" s="107"/>
      <c r="P111" s="107"/>
      <c r="Q111" s="107"/>
    </row>
    <row r="112" spans="1:17">
      <c r="A112" s="107"/>
      <c r="B112" s="107"/>
      <c r="C112" s="107"/>
      <c r="D112" s="107"/>
      <c r="E112" s="107"/>
      <c r="F112" s="107"/>
      <c r="G112" s="107"/>
      <c r="H112" s="107"/>
      <c r="I112" s="107"/>
      <c r="J112" s="107"/>
      <c r="K112" s="107"/>
      <c r="L112" s="107"/>
      <c r="M112" s="107"/>
      <c r="N112" s="107"/>
      <c r="O112" s="107"/>
      <c r="P112" s="107"/>
      <c r="Q112" s="107"/>
    </row>
    <row r="113" spans="1:17">
      <c r="A113" s="107"/>
      <c r="B113" s="107"/>
      <c r="C113" s="107"/>
      <c r="D113" s="107"/>
      <c r="E113" s="107"/>
      <c r="F113" s="107"/>
      <c r="G113" s="107"/>
      <c r="H113" s="107"/>
      <c r="I113" s="107"/>
      <c r="J113" s="107"/>
      <c r="K113" s="107"/>
      <c r="L113" s="107"/>
      <c r="M113" s="107"/>
      <c r="N113" s="107"/>
      <c r="O113" s="107"/>
      <c r="P113" s="107"/>
      <c r="Q113" s="107"/>
    </row>
    <row r="114" spans="1:17">
      <c r="A114" s="107"/>
      <c r="B114" s="107"/>
      <c r="C114" s="107"/>
      <c r="D114" s="107"/>
      <c r="E114" s="107"/>
      <c r="F114" s="107"/>
      <c r="G114" s="107"/>
      <c r="H114" s="107"/>
      <c r="I114" s="107"/>
      <c r="J114" s="107"/>
      <c r="K114" s="107"/>
      <c r="L114" s="107"/>
      <c r="M114" s="107"/>
      <c r="N114" s="107"/>
      <c r="O114" s="107"/>
      <c r="P114" s="107"/>
      <c r="Q114" s="107"/>
    </row>
    <row r="115" spans="1:17">
      <c r="A115" s="107"/>
      <c r="B115" s="107"/>
      <c r="C115" s="107"/>
      <c r="D115" s="107"/>
      <c r="E115" s="107"/>
      <c r="F115" s="107"/>
      <c r="G115" s="107"/>
      <c r="H115" s="107"/>
      <c r="I115" s="107"/>
      <c r="J115" s="107"/>
      <c r="K115" s="107"/>
      <c r="L115" s="107"/>
      <c r="M115" s="107"/>
      <c r="N115" s="107"/>
      <c r="O115" s="107"/>
      <c r="P115" s="107"/>
      <c r="Q115" s="107"/>
    </row>
    <row r="116" spans="1:17">
      <c r="A116" s="107"/>
      <c r="B116" s="107"/>
      <c r="C116" s="107"/>
      <c r="D116" s="107"/>
      <c r="E116" s="107"/>
      <c r="F116" s="107"/>
      <c r="G116" s="107"/>
      <c r="H116" s="107"/>
      <c r="I116" s="107"/>
      <c r="J116" s="107"/>
      <c r="K116" s="107"/>
      <c r="L116" s="107"/>
      <c r="M116" s="107"/>
      <c r="N116" s="107"/>
      <c r="O116" s="107"/>
      <c r="P116" s="107"/>
      <c r="Q116" s="107"/>
    </row>
    <row r="117" spans="1:17">
      <c r="A117" s="107"/>
      <c r="B117" s="107"/>
      <c r="C117" s="107"/>
      <c r="D117" s="107"/>
      <c r="E117" s="107"/>
      <c r="F117" s="107"/>
      <c r="G117" s="107"/>
      <c r="H117" s="107"/>
      <c r="I117" s="107"/>
      <c r="J117" s="107"/>
      <c r="K117" s="107"/>
      <c r="L117" s="107"/>
      <c r="M117" s="107"/>
      <c r="N117" s="107"/>
      <c r="O117" s="107"/>
      <c r="P117" s="107"/>
      <c r="Q117" s="107"/>
    </row>
    <row r="118" spans="1:17">
      <c r="A118" s="107"/>
      <c r="B118" s="107"/>
      <c r="C118" s="107"/>
      <c r="D118" s="107"/>
      <c r="E118" s="107"/>
      <c r="F118" s="107"/>
      <c r="G118" s="107"/>
      <c r="H118" s="107"/>
      <c r="I118" s="107"/>
      <c r="J118" s="107"/>
      <c r="K118" s="107"/>
      <c r="L118" s="107"/>
      <c r="M118" s="107"/>
      <c r="N118" s="107"/>
      <c r="O118" s="107"/>
      <c r="P118" s="107"/>
      <c r="Q118" s="107"/>
    </row>
    <row r="119" spans="1:17">
      <c r="A119" s="107"/>
      <c r="B119" s="107"/>
      <c r="C119" s="107"/>
      <c r="D119" s="107"/>
      <c r="E119" s="107"/>
      <c r="F119" s="107"/>
      <c r="G119" s="107"/>
      <c r="H119" s="107"/>
      <c r="I119" s="107"/>
      <c r="J119" s="107"/>
      <c r="K119" s="107"/>
      <c r="L119" s="107"/>
      <c r="M119" s="107"/>
      <c r="N119" s="107"/>
      <c r="O119" s="107"/>
      <c r="P119" s="107"/>
      <c r="Q119" s="107"/>
    </row>
    <row r="120" spans="1:17">
      <c r="A120" s="107"/>
      <c r="B120" s="107"/>
      <c r="C120" s="107"/>
      <c r="D120" s="107"/>
      <c r="E120" s="107"/>
      <c r="F120" s="107"/>
      <c r="G120" s="107"/>
      <c r="H120" s="107"/>
      <c r="I120" s="107"/>
      <c r="J120" s="107"/>
      <c r="K120" s="107"/>
      <c r="L120" s="107"/>
      <c r="M120" s="107"/>
      <c r="N120" s="107"/>
      <c r="O120" s="107"/>
      <c r="P120" s="107"/>
      <c r="Q120" s="107"/>
    </row>
    <row r="121" spans="1:17">
      <c r="A121" s="107"/>
      <c r="B121" s="107"/>
      <c r="C121" s="107"/>
      <c r="D121" s="107"/>
      <c r="E121" s="107"/>
      <c r="F121" s="107"/>
      <c r="G121" s="107"/>
      <c r="H121" s="107"/>
      <c r="I121" s="107"/>
      <c r="J121" s="107"/>
      <c r="K121" s="107"/>
      <c r="L121" s="107"/>
      <c r="M121" s="107"/>
      <c r="N121" s="107"/>
      <c r="O121" s="107"/>
      <c r="P121" s="107"/>
      <c r="Q121" s="107"/>
    </row>
    <row r="122" spans="1:17">
      <c r="A122" s="107"/>
      <c r="B122" s="107"/>
      <c r="C122" s="107"/>
      <c r="D122" s="107"/>
      <c r="E122" s="107"/>
      <c r="F122" s="107"/>
      <c r="G122" s="107"/>
      <c r="H122" s="107"/>
      <c r="I122" s="107"/>
      <c r="J122" s="107"/>
      <c r="K122" s="107"/>
      <c r="L122" s="107"/>
      <c r="M122" s="107"/>
      <c r="N122" s="107"/>
      <c r="O122" s="107"/>
      <c r="P122" s="107"/>
      <c r="Q122" s="107"/>
    </row>
    <row r="123" spans="1:17">
      <c r="A123" s="107"/>
      <c r="B123" s="107"/>
      <c r="C123" s="107"/>
      <c r="D123" s="107"/>
      <c r="E123" s="107"/>
      <c r="F123" s="107"/>
      <c r="G123" s="107"/>
      <c r="H123" s="107"/>
      <c r="I123" s="107"/>
      <c r="J123" s="107"/>
      <c r="K123" s="107"/>
      <c r="L123" s="107"/>
      <c r="M123" s="107"/>
      <c r="N123" s="107"/>
      <c r="O123" s="107"/>
      <c r="P123" s="107"/>
      <c r="Q123" s="107"/>
    </row>
    <row r="124" spans="1:17">
      <c r="A124" s="107"/>
      <c r="B124" s="107"/>
      <c r="C124" s="107"/>
      <c r="D124" s="107"/>
      <c r="E124" s="107"/>
      <c r="F124" s="107"/>
      <c r="G124" s="107"/>
      <c r="H124" s="107"/>
      <c r="I124" s="107"/>
      <c r="J124" s="107"/>
      <c r="K124" s="107"/>
      <c r="L124" s="107"/>
      <c r="M124" s="107"/>
      <c r="N124" s="107"/>
      <c r="O124" s="107"/>
      <c r="P124" s="107"/>
      <c r="Q124" s="107"/>
    </row>
    <row r="125" spans="1:17">
      <c r="A125" s="107"/>
      <c r="B125" s="107"/>
      <c r="C125" s="107"/>
      <c r="D125" s="107"/>
      <c r="E125" s="107"/>
      <c r="F125" s="107"/>
      <c r="G125" s="107"/>
      <c r="H125" s="107"/>
      <c r="I125" s="107"/>
      <c r="J125" s="107"/>
      <c r="K125" s="107"/>
      <c r="L125" s="107"/>
      <c r="M125" s="107"/>
      <c r="N125" s="107"/>
      <c r="O125" s="107"/>
      <c r="P125" s="107"/>
      <c r="Q125" s="107"/>
    </row>
    <row r="126" spans="1:17">
      <c r="A126" s="107"/>
      <c r="B126" s="107"/>
      <c r="C126" s="107"/>
      <c r="D126" s="107"/>
      <c r="E126" s="107"/>
      <c r="F126" s="107"/>
      <c r="G126" s="107"/>
      <c r="H126" s="107"/>
      <c r="I126" s="107"/>
      <c r="J126" s="107"/>
      <c r="K126" s="107"/>
      <c r="L126" s="107"/>
      <c r="M126" s="107"/>
      <c r="N126" s="107"/>
      <c r="O126" s="107"/>
      <c r="P126" s="107"/>
      <c r="Q126" s="107"/>
    </row>
    <row r="127" spans="1:17">
      <c r="A127" s="107"/>
      <c r="B127" s="107"/>
      <c r="C127" s="107"/>
      <c r="D127" s="107"/>
      <c r="E127" s="107"/>
      <c r="F127" s="107"/>
      <c r="G127" s="107"/>
      <c r="H127" s="107"/>
      <c r="I127" s="107"/>
      <c r="J127" s="107"/>
      <c r="K127" s="107"/>
      <c r="L127" s="107"/>
      <c r="M127" s="107"/>
      <c r="N127" s="107"/>
      <c r="O127" s="107"/>
      <c r="P127" s="107"/>
      <c r="Q127" s="107"/>
    </row>
    <row r="128" spans="1:17">
      <c r="A128" s="107"/>
      <c r="B128" s="107"/>
      <c r="C128" s="107"/>
      <c r="D128" s="107"/>
      <c r="E128" s="107"/>
      <c r="F128" s="107"/>
      <c r="G128" s="107"/>
      <c r="H128" s="107"/>
      <c r="I128" s="107"/>
      <c r="J128" s="107"/>
      <c r="K128" s="107"/>
      <c r="L128" s="107"/>
      <c r="M128" s="107"/>
      <c r="N128" s="107"/>
      <c r="O128" s="107"/>
      <c r="P128" s="107"/>
      <c r="Q128" s="107"/>
    </row>
    <row r="129" spans="1:17">
      <c r="A129" s="107"/>
      <c r="B129" s="107"/>
      <c r="C129" s="107"/>
      <c r="D129" s="107"/>
      <c r="E129" s="107"/>
      <c r="F129" s="107"/>
      <c r="G129" s="107"/>
      <c r="H129" s="107"/>
      <c r="I129" s="107"/>
      <c r="J129" s="107"/>
      <c r="K129" s="107"/>
      <c r="L129" s="107"/>
      <c r="M129" s="107"/>
      <c r="N129" s="107"/>
      <c r="O129" s="107"/>
      <c r="P129" s="107"/>
      <c r="Q129" s="107"/>
    </row>
    <row r="130" spans="1:17">
      <c r="A130" s="107"/>
      <c r="B130" s="107"/>
      <c r="C130" s="107"/>
      <c r="D130" s="107"/>
      <c r="E130" s="107"/>
      <c r="F130" s="107"/>
      <c r="G130" s="107"/>
      <c r="H130" s="107"/>
      <c r="I130" s="107"/>
      <c r="J130" s="107"/>
      <c r="K130" s="107"/>
      <c r="L130" s="107"/>
      <c r="M130" s="107"/>
      <c r="N130" s="107"/>
      <c r="O130" s="107"/>
      <c r="P130" s="107"/>
      <c r="Q130" s="107"/>
    </row>
    <row r="131" spans="1:17">
      <c r="A131" s="107"/>
      <c r="B131" s="107"/>
      <c r="C131" s="107"/>
      <c r="D131" s="107"/>
      <c r="E131" s="107"/>
      <c r="F131" s="107"/>
      <c r="G131" s="107"/>
      <c r="H131" s="107"/>
      <c r="I131" s="107"/>
      <c r="J131" s="107"/>
      <c r="K131" s="107"/>
      <c r="L131" s="107"/>
      <c r="M131" s="107"/>
      <c r="N131" s="107"/>
      <c r="O131" s="107"/>
      <c r="P131" s="107"/>
      <c r="Q131" s="107"/>
    </row>
    <row r="132" spans="1:17">
      <c r="A132" s="107"/>
      <c r="B132" s="107"/>
      <c r="C132" s="107"/>
      <c r="D132" s="107"/>
      <c r="E132" s="107"/>
      <c r="F132" s="107"/>
      <c r="G132" s="107"/>
      <c r="H132" s="107"/>
      <c r="I132" s="107"/>
      <c r="J132" s="107"/>
      <c r="K132" s="107"/>
      <c r="L132" s="107"/>
      <c r="M132" s="107"/>
      <c r="N132" s="107"/>
      <c r="O132" s="107"/>
      <c r="P132" s="107"/>
      <c r="Q132" s="107"/>
    </row>
    <row r="133" spans="1:17">
      <c r="A133" s="107"/>
      <c r="B133" s="107"/>
      <c r="C133" s="107"/>
      <c r="D133" s="107"/>
      <c r="E133" s="107"/>
      <c r="F133" s="107"/>
      <c r="G133" s="107"/>
      <c r="H133" s="107"/>
      <c r="I133" s="107"/>
      <c r="J133" s="107"/>
      <c r="K133" s="107"/>
      <c r="L133" s="107"/>
      <c r="M133" s="107"/>
      <c r="N133" s="107"/>
      <c r="O133" s="107"/>
      <c r="P133" s="107"/>
      <c r="Q133" s="107"/>
    </row>
    <row r="134" spans="1:17">
      <c r="A134" s="107"/>
      <c r="B134" s="107"/>
      <c r="C134" s="107"/>
      <c r="D134" s="107"/>
      <c r="E134" s="107"/>
      <c r="F134" s="107"/>
      <c r="G134" s="107"/>
      <c r="H134" s="107"/>
      <c r="I134" s="107"/>
      <c r="J134" s="107"/>
      <c r="K134" s="107"/>
      <c r="L134" s="107"/>
      <c r="M134" s="107"/>
      <c r="N134" s="107"/>
      <c r="O134" s="107"/>
      <c r="P134" s="107"/>
      <c r="Q134" s="107"/>
    </row>
    <row r="135" spans="1:17">
      <c r="A135" s="107"/>
      <c r="B135" s="107"/>
      <c r="C135" s="107"/>
      <c r="D135" s="107"/>
      <c r="E135" s="107"/>
      <c r="F135" s="107"/>
      <c r="G135" s="107"/>
      <c r="H135" s="107"/>
      <c r="I135" s="107"/>
      <c r="J135" s="107"/>
      <c r="K135" s="107"/>
      <c r="L135" s="107"/>
      <c r="M135" s="107"/>
      <c r="N135" s="107"/>
      <c r="O135" s="107"/>
      <c r="P135" s="107"/>
      <c r="Q135" s="107"/>
    </row>
    <row r="136" spans="1:17">
      <c r="A136" s="107"/>
      <c r="B136" s="107"/>
      <c r="C136" s="107"/>
      <c r="D136" s="107"/>
      <c r="E136" s="107"/>
      <c r="F136" s="107"/>
      <c r="G136" s="107"/>
      <c r="H136" s="107"/>
      <c r="I136" s="107"/>
      <c r="J136" s="107"/>
      <c r="K136" s="107"/>
      <c r="L136" s="107"/>
      <c r="M136" s="107"/>
      <c r="N136" s="107"/>
      <c r="O136" s="107"/>
      <c r="P136" s="107"/>
      <c r="Q136" s="107"/>
    </row>
    <row r="137" spans="1:17">
      <c r="A137" s="107"/>
      <c r="B137" s="107"/>
      <c r="C137" s="107"/>
      <c r="D137" s="107"/>
      <c r="E137" s="107"/>
      <c r="F137" s="107"/>
      <c r="G137" s="107"/>
      <c r="H137" s="107"/>
      <c r="I137" s="107"/>
      <c r="J137" s="107"/>
      <c r="K137" s="107"/>
      <c r="L137" s="107"/>
      <c r="M137" s="107"/>
      <c r="N137" s="107"/>
      <c r="O137" s="107"/>
      <c r="P137" s="107"/>
      <c r="Q137" s="107"/>
    </row>
    <row r="138" spans="1:17">
      <c r="A138" s="107"/>
      <c r="B138" s="107"/>
      <c r="C138" s="107"/>
      <c r="D138" s="107"/>
      <c r="E138" s="107"/>
      <c r="F138" s="107"/>
      <c r="G138" s="107"/>
      <c r="H138" s="107"/>
      <c r="I138" s="107"/>
      <c r="J138" s="107"/>
      <c r="K138" s="107"/>
      <c r="L138" s="107"/>
      <c r="M138" s="107"/>
      <c r="N138" s="107"/>
      <c r="O138" s="107"/>
      <c r="P138" s="107"/>
      <c r="Q138" s="107"/>
    </row>
    <row r="139" spans="1:17">
      <c r="A139" s="107"/>
      <c r="B139" s="107"/>
      <c r="C139" s="107"/>
      <c r="D139" s="107"/>
      <c r="E139" s="107"/>
      <c r="F139" s="107"/>
      <c r="G139" s="107"/>
      <c r="H139" s="107"/>
      <c r="I139" s="107"/>
      <c r="J139" s="107"/>
      <c r="K139" s="107"/>
      <c r="L139" s="107"/>
      <c r="M139" s="107"/>
      <c r="N139" s="107"/>
      <c r="O139" s="107"/>
      <c r="P139" s="107"/>
      <c r="Q139" s="107"/>
    </row>
    <row r="140" spans="1:17">
      <c r="A140" s="107"/>
      <c r="B140" s="107"/>
      <c r="C140" s="107"/>
      <c r="D140" s="107"/>
      <c r="E140" s="107"/>
      <c r="F140" s="107"/>
      <c r="G140" s="107"/>
      <c r="H140" s="107"/>
      <c r="I140" s="107"/>
      <c r="J140" s="107"/>
      <c r="K140" s="107"/>
      <c r="L140" s="107"/>
      <c r="M140" s="107"/>
      <c r="N140" s="107"/>
      <c r="O140" s="107"/>
      <c r="P140" s="107"/>
      <c r="Q140" s="107"/>
    </row>
    <row r="141" spans="1:17">
      <c r="A141" s="107"/>
      <c r="B141" s="107"/>
      <c r="C141" s="107"/>
      <c r="D141" s="107"/>
      <c r="E141" s="107"/>
      <c r="F141" s="107"/>
      <c r="G141" s="107"/>
      <c r="H141" s="107"/>
      <c r="I141" s="107"/>
      <c r="J141" s="107"/>
      <c r="K141" s="107"/>
      <c r="L141" s="107"/>
      <c r="M141" s="107"/>
      <c r="N141" s="107"/>
      <c r="O141" s="107"/>
      <c r="P141" s="107"/>
      <c r="Q141" s="107"/>
    </row>
    <row r="142" spans="1:17">
      <c r="A142" s="107"/>
      <c r="B142" s="107"/>
      <c r="C142" s="107"/>
      <c r="D142" s="107"/>
      <c r="E142" s="107"/>
      <c r="F142" s="107"/>
      <c r="G142" s="107"/>
      <c r="H142" s="107"/>
      <c r="I142" s="107"/>
      <c r="J142" s="107"/>
      <c r="K142" s="107"/>
      <c r="L142" s="107"/>
      <c r="M142" s="107"/>
      <c r="N142" s="107"/>
      <c r="O142" s="107"/>
      <c r="P142" s="107"/>
      <c r="Q142" s="107"/>
    </row>
    <row r="143" spans="1:17">
      <c r="A143" s="107"/>
      <c r="B143" s="107"/>
      <c r="C143" s="107"/>
      <c r="D143" s="107"/>
      <c r="E143" s="107"/>
      <c r="F143" s="107"/>
      <c r="G143" s="107"/>
      <c r="H143" s="107"/>
      <c r="I143" s="107"/>
      <c r="J143" s="107"/>
      <c r="K143" s="107"/>
      <c r="L143" s="107"/>
      <c r="M143" s="107"/>
      <c r="N143" s="107"/>
      <c r="O143" s="107"/>
      <c r="P143" s="107"/>
      <c r="Q143" s="107"/>
    </row>
    <row r="144" spans="1:17">
      <c r="A144" s="107"/>
      <c r="B144" s="107"/>
      <c r="C144" s="107"/>
      <c r="D144" s="107"/>
      <c r="E144" s="107"/>
      <c r="F144" s="107"/>
      <c r="G144" s="107"/>
      <c r="H144" s="107"/>
      <c r="I144" s="107"/>
      <c r="J144" s="107"/>
      <c r="K144" s="107"/>
      <c r="L144" s="107"/>
      <c r="M144" s="107"/>
      <c r="N144" s="107"/>
      <c r="O144" s="107"/>
      <c r="P144" s="107"/>
      <c r="Q144" s="107"/>
    </row>
    <row r="145" spans="1:17">
      <c r="A145" s="107"/>
      <c r="B145" s="107"/>
      <c r="C145" s="107"/>
      <c r="D145" s="107"/>
      <c r="E145" s="107"/>
      <c r="F145" s="107"/>
      <c r="G145" s="107"/>
      <c r="H145" s="107"/>
      <c r="I145" s="107"/>
      <c r="J145" s="107"/>
      <c r="K145" s="107"/>
      <c r="L145" s="107"/>
      <c r="M145" s="107"/>
      <c r="N145" s="107"/>
      <c r="O145" s="107"/>
      <c r="P145" s="107"/>
      <c r="Q145" s="107"/>
    </row>
    <row r="146" spans="1:17">
      <c r="A146" s="107"/>
      <c r="B146" s="107"/>
      <c r="C146" s="107"/>
      <c r="D146" s="107"/>
      <c r="E146" s="107"/>
      <c r="F146" s="107"/>
      <c r="G146" s="107"/>
      <c r="H146" s="107"/>
      <c r="I146" s="107"/>
      <c r="J146" s="107"/>
      <c r="K146" s="107"/>
      <c r="L146" s="107"/>
      <c r="M146" s="107"/>
      <c r="N146" s="107"/>
      <c r="O146" s="107"/>
      <c r="P146" s="107"/>
      <c r="Q146" s="107"/>
    </row>
    <row r="147" spans="1:17">
      <c r="A147" s="107"/>
      <c r="B147" s="107"/>
      <c r="C147" s="107"/>
      <c r="D147" s="107"/>
      <c r="E147" s="107"/>
      <c r="F147" s="107"/>
      <c r="G147" s="107"/>
      <c r="H147" s="107"/>
      <c r="I147" s="107"/>
      <c r="J147" s="107"/>
      <c r="K147" s="107"/>
      <c r="L147" s="107"/>
      <c r="M147" s="107"/>
      <c r="N147" s="107"/>
      <c r="O147" s="107"/>
      <c r="P147" s="107"/>
      <c r="Q147" s="107"/>
    </row>
    <row r="148" spans="1:17">
      <c r="A148" s="107"/>
      <c r="B148" s="107"/>
      <c r="C148" s="107"/>
      <c r="D148" s="107"/>
      <c r="E148" s="107"/>
      <c r="F148" s="107"/>
      <c r="G148" s="107"/>
      <c r="H148" s="107"/>
      <c r="I148" s="107"/>
      <c r="J148" s="107"/>
      <c r="K148" s="107"/>
      <c r="L148" s="107"/>
      <c r="M148" s="107"/>
      <c r="N148" s="107"/>
      <c r="O148" s="107"/>
      <c r="P148" s="107"/>
      <c r="Q148" s="107"/>
    </row>
    <row r="149" spans="1:17">
      <c r="A149" s="107"/>
      <c r="B149" s="107"/>
      <c r="C149" s="107"/>
      <c r="D149" s="107"/>
      <c r="E149" s="107"/>
      <c r="F149" s="107"/>
      <c r="G149" s="107"/>
      <c r="H149" s="107"/>
      <c r="I149" s="107"/>
      <c r="J149" s="107"/>
      <c r="K149" s="107"/>
      <c r="L149" s="107"/>
      <c r="M149" s="107"/>
      <c r="N149" s="107"/>
      <c r="O149" s="107"/>
      <c r="P149" s="107"/>
      <c r="Q149" s="107"/>
    </row>
    <row r="150" spans="1:17">
      <c r="A150" s="107"/>
      <c r="B150" s="107"/>
      <c r="C150" s="107"/>
      <c r="D150" s="107"/>
      <c r="E150" s="107"/>
      <c r="F150" s="107"/>
      <c r="G150" s="107"/>
      <c r="H150" s="107"/>
      <c r="I150" s="107"/>
      <c r="J150" s="107"/>
      <c r="K150" s="107"/>
      <c r="L150" s="107"/>
      <c r="M150" s="107"/>
      <c r="N150" s="107"/>
      <c r="O150" s="107"/>
      <c r="P150" s="107"/>
      <c r="Q150" s="107"/>
    </row>
    <row r="151" spans="1:17">
      <c r="A151" s="107"/>
      <c r="B151" s="107"/>
      <c r="C151" s="107"/>
      <c r="D151" s="107"/>
      <c r="E151" s="107"/>
      <c r="F151" s="107"/>
      <c r="G151" s="107"/>
      <c r="H151" s="107"/>
      <c r="I151" s="107"/>
      <c r="J151" s="107"/>
      <c r="K151" s="107"/>
      <c r="L151" s="107"/>
      <c r="M151" s="107"/>
      <c r="N151" s="107"/>
      <c r="O151" s="107"/>
      <c r="P151" s="107"/>
      <c r="Q151" s="107"/>
    </row>
    <row r="152" spans="1:17">
      <c r="A152" s="107"/>
      <c r="B152" s="107"/>
      <c r="C152" s="107"/>
      <c r="D152" s="107"/>
      <c r="E152" s="107"/>
      <c r="F152" s="107"/>
      <c r="G152" s="107"/>
      <c r="H152" s="107"/>
      <c r="I152" s="107"/>
      <c r="J152" s="107"/>
      <c r="K152" s="107"/>
      <c r="L152" s="107"/>
      <c r="M152" s="107"/>
      <c r="N152" s="107"/>
      <c r="O152" s="107"/>
      <c r="P152" s="107"/>
      <c r="Q152" s="107"/>
    </row>
    <row r="153" spans="1:17">
      <c r="A153" s="107"/>
      <c r="B153" s="107"/>
      <c r="C153" s="107"/>
      <c r="D153" s="107"/>
      <c r="E153" s="107"/>
      <c r="F153" s="107"/>
      <c r="G153" s="107"/>
      <c r="H153" s="107"/>
      <c r="I153" s="107"/>
      <c r="J153" s="107"/>
      <c r="K153" s="107"/>
      <c r="L153" s="107"/>
      <c r="M153" s="107"/>
      <c r="N153" s="107"/>
      <c r="O153" s="107"/>
      <c r="P153" s="107"/>
      <c r="Q153" s="107"/>
    </row>
    <row r="154" spans="1:17">
      <c r="A154" s="107"/>
      <c r="B154" s="107"/>
      <c r="C154" s="107"/>
      <c r="D154" s="107"/>
      <c r="E154" s="107"/>
      <c r="F154" s="107"/>
      <c r="G154" s="107"/>
      <c r="H154" s="107"/>
      <c r="I154" s="107"/>
      <c r="J154" s="107"/>
      <c r="K154" s="107"/>
      <c r="L154" s="107"/>
      <c r="M154" s="107"/>
      <c r="N154" s="107"/>
      <c r="O154" s="107"/>
      <c r="P154" s="107"/>
      <c r="Q154" s="107"/>
    </row>
    <row r="155" spans="1:17">
      <c r="A155" s="107"/>
      <c r="B155" s="107"/>
      <c r="C155" s="107"/>
      <c r="D155" s="107"/>
      <c r="E155" s="107"/>
      <c r="F155" s="107"/>
      <c r="G155" s="107"/>
      <c r="H155" s="107"/>
      <c r="I155" s="107"/>
      <c r="J155" s="107"/>
      <c r="K155" s="107"/>
      <c r="L155" s="107"/>
      <c r="M155" s="107"/>
      <c r="N155" s="107"/>
      <c r="O155" s="107"/>
      <c r="P155" s="107"/>
      <c r="Q155" s="107"/>
    </row>
    <row r="156" spans="1:17">
      <c r="A156" s="107"/>
      <c r="B156" s="107"/>
      <c r="C156" s="107"/>
      <c r="D156" s="107"/>
      <c r="E156" s="107"/>
      <c r="F156" s="107"/>
      <c r="G156" s="107"/>
      <c r="H156" s="107"/>
      <c r="I156" s="107"/>
      <c r="J156" s="107"/>
      <c r="K156" s="107"/>
      <c r="L156" s="107"/>
      <c r="M156" s="107"/>
      <c r="N156" s="107"/>
      <c r="O156" s="107"/>
      <c r="P156" s="107"/>
      <c r="Q156" s="107"/>
    </row>
    <row r="157" spans="1:17">
      <c r="A157" s="107"/>
      <c r="B157" s="107"/>
      <c r="C157" s="107"/>
      <c r="D157" s="107"/>
      <c r="E157" s="107"/>
      <c r="F157" s="107"/>
      <c r="G157" s="107"/>
      <c r="H157" s="107"/>
      <c r="I157" s="107"/>
      <c r="J157" s="107"/>
      <c r="K157" s="107"/>
      <c r="L157" s="107"/>
      <c r="M157" s="107"/>
      <c r="N157" s="107"/>
      <c r="O157" s="107"/>
      <c r="P157" s="107"/>
      <c r="Q157" s="107"/>
    </row>
    <row r="158" spans="1:17">
      <c r="A158" s="107"/>
      <c r="B158" s="107"/>
      <c r="C158" s="107"/>
      <c r="D158" s="107"/>
      <c r="E158" s="107"/>
      <c r="F158" s="107"/>
      <c r="G158" s="107"/>
      <c r="H158" s="107"/>
      <c r="I158" s="107"/>
      <c r="J158" s="107"/>
      <c r="K158" s="107"/>
      <c r="L158" s="107"/>
      <c r="M158" s="107"/>
      <c r="N158" s="107"/>
      <c r="O158" s="107"/>
      <c r="P158" s="107"/>
      <c r="Q158" s="107"/>
    </row>
    <row r="159" spans="1:17">
      <c r="A159" s="107"/>
      <c r="B159" s="107"/>
      <c r="C159" s="107"/>
      <c r="D159" s="107"/>
      <c r="E159" s="107"/>
      <c r="F159" s="107"/>
      <c r="G159" s="107"/>
      <c r="H159" s="107"/>
      <c r="I159" s="107"/>
      <c r="J159" s="107"/>
      <c r="K159" s="107"/>
      <c r="L159" s="107"/>
      <c r="M159" s="107"/>
      <c r="N159" s="107"/>
      <c r="O159" s="107"/>
      <c r="P159" s="107"/>
      <c r="Q159" s="107"/>
    </row>
    <row r="160" spans="1:17">
      <c r="A160" s="107"/>
      <c r="B160" s="107"/>
      <c r="C160" s="107"/>
      <c r="D160" s="107"/>
      <c r="E160" s="107"/>
      <c r="F160" s="107"/>
      <c r="G160" s="107"/>
      <c r="H160" s="107"/>
      <c r="I160" s="107"/>
      <c r="J160" s="107"/>
      <c r="K160" s="107"/>
      <c r="L160" s="107"/>
      <c r="M160" s="107"/>
      <c r="N160" s="107"/>
      <c r="O160" s="107"/>
      <c r="P160" s="107"/>
      <c r="Q160" s="107"/>
    </row>
    <row r="161" spans="1:17">
      <c r="A161" s="107"/>
      <c r="B161" s="107"/>
      <c r="C161" s="107"/>
      <c r="D161" s="107"/>
      <c r="E161" s="107"/>
      <c r="F161" s="107"/>
      <c r="G161" s="107"/>
      <c r="H161" s="107"/>
      <c r="I161" s="107"/>
      <c r="J161" s="107"/>
      <c r="K161" s="107"/>
      <c r="L161" s="107"/>
      <c r="M161" s="107"/>
      <c r="N161" s="107"/>
      <c r="O161" s="107"/>
      <c r="P161" s="107"/>
      <c r="Q161" s="107"/>
    </row>
    <row r="162" spans="1:17">
      <c r="A162" s="107"/>
      <c r="B162" s="107"/>
      <c r="C162" s="107"/>
      <c r="D162" s="107"/>
      <c r="E162" s="107"/>
      <c r="F162" s="107"/>
      <c r="G162" s="107"/>
      <c r="H162" s="107"/>
      <c r="I162" s="107"/>
      <c r="J162" s="107"/>
      <c r="K162" s="107"/>
      <c r="L162" s="107"/>
      <c r="M162" s="107"/>
      <c r="N162" s="107"/>
      <c r="O162" s="107"/>
      <c r="P162" s="107"/>
      <c r="Q162" s="107"/>
    </row>
    <row r="163" spans="1:17">
      <c r="A163" s="107"/>
      <c r="B163" s="107"/>
      <c r="C163" s="107"/>
      <c r="D163" s="107"/>
      <c r="E163" s="107"/>
      <c r="F163" s="107"/>
      <c r="G163" s="107"/>
      <c r="H163" s="107"/>
      <c r="I163" s="107"/>
      <c r="J163" s="107"/>
      <c r="K163" s="107"/>
      <c r="L163" s="107"/>
      <c r="M163" s="107"/>
      <c r="N163" s="107"/>
      <c r="O163" s="107"/>
      <c r="P163" s="107"/>
      <c r="Q163" s="107"/>
    </row>
    <row r="164" spans="1:17">
      <c r="A164" s="107"/>
      <c r="B164" s="107"/>
      <c r="C164" s="107"/>
      <c r="D164" s="107"/>
      <c r="E164" s="107"/>
      <c r="F164" s="107"/>
      <c r="G164" s="107"/>
      <c r="H164" s="107"/>
      <c r="I164" s="107"/>
      <c r="J164" s="107"/>
      <c r="K164" s="107"/>
      <c r="L164" s="107"/>
      <c r="M164" s="107"/>
      <c r="N164" s="107"/>
      <c r="O164" s="107"/>
      <c r="P164" s="107"/>
      <c r="Q164" s="107"/>
    </row>
    <row r="165" spans="1:17">
      <c r="A165" s="107"/>
      <c r="B165" s="107"/>
      <c r="C165" s="107"/>
      <c r="D165" s="107"/>
      <c r="E165" s="107"/>
      <c r="F165" s="107"/>
      <c r="G165" s="107"/>
      <c r="H165" s="107"/>
      <c r="I165" s="107"/>
      <c r="J165" s="107"/>
      <c r="K165" s="107"/>
      <c r="L165" s="107"/>
      <c r="M165" s="107"/>
      <c r="N165" s="107"/>
      <c r="O165" s="107"/>
      <c r="P165" s="107"/>
      <c r="Q165" s="107"/>
    </row>
    <row r="166" spans="1:17">
      <c r="A166" s="107"/>
      <c r="B166" s="107"/>
      <c r="C166" s="107"/>
      <c r="D166" s="107"/>
      <c r="E166" s="107"/>
      <c r="F166" s="107"/>
      <c r="G166" s="107"/>
      <c r="H166" s="107"/>
      <c r="I166" s="107"/>
      <c r="J166" s="107"/>
      <c r="K166" s="107"/>
      <c r="L166" s="107"/>
      <c r="M166" s="107"/>
      <c r="N166" s="107"/>
      <c r="O166" s="107"/>
      <c r="P166" s="107"/>
      <c r="Q166" s="107"/>
    </row>
    <row r="167" spans="1:17">
      <c r="A167" s="107"/>
      <c r="B167" s="107"/>
      <c r="C167" s="107"/>
      <c r="D167" s="107"/>
      <c r="E167" s="107"/>
      <c r="F167" s="107"/>
      <c r="G167" s="107"/>
      <c r="H167" s="107"/>
      <c r="I167" s="107"/>
      <c r="J167" s="107"/>
      <c r="K167" s="107"/>
      <c r="L167" s="107"/>
      <c r="M167" s="107"/>
      <c r="N167" s="107"/>
      <c r="O167" s="107"/>
      <c r="P167" s="107"/>
      <c r="Q167" s="107"/>
    </row>
    <row r="168" spans="1:17">
      <c r="A168" s="107"/>
      <c r="B168" s="107"/>
      <c r="C168" s="107"/>
      <c r="D168" s="107"/>
      <c r="E168" s="107"/>
      <c r="F168" s="107"/>
      <c r="G168" s="107"/>
      <c r="H168" s="107"/>
      <c r="I168" s="107"/>
      <c r="J168" s="107"/>
      <c r="K168" s="107"/>
      <c r="L168" s="107"/>
      <c r="M168" s="107"/>
      <c r="N168" s="107"/>
      <c r="O168" s="107"/>
      <c r="P168" s="107"/>
      <c r="Q168" s="107"/>
    </row>
    <row r="169" spans="1:17">
      <c r="A169" s="107"/>
      <c r="B169" s="107"/>
      <c r="C169" s="107"/>
      <c r="D169" s="107"/>
      <c r="E169" s="107"/>
      <c r="F169" s="107"/>
      <c r="G169" s="107"/>
      <c r="H169" s="107"/>
      <c r="I169" s="107"/>
      <c r="J169" s="107"/>
      <c r="K169" s="107"/>
      <c r="L169" s="107"/>
      <c r="M169" s="107"/>
      <c r="N169" s="107"/>
      <c r="O169" s="107"/>
      <c r="P169" s="107"/>
      <c r="Q169" s="107"/>
    </row>
    <row r="170" spans="1:17">
      <c r="A170" s="107"/>
      <c r="B170" s="107"/>
      <c r="C170" s="107"/>
      <c r="D170" s="107"/>
      <c r="E170" s="107"/>
      <c r="F170" s="107"/>
      <c r="G170" s="107"/>
      <c r="H170" s="107"/>
      <c r="I170" s="107"/>
      <c r="J170" s="107"/>
      <c r="K170" s="107"/>
      <c r="L170" s="107"/>
      <c r="M170" s="107"/>
      <c r="N170" s="107"/>
      <c r="O170" s="107"/>
      <c r="P170" s="107"/>
      <c r="Q170" s="107"/>
    </row>
    <row r="171" spans="1:17">
      <c r="A171" s="107"/>
      <c r="B171" s="107"/>
      <c r="C171" s="107"/>
      <c r="D171" s="107"/>
      <c r="E171" s="107"/>
      <c r="F171" s="107"/>
      <c r="G171" s="107"/>
      <c r="H171" s="107"/>
      <c r="I171" s="107"/>
      <c r="J171" s="107"/>
      <c r="K171" s="107"/>
      <c r="L171" s="107"/>
      <c r="M171" s="107"/>
      <c r="N171" s="107"/>
      <c r="O171" s="107"/>
      <c r="P171" s="107"/>
      <c r="Q171" s="107"/>
    </row>
    <row r="172" spans="1:17">
      <c r="A172" s="107"/>
      <c r="B172" s="107"/>
      <c r="C172" s="107"/>
      <c r="D172" s="107"/>
      <c r="E172" s="107"/>
      <c r="F172" s="107"/>
      <c r="G172" s="107"/>
      <c r="H172" s="107"/>
      <c r="I172" s="107"/>
      <c r="J172" s="107"/>
      <c r="K172" s="107"/>
      <c r="L172" s="107"/>
      <c r="M172" s="107"/>
      <c r="N172" s="107"/>
      <c r="O172" s="107"/>
      <c r="P172" s="107"/>
      <c r="Q172" s="107"/>
    </row>
    <row r="173" spans="1:17">
      <c r="A173" s="107"/>
      <c r="B173" s="107"/>
      <c r="C173" s="107"/>
      <c r="D173" s="107"/>
      <c r="E173" s="107"/>
      <c r="F173" s="107"/>
      <c r="G173" s="107"/>
      <c r="H173" s="107"/>
      <c r="I173" s="107"/>
      <c r="J173" s="107"/>
      <c r="K173" s="107"/>
      <c r="L173" s="107"/>
      <c r="M173" s="107"/>
      <c r="N173" s="107"/>
      <c r="O173" s="107"/>
      <c r="P173" s="107"/>
      <c r="Q173" s="107"/>
    </row>
    <row r="174" spans="1:17">
      <c r="A174" s="107"/>
      <c r="B174" s="107"/>
      <c r="C174" s="107"/>
      <c r="D174" s="107"/>
      <c r="E174" s="107"/>
      <c r="F174" s="107"/>
      <c r="G174" s="107"/>
      <c r="H174" s="107"/>
      <c r="I174" s="107"/>
      <c r="J174" s="107"/>
      <c r="K174" s="107"/>
      <c r="L174" s="107"/>
      <c r="M174" s="107"/>
      <c r="N174" s="107"/>
      <c r="O174" s="107"/>
      <c r="P174" s="107"/>
      <c r="Q174" s="107"/>
    </row>
    <row r="175" spans="1:17">
      <c r="A175" s="107"/>
      <c r="B175" s="107"/>
      <c r="C175" s="107"/>
      <c r="D175" s="107"/>
      <c r="E175" s="107"/>
      <c r="F175" s="107"/>
      <c r="G175" s="107"/>
      <c r="H175" s="107"/>
      <c r="I175" s="107"/>
      <c r="J175" s="107"/>
      <c r="K175" s="107"/>
      <c r="L175" s="107"/>
      <c r="M175" s="107"/>
      <c r="N175" s="107"/>
      <c r="O175" s="107"/>
      <c r="P175" s="107"/>
      <c r="Q175" s="107"/>
    </row>
    <row r="176" spans="1:17">
      <c r="A176" s="107"/>
      <c r="B176" s="107"/>
      <c r="C176" s="107"/>
      <c r="D176" s="107"/>
      <c r="E176" s="107"/>
      <c r="F176" s="107"/>
      <c r="G176" s="107"/>
      <c r="H176" s="107"/>
      <c r="I176" s="107"/>
      <c r="J176" s="107"/>
      <c r="K176" s="107"/>
      <c r="L176" s="107"/>
      <c r="M176" s="107"/>
      <c r="N176" s="107"/>
      <c r="O176" s="107"/>
      <c r="P176" s="107"/>
      <c r="Q176" s="107"/>
    </row>
    <row r="177" spans="1:17">
      <c r="A177" s="107"/>
      <c r="B177" s="107"/>
      <c r="C177" s="107"/>
      <c r="D177" s="107"/>
      <c r="E177" s="107"/>
      <c r="F177" s="107"/>
      <c r="G177" s="107"/>
      <c r="H177" s="107"/>
      <c r="I177" s="107"/>
      <c r="J177" s="107"/>
      <c r="K177" s="107"/>
      <c r="L177" s="107"/>
      <c r="M177" s="107"/>
      <c r="N177" s="107"/>
      <c r="O177" s="107"/>
      <c r="P177" s="107"/>
      <c r="Q177" s="107"/>
    </row>
    <row r="178" spans="1:17">
      <c r="A178" s="107"/>
      <c r="B178" s="107"/>
      <c r="C178" s="107"/>
      <c r="D178" s="107"/>
      <c r="E178" s="107"/>
      <c r="F178" s="107"/>
      <c r="G178" s="107"/>
      <c r="H178" s="107"/>
      <c r="I178" s="107"/>
      <c r="J178" s="107"/>
      <c r="K178" s="107"/>
      <c r="L178" s="107"/>
      <c r="M178" s="107"/>
      <c r="N178" s="107"/>
      <c r="O178" s="107"/>
      <c r="P178" s="107"/>
      <c r="Q178" s="107"/>
    </row>
    <row r="179" spans="1:17">
      <c r="A179" s="107"/>
      <c r="B179" s="107"/>
      <c r="C179" s="107"/>
      <c r="D179" s="107"/>
      <c r="E179" s="107"/>
      <c r="F179" s="107"/>
      <c r="G179" s="107"/>
      <c r="H179" s="107"/>
      <c r="I179" s="107"/>
      <c r="J179" s="107"/>
      <c r="K179" s="107"/>
      <c r="L179" s="107"/>
      <c r="M179" s="107"/>
      <c r="N179" s="107"/>
      <c r="O179" s="107"/>
      <c r="P179" s="107"/>
      <c r="Q179" s="107"/>
    </row>
    <row r="180" spans="1:17">
      <c r="A180" s="107"/>
      <c r="B180" s="107"/>
      <c r="C180" s="107"/>
      <c r="D180" s="107"/>
      <c r="E180" s="107"/>
      <c r="F180" s="107"/>
      <c r="G180" s="107"/>
      <c r="H180" s="107"/>
      <c r="I180" s="107"/>
      <c r="J180" s="107"/>
      <c r="K180" s="107"/>
      <c r="L180" s="107"/>
      <c r="M180" s="107"/>
      <c r="N180" s="107"/>
      <c r="O180" s="107"/>
      <c r="P180" s="107"/>
      <c r="Q180" s="107"/>
    </row>
    <row r="181" spans="1:17">
      <c r="A181" s="107"/>
      <c r="B181" s="107"/>
      <c r="C181" s="107"/>
      <c r="D181" s="107"/>
      <c r="E181" s="107"/>
      <c r="F181" s="107"/>
      <c r="G181" s="107"/>
      <c r="H181" s="107"/>
      <c r="I181" s="107"/>
      <c r="J181" s="107"/>
      <c r="K181" s="107"/>
      <c r="L181" s="107"/>
      <c r="M181" s="107"/>
      <c r="N181" s="107"/>
      <c r="O181" s="107"/>
      <c r="P181" s="107"/>
      <c r="Q181" s="107"/>
    </row>
    <row r="182" spans="1:17">
      <c r="A182" s="107"/>
      <c r="B182" s="107"/>
      <c r="C182" s="107"/>
      <c r="D182" s="107"/>
      <c r="E182" s="107"/>
      <c r="F182" s="107"/>
      <c r="G182" s="107"/>
      <c r="H182" s="107"/>
      <c r="I182" s="107"/>
      <c r="J182" s="107"/>
      <c r="K182" s="107"/>
      <c r="L182" s="107"/>
      <c r="M182" s="107"/>
      <c r="N182" s="107"/>
      <c r="O182" s="107"/>
      <c r="P182" s="107"/>
      <c r="Q182" s="107"/>
    </row>
    <row r="183" spans="1:17">
      <c r="A183" s="107"/>
      <c r="B183" s="107"/>
      <c r="C183" s="107"/>
      <c r="D183" s="107"/>
      <c r="E183" s="107"/>
      <c r="F183" s="107"/>
      <c r="G183" s="107"/>
      <c r="H183" s="107"/>
      <c r="I183" s="107"/>
      <c r="J183" s="107"/>
      <c r="K183" s="107"/>
      <c r="L183" s="107"/>
      <c r="M183" s="107"/>
      <c r="N183" s="107"/>
      <c r="O183" s="107"/>
      <c r="P183" s="107"/>
      <c r="Q183" s="107"/>
    </row>
    <row r="184" spans="1:17">
      <c r="A184" s="107"/>
      <c r="B184" s="107"/>
      <c r="C184" s="107"/>
      <c r="D184" s="107"/>
      <c r="E184" s="107"/>
      <c r="F184" s="107"/>
      <c r="G184" s="107"/>
      <c r="H184" s="107"/>
      <c r="I184" s="107"/>
      <c r="J184" s="107"/>
      <c r="K184" s="107"/>
      <c r="L184" s="107"/>
      <c r="M184" s="107"/>
      <c r="N184" s="107"/>
      <c r="O184" s="107"/>
      <c r="P184" s="107"/>
      <c r="Q184" s="107"/>
    </row>
    <row r="185" spans="1:17">
      <c r="A185" s="107"/>
      <c r="B185" s="107"/>
      <c r="C185" s="107"/>
      <c r="D185" s="107"/>
      <c r="E185" s="107"/>
      <c r="F185" s="107"/>
      <c r="G185" s="107"/>
      <c r="H185" s="107"/>
      <c r="I185" s="107"/>
      <c r="J185" s="107"/>
      <c r="K185" s="107"/>
      <c r="L185" s="107"/>
      <c r="M185" s="107"/>
      <c r="N185" s="107"/>
      <c r="O185" s="107"/>
      <c r="P185" s="107"/>
      <c r="Q185" s="107"/>
    </row>
    <row r="186" spans="1:17">
      <c r="A186" s="107"/>
      <c r="B186" s="107"/>
      <c r="C186" s="107"/>
      <c r="D186" s="107"/>
      <c r="E186" s="107"/>
      <c r="F186" s="107"/>
      <c r="G186" s="107"/>
      <c r="H186" s="107"/>
      <c r="I186" s="107"/>
      <c r="J186" s="107"/>
      <c r="K186" s="107"/>
      <c r="L186" s="107"/>
      <c r="M186" s="107"/>
      <c r="N186" s="107"/>
      <c r="O186" s="107"/>
      <c r="P186" s="107"/>
      <c r="Q186" s="107"/>
    </row>
    <row r="187" spans="1:17">
      <c r="A187" s="107"/>
      <c r="B187" s="107"/>
      <c r="C187" s="107"/>
      <c r="D187" s="107"/>
      <c r="E187" s="107"/>
      <c r="F187" s="107"/>
      <c r="G187" s="107"/>
      <c r="H187" s="107"/>
      <c r="I187" s="107"/>
      <c r="J187" s="107"/>
      <c r="K187" s="107"/>
      <c r="L187" s="107"/>
      <c r="M187" s="107"/>
      <c r="N187" s="107"/>
      <c r="O187" s="107"/>
      <c r="P187" s="107"/>
      <c r="Q187" s="107"/>
    </row>
    <row r="188" spans="1:17">
      <c r="A188" s="107"/>
      <c r="B188" s="107"/>
      <c r="C188" s="107"/>
      <c r="D188" s="107"/>
      <c r="E188" s="107"/>
      <c r="F188" s="107"/>
      <c r="G188" s="107"/>
      <c r="H188" s="107"/>
      <c r="I188" s="107"/>
      <c r="J188" s="107"/>
      <c r="K188" s="107"/>
      <c r="L188" s="107"/>
      <c r="M188" s="107"/>
      <c r="N188" s="107"/>
      <c r="O188" s="107"/>
      <c r="P188" s="107"/>
      <c r="Q188" s="107"/>
    </row>
    <row r="189" spans="1:17">
      <c r="A189" s="107"/>
      <c r="B189" s="107"/>
      <c r="C189" s="107"/>
      <c r="D189" s="107"/>
      <c r="E189" s="107"/>
      <c r="F189" s="107"/>
      <c r="G189" s="107"/>
      <c r="H189" s="107"/>
      <c r="I189" s="107"/>
      <c r="J189" s="107"/>
      <c r="K189" s="107"/>
      <c r="L189" s="107"/>
      <c r="M189" s="107"/>
      <c r="N189" s="107"/>
      <c r="O189" s="107"/>
      <c r="P189" s="107"/>
      <c r="Q189" s="107"/>
    </row>
    <row r="190" spans="1:17">
      <c r="A190" s="107"/>
      <c r="B190" s="107"/>
      <c r="C190" s="107"/>
      <c r="D190" s="107"/>
      <c r="E190" s="107"/>
      <c r="F190" s="107"/>
      <c r="G190" s="107"/>
      <c r="H190" s="107"/>
      <c r="I190" s="107"/>
      <c r="J190" s="107"/>
      <c r="K190" s="107"/>
      <c r="L190" s="107"/>
      <c r="M190" s="107"/>
      <c r="N190" s="107"/>
      <c r="O190" s="107"/>
      <c r="P190" s="107"/>
      <c r="Q190" s="107"/>
    </row>
    <row r="191" spans="1:17">
      <c r="A191" s="107"/>
      <c r="B191" s="107"/>
      <c r="C191" s="107"/>
      <c r="D191" s="107"/>
      <c r="E191" s="107"/>
      <c r="F191" s="107"/>
      <c r="G191" s="107"/>
      <c r="H191" s="107"/>
      <c r="I191" s="107"/>
      <c r="J191" s="107"/>
      <c r="K191" s="107"/>
      <c r="L191" s="107"/>
      <c r="M191" s="107"/>
      <c r="N191" s="107"/>
      <c r="O191" s="107"/>
      <c r="P191" s="107"/>
      <c r="Q191" s="107"/>
    </row>
    <row r="192" spans="1:17">
      <c r="A192" s="107"/>
      <c r="B192" s="107"/>
      <c r="C192" s="107"/>
      <c r="D192" s="107"/>
      <c r="E192" s="107"/>
      <c r="F192" s="107"/>
      <c r="G192" s="107"/>
      <c r="H192" s="107"/>
      <c r="I192" s="107"/>
      <c r="J192" s="107"/>
      <c r="K192" s="107"/>
      <c r="L192" s="107"/>
      <c r="M192" s="107"/>
      <c r="N192" s="107"/>
      <c r="O192" s="107"/>
      <c r="P192" s="107"/>
      <c r="Q192" s="107"/>
    </row>
    <row r="193" spans="1:17">
      <c r="A193" s="107"/>
      <c r="B193" s="107"/>
      <c r="C193" s="107"/>
      <c r="D193" s="107"/>
      <c r="E193" s="107"/>
      <c r="F193" s="107"/>
      <c r="G193" s="107"/>
      <c r="H193" s="107"/>
      <c r="I193" s="107"/>
      <c r="J193" s="107"/>
      <c r="K193" s="107"/>
      <c r="L193" s="107"/>
      <c r="M193" s="107"/>
      <c r="N193" s="107"/>
      <c r="O193" s="107"/>
      <c r="P193" s="107"/>
      <c r="Q193" s="107"/>
    </row>
    <row r="194" spans="1:17">
      <c r="A194" s="107"/>
      <c r="B194" s="107"/>
      <c r="C194" s="107"/>
      <c r="D194" s="107"/>
      <c r="E194" s="107"/>
      <c r="F194" s="107"/>
      <c r="G194" s="107"/>
      <c r="H194" s="107"/>
      <c r="I194" s="107"/>
      <c r="J194" s="107"/>
      <c r="K194" s="107"/>
      <c r="L194" s="107"/>
      <c r="M194" s="107"/>
      <c r="N194" s="107"/>
      <c r="O194" s="107"/>
      <c r="P194" s="107"/>
      <c r="Q194" s="107"/>
    </row>
    <row r="195" spans="1:17">
      <c r="A195" s="107"/>
      <c r="B195" s="107"/>
      <c r="C195" s="107"/>
      <c r="D195" s="107"/>
      <c r="E195" s="107"/>
      <c r="F195" s="107"/>
      <c r="G195" s="107"/>
      <c r="H195" s="107"/>
      <c r="I195" s="107"/>
      <c r="J195" s="107"/>
      <c r="K195" s="107"/>
      <c r="L195" s="107"/>
      <c r="M195" s="107"/>
      <c r="N195" s="107"/>
      <c r="O195" s="107"/>
      <c r="P195" s="107"/>
      <c r="Q195" s="107"/>
    </row>
    <row r="196" spans="1:17">
      <c r="A196" s="107"/>
      <c r="B196" s="107"/>
      <c r="C196" s="107"/>
      <c r="D196" s="107"/>
      <c r="E196" s="107"/>
      <c r="F196" s="107"/>
      <c r="G196" s="107"/>
      <c r="H196" s="107"/>
      <c r="I196" s="107"/>
      <c r="J196" s="107"/>
      <c r="K196" s="107"/>
      <c r="L196" s="107"/>
      <c r="M196" s="107"/>
      <c r="N196" s="107"/>
      <c r="O196" s="107"/>
      <c r="P196" s="107"/>
      <c r="Q196" s="107"/>
    </row>
    <row r="197" spans="1:17">
      <c r="A197" s="107"/>
      <c r="B197" s="107"/>
      <c r="C197" s="107"/>
      <c r="D197" s="107"/>
      <c r="E197" s="107"/>
      <c r="F197" s="107"/>
      <c r="G197" s="107"/>
      <c r="H197" s="107"/>
      <c r="I197" s="107"/>
      <c r="J197" s="107"/>
      <c r="K197" s="107"/>
      <c r="L197" s="107"/>
      <c r="M197" s="107"/>
      <c r="N197" s="107"/>
      <c r="O197" s="107"/>
      <c r="P197" s="107"/>
      <c r="Q197" s="107"/>
    </row>
    <row r="198" spans="1:17">
      <c r="A198" s="107"/>
      <c r="B198" s="107"/>
      <c r="C198" s="107"/>
      <c r="D198" s="107"/>
      <c r="E198" s="107"/>
      <c r="F198" s="107"/>
      <c r="G198" s="107"/>
      <c r="H198" s="107"/>
      <c r="I198" s="107"/>
      <c r="J198" s="107"/>
      <c r="K198" s="107"/>
      <c r="L198" s="107"/>
      <c r="M198" s="107"/>
      <c r="N198" s="107"/>
      <c r="O198" s="107"/>
      <c r="P198" s="107"/>
      <c r="Q198" s="107"/>
    </row>
    <row r="199" spans="1:17">
      <c r="A199" s="107"/>
      <c r="B199" s="107"/>
      <c r="C199" s="107"/>
      <c r="D199" s="107"/>
      <c r="E199" s="107"/>
      <c r="F199" s="107"/>
      <c r="G199" s="107"/>
      <c r="H199" s="107"/>
      <c r="I199" s="107"/>
      <c r="J199" s="107"/>
      <c r="K199" s="107"/>
      <c r="L199" s="107"/>
      <c r="M199" s="107"/>
      <c r="N199" s="107"/>
      <c r="O199" s="107"/>
      <c r="P199" s="107"/>
      <c r="Q199" s="107"/>
    </row>
    <row r="200" spans="1:17">
      <c r="A200" s="107"/>
      <c r="B200" s="107"/>
      <c r="C200" s="107"/>
      <c r="D200" s="107"/>
      <c r="E200" s="107"/>
      <c r="F200" s="107"/>
      <c r="G200" s="107"/>
      <c r="H200" s="107"/>
      <c r="I200" s="107"/>
      <c r="J200" s="107"/>
      <c r="K200" s="107"/>
      <c r="L200" s="107"/>
      <c r="M200" s="107"/>
      <c r="N200" s="107"/>
      <c r="O200" s="107"/>
      <c r="P200" s="107"/>
      <c r="Q200" s="107"/>
    </row>
    <row r="201" spans="1:17">
      <c r="A201" s="107"/>
      <c r="B201" s="107"/>
      <c r="C201" s="107"/>
      <c r="D201" s="107"/>
      <c r="E201" s="107"/>
      <c r="F201" s="107"/>
      <c r="G201" s="107"/>
      <c r="H201" s="107"/>
      <c r="I201" s="107"/>
      <c r="J201" s="107"/>
      <c r="K201" s="107"/>
      <c r="L201" s="107"/>
      <c r="M201" s="107"/>
      <c r="N201" s="107"/>
      <c r="O201" s="107"/>
      <c r="P201" s="107"/>
      <c r="Q201" s="107"/>
    </row>
    <row r="202" spans="1:17">
      <c r="A202" s="107"/>
      <c r="B202" s="107"/>
      <c r="C202" s="107"/>
      <c r="D202" s="107"/>
      <c r="E202" s="107"/>
      <c r="F202" s="107"/>
      <c r="G202" s="107"/>
      <c r="H202" s="107"/>
      <c r="I202" s="107"/>
      <c r="J202" s="107"/>
      <c r="K202" s="107"/>
      <c r="L202" s="107"/>
      <c r="M202" s="107"/>
      <c r="N202" s="107"/>
      <c r="O202" s="107"/>
      <c r="P202" s="107"/>
      <c r="Q202" s="107"/>
    </row>
    <row r="203" spans="1:17">
      <c r="A203" s="107"/>
      <c r="B203" s="107"/>
      <c r="C203" s="107"/>
      <c r="D203" s="107"/>
      <c r="E203" s="107"/>
      <c r="F203" s="107"/>
      <c r="G203" s="107"/>
      <c r="H203" s="107"/>
      <c r="I203" s="107"/>
      <c r="J203" s="107"/>
      <c r="K203" s="107"/>
      <c r="L203" s="107"/>
      <c r="M203" s="107"/>
      <c r="N203" s="107"/>
      <c r="O203" s="107"/>
      <c r="P203" s="107"/>
      <c r="Q203" s="107"/>
    </row>
    <row r="204" spans="1:17">
      <c r="A204" s="107"/>
      <c r="B204" s="107"/>
      <c r="C204" s="107"/>
      <c r="D204" s="107"/>
      <c r="E204" s="107"/>
      <c r="F204" s="107"/>
      <c r="G204" s="107"/>
      <c r="H204" s="107"/>
      <c r="I204" s="107"/>
      <c r="J204" s="107"/>
      <c r="K204" s="107"/>
      <c r="L204" s="107"/>
      <c r="M204" s="107"/>
      <c r="N204" s="107"/>
      <c r="O204" s="107"/>
      <c r="P204" s="107"/>
      <c r="Q204" s="107"/>
    </row>
    <row r="205" spans="1:17">
      <c r="A205" s="107"/>
      <c r="B205" s="107"/>
      <c r="C205" s="107"/>
      <c r="D205" s="107"/>
      <c r="E205" s="107"/>
      <c r="F205" s="107"/>
      <c r="G205" s="107"/>
      <c r="H205" s="107"/>
      <c r="I205" s="107"/>
      <c r="J205" s="107"/>
      <c r="K205" s="107"/>
      <c r="L205" s="107"/>
      <c r="M205" s="107"/>
      <c r="N205" s="107"/>
      <c r="O205" s="107"/>
      <c r="P205" s="107"/>
      <c r="Q205" s="107"/>
    </row>
    <row r="206" spans="1:17">
      <c r="A206" s="107"/>
      <c r="B206" s="107"/>
      <c r="C206" s="107"/>
      <c r="D206" s="107"/>
      <c r="E206" s="107"/>
      <c r="F206" s="107"/>
      <c r="G206" s="107"/>
      <c r="H206" s="107"/>
      <c r="I206" s="107"/>
      <c r="J206" s="107"/>
      <c r="K206" s="107"/>
      <c r="L206" s="107"/>
      <c r="M206" s="107"/>
      <c r="N206" s="107"/>
      <c r="O206" s="107"/>
      <c r="P206" s="107"/>
      <c r="Q206" s="107"/>
    </row>
    <row r="207" spans="1:17">
      <c r="A207" s="107"/>
      <c r="B207" s="107"/>
      <c r="C207" s="107"/>
      <c r="D207" s="107"/>
      <c r="E207" s="107"/>
      <c r="F207" s="107"/>
      <c r="G207" s="107"/>
      <c r="H207" s="107"/>
      <c r="I207" s="107"/>
      <c r="J207" s="107"/>
      <c r="K207" s="107"/>
      <c r="L207" s="107"/>
      <c r="M207" s="107"/>
      <c r="N207" s="107"/>
      <c r="O207" s="107"/>
      <c r="P207" s="107"/>
      <c r="Q207" s="107"/>
    </row>
    <row r="208" spans="1:17">
      <c r="A208" s="107"/>
      <c r="B208" s="107"/>
      <c r="C208" s="107"/>
      <c r="D208" s="107"/>
      <c r="E208" s="107"/>
      <c r="F208" s="107"/>
      <c r="G208" s="107"/>
      <c r="H208" s="107"/>
      <c r="I208" s="107"/>
      <c r="J208" s="107"/>
      <c r="K208" s="107"/>
      <c r="L208" s="107"/>
      <c r="M208" s="107"/>
      <c r="N208" s="107"/>
      <c r="O208" s="107"/>
      <c r="P208" s="107"/>
      <c r="Q208" s="107"/>
    </row>
    <row r="209" spans="1:17">
      <c r="A209" s="107"/>
      <c r="B209" s="107"/>
      <c r="C209" s="107"/>
      <c r="D209" s="107"/>
      <c r="E209" s="107"/>
      <c r="F209" s="107"/>
      <c r="G209" s="107"/>
      <c r="H209" s="107"/>
      <c r="I209" s="107"/>
      <c r="J209" s="107"/>
      <c r="K209" s="107"/>
      <c r="L209" s="107"/>
      <c r="M209" s="107"/>
      <c r="N209" s="107"/>
      <c r="O209" s="107"/>
      <c r="P209" s="107"/>
      <c r="Q209" s="107"/>
    </row>
    <row r="210" spans="1:17">
      <c r="A210" s="107"/>
      <c r="B210" s="107"/>
      <c r="C210" s="107"/>
      <c r="D210" s="107"/>
      <c r="E210" s="107"/>
      <c r="F210" s="107"/>
      <c r="G210" s="107"/>
      <c r="H210" s="107"/>
      <c r="I210" s="107"/>
      <c r="J210" s="107"/>
      <c r="K210" s="107"/>
      <c r="L210" s="107"/>
      <c r="M210" s="107"/>
      <c r="N210" s="107"/>
      <c r="O210" s="107"/>
      <c r="P210" s="107"/>
      <c r="Q210" s="107"/>
    </row>
    <row r="211" spans="1:17">
      <c r="A211" s="107"/>
      <c r="B211" s="107"/>
      <c r="C211" s="107"/>
      <c r="D211" s="107"/>
      <c r="E211" s="107"/>
      <c r="F211" s="107"/>
      <c r="G211" s="107"/>
      <c r="H211" s="107"/>
      <c r="I211" s="107"/>
      <c r="J211" s="107"/>
      <c r="K211" s="107"/>
      <c r="L211" s="107"/>
      <c r="M211" s="107"/>
      <c r="N211" s="107"/>
      <c r="O211" s="107"/>
      <c r="P211" s="107"/>
      <c r="Q211" s="107"/>
    </row>
    <row r="212" spans="1:17">
      <c r="A212" s="107"/>
      <c r="B212" s="107"/>
      <c r="C212" s="107"/>
      <c r="D212" s="107"/>
      <c r="E212" s="107"/>
      <c r="F212" s="107"/>
      <c r="G212" s="107"/>
      <c r="H212" s="107"/>
      <c r="I212" s="107"/>
      <c r="J212" s="107"/>
      <c r="K212" s="107"/>
      <c r="L212" s="107"/>
      <c r="M212" s="107"/>
      <c r="N212" s="107"/>
      <c r="O212" s="107"/>
      <c r="P212" s="107"/>
      <c r="Q212" s="107"/>
    </row>
    <row r="213" spans="1:17">
      <c r="A213" s="107"/>
      <c r="B213" s="107"/>
      <c r="C213" s="107"/>
      <c r="D213" s="107"/>
      <c r="E213" s="107"/>
      <c r="F213" s="107"/>
      <c r="G213" s="107"/>
      <c r="H213" s="107"/>
      <c r="I213" s="107"/>
      <c r="J213" s="107"/>
      <c r="K213" s="107"/>
      <c r="L213" s="107"/>
      <c r="M213" s="107"/>
      <c r="N213" s="107"/>
      <c r="O213" s="107"/>
      <c r="P213" s="107"/>
      <c r="Q213" s="107"/>
    </row>
    <row r="214" spans="1:17">
      <c r="A214" s="107"/>
      <c r="B214" s="107"/>
      <c r="C214" s="107"/>
      <c r="D214" s="107"/>
      <c r="E214" s="107"/>
      <c r="F214" s="107"/>
      <c r="G214" s="107"/>
      <c r="H214" s="107"/>
      <c r="I214" s="107"/>
      <c r="J214" s="107"/>
      <c r="K214" s="107"/>
      <c r="L214" s="107"/>
      <c r="M214" s="107"/>
      <c r="N214" s="107"/>
      <c r="O214" s="107"/>
      <c r="P214" s="107"/>
      <c r="Q214" s="107"/>
    </row>
    <row r="215" spans="1:17">
      <c r="A215" s="107"/>
      <c r="B215" s="107"/>
      <c r="C215" s="107"/>
      <c r="D215" s="107"/>
      <c r="E215" s="107"/>
      <c r="F215" s="107"/>
      <c r="G215" s="107"/>
      <c r="H215" s="107"/>
      <c r="I215" s="107"/>
      <c r="J215" s="107"/>
      <c r="K215" s="107"/>
      <c r="L215" s="107"/>
      <c r="M215" s="107"/>
      <c r="N215" s="107"/>
      <c r="O215" s="107"/>
      <c r="P215" s="107"/>
      <c r="Q215" s="107"/>
    </row>
    <row r="216" spans="1:17">
      <c r="A216" s="107"/>
      <c r="B216" s="107"/>
      <c r="C216" s="107"/>
      <c r="D216" s="107"/>
      <c r="E216" s="107"/>
      <c r="F216" s="107"/>
      <c r="G216" s="107"/>
      <c r="H216" s="107"/>
      <c r="I216" s="107"/>
      <c r="J216" s="107"/>
      <c r="K216" s="107"/>
      <c r="L216" s="107"/>
      <c r="M216" s="107"/>
      <c r="N216" s="107"/>
      <c r="O216" s="107"/>
      <c r="P216" s="107"/>
      <c r="Q216" s="107"/>
    </row>
    <row r="217" spans="1:17">
      <c r="A217" s="107"/>
      <c r="B217" s="107"/>
      <c r="C217" s="107"/>
      <c r="D217" s="107"/>
      <c r="E217" s="107"/>
      <c r="F217" s="107"/>
      <c r="G217" s="107"/>
      <c r="H217" s="107"/>
      <c r="I217" s="107"/>
      <c r="J217" s="107"/>
      <c r="K217" s="107"/>
      <c r="L217" s="107"/>
      <c r="M217" s="107"/>
      <c r="N217" s="107"/>
      <c r="O217" s="107"/>
      <c r="P217" s="107"/>
      <c r="Q217" s="107"/>
    </row>
    <row r="218" spans="1:17">
      <c r="A218" s="107"/>
      <c r="B218" s="107"/>
      <c r="C218" s="107"/>
      <c r="D218" s="107"/>
      <c r="E218" s="107"/>
      <c r="F218" s="107"/>
      <c r="G218" s="107"/>
      <c r="H218" s="107"/>
      <c r="I218" s="107"/>
      <c r="J218" s="107"/>
      <c r="K218" s="107"/>
      <c r="L218" s="107"/>
      <c r="M218" s="107"/>
      <c r="N218" s="107"/>
      <c r="O218" s="107"/>
      <c r="P218" s="107"/>
      <c r="Q218" s="107"/>
    </row>
    <row r="219" spans="1:17">
      <c r="A219" s="107"/>
      <c r="B219" s="107"/>
      <c r="C219" s="107"/>
      <c r="D219" s="107"/>
      <c r="E219" s="107"/>
      <c r="F219" s="107"/>
      <c r="G219" s="107"/>
      <c r="H219" s="107"/>
      <c r="I219" s="107"/>
      <c r="J219" s="107"/>
      <c r="K219" s="107"/>
      <c r="L219" s="107"/>
      <c r="M219" s="107"/>
      <c r="N219" s="107"/>
      <c r="O219" s="107"/>
      <c r="P219" s="107"/>
      <c r="Q219" s="107"/>
    </row>
    <row r="220" spans="1:17">
      <c r="A220" s="107"/>
      <c r="B220" s="107"/>
      <c r="C220" s="107"/>
      <c r="D220" s="107"/>
      <c r="E220" s="107"/>
      <c r="F220" s="107"/>
      <c r="G220" s="107"/>
      <c r="H220" s="107"/>
      <c r="I220" s="107"/>
      <c r="J220" s="107"/>
      <c r="K220" s="107"/>
      <c r="L220" s="107"/>
      <c r="M220" s="107"/>
      <c r="N220" s="107"/>
      <c r="O220" s="107"/>
      <c r="P220" s="107"/>
      <c r="Q220" s="107"/>
    </row>
    <row r="221" spans="1:17">
      <c r="A221" s="107"/>
      <c r="B221" s="107"/>
      <c r="C221" s="107"/>
      <c r="D221" s="107"/>
      <c r="E221" s="107"/>
      <c r="F221" s="107"/>
      <c r="G221" s="107"/>
      <c r="H221" s="107"/>
      <c r="I221" s="107"/>
      <c r="J221" s="107"/>
      <c r="K221" s="107"/>
      <c r="L221" s="107"/>
      <c r="M221" s="107"/>
      <c r="N221" s="107"/>
      <c r="O221" s="107"/>
      <c r="P221" s="107"/>
      <c r="Q221" s="107"/>
    </row>
    <row r="222" spans="1:17">
      <c r="A222" s="107"/>
      <c r="B222" s="107"/>
      <c r="C222" s="107"/>
      <c r="D222" s="107"/>
      <c r="E222" s="107"/>
      <c r="F222" s="107"/>
      <c r="G222" s="107"/>
      <c r="H222" s="107"/>
      <c r="I222" s="107"/>
      <c r="J222" s="107"/>
      <c r="K222" s="107"/>
      <c r="L222" s="107"/>
      <c r="M222" s="107"/>
      <c r="N222" s="107"/>
      <c r="O222" s="107"/>
      <c r="P222" s="107"/>
      <c r="Q222" s="107"/>
    </row>
    <row r="223" spans="1:17">
      <c r="A223" s="107"/>
      <c r="B223" s="107"/>
      <c r="C223" s="107"/>
      <c r="D223" s="107"/>
      <c r="E223" s="107"/>
      <c r="F223" s="107"/>
      <c r="G223" s="107"/>
      <c r="H223" s="107"/>
      <c r="I223" s="107"/>
      <c r="J223" s="107"/>
      <c r="K223" s="107"/>
      <c r="L223" s="107"/>
      <c r="M223" s="107"/>
      <c r="N223" s="107"/>
      <c r="O223" s="107"/>
      <c r="P223" s="107"/>
      <c r="Q223" s="107"/>
    </row>
    <row r="224" spans="1:17">
      <c r="A224" s="107"/>
      <c r="B224" s="107"/>
      <c r="C224" s="107"/>
      <c r="D224" s="107"/>
      <c r="E224" s="107"/>
      <c r="F224" s="107"/>
      <c r="G224" s="107"/>
      <c r="H224" s="107"/>
      <c r="I224" s="107"/>
      <c r="J224" s="107"/>
      <c r="K224" s="107"/>
      <c r="L224" s="107"/>
      <c r="M224" s="107"/>
      <c r="N224" s="107"/>
      <c r="O224" s="107"/>
      <c r="P224" s="107"/>
      <c r="Q224" s="107"/>
    </row>
    <row r="225" spans="1:17">
      <c r="A225" s="107"/>
      <c r="B225" s="107"/>
      <c r="C225" s="107"/>
      <c r="D225" s="107"/>
      <c r="E225" s="107"/>
      <c r="F225" s="107"/>
      <c r="G225" s="107"/>
      <c r="H225" s="107"/>
      <c r="I225" s="107"/>
      <c r="J225" s="107"/>
      <c r="K225" s="107"/>
      <c r="L225" s="107"/>
      <c r="M225" s="107"/>
      <c r="N225" s="107"/>
      <c r="O225" s="107"/>
      <c r="P225" s="107"/>
      <c r="Q225" s="107"/>
    </row>
    <row r="226" spans="1:17">
      <c r="A226" s="107"/>
      <c r="B226" s="107"/>
      <c r="C226" s="107"/>
      <c r="D226" s="107"/>
      <c r="E226" s="107"/>
      <c r="F226" s="107"/>
      <c r="G226" s="107"/>
      <c r="H226" s="107"/>
      <c r="I226" s="107"/>
      <c r="J226" s="107"/>
      <c r="K226" s="107"/>
      <c r="L226" s="107"/>
      <c r="M226" s="107"/>
      <c r="N226" s="107"/>
      <c r="O226" s="107"/>
      <c r="P226" s="107"/>
      <c r="Q226" s="107"/>
    </row>
    <row r="227" spans="1:17">
      <c r="A227" s="107"/>
      <c r="B227" s="107"/>
      <c r="C227" s="107"/>
      <c r="D227" s="107"/>
      <c r="E227" s="107"/>
      <c r="F227" s="107"/>
      <c r="G227" s="107"/>
      <c r="H227" s="107"/>
      <c r="I227" s="107"/>
      <c r="J227" s="107"/>
      <c r="K227" s="107"/>
      <c r="L227" s="107"/>
      <c r="M227" s="107"/>
      <c r="N227" s="107"/>
      <c r="O227" s="107"/>
      <c r="P227" s="107"/>
      <c r="Q227" s="107"/>
    </row>
    <row r="228" spans="1:17">
      <c r="A228" s="107"/>
      <c r="B228" s="107"/>
      <c r="C228" s="107"/>
      <c r="D228" s="107"/>
      <c r="E228" s="107"/>
      <c r="F228" s="107"/>
      <c r="G228" s="107"/>
      <c r="H228" s="107"/>
      <c r="I228" s="107"/>
      <c r="J228" s="107"/>
      <c r="K228" s="107"/>
      <c r="L228" s="107"/>
      <c r="M228" s="107"/>
      <c r="N228" s="107"/>
      <c r="O228" s="107"/>
      <c r="P228" s="107"/>
      <c r="Q228" s="107"/>
    </row>
    <row r="229" spans="1:17">
      <c r="A229" s="107"/>
      <c r="B229" s="107"/>
      <c r="C229" s="107"/>
      <c r="D229" s="107"/>
      <c r="E229" s="107"/>
      <c r="F229" s="107"/>
      <c r="G229" s="107"/>
      <c r="H229" s="107"/>
      <c r="I229" s="107"/>
      <c r="J229" s="107"/>
      <c r="K229" s="107"/>
      <c r="L229" s="107"/>
      <c r="M229" s="107"/>
      <c r="N229" s="107"/>
      <c r="O229" s="107"/>
      <c r="P229" s="107"/>
      <c r="Q229" s="107"/>
    </row>
    <row r="230" spans="1:17">
      <c r="A230" s="107"/>
      <c r="B230" s="107"/>
      <c r="C230" s="107"/>
      <c r="D230" s="107"/>
      <c r="E230" s="107"/>
      <c r="F230" s="107"/>
      <c r="G230" s="107"/>
      <c r="H230" s="107"/>
      <c r="I230" s="107"/>
      <c r="J230" s="107"/>
      <c r="K230" s="107"/>
      <c r="L230" s="107"/>
      <c r="M230" s="107"/>
      <c r="N230" s="107"/>
      <c r="O230" s="107"/>
      <c r="P230" s="107"/>
      <c r="Q230" s="107"/>
    </row>
    <row r="231" spans="1:17">
      <c r="A231" s="107"/>
      <c r="B231" s="107"/>
      <c r="C231" s="107"/>
      <c r="D231" s="107"/>
      <c r="E231" s="107"/>
      <c r="F231" s="107"/>
      <c r="G231" s="107"/>
      <c r="H231" s="107"/>
      <c r="I231" s="107"/>
      <c r="J231" s="107"/>
      <c r="K231" s="107"/>
      <c r="L231" s="107"/>
      <c r="M231" s="107"/>
      <c r="N231" s="107"/>
      <c r="O231" s="107"/>
      <c r="P231" s="107"/>
      <c r="Q231" s="107"/>
    </row>
    <row r="232" spans="1:17">
      <c r="A232" s="107"/>
      <c r="B232" s="107"/>
      <c r="C232" s="107"/>
      <c r="D232" s="107"/>
      <c r="E232" s="107"/>
      <c r="F232" s="107"/>
      <c r="G232" s="107"/>
      <c r="H232" s="107"/>
      <c r="I232" s="107"/>
      <c r="J232" s="107"/>
      <c r="K232" s="107"/>
      <c r="L232" s="107"/>
      <c r="M232" s="107"/>
      <c r="N232" s="107"/>
      <c r="O232" s="107"/>
      <c r="P232" s="107"/>
      <c r="Q232" s="107"/>
    </row>
    <row r="233" spans="1:17">
      <c r="A233" s="107"/>
      <c r="B233" s="107"/>
      <c r="C233" s="107"/>
      <c r="D233" s="107"/>
      <c r="E233" s="107"/>
      <c r="F233" s="107"/>
      <c r="G233" s="107"/>
      <c r="H233" s="107"/>
      <c r="I233" s="107"/>
      <c r="J233" s="107"/>
      <c r="K233" s="107"/>
      <c r="L233" s="107"/>
      <c r="M233" s="107"/>
      <c r="N233" s="107"/>
      <c r="O233" s="107"/>
      <c r="P233" s="107"/>
      <c r="Q233" s="107"/>
    </row>
    <row r="234" spans="1:17">
      <c r="A234" s="107"/>
      <c r="B234" s="107"/>
      <c r="C234" s="107"/>
      <c r="D234" s="107"/>
      <c r="E234" s="107"/>
      <c r="F234" s="107"/>
      <c r="G234" s="107"/>
      <c r="H234" s="107"/>
      <c r="I234" s="107"/>
      <c r="J234" s="107"/>
      <c r="K234" s="107"/>
      <c r="L234" s="107"/>
      <c r="M234" s="107"/>
      <c r="N234" s="107"/>
      <c r="O234" s="107"/>
      <c r="P234" s="107"/>
      <c r="Q234" s="107"/>
    </row>
    <row r="235" spans="1:17">
      <c r="A235" s="107"/>
      <c r="B235" s="107"/>
      <c r="C235" s="107"/>
      <c r="D235" s="107"/>
      <c r="E235" s="107"/>
      <c r="F235" s="107"/>
      <c r="G235" s="107"/>
      <c r="H235" s="107"/>
      <c r="I235" s="107"/>
      <c r="J235" s="107"/>
      <c r="K235" s="107"/>
      <c r="L235" s="107"/>
      <c r="M235" s="107"/>
      <c r="N235" s="107"/>
      <c r="O235" s="107"/>
      <c r="P235" s="107"/>
      <c r="Q235" s="107"/>
    </row>
    <row r="236" spans="1:17">
      <c r="A236" s="107"/>
      <c r="B236" s="107"/>
      <c r="C236" s="107"/>
      <c r="D236" s="107"/>
      <c r="E236" s="107"/>
      <c r="F236" s="107"/>
      <c r="G236" s="107"/>
      <c r="H236" s="107"/>
      <c r="I236" s="107"/>
      <c r="J236" s="107"/>
      <c r="K236" s="107"/>
      <c r="L236" s="107"/>
      <c r="M236" s="107"/>
      <c r="N236" s="107"/>
      <c r="O236" s="107"/>
      <c r="P236" s="107"/>
      <c r="Q236" s="107"/>
    </row>
    <row r="237" spans="1:17">
      <c r="A237" s="107"/>
      <c r="B237" s="107"/>
      <c r="C237" s="107"/>
      <c r="D237" s="107"/>
      <c r="E237" s="107"/>
      <c r="F237" s="107"/>
      <c r="G237" s="107"/>
      <c r="H237" s="107"/>
      <c r="I237" s="107"/>
      <c r="J237" s="107"/>
      <c r="K237" s="107"/>
      <c r="L237" s="107"/>
      <c r="M237" s="107"/>
      <c r="N237" s="107"/>
      <c r="O237" s="107"/>
      <c r="P237" s="107"/>
      <c r="Q237" s="107"/>
    </row>
    <row r="238" spans="1:17">
      <c r="A238" s="107"/>
      <c r="B238" s="107"/>
      <c r="C238" s="107"/>
      <c r="D238" s="107"/>
      <c r="E238" s="107"/>
      <c r="F238" s="107"/>
      <c r="G238" s="107"/>
      <c r="H238" s="107"/>
      <c r="I238" s="107"/>
      <c r="J238" s="107"/>
      <c r="K238" s="107"/>
      <c r="L238" s="107"/>
      <c r="M238" s="107"/>
      <c r="N238" s="107"/>
      <c r="O238" s="107"/>
      <c r="P238" s="107"/>
      <c r="Q238" s="107"/>
    </row>
    <row r="239" spans="1:17">
      <c r="A239" s="107"/>
      <c r="B239" s="107"/>
      <c r="C239" s="107"/>
      <c r="D239" s="107"/>
      <c r="E239" s="107"/>
      <c r="F239" s="107"/>
      <c r="G239" s="107"/>
      <c r="H239" s="107"/>
      <c r="I239" s="107"/>
      <c r="J239" s="107"/>
      <c r="K239" s="107"/>
      <c r="L239" s="107"/>
      <c r="M239" s="107"/>
      <c r="N239" s="107"/>
      <c r="O239" s="107"/>
      <c r="P239" s="107"/>
      <c r="Q239" s="107"/>
    </row>
    <row r="240" spans="1:17">
      <c r="A240" s="107"/>
      <c r="B240" s="107"/>
      <c r="C240" s="107"/>
      <c r="D240" s="107"/>
      <c r="E240" s="107"/>
      <c r="F240" s="107"/>
      <c r="G240" s="107"/>
      <c r="H240" s="107"/>
      <c r="I240" s="107"/>
      <c r="J240" s="107"/>
      <c r="K240" s="107"/>
      <c r="L240" s="107"/>
      <c r="M240" s="107"/>
      <c r="N240" s="107"/>
      <c r="O240" s="107"/>
      <c r="P240" s="107"/>
      <c r="Q240" s="107"/>
    </row>
    <row r="241" spans="1:17">
      <c r="A241" s="107"/>
      <c r="B241" s="107"/>
      <c r="C241" s="107"/>
      <c r="D241" s="107"/>
      <c r="E241" s="107"/>
      <c r="F241" s="107"/>
      <c r="G241" s="107"/>
      <c r="H241" s="107"/>
      <c r="I241" s="107"/>
      <c r="J241" s="107"/>
      <c r="K241" s="107"/>
      <c r="L241" s="107"/>
      <c r="M241" s="107"/>
      <c r="N241" s="107"/>
      <c r="O241" s="107"/>
      <c r="P241" s="107"/>
      <c r="Q241" s="107"/>
    </row>
    <row r="242" spans="1:17">
      <c r="A242" s="107"/>
      <c r="B242" s="107"/>
      <c r="C242" s="107"/>
      <c r="D242" s="107"/>
      <c r="E242" s="107"/>
      <c r="F242" s="107"/>
      <c r="G242" s="107"/>
      <c r="H242" s="107"/>
      <c r="I242" s="107"/>
      <c r="J242" s="107"/>
      <c r="K242" s="107"/>
      <c r="L242" s="107"/>
      <c r="M242" s="107"/>
      <c r="N242" s="107"/>
      <c r="O242" s="107"/>
      <c r="P242" s="107"/>
      <c r="Q242" s="107"/>
    </row>
    <row r="243" spans="1:17">
      <c r="A243" s="107"/>
      <c r="B243" s="107"/>
      <c r="C243" s="107"/>
      <c r="D243" s="107"/>
      <c r="E243" s="107"/>
      <c r="F243" s="107"/>
      <c r="G243" s="107"/>
      <c r="H243" s="107"/>
      <c r="I243" s="107"/>
      <c r="J243" s="107"/>
      <c r="K243" s="107"/>
      <c r="L243" s="107"/>
      <c r="M243" s="107"/>
      <c r="N243" s="107"/>
      <c r="O243" s="107"/>
      <c r="P243" s="107"/>
      <c r="Q243" s="107"/>
    </row>
    <row r="244" spans="1:17">
      <c r="A244" s="107"/>
      <c r="B244" s="107"/>
      <c r="C244" s="107"/>
      <c r="D244" s="107"/>
      <c r="E244" s="107"/>
      <c r="F244" s="107"/>
      <c r="G244" s="107"/>
      <c r="H244" s="107"/>
      <c r="I244" s="107"/>
      <c r="J244" s="107"/>
      <c r="K244" s="107"/>
      <c r="L244" s="107"/>
      <c r="M244" s="107"/>
      <c r="N244" s="107"/>
      <c r="O244" s="107"/>
      <c r="P244" s="107"/>
      <c r="Q244" s="107"/>
    </row>
    <row r="245" spans="1:17">
      <c r="A245" s="107"/>
      <c r="B245" s="107"/>
      <c r="C245" s="107"/>
      <c r="D245" s="107"/>
      <c r="E245" s="107"/>
      <c r="F245" s="107"/>
      <c r="G245" s="107"/>
      <c r="H245" s="107"/>
      <c r="I245" s="107"/>
      <c r="J245" s="107"/>
      <c r="K245" s="107"/>
      <c r="L245" s="107"/>
      <c r="M245" s="107"/>
      <c r="N245" s="107"/>
      <c r="O245" s="107"/>
      <c r="P245" s="107"/>
      <c r="Q245" s="107"/>
    </row>
    <row r="246" spans="1:17">
      <c r="A246" s="107"/>
      <c r="B246" s="107"/>
      <c r="C246" s="107"/>
      <c r="D246" s="107"/>
      <c r="E246" s="107"/>
      <c r="F246" s="107"/>
      <c r="G246" s="107"/>
      <c r="H246" s="107"/>
      <c r="I246" s="107"/>
      <c r="J246" s="107"/>
      <c r="K246" s="107"/>
      <c r="L246" s="107"/>
      <c r="M246" s="107"/>
      <c r="N246" s="107"/>
      <c r="O246" s="107"/>
      <c r="P246" s="107"/>
      <c r="Q246" s="107"/>
    </row>
    <row r="247" spans="1:17">
      <c r="A247" s="107"/>
      <c r="B247" s="107"/>
      <c r="C247" s="107"/>
      <c r="D247" s="107"/>
      <c r="E247" s="107"/>
      <c r="F247" s="107"/>
      <c r="G247" s="107"/>
      <c r="H247" s="107"/>
      <c r="I247" s="107"/>
      <c r="J247" s="107"/>
      <c r="K247" s="107"/>
      <c r="L247" s="107"/>
      <c r="M247" s="107"/>
      <c r="N247" s="107"/>
      <c r="O247" s="107"/>
      <c r="P247" s="107"/>
      <c r="Q247" s="107"/>
    </row>
    <row r="248" spans="1:17">
      <c r="A248" s="107"/>
      <c r="B248" s="107"/>
      <c r="C248" s="107"/>
      <c r="D248" s="107"/>
      <c r="E248" s="107"/>
      <c r="F248" s="107"/>
      <c r="G248" s="107"/>
      <c r="H248" s="107"/>
      <c r="I248" s="107"/>
      <c r="J248" s="107"/>
      <c r="K248" s="107"/>
      <c r="L248" s="107"/>
      <c r="M248" s="107"/>
      <c r="N248" s="107"/>
      <c r="O248" s="107"/>
      <c r="P248" s="107"/>
      <c r="Q248" s="107"/>
    </row>
    <row r="249" spans="1:17">
      <c r="A249" s="107"/>
      <c r="B249" s="107"/>
      <c r="C249" s="107"/>
      <c r="D249" s="107"/>
      <c r="E249" s="107"/>
      <c r="F249" s="107"/>
      <c r="G249" s="107"/>
      <c r="H249" s="107"/>
      <c r="I249" s="107"/>
      <c r="J249" s="107"/>
      <c r="K249" s="107"/>
      <c r="L249" s="107"/>
      <c r="M249" s="107"/>
      <c r="N249" s="107"/>
      <c r="O249" s="107"/>
      <c r="P249" s="107"/>
      <c r="Q249" s="107"/>
    </row>
    <row r="250" spans="1:17">
      <c r="A250" s="107"/>
      <c r="B250" s="107"/>
      <c r="C250" s="107"/>
      <c r="D250" s="107"/>
      <c r="E250" s="107"/>
      <c r="F250" s="107"/>
      <c r="G250" s="107"/>
      <c r="H250" s="107"/>
      <c r="I250" s="107"/>
      <c r="J250" s="107"/>
      <c r="K250" s="107"/>
      <c r="L250" s="107"/>
      <c r="M250" s="107"/>
      <c r="N250" s="107"/>
      <c r="O250" s="107"/>
      <c r="P250" s="107"/>
      <c r="Q250" s="107"/>
    </row>
    <row r="251" spans="1:17">
      <c r="A251" s="107"/>
      <c r="B251" s="107"/>
      <c r="C251" s="107"/>
      <c r="D251" s="107"/>
      <c r="E251" s="107"/>
      <c r="F251" s="107"/>
      <c r="G251" s="107"/>
      <c r="H251" s="107"/>
      <c r="I251" s="107"/>
      <c r="J251" s="107"/>
      <c r="K251" s="107"/>
      <c r="L251" s="107"/>
      <c r="M251" s="107"/>
      <c r="N251" s="107"/>
      <c r="O251" s="107"/>
      <c r="P251" s="107"/>
      <c r="Q251" s="107"/>
    </row>
    <row r="252" spans="1:17">
      <c r="A252" s="107"/>
      <c r="B252" s="107"/>
      <c r="C252" s="107"/>
      <c r="D252" s="107"/>
      <c r="E252" s="107"/>
      <c r="F252" s="107"/>
      <c r="G252" s="107"/>
      <c r="H252" s="107"/>
      <c r="I252" s="107"/>
      <c r="J252" s="107"/>
      <c r="K252" s="107"/>
      <c r="L252" s="107"/>
      <c r="M252" s="107"/>
      <c r="N252" s="107"/>
      <c r="O252" s="107"/>
      <c r="P252" s="107"/>
      <c r="Q252" s="107"/>
    </row>
    <row r="253" spans="1:17">
      <c r="A253" s="107"/>
      <c r="B253" s="107"/>
      <c r="C253" s="107"/>
      <c r="D253" s="107"/>
      <c r="E253" s="107"/>
      <c r="F253" s="107"/>
      <c r="G253" s="107"/>
      <c r="H253" s="107"/>
      <c r="I253" s="107"/>
      <c r="J253" s="107"/>
      <c r="K253" s="107"/>
      <c r="L253" s="107"/>
      <c r="M253" s="107"/>
      <c r="N253" s="107"/>
      <c r="O253" s="107"/>
      <c r="P253" s="107"/>
      <c r="Q253" s="107"/>
    </row>
    <row r="254" spans="1:17">
      <c r="A254" s="107"/>
      <c r="B254" s="107"/>
      <c r="C254" s="107"/>
      <c r="D254" s="107"/>
      <c r="E254" s="107"/>
      <c r="F254" s="107"/>
      <c r="G254" s="107"/>
      <c r="H254" s="107"/>
      <c r="I254" s="107"/>
      <c r="J254" s="107"/>
      <c r="K254" s="107"/>
      <c r="L254" s="107"/>
      <c r="M254" s="107"/>
      <c r="N254" s="107"/>
      <c r="O254" s="107"/>
      <c r="P254" s="107"/>
      <c r="Q254" s="107"/>
    </row>
    <row r="255" spans="1:17">
      <c r="A255" s="107"/>
      <c r="B255" s="107"/>
      <c r="C255" s="107"/>
      <c r="D255" s="107"/>
      <c r="E255" s="107"/>
      <c r="F255" s="107"/>
      <c r="G255" s="107"/>
      <c r="H255" s="107"/>
      <c r="I255" s="107"/>
      <c r="J255" s="107"/>
      <c r="K255" s="107"/>
      <c r="L255" s="107"/>
      <c r="M255" s="107"/>
      <c r="N255" s="107"/>
      <c r="O255" s="107"/>
      <c r="P255" s="107"/>
      <c r="Q255" s="107"/>
    </row>
    <row r="256" spans="1:17">
      <c r="A256" s="107"/>
      <c r="B256" s="107"/>
      <c r="C256" s="107"/>
      <c r="D256" s="107"/>
      <c r="E256" s="107"/>
      <c r="F256" s="107"/>
      <c r="G256" s="107"/>
      <c r="H256" s="107"/>
      <c r="I256" s="107"/>
      <c r="J256" s="107"/>
      <c r="K256" s="107"/>
      <c r="L256" s="107"/>
      <c r="M256" s="107"/>
      <c r="N256" s="107"/>
      <c r="O256" s="107"/>
      <c r="P256" s="107"/>
      <c r="Q256" s="107"/>
    </row>
    <row r="257" spans="1:17">
      <c r="A257" s="107"/>
      <c r="B257" s="107"/>
      <c r="C257" s="107"/>
      <c r="D257" s="107"/>
      <c r="E257" s="107"/>
      <c r="F257" s="107"/>
      <c r="G257" s="107"/>
      <c r="H257" s="107"/>
      <c r="I257" s="107"/>
      <c r="J257" s="107"/>
      <c r="K257" s="107"/>
      <c r="L257" s="107"/>
      <c r="M257" s="107"/>
      <c r="N257" s="107"/>
      <c r="O257" s="107"/>
      <c r="P257" s="107"/>
      <c r="Q257" s="107"/>
    </row>
    <row r="258" spans="1:17">
      <c r="A258" s="107"/>
      <c r="B258" s="107"/>
      <c r="C258" s="107"/>
      <c r="D258" s="107"/>
      <c r="E258" s="107"/>
      <c r="F258" s="107"/>
      <c r="G258" s="107"/>
      <c r="H258" s="107"/>
      <c r="I258" s="107"/>
      <c r="J258" s="107"/>
      <c r="K258" s="107"/>
      <c r="L258" s="107"/>
      <c r="M258" s="107"/>
      <c r="N258" s="107"/>
      <c r="O258" s="107"/>
      <c r="P258" s="107"/>
      <c r="Q258" s="107"/>
    </row>
    <row r="259" spans="1:17">
      <c r="A259" s="107"/>
      <c r="B259" s="107"/>
      <c r="C259" s="107"/>
      <c r="D259" s="107"/>
      <c r="E259" s="107"/>
      <c r="F259" s="107"/>
      <c r="G259" s="107"/>
      <c r="H259" s="107"/>
      <c r="I259" s="107"/>
      <c r="J259" s="107"/>
      <c r="K259" s="107"/>
      <c r="L259" s="107"/>
      <c r="M259" s="107"/>
      <c r="N259" s="107"/>
      <c r="O259" s="107"/>
      <c r="P259" s="107"/>
      <c r="Q259" s="107"/>
    </row>
    <row r="260" spans="1:17">
      <c r="A260" s="107"/>
      <c r="B260" s="107"/>
      <c r="C260" s="107"/>
      <c r="D260" s="107"/>
      <c r="E260" s="107"/>
      <c r="F260" s="107"/>
      <c r="G260" s="107"/>
      <c r="H260" s="107"/>
      <c r="I260" s="107"/>
      <c r="J260" s="107"/>
      <c r="K260" s="107"/>
      <c r="L260" s="107"/>
      <c r="M260" s="107"/>
      <c r="N260" s="107"/>
      <c r="O260" s="107"/>
      <c r="P260" s="107"/>
      <c r="Q260" s="107"/>
    </row>
    <row r="261" spans="1:17">
      <c r="A261" s="107"/>
      <c r="B261" s="107"/>
      <c r="C261" s="107"/>
      <c r="D261" s="107"/>
      <c r="E261" s="107"/>
      <c r="F261" s="107"/>
      <c r="G261" s="107"/>
      <c r="H261" s="107"/>
      <c r="I261" s="107"/>
      <c r="J261" s="107"/>
      <c r="K261" s="107"/>
      <c r="L261" s="107"/>
      <c r="M261" s="107"/>
      <c r="N261" s="107"/>
      <c r="O261" s="107"/>
      <c r="P261" s="107"/>
      <c r="Q261" s="107"/>
    </row>
    <row r="262" spans="1:17">
      <c r="A262" s="107"/>
      <c r="B262" s="107"/>
      <c r="C262" s="107"/>
      <c r="D262" s="107"/>
      <c r="E262" s="107"/>
      <c r="F262" s="107"/>
      <c r="G262" s="107"/>
      <c r="H262" s="107"/>
      <c r="I262" s="107"/>
      <c r="J262" s="107"/>
      <c r="K262" s="107"/>
      <c r="L262" s="107"/>
      <c r="M262" s="107"/>
      <c r="N262" s="107"/>
      <c r="O262" s="107"/>
      <c r="P262" s="107"/>
      <c r="Q262" s="107"/>
    </row>
    <row r="263" spans="1:17">
      <c r="A263" s="107"/>
      <c r="B263" s="107"/>
      <c r="C263" s="107"/>
      <c r="D263" s="107"/>
      <c r="E263" s="107"/>
      <c r="F263" s="107"/>
      <c r="G263" s="107"/>
      <c r="H263" s="107"/>
      <c r="I263" s="107"/>
      <c r="J263" s="107"/>
      <c r="K263" s="107"/>
      <c r="L263" s="107"/>
      <c r="M263" s="107"/>
      <c r="N263" s="107"/>
      <c r="O263" s="107"/>
      <c r="P263" s="107"/>
      <c r="Q263" s="107"/>
    </row>
    <row r="264" spans="1:17">
      <c r="A264" s="107"/>
      <c r="B264" s="107"/>
      <c r="C264" s="107"/>
      <c r="D264" s="107"/>
      <c r="E264" s="107"/>
      <c r="F264" s="107"/>
      <c r="G264" s="107"/>
      <c r="H264" s="107"/>
      <c r="I264" s="107"/>
      <c r="J264" s="107"/>
      <c r="K264" s="107"/>
      <c r="L264" s="107"/>
      <c r="M264" s="107"/>
      <c r="N264" s="107"/>
      <c r="O264" s="107"/>
      <c r="P264" s="107"/>
      <c r="Q264" s="107"/>
    </row>
    <row r="265" spans="1:17">
      <c r="A265" s="107"/>
      <c r="B265" s="107"/>
      <c r="C265" s="107"/>
      <c r="D265" s="107"/>
      <c r="E265" s="107"/>
      <c r="F265" s="107"/>
      <c r="G265" s="107"/>
      <c r="H265" s="107"/>
      <c r="I265" s="107"/>
      <c r="J265" s="107"/>
      <c r="K265" s="107"/>
      <c r="L265" s="107"/>
      <c r="M265" s="107"/>
      <c r="N265" s="107"/>
      <c r="O265" s="107"/>
      <c r="P265" s="107"/>
      <c r="Q265" s="107"/>
    </row>
    <row r="266" spans="1:17">
      <c r="A266" s="107"/>
      <c r="B266" s="107"/>
      <c r="C266" s="107"/>
      <c r="D266" s="107"/>
      <c r="E266" s="107"/>
      <c r="F266" s="107"/>
      <c r="G266" s="107"/>
      <c r="H266" s="107"/>
      <c r="I266" s="107"/>
      <c r="J266" s="107"/>
      <c r="K266" s="107"/>
      <c r="L266" s="107"/>
      <c r="M266" s="107"/>
      <c r="N266" s="107"/>
      <c r="O266" s="107"/>
      <c r="P266" s="107"/>
      <c r="Q266" s="107"/>
    </row>
    <row r="267" spans="1:17">
      <c r="A267" s="107"/>
      <c r="B267" s="107"/>
      <c r="C267" s="107"/>
      <c r="D267" s="107"/>
      <c r="E267" s="107"/>
      <c r="F267" s="107"/>
      <c r="G267" s="107"/>
      <c r="H267" s="107"/>
      <c r="I267" s="107"/>
      <c r="J267" s="107"/>
      <c r="K267" s="107"/>
      <c r="L267" s="107"/>
      <c r="M267" s="107"/>
      <c r="N267" s="107"/>
      <c r="O267" s="107"/>
      <c r="P267" s="107"/>
      <c r="Q267" s="107"/>
    </row>
    <row r="268" spans="1:17">
      <c r="A268" s="107"/>
      <c r="B268" s="107"/>
      <c r="C268" s="107"/>
      <c r="D268" s="107"/>
      <c r="E268" s="107"/>
      <c r="F268" s="107"/>
      <c r="G268" s="107"/>
      <c r="H268" s="107"/>
      <c r="I268" s="107"/>
      <c r="J268" s="107"/>
      <c r="K268" s="107"/>
      <c r="L268" s="107"/>
      <c r="M268" s="107"/>
      <c r="N268" s="107"/>
      <c r="O268" s="107"/>
      <c r="P268" s="107"/>
      <c r="Q268" s="107"/>
    </row>
    <row r="269" spans="1:17">
      <c r="A269" s="107"/>
      <c r="B269" s="107"/>
      <c r="C269" s="107"/>
      <c r="D269" s="107"/>
      <c r="E269" s="107"/>
      <c r="F269" s="107"/>
      <c r="G269" s="107"/>
      <c r="H269" s="107"/>
      <c r="I269" s="107"/>
      <c r="J269" s="107"/>
      <c r="K269" s="107"/>
      <c r="L269" s="107"/>
      <c r="M269" s="107"/>
      <c r="N269" s="107"/>
      <c r="O269" s="107"/>
      <c r="P269" s="107"/>
      <c r="Q269" s="107"/>
    </row>
    <row r="270" spans="1:17">
      <c r="A270" s="107"/>
      <c r="B270" s="107"/>
      <c r="C270" s="107"/>
      <c r="D270" s="107"/>
      <c r="E270" s="107"/>
      <c r="F270" s="107"/>
      <c r="G270" s="107"/>
      <c r="H270" s="107"/>
      <c r="I270" s="107"/>
      <c r="J270" s="107"/>
      <c r="K270" s="107"/>
      <c r="L270" s="107"/>
      <c r="M270" s="107"/>
      <c r="N270" s="107"/>
      <c r="O270" s="107"/>
      <c r="P270" s="107"/>
      <c r="Q270" s="107"/>
    </row>
    <row r="271" spans="1:17">
      <c r="A271" s="107"/>
      <c r="B271" s="107"/>
      <c r="C271" s="107"/>
      <c r="D271" s="107"/>
      <c r="E271" s="107"/>
      <c r="F271" s="107"/>
      <c r="G271" s="107"/>
      <c r="H271" s="107"/>
      <c r="I271" s="107"/>
      <c r="J271" s="107"/>
      <c r="K271" s="107"/>
      <c r="L271" s="107"/>
      <c r="M271" s="107"/>
      <c r="N271" s="107"/>
      <c r="O271" s="107"/>
      <c r="P271" s="107"/>
      <c r="Q271" s="107"/>
    </row>
    <row r="272" spans="1:17">
      <c r="A272" s="107"/>
      <c r="B272" s="107"/>
      <c r="C272" s="107"/>
      <c r="D272" s="107"/>
      <c r="E272" s="107"/>
      <c r="F272" s="107"/>
      <c r="G272" s="107"/>
      <c r="H272" s="107"/>
      <c r="I272" s="107"/>
      <c r="J272" s="107"/>
      <c r="K272" s="107"/>
      <c r="L272" s="107"/>
      <c r="M272" s="107"/>
      <c r="N272" s="107"/>
      <c r="O272" s="107"/>
      <c r="P272" s="107"/>
      <c r="Q272" s="107"/>
    </row>
    <row r="273" spans="1:17">
      <c r="A273" s="107"/>
      <c r="B273" s="107"/>
      <c r="C273" s="107"/>
      <c r="D273" s="107"/>
      <c r="E273" s="107"/>
      <c r="F273" s="107"/>
      <c r="G273" s="107"/>
      <c r="H273" s="107"/>
      <c r="I273" s="107"/>
      <c r="J273" s="107"/>
      <c r="K273" s="107"/>
      <c r="L273" s="107"/>
      <c r="M273" s="107"/>
      <c r="N273" s="107"/>
      <c r="O273" s="107"/>
      <c r="P273" s="107"/>
      <c r="Q273" s="107"/>
    </row>
    <row r="274" spans="1:17">
      <c r="A274" s="107"/>
      <c r="B274" s="107"/>
      <c r="C274" s="107"/>
      <c r="D274" s="107"/>
      <c r="E274" s="107"/>
      <c r="F274" s="107"/>
      <c r="G274" s="107"/>
      <c r="H274" s="107"/>
      <c r="I274" s="107"/>
      <c r="J274" s="107"/>
      <c r="K274" s="107"/>
      <c r="L274" s="107"/>
      <c r="M274" s="107"/>
      <c r="N274" s="107"/>
      <c r="O274" s="107"/>
      <c r="P274" s="107"/>
      <c r="Q274" s="107"/>
    </row>
    <row r="275" spans="1:17">
      <c r="A275" s="107"/>
      <c r="B275" s="107"/>
      <c r="C275" s="107"/>
      <c r="D275" s="107"/>
      <c r="E275" s="107"/>
      <c r="F275" s="107"/>
      <c r="G275" s="107"/>
      <c r="H275" s="107"/>
      <c r="I275" s="107"/>
      <c r="J275" s="107"/>
      <c r="K275" s="107"/>
      <c r="L275" s="107"/>
      <c r="M275" s="107"/>
      <c r="N275" s="107"/>
      <c r="O275" s="107"/>
      <c r="P275" s="107"/>
      <c r="Q275" s="107"/>
    </row>
    <row r="276" spans="1:17">
      <c r="A276" s="107"/>
      <c r="B276" s="107"/>
      <c r="C276" s="107"/>
      <c r="D276" s="107"/>
      <c r="E276" s="107"/>
      <c r="F276" s="107"/>
      <c r="G276" s="107"/>
      <c r="H276" s="107"/>
      <c r="I276" s="107"/>
      <c r="J276" s="107"/>
      <c r="K276" s="107"/>
      <c r="L276" s="107"/>
      <c r="M276" s="107"/>
      <c r="N276" s="107"/>
      <c r="O276" s="107"/>
      <c r="P276" s="107"/>
      <c r="Q276" s="107"/>
    </row>
    <row r="277" spans="1:17">
      <c r="A277" s="107"/>
      <c r="B277" s="107"/>
      <c r="C277" s="107"/>
      <c r="D277" s="107"/>
      <c r="E277" s="107"/>
      <c r="F277" s="107"/>
      <c r="G277" s="107"/>
      <c r="H277" s="107"/>
      <c r="I277" s="107"/>
      <c r="J277" s="107"/>
      <c r="K277" s="107"/>
      <c r="L277" s="107"/>
      <c r="M277" s="107"/>
      <c r="N277" s="107"/>
      <c r="O277" s="107"/>
      <c r="P277" s="107"/>
      <c r="Q277" s="107"/>
    </row>
    <row r="278" spans="1:17">
      <c r="A278" s="107"/>
      <c r="B278" s="107"/>
      <c r="C278" s="107"/>
      <c r="D278" s="107"/>
      <c r="E278" s="107"/>
      <c r="F278" s="107"/>
      <c r="G278" s="107"/>
      <c r="H278" s="107"/>
      <c r="I278" s="107"/>
      <c r="J278" s="107"/>
      <c r="K278" s="107"/>
      <c r="L278" s="107"/>
      <c r="M278" s="107"/>
      <c r="N278" s="107"/>
      <c r="O278" s="107"/>
      <c r="P278" s="107"/>
      <c r="Q278" s="107"/>
    </row>
    <row r="279" spans="1:17">
      <c r="A279" s="107"/>
      <c r="B279" s="107"/>
      <c r="C279" s="107"/>
      <c r="D279" s="107"/>
      <c r="E279" s="107"/>
      <c r="F279" s="107"/>
      <c r="G279" s="107"/>
      <c r="H279" s="107"/>
      <c r="I279" s="107"/>
      <c r="J279" s="107"/>
      <c r="K279" s="107"/>
      <c r="L279" s="107"/>
      <c r="M279" s="107"/>
      <c r="N279" s="107"/>
      <c r="O279" s="107"/>
      <c r="P279" s="107"/>
      <c r="Q279" s="107"/>
    </row>
    <row r="280" spans="1:17">
      <c r="A280" s="107"/>
      <c r="B280" s="107"/>
      <c r="C280" s="107"/>
      <c r="D280" s="107"/>
      <c r="E280" s="107"/>
      <c r="F280" s="107"/>
      <c r="G280" s="107"/>
      <c r="H280" s="107"/>
      <c r="I280" s="107"/>
      <c r="J280" s="107"/>
      <c r="K280" s="107"/>
      <c r="L280" s="107"/>
      <c r="M280" s="107"/>
      <c r="N280" s="107"/>
      <c r="O280" s="107"/>
      <c r="P280" s="107"/>
      <c r="Q280" s="107"/>
    </row>
    <row r="281" spans="1:17">
      <c r="A281" s="107"/>
      <c r="B281" s="107"/>
      <c r="C281" s="107"/>
      <c r="D281" s="107"/>
      <c r="E281" s="107"/>
      <c r="F281" s="107"/>
      <c r="G281" s="107"/>
      <c r="H281" s="107"/>
      <c r="I281" s="107"/>
      <c r="J281" s="107"/>
      <c r="K281" s="107"/>
      <c r="L281" s="107"/>
      <c r="M281" s="107"/>
      <c r="N281" s="107"/>
      <c r="O281" s="107"/>
      <c r="P281" s="107"/>
      <c r="Q281" s="107"/>
    </row>
    <row r="282" spans="1:17">
      <c r="A282" s="107"/>
      <c r="B282" s="107"/>
      <c r="C282" s="107"/>
      <c r="D282" s="107"/>
      <c r="E282" s="107"/>
      <c r="F282" s="107"/>
      <c r="G282" s="107"/>
      <c r="H282" s="107"/>
      <c r="I282" s="107"/>
      <c r="J282" s="107"/>
      <c r="K282" s="107"/>
      <c r="L282" s="107"/>
      <c r="M282" s="107"/>
      <c r="N282" s="107"/>
      <c r="O282" s="107"/>
      <c r="P282" s="107"/>
      <c r="Q282" s="107"/>
    </row>
    <row r="283" spans="1:17">
      <c r="A283" s="107"/>
      <c r="B283" s="107"/>
      <c r="C283" s="107"/>
      <c r="D283" s="107"/>
      <c r="E283" s="107"/>
      <c r="F283" s="107"/>
      <c r="G283" s="107"/>
      <c r="H283" s="107"/>
      <c r="I283" s="107"/>
      <c r="J283" s="107"/>
      <c r="K283" s="107"/>
      <c r="L283" s="107"/>
      <c r="M283" s="107"/>
      <c r="N283" s="107"/>
      <c r="O283" s="107"/>
      <c r="P283" s="107"/>
      <c r="Q283" s="107"/>
    </row>
    <row r="284" spans="1:17">
      <c r="A284" s="107"/>
      <c r="B284" s="107"/>
      <c r="C284" s="107"/>
      <c r="D284" s="107"/>
      <c r="E284" s="107"/>
      <c r="F284" s="107"/>
      <c r="G284" s="107"/>
      <c r="H284" s="107"/>
      <c r="I284" s="107"/>
      <c r="J284" s="107"/>
      <c r="K284" s="107"/>
      <c r="L284" s="107"/>
      <c r="M284" s="107"/>
      <c r="N284" s="107"/>
      <c r="O284" s="107"/>
      <c r="P284" s="107"/>
      <c r="Q284" s="107"/>
    </row>
    <row r="285" spans="1:17">
      <c r="A285" s="107"/>
      <c r="B285" s="107"/>
      <c r="C285" s="107"/>
      <c r="D285" s="107"/>
      <c r="E285" s="107"/>
      <c r="F285" s="107"/>
      <c r="G285" s="107"/>
      <c r="H285" s="107"/>
      <c r="I285" s="107"/>
      <c r="J285" s="107"/>
      <c r="K285" s="107"/>
      <c r="L285" s="107"/>
      <c r="M285" s="107"/>
      <c r="N285" s="107"/>
      <c r="O285" s="107"/>
      <c r="P285" s="107"/>
      <c r="Q285" s="107"/>
    </row>
    <row r="286" spans="1:17">
      <c r="A286" s="107"/>
      <c r="B286" s="107"/>
      <c r="C286" s="107"/>
      <c r="D286" s="107"/>
      <c r="E286" s="107"/>
      <c r="F286" s="107"/>
      <c r="G286" s="107"/>
      <c r="H286" s="107"/>
      <c r="I286" s="107"/>
      <c r="J286" s="107"/>
      <c r="K286" s="107"/>
      <c r="L286" s="107"/>
      <c r="M286" s="107"/>
      <c r="N286" s="107"/>
      <c r="O286" s="107"/>
      <c r="P286" s="107"/>
      <c r="Q286" s="107"/>
    </row>
    <row r="287" spans="1:17">
      <c r="A287" s="107"/>
      <c r="B287" s="107"/>
      <c r="C287" s="107"/>
      <c r="D287" s="107"/>
      <c r="E287" s="107"/>
      <c r="F287" s="107"/>
      <c r="G287" s="107"/>
      <c r="H287" s="107"/>
      <c r="I287" s="107"/>
      <c r="J287" s="107"/>
      <c r="K287" s="107"/>
      <c r="L287" s="107"/>
      <c r="M287" s="107"/>
      <c r="N287" s="107"/>
      <c r="O287" s="107"/>
      <c r="P287" s="107"/>
      <c r="Q287" s="107"/>
    </row>
    <row r="288" spans="1:17">
      <c r="A288" s="107"/>
      <c r="B288" s="107"/>
      <c r="C288" s="107"/>
      <c r="D288" s="107"/>
      <c r="E288" s="107"/>
      <c r="F288" s="107"/>
      <c r="G288" s="107"/>
      <c r="H288" s="107"/>
      <c r="I288" s="107"/>
      <c r="J288" s="107"/>
      <c r="K288" s="107"/>
      <c r="L288" s="107"/>
      <c r="M288" s="107"/>
      <c r="N288" s="107"/>
      <c r="O288" s="107"/>
      <c r="P288" s="107"/>
      <c r="Q288" s="107"/>
    </row>
    <row r="289" spans="1:17">
      <c r="A289" s="107"/>
      <c r="B289" s="107"/>
      <c r="C289" s="107"/>
      <c r="D289" s="107"/>
      <c r="E289" s="107"/>
      <c r="F289" s="107"/>
      <c r="G289" s="107"/>
      <c r="H289" s="107"/>
      <c r="I289" s="107"/>
      <c r="J289" s="107"/>
      <c r="K289" s="107"/>
      <c r="L289" s="107"/>
      <c r="M289" s="107"/>
      <c r="N289" s="107"/>
      <c r="O289" s="107"/>
      <c r="P289" s="107"/>
      <c r="Q289" s="107"/>
    </row>
    <row r="290" spans="1:17">
      <c r="A290" s="107"/>
      <c r="B290" s="107"/>
      <c r="C290" s="107"/>
      <c r="D290" s="107"/>
      <c r="E290" s="107"/>
      <c r="F290" s="107"/>
      <c r="G290" s="107"/>
      <c r="H290" s="107"/>
      <c r="I290" s="107"/>
      <c r="J290" s="107"/>
      <c r="K290" s="107"/>
      <c r="L290" s="107"/>
      <c r="M290" s="107"/>
      <c r="N290" s="107"/>
      <c r="O290" s="107"/>
      <c r="P290" s="107"/>
      <c r="Q290" s="107"/>
    </row>
    <row r="291" spans="1:17">
      <c r="A291" s="107"/>
      <c r="B291" s="107"/>
      <c r="C291" s="107"/>
      <c r="D291" s="107"/>
      <c r="E291" s="107"/>
      <c r="F291" s="107"/>
      <c r="G291" s="107"/>
      <c r="H291" s="107"/>
      <c r="I291" s="107"/>
      <c r="J291" s="107"/>
      <c r="K291" s="107"/>
      <c r="L291" s="107"/>
      <c r="M291" s="107"/>
      <c r="N291" s="107"/>
      <c r="O291" s="107"/>
      <c r="P291" s="107"/>
      <c r="Q291" s="107"/>
    </row>
    <row r="292" spans="1:17">
      <c r="A292" s="107"/>
      <c r="B292" s="107"/>
      <c r="C292" s="107"/>
      <c r="D292" s="107"/>
      <c r="E292" s="107"/>
      <c r="F292" s="107"/>
      <c r="G292" s="107"/>
      <c r="H292" s="107"/>
      <c r="I292" s="107"/>
      <c r="J292" s="107"/>
      <c r="K292" s="107"/>
      <c r="L292" s="107"/>
      <c r="M292" s="107"/>
      <c r="N292" s="107"/>
      <c r="O292" s="107"/>
      <c r="P292" s="107"/>
      <c r="Q292" s="107"/>
    </row>
    <row r="293" spans="1:17">
      <c r="A293" s="107"/>
      <c r="B293" s="107"/>
      <c r="C293" s="107"/>
      <c r="D293" s="107"/>
      <c r="E293" s="107"/>
      <c r="F293" s="107"/>
      <c r="G293" s="107"/>
      <c r="H293" s="107"/>
      <c r="I293" s="107"/>
      <c r="J293" s="107"/>
      <c r="K293" s="107"/>
      <c r="L293" s="107"/>
      <c r="M293" s="107"/>
      <c r="N293" s="107"/>
      <c r="O293" s="107"/>
      <c r="P293" s="107"/>
      <c r="Q293" s="107"/>
    </row>
    <row r="294" spans="1:17">
      <c r="A294" s="107"/>
      <c r="B294" s="107"/>
      <c r="C294" s="107"/>
      <c r="D294" s="107"/>
      <c r="E294" s="107"/>
      <c r="F294" s="107"/>
      <c r="G294" s="107"/>
      <c r="H294" s="107"/>
      <c r="I294" s="107"/>
      <c r="J294" s="107"/>
      <c r="K294" s="107"/>
      <c r="L294" s="107"/>
      <c r="M294" s="107"/>
      <c r="N294" s="107"/>
      <c r="O294" s="107"/>
      <c r="P294" s="107"/>
      <c r="Q294" s="107"/>
    </row>
    <row r="295" spans="1:17">
      <c r="A295" s="107"/>
      <c r="B295" s="107"/>
      <c r="C295" s="107"/>
      <c r="D295" s="107"/>
      <c r="E295" s="107"/>
      <c r="F295" s="107"/>
      <c r="G295" s="107"/>
      <c r="H295" s="107"/>
      <c r="I295" s="107"/>
      <c r="J295" s="107"/>
      <c r="K295" s="107"/>
      <c r="L295" s="107"/>
      <c r="M295" s="107"/>
      <c r="N295" s="107"/>
      <c r="O295" s="107"/>
      <c r="P295" s="107"/>
      <c r="Q295" s="107"/>
    </row>
    <row r="296" spans="1:17">
      <c r="A296" s="107"/>
      <c r="B296" s="107"/>
      <c r="C296" s="107"/>
      <c r="D296" s="107"/>
      <c r="E296" s="107"/>
      <c r="F296" s="107"/>
      <c r="G296" s="107"/>
      <c r="H296" s="107"/>
      <c r="I296" s="107"/>
      <c r="J296" s="107"/>
      <c r="K296" s="107"/>
      <c r="L296" s="107"/>
      <c r="M296" s="107"/>
      <c r="N296" s="107"/>
      <c r="O296" s="107"/>
      <c r="P296" s="107"/>
      <c r="Q296" s="107"/>
    </row>
    <row r="297" spans="1:17">
      <c r="A297" s="107"/>
      <c r="B297" s="107"/>
      <c r="C297" s="107"/>
      <c r="D297" s="107"/>
      <c r="E297" s="107"/>
      <c r="F297" s="107"/>
      <c r="G297" s="107"/>
      <c r="H297" s="107"/>
      <c r="I297" s="107"/>
      <c r="J297" s="107"/>
      <c r="K297" s="107"/>
      <c r="L297" s="107"/>
      <c r="M297" s="107"/>
      <c r="N297" s="107"/>
      <c r="O297" s="107"/>
      <c r="P297" s="107"/>
      <c r="Q297" s="107"/>
    </row>
    <row r="298" spans="1:17">
      <c r="A298" s="107"/>
      <c r="B298" s="107"/>
      <c r="C298" s="107"/>
      <c r="D298" s="107"/>
      <c r="E298" s="107"/>
      <c r="F298" s="107"/>
      <c r="G298" s="107"/>
      <c r="H298" s="107"/>
      <c r="I298" s="107"/>
      <c r="J298" s="107"/>
      <c r="K298" s="107"/>
      <c r="L298" s="107"/>
      <c r="M298" s="107"/>
      <c r="N298" s="107"/>
      <c r="O298" s="107"/>
      <c r="P298" s="107"/>
      <c r="Q298" s="107"/>
    </row>
    <row r="299" spans="1:17">
      <c r="A299" s="107"/>
      <c r="B299" s="107"/>
      <c r="C299" s="107"/>
      <c r="D299" s="107"/>
      <c r="E299" s="107"/>
      <c r="F299" s="107"/>
      <c r="G299" s="107"/>
      <c r="H299" s="107"/>
      <c r="I299" s="107"/>
      <c r="J299" s="107"/>
      <c r="K299" s="107"/>
      <c r="L299" s="107"/>
      <c r="M299" s="107"/>
      <c r="N299" s="107"/>
      <c r="O299" s="107"/>
      <c r="P299" s="107"/>
      <c r="Q299" s="107"/>
    </row>
    <row r="300" spans="1:17">
      <c r="A300" s="107"/>
      <c r="B300" s="107"/>
      <c r="C300" s="107"/>
      <c r="D300" s="107"/>
      <c r="E300" s="107"/>
      <c r="F300" s="107"/>
      <c r="G300" s="107"/>
      <c r="H300" s="107"/>
      <c r="I300" s="107"/>
      <c r="J300" s="107"/>
      <c r="K300" s="107"/>
      <c r="L300" s="107"/>
      <c r="M300" s="107"/>
      <c r="N300" s="107"/>
      <c r="O300" s="107"/>
      <c r="P300" s="107"/>
      <c r="Q300" s="107"/>
    </row>
    <row r="301" spans="1:17">
      <c r="A301" s="107"/>
      <c r="B301" s="107"/>
      <c r="C301" s="107"/>
      <c r="D301" s="107"/>
      <c r="E301" s="107"/>
      <c r="F301" s="107"/>
      <c r="G301" s="107"/>
      <c r="H301" s="107"/>
      <c r="I301" s="107"/>
      <c r="J301" s="107"/>
      <c r="K301" s="107"/>
      <c r="L301" s="107"/>
      <c r="M301" s="107"/>
      <c r="N301" s="107"/>
      <c r="O301" s="107"/>
      <c r="P301" s="107"/>
      <c r="Q301" s="107"/>
    </row>
    <row r="302" spans="1:17">
      <c r="A302" s="107"/>
      <c r="B302" s="107"/>
      <c r="C302" s="107"/>
      <c r="D302" s="107"/>
      <c r="E302" s="107"/>
      <c r="F302" s="107"/>
      <c r="G302" s="107"/>
      <c r="H302" s="107"/>
      <c r="I302" s="107"/>
      <c r="J302" s="107"/>
      <c r="K302" s="107"/>
      <c r="L302" s="107"/>
      <c r="M302" s="107"/>
      <c r="N302" s="107"/>
      <c r="O302" s="107"/>
      <c r="P302" s="107"/>
      <c r="Q302" s="107"/>
    </row>
    <row r="303" spans="1:17">
      <c r="A303" s="107"/>
      <c r="B303" s="107"/>
      <c r="C303" s="107"/>
      <c r="D303" s="107"/>
      <c r="E303" s="107"/>
      <c r="F303" s="107"/>
      <c r="G303" s="107"/>
      <c r="H303" s="107"/>
      <c r="I303" s="107"/>
      <c r="J303" s="107"/>
      <c r="K303" s="107"/>
      <c r="L303" s="107"/>
      <c r="M303" s="107"/>
      <c r="N303" s="107"/>
      <c r="O303" s="107"/>
      <c r="P303" s="107"/>
      <c r="Q303" s="107"/>
    </row>
    <row r="304" spans="1:17">
      <c r="A304" s="107"/>
      <c r="B304" s="107"/>
      <c r="C304" s="107"/>
      <c r="D304" s="107"/>
      <c r="E304" s="107"/>
      <c r="F304" s="107"/>
      <c r="G304" s="107"/>
      <c r="H304" s="107"/>
      <c r="I304" s="107"/>
      <c r="J304" s="107"/>
      <c r="K304" s="107"/>
      <c r="L304" s="107"/>
      <c r="M304" s="107"/>
      <c r="N304" s="107"/>
      <c r="O304" s="107"/>
      <c r="P304" s="107"/>
      <c r="Q304" s="107"/>
    </row>
    <row r="305" spans="1:17">
      <c r="A305" s="107"/>
      <c r="B305" s="107"/>
      <c r="C305" s="107"/>
      <c r="D305" s="107"/>
      <c r="E305" s="107"/>
      <c r="F305" s="107"/>
      <c r="G305" s="107"/>
      <c r="H305" s="107"/>
      <c r="I305" s="107"/>
      <c r="J305" s="107"/>
      <c r="K305" s="107"/>
      <c r="L305" s="107"/>
      <c r="M305" s="107"/>
      <c r="N305" s="107"/>
      <c r="O305" s="107"/>
      <c r="P305" s="107"/>
      <c r="Q305" s="107"/>
    </row>
    <row r="306" spans="1:17">
      <c r="A306" s="107"/>
      <c r="B306" s="107"/>
      <c r="C306" s="107"/>
      <c r="D306" s="107"/>
      <c r="E306" s="107"/>
      <c r="F306" s="107"/>
      <c r="G306" s="107"/>
      <c r="H306" s="107"/>
      <c r="I306" s="107"/>
      <c r="J306" s="107"/>
      <c r="K306" s="107"/>
      <c r="L306" s="107"/>
      <c r="M306" s="107"/>
      <c r="N306" s="107"/>
      <c r="O306" s="107"/>
      <c r="P306" s="107"/>
      <c r="Q306" s="107"/>
    </row>
    <row r="307" spans="1:17">
      <c r="A307" s="107"/>
      <c r="B307" s="107"/>
      <c r="C307" s="107"/>
      <c r="D307" s="107"/>
      <c r="E307" s="107"/>
      <c r="F307" s="107"/>
      <c r="G307" s="107"/>
      <c r="H307" s="107"/>
      <c r="I307" s="107"/>
      <c r="J307" s="107"/>
      <c r="K307" s="107"/>
      <c r="L307" s="107"/>
      <c r="M307" s="107"/>
      <c r="N307" s="107"/>
      <c r="O307" s="107"/>
      <c r="P307" s="107"/>
      <c r="Q307" s="107"/>
    </row>
    <row r="308" spans="1:17">
      <c r="A308" s="107"/>
      <c r="B308" s="107"/>
      <c r="C308" s="107"/>
      <c r="D308" s="107"/>
      <c r="E308" s="107"/>
      <c r="F308" s="107"/>
      <c r="G308" s="107"/>
      <c r="H308" s="107"/>
      <c r="I308" s="107"/>
      <c r="J308" s="107"/>
      <c r="K308" s="107"/>
      <c r="L308" s="107"/>
      <c r="M308" s="107"/>
      <c r="N308" s="107"/>
      <c r="O308" s="107"/>
      <c r="P308" s="107"/>
      <c r="Q308" s="107"/>
    </row>
    <row r="309" spans="1:17">
      <c r="A309" s="107"/>
      <c r="B309" s="107"/>
      <c r="C309" s="107"/>
      <c r="D309" s="107"/>
      <c r="E309" s="107"/>
      <c r="F309" s="107"/>
      <c r="G309" s="107"/>
      <c r="H309" s="107"/>
      <c r="I309" s="107"/>
      <c r="J309" s="107"/>
      <c r="K309" s="107"/>
      <c r="L309" s="107"/>
      <c r="M309" s="107"/>
      <c r="N309" s="107"/>
      <c r="O309" s="107"/>
      <c r="P309" s="107"/>
      <c r="Q309" s="107"/>
    </row>
    <row r="310" spans="1:17">
      <c r="A310" s="107"/>
      <c r="B310" s="107"/>
      <c r="C310" s="107"/>
      <c r="D310" s="107"/>
      <c r="E310" s="107"/>
      <c r="F310" s="107"/>
      <c r="G310" s="107"/>
      <c r="H310" s="107"/>
      <c r="I310" s="107"/>
      <c r="J310" s="107"/>
      <c r="K310" s="107"/>
      <c r="L310" s="107"/>
      <c r="M310" s="107"/>
      <c r="N310" s="107"/>
      <c r="O310" s="107"/>
      <c r="P310" s="107"/>
      <c r="Q310" s="107"/>
    </row>
    <row r="311" spans="1:17">
      <c r="A311" s="107"/>
      <c r="B311" s="107"/>
      <c r="C311" s="107"/>
      <c r="D311" s="107"/>
      <c r="E311" s="107"/>
      <c r="F311" s="107"/>
      <c r="G311" s="107"/>
      <c r="H311" s="107"/>
      <c r="I311" s="107"/>
      <c r="J311" s="107"/>
      <c r="K311" s="107"/>
      <c r="L311" s="107"/>
      <c r="M311" s="107"/>
      <c r="N311" s="107"/>
      <c r="O311" s="107"/>
      <c r="P311" s="107"/>
      <c r="Q311" s="107"/>
    </row>
    <row r="312" spans="1:17">
      <c r="A312" s="107"/>
      <c r="B312" s="107"/>
      <c r="C312" s="107"/>
      <c r="D312" s="107"/>
      <c r="E312" s="107"/>
      <c r="F312" s="107"/>
      <c r="G312" s="107"/>
      <c r="H312" s="107"/>
      <c r="I312" s="107"/>
      <c r="J312" s="107"/>
      <c r="K312" s="107"/>
      <c r="L312" s="107"/>
      <c r="M312" s="107"/>
      <c r="N312" s="107"/>
      <c r="O312" s="107"/>
      <c r="P312" s="107"/>
      <c r="Q312" s="107"/>
    </row>
    <row r="313" spans="1:17">
      <c r="A313" s="107"/>
      <c r="B313" s="107"/>
      <c r="C313" s="107"/>
      <c r="D313" s="107"/>
      <c r="E313" s="107"/>
      <c r="F313" s="107"/>
      <c r="G313" s="107"/>
      <c r="H313" s="107"/>
      <c r="I313" s="107"/>
      <c r="J313" s="107"/>
      <c r="K313" s="107"/>
      <c r="L313" s="107"/>
      <c r="M313" s="107"/>
      <c r="N313" s="107"/>
      <c r="O313" s="107"/>
      <c r="P313" s="107"/>
      <c r="Q313" s="107"/>
    </row>
    <row r="314" spans="1:17">
      <c r="A314" s="107"/>
      <c r="B314" s="107"/>
      <c r="C314" s="107"/>
      <c r="D314" s="107"/>
      <c r="E314" s="107"/>
      <c r="F314" s="107"/>
      <c r="G314" s="107"/>
      <c r="H314" s="107"/>
      <c r="I314" s="107"/>
      <c r="J314" s="107"/>
      <c r="K314" s="107"/>
      <c r="L314" s="107"/>
      <c r="M314" s="107"/>
      <c r="N314" s="107"/>
      <c r="O314" s="107"/>
      <c r="P314" s="107"/>
      <c r="Q314" s="107"/>
    </row>
    <row r="315" spans="1:17">
      <c r="A315" s="107"/>
      <c r="B315" s="107"/>
      <c r="C315" s="107"/>
      <c r="D315" s="107"/>
      <c r="E315" s="107"/>
      <c r="F315" s="107"/>
      <c r="G315" s="107"/>
      <c r="H315" s="107"/>
      <c r="I315" s="107"/>
      <c r="J315" s="107"/>
      <c r="K315" s="107"/>
      <c r="L315" s="107"/>
      <c r="M315" s="107"/>
      <c r="N315" s="107"/>
      <c r="O315" s="107"/>
      <c r="P315" s="107"/>
      <c r="Q315" s="107"/>
    </row>
    <row r="316" spans="1:17">
      <c r="A316" s="107"/>
      <c r="B316" s="107"/>
      <c r="C316" s="107"/>
      <c r="D316" s="107"/>
      <c r="E316" s="107"/>
      <c r="F316" s="107"/>
      <c r="G316" s="107"/>
      <c r="H316" s="107"/>
      <c r="I316" s="107"/>
      <c r="J316" s="107"/>
      <c r="K316" s="107"/>
      <c r="L316" s="107"/>
      <c r="M316" s="107"/>
      <c r="N316" s="107"/>
      <c r="O316" s="107"/>
      <c r="P316" s="107"/>
      <c r="Q316" s="107"/>
    </row>
    <row r="317" spans="1:17">
      <c r="A317" s="107"/>
      <c r="B317" s="107"/>
      <c r="C317" s="107"/>
      <c r="D317" s="107"/>
      <c r="E317" s="107"/>
      <c r="F317" s="107"/>
      <c r="G317" s="107"/>
      <c r="H317" s="107"/>
      <c r="I317" s="107"/>
      <c r="J317" s="107"/>
      <c r="K317" s="107"/>
      <c r="L317" s="107"/>
      <c r="M317" s="107"/>
      <c r="N317" s="107"/>
      <c r="O317" s="107"/>
      <c r="P317" s="107"/>
      <c r="Q317" s="107"/>
    </row>
    <row r="318" spans="1:17">
      <c r="A318" s="107"/>
      <c r="B318" s="107"/>
      <c r="C318" s="107"/>
      <c r="D318" s="107"/>
      <c r="E318" s="107"/>
      <c r="F318" s="107"/>
      <c r="G318" s="107"/>
      <c r="H318" s="107"/>
      <c r="I318" s="107"/>
      <c r="J318" s="107"/>
      <c r="K318" s="107"/>
      <c r="L318" s="107"/>
      <c r="M318" s="107"/>
      <c r="N318" s="107"/>
      <c r="O318" s="107"/>
      <c r="P318" s="107"/>
      <c r="Q318" s="107"/>
    </row>
    <row r="319" spans="1:17">
      <c r="A319" s="107"/>
      <c r="B319" s="107"/>
      <c r="C319" s="107"/>
      <c r="D319" s="107"/>
      <c r="E319" s="107"/>
      <c r="F319" s="107"/>
      <c r="G319" s="107"/>
      <c r="H319" s="107"/>
      <c r="I319" s="107"/>
      <c r="J319" s="107"/>
      <c r="K319" s="107"/>
      <c r="L319" s="107"/>
      <c r="M319" s="107"/>
      <c r="N319" s="107"/>
      <c r="O319" s="107"/>
      <c r="P319" s="107"/>
      <c r="Q319" s="107"/>
    </row>
    <row r="320" spans="1:17">
      <c r="A320" s="107"/>
      <c r="B320" s="107"/>
      <c r="C320" s="107"/>
      <c r="D320" s="107"/>
      <c r="E320" s="107"/>
      <c r="F320" s="107"/>
      <c r="G320" s="107"/>
      <c r="H320" s="107"/>
      <c r="I320" s="107"/>
      <c r="J320" s="107"/>
      <c r="K320" s="107"/>
      <c r="L320" s="107"/>
      <c r="M320" s="107"/>
      <c r="N320" s="107"/>
      <c r="O320" s="107"/>
      <c r="P320" s="107"/>
      <c r="Q320" s="107"/>
    </row>
    <row r="321" spans="1:17">
      <c r="A321" s="107"/>
      <c r="B321" s="107"/>
      <c r="C321" s="107"/>
      <c r="D321" s="107"/>
      <c r="E321" s="107"/>
      <c r="F321" s="107"/>
      <c r="G321" s="107"/>
      <c r="H321" s="107"/>
      <c r="I321" s="107"/>
      <c r="J321" s="107"/>
      <c r="K321" s="107"/>
      <c r="L321" s="107"/>
      <c r="M321" s="107"/>
      <c r="N321" s="107"/>
      <c r="O321" s="107"/>
      <c r="P321" s="107"/>
      <c r="Q321" s="107"/>
    </row>
    <row r="322" spans="1:17">
      <c r="A322" s="107"/>
      <c r="B322" s="107"/>
      <c r="C322" s="107"/>
      <c r="D322" s="107"/>
      <c r="E322" s="107"/>
      <c r="F322" s="107"/>
      <c r="G322" s="107"/>
      <c r="H322" s="107"/>
      <c r="I322" s="107"/>
      <c r="J322" s="107"/>
      <c r="K322" s="107"/>
      <c r="L322" s="107"/>
      <c r="M322" s="107"/>
      <c r="N322" s="107"/>
      <c r="O322" s="107"/>
      <c r="P322" s="107"/>
      <c r="Q322" s="107"/>
    </row>
    <row r="323" spans="1:17">
      <c r="A323" s="107"/>
      <c r="B323" s="107"/>
      <c r="C323" s="107"/>
      <c r="D323" s="107"/>
      <c r="E323" s="107"/>
      <c r="F323" s="107"/>
      <c r="G323" s="107"/>
      <c r="H323" s="107"/>
      <c r="I323" s="107"/>
      <c r="J323" s="107"/>
      <c r="K323" s="107"/>
      <c r="L323" s="107"/>
      <c r="M323" s="107"/>
      <c r="N323" s="107"/>
      <c r="O323" s="107"/>
      <c r="P323" s="107"/>
      <c r="Q323" s="107"/>
    </row>
    <row r="324" spans="1:17">
      <c r="A324" s="107"/>
      <c r="B324" s="107"/>
      <c r="C324" s="107"/>
      <c r="D324" s="107"/>
      <c r="E324" s="107"/>
      <c r="F324" s="107"/>
      <c r="G324" s="107"/>
      <c r="H324" s="107"/>
      <c r="I324" s="107"/>
      <c r="J324" s="107"/>
      <c r="K324" s="107"/>
      <c r="L324" s="107"/>
      <c r="M324" s="107"/>
      <c r="N324" s="107"/>
      <c r="O324" s="107"/>
      <c r="P324" s="107"/>
      <c r="Q324" s="107"/>
    </row>
    <row r="325" spans="1:17">
      <c r="A325" s="107"/>
      <c r="B325" s="107"/>
      <c r="C325" s="107"/>
      <c r="D325" s="107"/>
      <c r="E325" s="107"/>
      <c r="F325" s="107"/>
      <c r="G325" s="107"/>
      <c r="H325" s="107"/>
      <c r="I325" s="107"/>
      <c r="J325" s="107"/>
      <c r="K325" s="107"/>
      <c r="L325" s="107"/>
      <c r="M325" s="107"/>
      <c r="N325" s="107"/>
      <c r="O325" s="107"/>
      <c r="P325" s="107"/>
      <c r="Q325" s="107"/>
    </row>
    <row r="326" spans="1:17">
      <c r="A326" s="107"/>
      <c r="B326" s="107"/>
      <c r="C326" s="107"/>
      <c r="D326" s="107"/>
      <c r="E326" s="107"/>
      <c r="F326" s="107"/>
      <c r="G326" s="107"/>
      <c r="H326" s="107"/>
      <c r="I326" s="107"/>
      <c r="J326" s="107"/>
      <c r="K326" s="107"/>
      <c r="L326" s="107"/>
      <c r="M326" s="107"/>
      <c r="N326" s="107"/>
      <c r="O326" s="107"/>
      <c r="P326" s="107"/>
      <c r="Q326" s="107"/>
    </row>
    <row r="327" spans="1:17">
      <c r="A327" s="107"/>
      <c r="B327" s="107"/>
      <c r="C327" s="107"/>
      <c r="D327" s="107"/>
      <c r="E327" s="107"/>
      <c r="F327" s="107"/>
      <c r="G327" s="107"/>
      <c r="H327" s="107"/>
      <c r="I327" s="107"/>
      <c r="J327" s="107"/>
      <c r="K327" s="107"/>
      <c r="L327" s="107"/>
      <c r="M327" s="107"/>
      <c r="N327" s="107"/>
      <c r="O327" s="107"/>
      <c r="P327" s="107"/>
      <c r="Q327" s="107"/>
    </row>
    <row r="328" spans="1:17">
      <c r="A328" s="107"/>
      <c r="B328" s="107"/>
      <c r="C328" s="107"/>
      <c r="D328" s="107"/>
      <c r="E328" s="107"/>
      <c r="F328" s="107"/>
      <c r="G328" s="107"/>
      <c r="H328" s="107"/>
      <c r="I328" s="107"/>
      <c r="J328" s="107"/>
      <c r="K328" s="107"/>
      <c r="L328" s="107"/>
      <c r="M328" s="107"/>
      <c r="N328" s="107"/>
      <c r="O328" s="107"/>
      <c r="P328" s="107"/>
      <c r="Q328" s="107"/>
    </row>
    <row r="329" spans="1:17">
      <c r="A329" s="107"/>
      <c r="B329" s="107"/>
      <c r="C329" s="107"/>
      <c r="D329" s="107"/>
      <c r="E329" s="107"/>
      <c r="F329" s="107"/>
      <c r="G329" s="107"/>
      <c r="H329" s="107"/>
      <c r="I329" s="107"/>
      <c r="J329" s="107"/>
      <c r="K329" s="107"/>
      <c r="L329" s="107"/>
      <c r="M329" s="107"/>
      <c r="N329" s="107"/>
      <c r="O329" s="107"/>
      <c r="P329" s="107"/>
      <c r="Q329" s="107"/>
    </row>
    <row r="330" spans="1:17">
      <c r="A330" s="107"/>
      <c r="B330" s="107"/>
      <c r="C330" s="107"/>
      <c r="D330" s="107"/>
      <c r="E330" s="107"/>
      <c r="F330" s="107"/>
      <c r="G330" s="107"/>
      <c r="H330" s="107"/>
      <c r="I330" s="107"/>
      <c r="J330" s="107"/>
      <c r="K330" s="107"/>
      <c r="L330" s="107"/>
      <c r="M330" s="107"/>
      <c r="N330" s="107"/>
      <c r="O330" s="107"/>
      <c r="P330" s="107"/>
      <c r="Q330" s="107"/>
    </row>
    <row r="331" spans="1:17">
      <c r="A331" s="107"/>
      <c r="B331" s="107"/>
      <c r="C331" s="107"/>
      <c r="D331" s="107"/>
      <c r="E331" s="107"/>
      <c r="F331" s="107"/>
      <c r="G331" s="107"/>
      <c r="H331" s="107"/>
      <c r="I331" s="107"/>
      <c r="J331" s="107"/>
      <c r="K331" s="107"/>
      <c r="L331" s="107"/>
      <c r="M331" s="107"/>
      <c r="N331" s="107"/>
      <c r="O331" s="107"/>
      <c r="P331" s="107"/>
      <c r="Q331" s="107"/>
    </row>
    <row r="332" spans="1:17">
      <c r="A332" s="107"/>
      <c r="B332" s="107"/>
      <c r="C332" s="107"/>
      <c r="D332" s="107"/>
      <c r="E332" s="107"/>
      <c r="F332" s="107"/>
      <c r="G332" s="107"/>
      <c r="H332" s="107"/>
      <c r="I332" s="107"/>
      <c r="J332" s="107"/>
      <c r="K332" s="107"/>
      <c r="L332" s="107"/>
      <c r="M332" s="107"/>
      <c r="N332" s="107"/>
      <c r="O332" s="107"/>
      <c r="P332" s="107"/>
      <c r="Q332" s="107"/>
    </row>
    <row r="333" spans="1:17">
      <c r="A333" s="107"/>
      <c r="B333" s="107"/>
      <c r="C333" s="107"/>
      <c r="D333" s="107"/>
      <c r="E333" s="107"/>
      <c r="F333" s="107"/>
      <c r="G333" s="107"/>
      <c r="H333" s="107"/>
      <c r="I333" s="107"/>
      <c r="J333" s="107"/>
      <c r="K333" s="107"/>
      <c r="L333" s="107"/>
      <c r="M333" s="107"/>
      <c r="N333" s="107"/>
      <c r="O333" s="107"/>
      <c r="P333" s="107"/>
      <c r="Q333" s="107"/>
    </row>
    <row r="334" spans="1:17">
      <c r="A334" s="107"/>
      <c r="B334" s="107"/>
      <c r="C334" s="107"/>
      <c r="D334" s="107"/>
      <c r="E334" s="107"/>
      <c r="F334" s="107"/>
      <c r="G334" s="107"/>
      <c r="H334" s="107"/>
      <c r="I334" s="107"/>
      <c r="J334" s="107"/>
      <c r="K334" s="107"/>
      <c r="L334" s="107"/>
      <c r="M334" s="107"/>
      <c r="N334" s="107"/>
      <c r="O334" s="107"/>
      <c r="P334" s="107"/>
      <c r="Q334" s="107"/>
    </row>
    <row r="335" spans="1:17">
      <c r="A335" s="107"/>
      <c r="B335" s="107"/>
      <c r="C335" s="107"/>
      <c r="D335" s="107"/>
      <c r="E335" s="107"/>
      <c r="F335" s="107"/>
      <c r="G335" s="107"/>
      <c r="H335" s="107"/>
      <c r="I335" s="107"/>
      <c r="J335" s="107"/>
      <c r="K335" s="107"/>
      <c r="L335" s="107"/>
      <c r="M335" s="107"/>
      <c r="N335" s="107"/>
      <c r="O335" s="107"/>
      <c r="P335" s="107"/>
      <c r="Q335" s="107"/>
    </row>
    <row r="336" spans="1:17">
      <c r="A336" s="107"/>
      <c r="B336" s="107"/>
      <c r="C336" s="107"/>
      <c r="D336" s="107"/>
      <c r="E336" s="107"/>
      <c r="F336" s="107"/>
      <c r="G336" s="107"/>
      <c r="H336" s="107"/>
      <c r="I336" s="107"/>
      <c r="J336" s="107"/>
      <c r="K336" s="107"/>
      <c r="L336" s="107"/>
      <c r="M336" s="107"/>
      <c r="N336" s="107"/>
      <c r="O336" s="107"/>
      <c r="P336" s="107"/>
      <c r="Q336" s="107"/>
    </row>
    <row r="337" spans="1:17">
      <c r="A337" s="107"/>
      <c r="B337" s="107"/>
      <c r="C337" s="107"/>
      <c r="D337" s="107"/>
      <c r="E337" s="107"/>
      <c r="F337" s="107"/>
      <c r="G337" s="107"/>
      <c r="H337" s="107"/>
      <c r="I337" s="107"/>
      <c r="J337" s="107"/>
      <c r="K337" s="107"/>
      <c r="L337" s="107"/>
      <c r="M337" s="107"/>
      <c r="N337" s="107"/>
      <c r="O337" s="107"/>
      <c r="P337" s="107"/>
      <c r="Q337" s="107"/>
    </row>
    <row r="338" spans="1:17">
      <c r="A338" s="107"/>
      <c r="B338" s="107"/>
      <c r="C338" s="107"/>
      <c r="D338" s="107"/>
      <c r="E338" s="107"/>
      <c r="F338" s="107"/>
      <c r="G338" s="107"/>
      <c r="H338" s="107"/>
      <c r="I338" s="107"/>
      <c r="J338" s="107"/>
      <c r="K338" s="107"/>
      <c r="L338" s="107"/>
      <c r="M338" s="107"/>
      <c r="N338" s="107"/>
      <c r="O338" s="107"/>
      <c r="P338" s="107"/>
      <c r="Q338" s="107"/>
    </row>
    <row r="339" spans="1:17">
      <c r="A339" s="107"/>
      <c r="B339" s="107"/>
      <c r="C339" s="107"/>
      <c r="D339" s="107"/>
      <c r="E339" s="107"/>
      <c r="F339" s="107"/>
      <c r="G339" s="107"/>
      <c r="H339" s="107"/>
      <c r="I339" s="107"/>
      <c r="J339" s="107"/>
      <c r="K339" s="107"/>
      <c r="L339" s="107"/>
      <c r="M339" s="107"/>
      <c r="N339" s="107"/>
      <c r="O339" s="107"/>
      <c r="P339" s="107"/>
      <c r="Q339" s="107"/>
    </row>
    <row r="340" spans="1:17">
      <c r="A340" s="107"/>
      <c r="B340" s="107"/>
      <c r="C340" s="107"/>
      <c r="D340" s="107"/>
      <c r="E340" s="107"/>
      <c r="F340" s="107"/>
      <c r="G340" s="107"/>
      <c r="H340" s="107"/>
      <c r="I340" s="107"/>
      <c r="J340" s="107"/>
      <c r="K340" s="107"/>
      <c r="L340" s="107"/>
      <c r="M340" s="107"/>
      <c r="N340" s="107"/>
      <c r="O340" s="107"/>
      <c r="P340" s="107"/>
      <c r="Q340" s="107"/>
    </row>
    <row r="341" spans="1:17">
      <c r="A341" s="107"/>
      <c r="B341" s="107"/>
      <c r="C341" s="107"/>
      <c r="D341" s="107"/>
      <c r="E341" s="107"/>
      <c r="F341" s="107"/>
      <c r="G341" s="107"/>
      <c r="H341" s="107"/>
      <c r="I341" s="107"/>
      <c r="J341" s="107"/>
      <c r="K341" s="107"/>
      <c r="L341" s="107"/>
      <c r="M341" s="107"/>
      <c r="N341" s="107"/>
      <c r="O341" s="107"/>
      <c r="P341" s="107"/>
      <c r="Q341" s="107"/>
    </row>
    <row r="342" spans="1:17">
      <c r="A342" s="107"/>
      <c r="B342" s="107"/>
      <c r="C342" s="107"/>
      <c r="D342" s="107"/>
      <c r="E342" s="107"/>
      <c r="F342" s="107"/>
      <c r="G342" s="107"/>
      <c r="H342" s="107"/>
      <c r="I342" s="107"/>
      <c r="J342" s="107"/>
      <c r="K342" s="107"/>
      <c r="L342" s="107"/>
      <c r="M342" s="107"/>
      <c r="N342" s="107"/>
      <c r="O342" s="107"/>
      <c r="P342" s="107"/>
      <c r="Q342" s="107"/>
    </row>
    <row r="343" spans="1:17">
      <c r="A343" s="107"/>
      <c r="B343" s="107"/>
      <c r="C343" s="107"/>
      <c r="D343" s="107"/>
      <c r="E343" s="107"/>
      <c r="F343" s="107"/>
      <c r="G343" s="107"/>
      <c r="H343" s="107"/>
      <c r="I343" s="107"/>
      <c r="J343" s="107"/>
      <c r="K343" s="107"/>
      <c r="L343" s="107"/>
      <c r="M343" s="107"/>
      <c r="N343" s="107"/>
      <c r="O343" s="107"/>
      <c r="P343" s="107"/>
      <c r="Q343" s="107"/>
    </row>
    <row r="344" spans="1:17">
      <c r="A344" s="107"/>
      <c r="B344" s="107"/>
      <c r="C344" s="107"/>
      <c r="D344" s="107"/>
      <c r="E344" s="107"/>
      <c r="F344" s="107"/>
      <c r="G344" s="107"/>
      <c r="H344" s="107"/>
      <c r="I344" s="107"/>
      <c r="J344" s="107"/>
      <c r="K344" s="107"/>
      <c r="L344" s="107"/>
      <c r="M344" s="107"/>
      <c r="N344" s="107"/>
      <c r="O344" s="107"/>
      <c r="P344" s="107"/>
      <c r="Q344" s="107"/>
    </row>
    <row r="345" spans="1:17">
      <c r="A345" s="107"/>
      <c r="B345" s="107"/>
      <c r="C345" s="107"/>
      <c r="D345" s="107"/>
      <c r="E345" s="107"/>
      <c r="F345" s="107"/>
      <c r="G345" s="107"/>
      <c r="H345" s="107"/>
      <c r="I345" s="107"/>
      <c r="J345" s="107"/>
      <c r="K345" s="107"/>
      <c r="L345" s="107"/>
      <c r="M345" s="107"/>
      <c r="N345" s="107"/>
      <c r="O345" s="107"/>
      <c r="P345" s="107"/>
      <c r="Q345" s="107"/>
    </row>
    <row r="346" spans="1:17">
      <c r="A346" s="107"/>
      <c r="B346" s="107"/>
      <c r="C346" s="107"/>
      <c r="D346" s="107"/>
      <c r="E346" s="107"/>
      <c r="F346" s="107"/>
      <c r="G346" s="107"/>
      <c r="H346" s="107"/>
      <c r="I346" s="107"/>
      <c r="J346" s="107"/>
      <c r="K346" s="107"/>
      <c r="L346" s="107"/>
      <c r="M346" s="107"/>
      <c r="N346" s="107"/>
      <c r="O346" s="107"/>
      <c r="P346" s="107"/>
      <c r="Q346" s="107"/>
    </row>
    <row r="347" spans="1:17">
      <c r="A347" s="107"/>
      <c r="B347" s="107"/>
      <c r="C347" s="107"/>
      <c r="D347" s="107"/>
      <c r="E347" s="107"/>
      <c r="F347" s="107"/>
      <c r="G347" s="107"/>
      <c r="H347" s="107"/>
      <c r="I347" s="107"/>
      <c r="J347" s="107"/>
      <c r="K347" s="107"/>
      <c r="L347" s="107"/>
      <c r="M347" s="107"/>
      <c r="N347" s="107"/>
      <c r="O347" s="107"/>
      <c r="P347" s="107"/>
      <c r="Q347" s="107"/>
    </row>
    <row r="348" spans="1:17">
      <c r="A348" s="107"/>
      <c r="B348" s="107"/>
      <c r="C348" s="107"/>
      <c r="D348" s="107"/>
      <c r="E348" s="107"/>
      <c r="F348" s="107"/>
      <c r="G348" s="107"/>
      <c r="H348" s="107"/>
      <c r="I348" s="107"/>
      <c r="J348" s="107"/>
      <c r="K348" s="107"/>
      <c r="L348" s="107"/>
      <c r="M348" s="107"/>
      <c r="N348" s="107"/>
      <c r="O348" s="107"/>
      <c r="P348" s="107"/>
      <c r="Q348" s="107"/>
    </row>
    <row r="349" spans="1:17">
      <c r="A349" s="107"/>
      <c r="B349" s="107"/>
      <c r="C349" s="107"/>
      <c r="D349" s="107"/>
      <c r="E349" s="107"/>
      <c r="F349" s="107"/>
      <c r="G349" s="107"/>
      <c r="H349" s="107"/>
      <c r="I349" s="107"/>
      <c r="J349" s="107"/>
      <c r="K349" s="107"/>
      <c r="L349" s="107"/>
      <c r="M349" s="107"/>
      <c r="N349" s="107"/>
      <c r="O349" s="107"/>
      <c r="P349" s="107"/>
      <c r="Q349" s="107"/>
    </row>
    <row r="350" spans="1:17">
      <c r="A350" s="107"/>
      <c r="B350" s="107"/>
      <c r="C350" s="107"/>
      <c r="D350" s="107"/>
      <c r="E350" s="107"/>
      <c r="F350" s="107"/>
      <c r="G350" s="107"/>
      <c r="H350" s="107"/>
      <c r="I350" s="107"/>
      <c r="J350" s="107"/>
      <c r="K350" s="107"/>
      <c r="L350" s="107"/>
      <c r="M350" s="107"/>
      <c r="N350" s="107"/>
      <c r="O350" s="107"/>
      <c r="P350" s="107"/>
      <c r="Q350" s="107"/>
    </row>
    <row r="351" spans="1:17">
      <c r="A351" s="107"/>
      <c r="B351" s="107"/>
      <c r="C351" s="107"/>
      <c r="D351" s="107"/>
      <c r="E351" s="107"/>
      <c r="F351" s="107"/>
      <c r="G351" s="107"/>
      <c r="H351" s="107"/>
      <c r="I351" s="107"/>
      <c r="J351" s="107"/>
      <c r="K351" s="107"/>
      <c r="L351" s="107"/>
      <c r="M351" s="107"/>
      <c r="N351" s="107"/>
      <c r="O351" s="107"/>
      <c r="P351" s="107"/>
      <c r="Q351" s="107"/>
    </row>
    <row r="352" spans="1:17">
      <c r="A352" s="107"/>
      <c r="B352" s="107"/>
      <c r="C352" s="107"/>
      <c r="D352" s="107"/>
      <c r="E352" s="107"/>
      <c r="F352" s="107"/>
      <c r="G352" s="107"/>
      <c r="H352" s="107"/>
      <c r="I352" s="107"/>
      <c r="J352" s="107"/>
      <c r="K352" s="107"/>
      <c r="L352" s="107"/>
      <c r="M352" s="107"/>
      <c r="N352" s="107"/>
      <c r="O352" s="107"/>
      <c r="P352" s="107"/>
      <c r="Q352" s="107"/>
    </row>
    <row r="353" spans="1:17">
      <c r="A353" s="107"/>
      <c r="B353" s="107"/>
      <c r="C353" s="107"/>
      <c r="D353" s="107"/>
      <c r="E353" s="107"/>
      <c r="F353" s="107"/>
      <c r="G353" s="107"/>
      <c r="H353" s="107"/>
      <c r="I353" s="107"/>
      <c r="J353" s="107"/>
      <c r="K353" s="107"/>
      <c r="L353" s="107"/>
      <c r="M353" s="107"/>
      <c r="N353" s="107"/>
      <c r="O353" s="107"/>
      <c r="P353" s="107"/>
      <c r="Q353" s="107"/>
    </row>
    <row r="354" spans="1:17">
      <c r="A354" s="107"/>
      <c r="B354" s="107"/>
      <c r="C354" s="107"/>
      <c r="D354" s="107"/>
      <c r="E354" s="107"/>
      <c r="F354" s="107"/>
      <c r="G354" s="107"/>
      <c r="H354" s="107"/>
      <c r="I354" s="107"/>
      <c r="J354" s="107"/>
      <c r="K354" s="107"/>
      <c r="L354" s="107"/>
      <c r="M354" s="107"/>
      <c r="N354" s="107"/>
      <c r="O354" s="107"/>
      <c r="P354" s="107"/>
      <c r="Q354" s="107"/>
    </row>
    <row r="355" spans="1:17">
      <c r="A355" s="107"/>
      <c r="B355" s="107"/>
      <c r="C355" s="107"/>
      <c r="D355" s="107"/>
      <c r="E355" s="107"/>
      <c r="F355" s="107"/>
      <c r="G355" s="107"/>
      <c r="H355" s="107"/>
      <c r="I355" s="107"/>
      <c r="J355" s="107"/>
      <c r="K355" s="107"/>
      <c r="L355" s="107"/>
      <c r="M355" s="107"/>
      <c r="N355" s="107"/>
      <c r="O355" s="107"/>
      <c r="P355" s="107"/>
      <c r="Q355" s="107"/>
    </row>
    <row r="356" spans="1:17">
      <c r="A356" s="107"/>
      <c r="B356" s="107"/>
      <c r="C356" s="107"/>
      <c r="D356" s="107"/>
      <c r="E356" s="107"/>
      <c r="F356" s="107"/>
      <c r="G356" s="107"/>
      <c r="H356" s="107"/>
      <c r="I356" s="107"/>
      <c r="J356" s="107"/>
      <c r="K356" s="107"/>
      <c r="L356" s="107"/>
      <c r="M356" s="107"/>
      <c r="N356" s="107"/>
      <c r="O356" s="107"/>
      <c r="P356" s="107"/>
      <c r="Q356" s="107"/>
    </row>
    <row r="357" spans="1:17">
      <c r="A357" s="107"/>
      <c r="B357" s="107"/>
      <c r="C357" s="107"/>
      <c r="D357" s="107"/>
      <c r="E357" s="107"/>
      <c r="F357" s="107"/>
      <c r="G357" s="107"/>
      <c r="H357" s="107"/>
      <c r="I357" s="107"/>
      <c r="J357" s="107"/>
      <c r="K357" s="107"/>
      <c r="L357" s="107"/>
      <c r="M357" s="107"/>
      <c r="N357" s="107"/>
      <c r="O357" s="107"/>
      <c r="P357" s="107"/>
      <c r="Q357" s="107"/>
    </row>
    <row r="358" spans="1:17">
      <c r="A358" s="107"/>
      <c r="B358" s="107"/>
      <c r="C358" s="107"/>
      <c r="D358" s="107"/>
      <c r="E358" s="107"/>
      <c r="F358" s="107"/>
      <c r="G358" s="107"/>
      <c r="H358" s="107"/>
      <c r="I358" s="107"/>
      <c r="J358" s="107"/>
      <c r="K358" s="107"/>
      <c r="L358" s="107"/>
      <c r="M358" s="107"/>
      <c r="N358" s="107"/>
      <c r="O358" s="107"/>
      <c r="P358" s="107"/>
      <c r="Q358" s="107"/>
    </row>
    <row r="359" spans="1:17">
      <c r="A359" s="107"/>
      <c r="B359" s="107"/>
      <c r="C359" s="107"/>
      <c r="D359" s="107"/>
      <c r="E359" s="107"/>
      <c r="F359" s="107"/>
      <c r="G359" s="107"/>
      <c r="H359" s="107"/>
      <c r="I359" s="107"/>
      <c r="J359" s="107"/>
      <c r="K359" s="107"/>
      <c r="L359" s="107"/>
      <c r="M359" s="107"/>
      <c r="N359" s="107"/>
      <c r="O359" s="107"/>
      <c r="P359" s="107"/>
      <c r="Q359" s="107"/>
    </row>
    <row r="360" spans="1:17">
      <c r="A360" s="107"/>
      <c r="B360" s="107"/>
      <c r="C360" s="107"/>
      <c r="D360" s="107"/>
      <c r="E360" s="107"/>
      <c r="F360" s="107"/>
      <c r="G360" s="107"/>
      <c r="H360" s="107"/>
      <c r="I360" s="107"/>
      <c r="J360" s="107"/>
      <c r="K360" s="107"/>
      <c r="L360" s="107"/>
      <c r="M360" s="107"/>
      <c r="N360" s="107"/>
      <c r="O360" s="107"/>
      <c r="P360" s="107"/>
      <c r="Q360" s="107"/>
    </row>
    <row r="361" spans="1:17">
      <c r="A361" s="107"/>
      <c r="B361" s="107"/>
      <c r="C361" s="107"/>
      <c r="D361" s="107"/>
      <c r="E361" s="107"/>
      <c r="F361" s="107"/>
      <c r="G361" s="107"/>
      <c r="H361" s="107"/>
      <c r="I361" s="107"/>
      <c r="J361" s="107"/>
      <c r="K361" s="107"/>
      <c r="L361" s="107"/>
      <c r="M361" s="107"/>
      <c r="N361" s="107"/>
      <c r="O361" s="107"/>
      <c r="P361" s="107"/>
      <c r="Q361" s="107"/>
    </row>
    <row r="362" spans="1:17">
      <c r="A362" s="107"/>
      <c r="B362" s="107"/>
      <c r="C362" s="107"/>
      <c r="D362" s="107"/>
      <c r="E362" s="107"/>
      <c r="F362" s="107"/>
      <c r="G362" s="107"/>
      <c r="H362" s="107"/>
      <c r="I362" s="107"/>
      <c r="J362" s="107"/>
      <c r="K362" s="107"/>
      <c r="L362" s="107"/>
      <c r="M362" s="107"/>
      <c r="N362" s="107"/>
      <c r="O362" s="107"/>
      <c r="P362" s="107"/>
      <c r="Q362" s="107"/>
    </row>
    <row r="363" spans="1:17">
      <c r="A363" s="107"/>
      <c r="B363" s="107"/>
      <c r="C363" s="107"/>
      <c r="D363" s="107"/>
      <c r="E363" s="107"/>
      <c r="F363" s="107"/>
      <c r="G363" s="107"/>
      <c r="H363" s="107"/>
      <c r="I363" s="107"/>
      <c r="J363" s="107"/>
      <c r="K363" s="107"/>
      <c r="L363" s="107"/>
      <c r="M363" s="107"/>
      <c r="N363" s="107"/>
      <c r="O363" s="107"/>
      <c r="P363" s="107"/>
      <c r="Q363" s="107"/>
    </row>
    <row r="364" spans="1:17">
      <c r="A364" s="107"/>
      <c r="B364" s="107"/>
      <c r="C364" s="107"/>
      <c r="D364" s="107"/>
      <c r="E364" s="107"/>
      <c r="F364" s="107"/>
      <c r="G364" s="107"/>
      <c r="H364" s="107"/>
      <c r="I364" s="107"/>
      <c r="J364" s="107"/>
      <c r="K364" s="107"/>
      <c r="L364" s="107"/>
      <c r="M364" s="107"/>
      <c r="N364" s="107"/>
      <c r="O364" s="107"/>
      <c r="P364" s="107"/>
      <c r="Q364" s="107"/>
    </row>
    <row r="365" spans="1:17">
      <c r="A365" s="107"/>
      <c r="B365" s="107"/>
      <c r="C365" s="107"/>
      <c r="D365" s="107"/>
      <c r="E365" s="107"/>
      <c r="F365" s="107"/>
      <c r="G365" s="107"/>
      <c r="H365" s="107"/>
      <c r="I365" s="107"/>
      <c r="J365" s="107"/>
      <c r="K365" s="107"/>
      <c r="L365" s="107"/>
      <c r="M365" s="107"/>
      <c r="N365" s="107"/>
      <c r="O365" s="107"/>
      <c r="P365" s="107"/>
      <c r="Q365" s="107"/>
    </row>
    <row r="366" spans="1:17">
      <c r="A366" s="107"/>
      <c r="B366" s="107"/>
      <c r="C366" s="107"/>
      <c r="D366" s="107"/>
      <c r="E366" s="107"/>
      <c r="F366" s="107"/>
      <c r="G366" s="107"/>
      <c r="H366" s="107"/>
      <c r="I366" s="107"/>
      <c r="J366" s="107"/>
      <c r="K366" s="107"/>
      <c r="L366" s="107"/>
      <c r="M366" s="107"/>
      <c r="N366" s="107"/>
      <c r="O366" s="107"/>
      <c r="P366" s="107"/>
      <c r="Q366" s="107"/>
    </row>
    <row r="367" spans="1:17">
      <c r="A367" s="107"/>
      <c r="B367" s="107"/>
      <c r="C367" s="107"/>
      <c r="D367" s="107"/>
      <c r="E367" s="107"/>
      <c r="F367" s="107"/>
      <c r="G367" s="107"/>
      <c r="H367" s="107"/>
      <c r="I367" s="107"/>
      <c r="J367" s="107"/>
      <c r="K367" s="107"/>
      <c r="L367" s="107"/>
      <c r="M367" s="107"/>
      <c r="N367" s="107"/>
      <c r="O367" s="107"/>
      <c r="P367" s="107"/>
      <c r="Q367" s="107"/>
    </row>
    <row r="368" spans="1:17">
      <c r="A368" s="107"/>
      <c r="B368" s="107"/>
      <c r="C368" s="107"/>
      <c r="D368" s="107"/>
      <c r="E368" s="107"/>
      <c r="F368" s="107"/>
      <c r="G368" s="107"/>
      <c r="H368" s="107"/>
      <c r="I368" s="107"/>
      <c r="J368" s="107"/>
      <c r="K368" s="107"/>
      <c r="L368" s="107"/>
      <c r="M368" s="107"/>
      <c r="N368" s="107"/>
      <c r="O368" s="107"/>
      <c r="P368" s="107"/>
      <c r="Q368" s="107"/>
    </row>
    <row r="369" spans="1:17">
      <c r="A369" s="107"/>
      <c r="B369" s="107"/>
      <c r="C369" s="107"/>
      <c r="D369" s="107"/>
      <c r="E369" s="107"/>
      <c r="F369" s="107"/>
      <c r="G369" s="107"/>
      <c r="H369" s="107"/>
      <c r="I369" s="107"/>
      <c r="J369" s="107"/>
      <c r="K369" s="107"/>
      <c r="L369" s="107"/>
      <c r="M369" s="107"/>
      <c r="N369" s="107"/>
      <c r="O369" s="107"/>
      <c r="P369" s="107"/>
      <c r="Q369" s="107"/>
    </row>
    <row r="370" spans="1:17">
      <c r="A370" s="107"/>
      <c r="B370" s="107"/>
      <c r="C370" s="107"/>
      <c r="D370" s="107"/>
      <c r="E370" s="107"/>
      <c r="F370" s="107"/>
      <c r="G370" s="107"/>
      <c r="H370" s="107"/>
      <c r="I370" s="107"/>
      <c r="J370" s="107"/>
      <c r="K370" s="107"/>
      <c r="L370" s="107"/>
      <c r="M370" s="107"/>
      <c r="N370" s="107"/>
      <c r="O370" s="107"/>
      <c r="P370" s="107"/>
      <c r="Q370" s="107"/>
    </row>
    <row r="371" spans="1:17">
      <c r="A371" s="107"/>
      <c r="B371" s="107"/>
      <c r="C371" s="107"/>
      <c r="D371" s="107"/>
      <c r="E371" s="107"/>
      <c r="F371" s="107"/>
      <c r="G371" s="107"/>
      <c r="H371" s="107"/>
      <c r="I371" s="107"/>
      <c r="J371" s="107"/>
      <c r="K371" s="107"/>
      <c r="L371" s="107"/>
      <c r="M371" s="107"/>
      <c r="N371" s="107"/>
      <c r="O371" s="107"/>
      <c r="P371" s="107"/>
      <c r="Q371" s="107"/>
    </row>
    <row r="372" spans="1:17">
      <c r="A372" s="107"/>
      <c r="B372" s="107"/>
      <c r="C372" s="107"/>
      <c r="D372" s="107"/>
      <c r="E372" s="107"/>
      <c r="F372" s="107"/>
      <c r="G372" s="107"/>
      <c r="H372" s="107"/>
      <c r="I372" s="107"/>
      <c r="J372" s="107"/>
      <c r="K372" s="107"/>
      <c r="L372" s="107"/>
      <c r="M372" s="107"/>
      <c r="N372" s="107"/>
      <c r="O372" s="107"/>
      <c r="P372" s="107"/>
      <c r="Q372" s="107"/>
    </row>
    <row r="373" spans="1:17">
      <c r="A373" s="107"/>
      <c r="B373" s="107"/>
      <c r="C373" s="107"/>
      <c r="D373" s="107"/>
      <c r="E373" s="107"/>
      <c r="F373" s="107"/>
      <c r="G373" s="107"/>
      <c r="H373" s="107"/>
      <c r="I373" s="107"/>
      <c r="J373" s="107"/>
      <c r="K373" s="107"/>
      <c r="L373" s="107"/>
      <c r="M373" s="107"/>
      <c r="N373" s="107"/>
      <c r="O373" s="107"/>
      <c r="P373" s="107"/>
      <c r="Q373" s="107"/>
    </row>
    <row r="374" spans="1:17">
      <c r="A374" s="107"/>
      <c r="B374" s="107"/>
      <c r="C374" s="107"/>
      <c r="D374" s="107"/>
      <c r="E374" s="107"/>
      <c r="F374" s="107"/>
      <c r="G374" s="107"/>
      <c r="H374" s="107"/>
      <c r="I374" s="107"/>
      <c r="J374" s="107"/>
      <c r="K374" s="107"/>
      <c r="L374" s="107"/>
      <c r="M374" s="107"/>
      <c r="N374" s="107"/>
      <c r="O374" s="107"/>
      <c r="P374" s="107"/>
      <c r="Q374" s="107"/>
    </row>
    <row r="375" spans="1:17">
      <c r="A375" s="107"/>
      <c r="B375" s="107"/>
      <c r="C375" s="107"/>
      <c r="D375" s="107"/>
      <c r="E375" s="107"/>
      <c r="F375" s="107"/>
      <c r="G375" s="107"/>
      <c r="H375" s="107"/>
      <c r="I375" s="107"/>
      <c r="J375" s="107"/>
      <c r="K375" s="107"/>
      <c r="L375" s="107"/>
      <c r="M375" s="107"/>
      <c r="N375" s="107"/>
      <c r="O375" s="107"/>
      <c r="P375" s="107"/>
      <c r="Q375" s="107"/>
    </row>
    <row r="376" spans="1:17">
      <c r="A376" s="107"/>
      <c r="B376" s="107"/>
      <c r="C376" s="107"/>
      <c r="D376" s="107"/>
      <c r="E376" s="107"/>
      <c r="F376" s="107"/>
      <c r="G376" s="107"/>
      <c r="H376" s="107"/>
      <c r="I376" s="107"/>
      <c r="J376" s="107"/>
      <c r="K376" s="107"/>
      <c r="L376" s="107"/>
      <c r="M376" s="107"/>
      <c r="N376" s="107"/>
      <c r="O376" s="107"/>
      <c r="P376" s="107"/>
      <c r="Q376" s="107"/>
    </row>
    <row r="377" spans="1:17">
      <c r="A377" s="107"/>
      <c r="B377" s="107"/>
      <c r="C377" s="107"/>
      <c r="D377" s="107"/>
      <c r="E377" s="107"/>
      <c r="F377" s="107"/>
      <c r="G377" s="107"/>
      <c r="H377" s="107"/>
      <c r="I377" s="107"/>
      <c r="J377" s="107"/>
      <c r="K377" s="107"/>
      <c r="L377" s="107"/>
      <c r="M377" s="107"/>
      <c r="N377" s="107"/>
      <c r="O377" s="107"/>
      <c r="P377" s="107"/>
      <c r="Q377" s="107"/>
    </row>
    <row r="378" spans="1:17">
      <c r="A378" s="107"/>
      <c r="B378" s="107"/>
      <c r="C378" s="107"/>
      <c r="D378" s="107"/>
      <c r="E378" s="107"/>
      <c r="F378" s="107"/>
      <c r="G378" s="107"/>
      <c r="H378" s="107"/>
      <c r="I378" s="107"/>
      <c r="J378" s="107"/>
      <c r="K378" s="107"/>
      <c r="L378" s="107"/>
      <c r="M378" s="107"/>
      <c r="N378" s="107"/>
      <c r="O378" s="107"/>
      <c r="P378" s="107"/>
      <c r="Q378" s="107"/>
    </row>
    <row r="379" spans="1:17">
      <c r="A379" s="107"/>
      <c r="B379" s="107"/>
      <c r="C379" s="107"/>
      <c r="D379" s="107"/>
      <c r="E379" s="107"/>
      <c r="F379" s="107"/>
      <c r="G379" s="107"/>
      <c r="H379" s="107"/>
      <c r="I379" s="107"/>
      <c r="J379" s="107"/>
      <c r="K379" s="107"/>
      <c r="L379" s="107"/>
      <c r="M379" s="107"/>
      <c r="N379" s="107"/>
      <c r="O379" s="107"/>
      <c r="P379" s="107"/>
      <c r="Q379" s="107"/>
    </row>
    <row r="380" spans="1:17">
      <c r="A380" s="107"/>
      <c r="B380" s="107"/>
      <c r="C380" s="107"/>
      <c r="D380" s="107"/>
      <c r="E380" s="107"/>
      <c r="F380" s="107"/>
      <c r="G380" s="107"/>
      <c r="H380" s="107"/>
      <c r="I380" s="107"/>
      <c r="J380" s="107"/>
      <c r="K380" s="107"/>
      <c r="L380" s="107"/>
      <c r="M380" s="107"/>
      <c r="N380" s="107"/>
      <c r="O380" s="107"/>
      <c r="P380" s="107"/>
      <c r="Q380" s="107"/>
    </row>
    <row r="381" spans="1:17">
      <c r="A381" s="107"/>
      <c r="B381" s="107"/>
      <c r="C381" s="107"/>
      <c r="D381" s="107"/>
      <c r="E381" s="107"/>
      <c r="F381" s="107"/>
      <c r="G381" s="107"/>
      <c r="H381" s="107"/>
      <c r="I381" s="107"/>
      <c r="J381" s="107"/>
      <c r="K381" s="107"/>
      <c r="L381" s="107"/>
      <c r="M381" s="107"/>
      <c r="N381" s="107"/>
      <c r="O381" s="107"/>
      <c r="P381" s="107"/>
      <c r="Q381" s="107"/>
    </row>
    <row r="382" spans="1:17">
      <c r="A382" s="107"/>
      <c r="B382" s="107"/>
      <c r="C382" s="107"/>
      <c r="D382" s="107"/>
      <c r="E382" s="107"/>
      <c r="F382" s="107"/>
      <c r="G382" s="107"/>
      <c r="H382" s="107"/>
      <c r="I382" s="107"/>
      <c r="J382" s="107"/>
      <c r="K382" s="107"/>
      <c r="L382" s="107"/>
      <c r="M382" s="107"/>
      <c r="N382" s="107"/>
      <c r="O382" s="107"/>
      <c r="P382" s="107"/>
      <c r="Q382" s="107"/>
    </row>
    <row r="383" spans="1:17">
      <c r="A383" s="107"/>
      <c r="B383" s="107"/>
      <c r="C383" s="107"/>
      <c r="D383" s="107"/>
      <c r="E383" s="107"/>
      <c r="F383" s="107"/>
      <c r="G383" s="107"/>
      <c r="H383" s="107"/>
      <c r="I383" s="107"/>
      <c r="J383" s="107"/>
      <c r="K383" s="107"/>
      <c r="L383" s="107"/>
      <c r="M383" s="107"/>
      <c r="N383" s="107"/>
      <c r="O383" s="107"/>
      <c r="P383" s="107"/>
      <c r="Q383" s="107"/>
    </row>
    <row r="384" spans="1:17">
      <c r="A384" s="107"/>
      <c r="B384" s="107"/>
      <c r="C384" s="107"/>
      <c r="D384" s="107"/>
      <c r="E384" s="107"/>
      <c r="F384" s="107"/>
      <c r="G384" s="107"/>
      <c r="H384" s="107"/>
      <c r="I384" s="107"/>
      <c r="J384" s="107"/>
      <c r="K384" s="107"/>
      <c r="L384" s="107"/>
      <c r="M384" s="107"/>
      <c r="N384" s="107"/>
      <c r="O384" s="107"/>
      <c r="P384" s="107"/>
      <c r="Q384" s="107"/>
    </row>
    <row r="385" spans="1:17">
      <c r="A385" s="107"/>
      <c r="B385" s="107"/>
      <c r="C385" s="107"/>
      <c r="D385" s="107"/>
      <c r="E385" s="107"/>
      <c r="F385" s="107"/>
      <c r="G385" s="107"/>
      <c r="H385" s="107"/>
      <c r="I385" s="107"/>
      <c r="J385" s="107"/>
      <c r="K385" s="107"/>
      <c r="L385" s="107"/>
      <c r="M385" s="107"/>
      <c r="N385" s="107"/>
      <c r="O385" s="107"/>
      <c r="P385" s="107"/>
      <c r="Q385" s="107"/>
    </row>
    <row r="386" spans="1:17">
      <c r="A386" s="107"/>
      <c r="B386" s="107"/>
      <c r="C386" s="107"/>
      <c r="D386" s="107"/>
      <c r="E386" s="107"/>
      <c r="F386" s="107"/>
      <c r="G386" s="107"/>
      <c r="H386" s="107"/>
      <c r="I386" s="107"/>
      <c r="J386" s="107"/>
      <c r="K386" s="107"/>
      <c r="L386" s="107"/>
      <c r="M386" s="107"/>
      <c r="N386" s="107"/>
      <c r="O386" s="107"/>
      <c r="P386" s="107"/>
      <c r="Q386" s="107"/>
    </row>
    <row r="387" spans="1:17">
      <c r="A387" s="107"/>
      <c r="B387" s="107"/>
      <c r="C387" s="107"/>
      <c r="D387" s="107"/>
      <c r="E387" s="107"/>
      <c r="F387" s="107"/>
      <c r="G387" s="107"/>
      <c r="H387" s="107"/>
      <c r="I387" s="107"/>
      <c r="J387" s="107"/>
      <c r="K387" s="107"/>
      <c r="L387" s="107"/>
      <c r="M387" s="107"/>
      <c r="N387" s="107"/>
      <c r="O387" s="107"/>
      <c r="P387" s="107"/>
      <c r="Q387" s="107"/>
    </row>
    <row r="388" spans="1:17">
      <c r="A388" s="107"/>
      <c r="B388" s="107"/>
      <c r="C388" s="107"/>
      <c r="D388" s="107"/>
      <c r="E388" s="107"/>
      <c r="F388" s="107"/>
      <c r="G388" s="107"/>
      <c r="H388" s="107"/>
      <c r="I388" s="107"/>
      <c r="J388" s="107"/>
      <c r="K388" s="107"/>
      <c r="L388" s="107"/>
      <c r="M388" s="107"/>
      <c r="N388" s="107"/>
      <c r="O388" s="107"/>
      <c r="P388" s="107"/>
      <c r="Q388" s="107"/>
    </row>
    <row r="389" spans="1:17">
      <c r="A389" s="107"/>
      <c r="B389" s="107"/>
      <c r="C389" s="107"/>
      <c r="D389" s="107"/>
      <c r="E389" s="107"/>
      <c r="F389" s="107"/>
      <c r="G389" s="107"/>
      <c r="H389" s="107"/>
      <c r="I389" s="107"/>
      <c r="J389" s="107"/>
      <c r="K389" s="107"/>
      <c r="L389" s="107"/>
      <c r="M389" s="107"/>
      <c r="N389" s="107"/>
      <c r="O389" s="107"/>
      <c r="P389" s="107"/>
      <c r="Q389" s="107"/>
    </row>
    <row r="390" spans="1:17">
      <c r="A390" s="107"/>
      <c r="B390" s="107"/>
      <c r="C390" s="107"/>
      <c r="D390" s="107"/>
      <c r="E390" s="107"/>
      <c r="F390" s="107"/>
      <c r="G390" s="107"/>
      <c r="H390" s="107"/>
      <c r="I390" s="107"/>
      <c r="J390" s="107"/>
      <c r="K390" s="107"/>
      <c r="L390" s="107"/>
      <c r="M390" s="107"/>
      <c r="N390" s="107"/>
      <c r="O390" s="107"/>
      <c r="P390" s="107"/>
      <c r="Q390" s="107"/>
    </row>
    <row r="391" spans="1:17">
      <c r="A391" s="107"/>
      <c r="B391" s="107"/>
      <c r="C391" s="107"/>
      <c r="D391" s="107"/>
      <c r="E391" s="107"/>
      <c r="F391" s="107"/>
      <c r="G391" s="107"/>
      <c r="H391" s="107"/>
      <c r="I391" s="107"/>
      <c r="J391" s="107"/>
      <c r="K391" s="107"/>
      <c r="L391" s="107"/>
      <c r="M391" s="107"/>
      <c r="N391" s="107"/>
      <c r="O391" s="107"/>
      <c r="P391" s="107"/>
      <c r="Q391" s="107"/>
    </row>
    <row r="392" spans="1:17">
      <c r="A392" s="107"/>
      <c r="B392" s="107"/>
      <c r="C392" s="107"/>
      <c r="D392" s="107"/>
      <c r="E392" s="107"/>
      <c r="F392" s="107"/>
      <c r="G392" s="107"/>
      <c r="H392" s="107"/>
      <c r="I392" s="107"/>
      <c r="J392" s="107"/>
      <c r="K392" s="107"/>
      <c r="L392" s="107"/>
      <c r="M392" s="107"/>
      <c r="N392" s="107"/>
      <c r="O392" s="107"/>
      <c r="P392" s="107"/>
      <c r="Q392" s="107"/>
    </row>
    <row r="393" spans="1:17">
      <c r="A393" s="107"/>
      <c r="B393" s="107"/>
      <c r="C393" s="107"/>
      <c r="D393" s="107"/>
      <c r="E393" s="107"/>
      <c r="F393" s="107"/>
      <c r="G393" s="107"/>
      <c r="H393" s="107"/>
      <c r="I393" s="107"/>
      <c r="J393" s="107"/>
      <c r="K393" s="107"/>
      <c r="L393" s="107"/>
      <c r="M393" s="107"/>
      <c r="N393" s="107"/>
      <c r="O393" s="107"/>
      <c r="P393" s="107"/>
      <c r="Q393" s="107"/>
    </row>
    <row r="394" spans="1:17">
      <c r="A394" s="107"/>
      <c r="B394" s="107"/>
      <c r="C394" s="107"/>
      <c r="D394" s="107"/>
      <c r="E394" s="107"/>
      <c r="F394" s="107"/>
      <c r="G394" s="107"/>
      <c r="H394" s="107"/>
      <c r="I394" s="107"/>
      <c r="J394" s="107"/>
      <c r="K394" s="107"/>
      <c r="L394" s="107"/>
      <c r="M394" s="107"/>
      <c r="N394" s="107"/>
      <c r="O394" s="107"/>
      <c r="P394" s="107"/>
      <c r="Q394" s="107"/>
    </row>
    <row r="395" spans="1:17">
      <c r="A395" s="107"/>
      <c r="B395" s="107"/>
      <c r="C395" s="107"/>
      <c r="D395" s="107"/>
      <c r="E395" s="107"/>
      <c r="F395" s="107"/>
      <c r="G395" s="107"/>
      <c r="H395" s="107"/>
      <c r="I395" s="107"/>
      <c r="J395" s="107"/>
      <c r="K395" s="107"/>
      <c r="L395" s="107"/>
      <c r="M395" s="107"/>
      <c r="N395" s="107"/>
      <c r="O395" s="107"/>
      <c r="P395" s="107"/>
      <c r="Q395" s="107"/>
    </row>
    <row r="396" spans="1:17">
      <c r="A396" s="107"/>
      <c r="B396" s="107"/>
      <c r="C396" s="107"/>
      <c r="D396" s="107"/>
      <c r="E396" s="107"/>
      <c r="F396" s="107"/>
      <c r="G396" s="107"/>
      <c r="H396" s="107"/>
      <c r="I396" s="107"/>
      <c r="J396" s="107"/>
      <c r="K396" s="107"/>
      <c r="L396" s="107"/>
      <c r="M396" s="107"/>
      <c r="N396" s="107"/>
      <c r="O396" s="107"/>
      <c r="P396" s="107"/>
      <c r="Q396" s="107"/>
    </row>
    <row r="397" spans="1:17">
      <c r="A397" s="107"/>
      <c r="B397" s="107"/>
      <c r="C397" s="107"/>
      <c r="D397" s="107"/>
      <c r="E397" s="107"/>
      <c r="F397" s="107"/>
      <c r="G397" s="107"/>
      <c r="H397" s="107"/>
      <c r="I397" s="107"/>
      <c r="J397" s="107"/>
      <c r="K397" s="107"/>
      <c r="L397" s="107"/>
      <c r="M397" s="107"/>
      <c r="N397" s="107"/>
      <c r="O397" s="107"/>
      <c r="P397" s="107"/>
      <c r="Q397" s="107"/>
    </row>
    <row r="398" spans="1:17">
      <c r="A398" s="107"/>
      <c r="B398" s="107"/>
      <c r="C398" s="107"/>
      <c r="D398" s="107"/>
      <c r="E398" s="107"/>
      <c r="F398" s="107"/>
      <c r="G398" s="107"/>
      <c r="H398" s="107"/>
      <c r="I398" s="107"/>
      <c r="J398" s="107"/>
      <c r="K398" s="107"/>
      <c r="L398" s="107"/>
      <c r="M398" s="107"/>
      <c r="N398" s="107"/>
      <c r="O398" s="107"/>
      <c r="P398" s="107"/>
      <c r="Q398" s="107"/>
    </row>
    <row r="399" spans="1:17">
      <c r="A399" s="107"/>
      <c r="B399" s="107"/>
      <c r="C399" s="107"/>
      <c r="D399" s="107"/>
      <c r="E399" s="107"/>
      <c r="F399" s="107"/>
      <c r="G399" s="107"/>
      <c r="H399" s="107"/>
      <c r="I399" s="107"/>
      <c r="J399" s="107"/>
      <c r="K399" s="107"/>
      <c r="L399" s="107"/>
      <c r="M399" s="107"/>
      <c r="N399" s="107"/>
      <c r="O399" s="107"/>
      <c r="P399" s="107"/>
      <c r="Q399" s="107"/>
    </row>
    <row r="400" spans="1:17">
      <c r="A400" s="107"/>
      <c r="B400" s="107"/>
      <c r="C400" s="107"/>
      <c r="D400" s="107"/>
      <c r="E400" s="107"/>
      <c r="F400" s="107"/>
      <c r="G400" s="107"/>
      <c r="H400" s="107"/>
      <c r="I400" s="107"/>
      <c r="J400" s="107"/>
      <c r="K400" s="107"/>
      <c r="L400" s="107"/>
      <c r="M400" s="107"/>
      <c r="N400" s="107"/>
      <c r="O400" s="107"/>
      <c r="P400" s="107"/>
      <c r="Q400" s="107"/>
    </row>
    <row r="401" spans="1:17">
      <c r="A401" s="107"/>
      <c r="B401" s="107"/>
      <c r="C401" s="107"/>
      <c r="D401" s="107"/>
      <c r="E401" s="107"/>
      <c r="F401" s="107"/>
      <c r="G401" s="107"/>
      <c r="H401" s="107"/>
      <c r="I401" s="107"/>
      <c r="J401" s="107"/>
      <c r="K401" s="107"/>
      <c r="L401" s="107"/>
      <c r="M401" s="107"/>
      <c r="N401" s="107"/>
      <c r="O401" s="107"/>
      <c r="P401" s="107"/>
      <c r="Q401" s="107"/>
    </row>
    <row r="402" spans="1:17">
      <c r="A402" s="107"/>
      <c r="B402" s="107"/>
      <c r="C402" s="107"/>
      <c r="D402" s="107"/>
      <c r="E402" s="107"/>
      <c r="F402" s="107"/>
      <c r="G402" s="107"/>
      <c r="H402" s="107"/>
      <c r="I402" s="107"/>
      <c r="J402" s="107"/>
      <c r="K402" s="107"/>
      <c r="L402" s="107"/>
      <c r="M402" s="107"/>
      <c r="N402" s="107"/>
      <c r="O402" s="107"/>
      <c r="P402" s="107"/>
      <c r="Q402" s="107"/>
    </row>
    <row r="403" spans="1:17">
      <c r="A403" s="107"/>
      <c r="B403" s="107"/>
      <c r="C403" s="107"/>
      <c r="D403" s="107"/>
      <c r="E403" s="107"/>
      <c r="F403" s="107"/>
      <c r="G403" s="107"/>
      <c r="H403" s="107"/>
      <c r="I403" s="107"/>
      <c r="J403" s="107"/>
      <c r="K403" s="107"/>
      <c r="L403" s="107"/>
      <c r="M403" s="107"/>
      <c r="N403" s="107"/>
      <c r="O403" s="107"/>
      <c r="P403" s="107"/>
      <c r="Q403" s="107"/>
    </row>
    <row r="404" spans="1:17">
      <c r="A404" s="107"/>
      <c r="B404" s="107"/>
      <c r="C404" s="107"/>
      <c r="D404" s="107"/>
      <c r="E404" s="107"/>
      <c r="F404" s="107"/>
      <c r="G404" s="107"/>
      <c r="H404" s="107"/>
      <c r="I404" s="107"/>
      <c r="J404" s="107"/>
      <c r="K404" s="107"/>
      <c r="L404" s="107"/>
      <c r="M404" s="107"/>
      <c r="N404" s="107"/>
      <c r="O404" s="107"/>
      <c r="P404" s="107"/>
      <c r="Q404" s="107"/>
    </row>
    <row r="405" spans="1:17">
      <c r="A405" s="107"/>
      <c r="B405" s="107"/>
      <c r="C405" s="107"/>
      <c r="D405" s="107"/>
      <c r="E405" s="107"/>
      <c r="F405" s="107"/>
      <c r="G405" s="107"/>
      <c r="H405" s="107"/>
      <c r="I405" s="107"/>
      <c r="J405" s="107"/>
      <c r="K405" s="107"/>
      <c r="L405" s="107"/>
      <c r="M405" s="107"/>
      <c r="N405" s="107"/>
      <c r="O405" s="107"/>
      <c r="P405" s="107"/>
      <c r="Q405" s="107"/>
    </row>
    <row r="406" spans="1:17">
      <c r="A406" s="107"/>
      <c r="B406" s="107"/>
      <c r="C406" s="107"/>
      <c r="D406" s="107"/>
      <c r="E406" s="107"/>
      <c r="F406" s="107"/>
      <c r="G406" s="107"/>
      <c r="H406" s="107"/>
      <c r="I406" s="107"/>
      <c r="J406" s="107"/>
      <c r="K406" s="107"/>
      <c r="L406" s="107"/>
      <c r="M406" s="107"/>
      <c r="N406" s="107"/>
      <c r="O406" s="107"/>
      <c r="P406" s="107"/>
      <c r="Q406" s="107"/>
    </row>
    <row r="407" spans="1:17">
      <c r="A407" s="107"/>
      <c r="B407" s="107"/>
      <c r="C407" s="107"/>
      <c r="D407" s="107"/>
      <c r="E407" s="107"/>
      <c r="F407" s="107"/>
      <c r="G407" s="107"/>
      <c r="H407" s="107"/>
      <c r="I407" s="107"/>
      <c r="J407" s="107"/>
      <c r="K407" s="107"/>
      <c r="L407" s="107"/>
      <c r="M407" s="107"/>
      <c r="N407" s="107"/>
      <c r="O407" s="107"/>
      <c r="P407" s="107"/>
      <c r="Q407" s="107"/>
    </row>
    <row r="408" spans="1:17">
      <c r="A408" s="107"/>
      <c r="B408" s="107"/>
      <c r="C408" s="107"/>
      <c r="D408" s="107"/>
      <c r="E408" s="107"/>
      <c r="F408" s="107"/>
      <c r="G408" s="107"/>
      <c r="H408" s="107"/>
      <c r="I408" s="107"/>
      <c r="J408" s="107"/>
      <c r="K408" s="107"/>
      <c r="L408" s="107"/>
      <c r="M408" s="107"/>
      <c r="N408" s="107"/>
      <c r="O408" s="107"/>
      <c r="P408" s="107"/>
      <c r="Q408" s="107"/>
    </row>
    <row r="409" spans="1:17">
      <c r="A409" s="107"/>
      <c r="B409" s="107"/>
      <c r="C409" s="107"/>
      <c r="D409" s="107"/>
      <c r="E409" s="107"/>
      <c r="F409" s="107"/>
      <c r="G409" s="107"/>
      <c r="H409" s="107"/>
      <c r="I409" s="107"/>
      <c r="J409" s="107"/>
      <c r="K409" s="107"/>
      <c r="L409" s="107"/>
      <c r="M409" s="107"/>
      <c r="N409" s="107"/>
      <c r="O409" s="107"/>
      <c r="P409" s="107"/>
      <c r="Q409" s="107"/>
    </row>
    <row r="410" spans="1:17">
      <c r="A410" s="107"/>
      <c r="B410" s="107"/>
      <c r="C410" s="107"/>
      <c r="D410" s="107"/>
      <c r="E410" s="107"/>
      <c r="F410" s="107"/>
      <c r="G410" s="107"/>
      <c r="H410" s="107"/>
      <c r="I410" s="107"/>
      <c r="J410" s="107"/>
      <c r="K410" s="107"/>
      <c r="L410" s="107"/>
      <c r="M410" s="107"/>
      <c r="N410" s="107"/>
      <c r="O410" s="107"/>
      <c r="P410" s="107"/>
      <c r="Q410" s="107"/>
    </row>
    <row r="411" spans="1:17">
      <c r="A411" s="107"/>
      <c r="B411" s="107"/>
      <c r="C411" s="107"/>
      <c r="D411" s="107"/>
      <c r="E411" s="107"/>
      <c r="F411" s="107"/>
      <c r="G411" s="107"/>
      <c r="H411" s="107"/>
      <c r="I411" s="107"/>
      <c r="J411" s="107"/>
      <c r="K411" s="107"/>
      <c r="L411" s="107"/>
      <c r="M411" s="107"/>
      <c r="N411" s="107"/>
      <c r="O411" s="107"/>
      <c r="P411" s="107"/>
      <c r="Q411" s="107"/>
    </row>
    <row r="412" spans="1:17">
      <c r="A412" s="107"/>
      <c r="B412" s="107"/>
      <c r="C412" s="107"/>
      <c r="D412" s="107"/>
      <c r="E412" s="107"/>
      <c r="F412" s="107"/>
      <c r="G412" s="107"/>
      <c r="H412" s="107"/>
      <c r="I412" s="107"/>
      <c r="J412" s="107"/>
      <c r="K412" s="107"/>
      <c r="L412" s="107"/>
      <c r="M412" s="107"/>
      <c r="N412" s="107"/>
      <c r="O412" s="107"/>
      <c r="P412" s="107"/>
      <c r="Q412" s="107"/>
    </row>
    <row r="413" spans="1:17">
      <c r="A413" s="107"/>
      <c r="B413" s="107"/>
      <c r="C413" s="107"/>
      <c r="D413" s="107"/>
      <c r="E413" s="107"/>
      <c r="F413" s="107"/>
      <c r="G413" s="107"/>
      <c r="H413" s="107"/>
      <c r="I413" s="107"/>
      <c r="J413" s="107"/>
      <c r="K413" s="107"/>
      <c r="L413" s="107"/>
      <c r="M413" s="107"/>
      <c r="N413" s="107"/>
      <c r="O413" s="107"/>
      <c r="P413" s="107"/>
      <c r="Q413" s="107"/>
    </row>
    <row r="414" spans="1:17">
      <c r="A414" s="107"/>
      <c r="B414" s="107"/>
      <c r="C414" s="107"/>
      <c r="D414" s="107"/>
      <c r="E414" s="107"/>
      <c r="F414" s="107"/>
      <c r="G414" s="107"/>
      <c r="H414" s="107"/>
      <c r="I414" s="107"/>
      <c r="J414" s="107"/>
      <c r="K414" s="107"/>
      <c r="L414" s="107"/>
      <c r="M414" s="107"/>
      <c r="N414" s="107"/>
      <c r="O414" s="107"/>
      <c r="P414" s="107"/>
      <c r="Q414" s="107"/>
    </row>
    <row r="415" spans="1:17">
      <c r="A415" s="107"/>
      <c r="B415" s="107"/>
      <c r="C415" s="107"/>
      <c r="D415" s="107"/>
      <c r="E415" s="107"/>
      <c r="F415" s="107"/>
      <c r="G415" s="107"/>
      <c r="H415" s="107"/>
      <c r="I415" s="107"/>
      <c r="J415" s="107"/>
      <c r="K415" s="107"/>
      <c r="L415" s="107"/>
      <c r="M415" s="107"/>
      <c r="N415" s="107"/>
      <c r="O415" s="107"/>
      <c r="P415" s="107"/>
      <c r="Q415" s="107"/>
    </row>
    <row r="416" spans="1:17">
      <c r="A416" s="107"/>
      <c r="B416" s="107"/>
      <c r="C416" s="107"/>
      <c r="D416" s="107"/>
      <c r="E416" s="107"/>
      <c r="F416" s="107"/>
      <c r="G416" s="107"/>
      <c r="H416" s="107"/>
      <c r="I416" s="107"/>
      <c r="J416" s="107"/>
      <c r="K416" s="107"/>
      <c r="L416" s="107"/>
      <c r="M416" s="107"/>
      <c r="N416" s="107"/>
      <c r="O416" s="107"/>
      <c r="P416" s="107"/>
      <c r="Q416" s="107"/>
    </row>
    <row r="417" spans="1:17">
      <c r="A417" s="107"/>
      <c r="B417" s="107"/>
      <c r="C417" s="107"/>
      <c r="D417" s="107"/>
      <c r="E417" s="107"/>
      <c r="F417" s="107"/>
      <c r="G417" s="107"/>
      <c r="H417" s="107"/>
      <c r="I417" s="107"/>
      <c r="J417" s="107"/>
      <c r="K417" s="107"/>
      <c r="L417" s="107"/>
      <c r="M417" s="107"/>
      <c r="N417" s="107"/>
      <c r="O417" s="107"/>
      <c r="P417" s="107"/>
      <c r="Q417" s="107"/>
    </row>
    <row r="418" spans="1:17">
      <c r="A418" s="107"/>
      <c r="B418" s="107"/>
      <c r="C418" s="107"/>
      <c r="D418" s="107"/>
      <c r="E418" s="107"/>
      <c r="F418" s="107"/>
      <c r="G418" s="107"/>
      <c r="H418" s="107"/>
      <c r="I418" s="107"/>
      <c r="J418" s="107"/>
      <c r="K418" s="107"/>
      <c r="L418" s="107"/>
      <c r="M418" s="107"/>
      <c r="N418" s="107"/>
      <c r="O418" s="107"/>
      <c r="P418" s="107"/>
      <c r="Q418" s="107"/>
    </row>
    <row r="419" spans="1:17">
      <c r="A419" s="107"/>
      <c r="B419" s="107"/>
      <c r="C419" s="107"/>
      <c r="D419" s="107"/>
      <c r="E419" s="107"/>
      <c r="F419" s="107"/>
      <c r="G419" s="107"/>
      <c r="H419" s="107"/>
      <c r="I419" s="107"/>
      <c r="J419" s="107"/>
      <c r="K419" s="107"/>
      <c r="L419" s="107"/>
      <c r="M419" s="107"/>
      <c r="N419" s="107"/>
      <c r="O419" s="107"/>
      <c r="P419" s="107"/>
      <c r="Q419" s="107"/>
    </row>
    <row r="420" spans="1:17">
      <c r="A420" s="107"/>
      <c r="B420" s="107"/>
      <c r="C420" s="107"/>
      <c r="D420" s="107"/>
      <c r="E420" s="107"/>
      <c r="F420" s="107"/>
      <c r="G420" s="107"/>
      <c r="H420" s="107"/>
      <c r="I420" s="107"/>
      <c r="J420" s="107"/>
      <c r="K420" s="107"/>
      <c r="L420" s="107"/>
      <c r="M420" s="107"/>
      <c r="N420" s="107"/>
      <c r="O420" s="107"/>
      <c r="P420" s="107"/>
      <c r="Q420" s="107"/>
    </row>
    <row r="421" spans="1:17">
      <c r="A421" s="107"/>
      <c r="B421" s="107"/>
      <c r="C421" s="107"/>
      <c r="D421" s="107"/>
      <c r="E421" s="107"/>
      <c r="F421" s="107"/>
      <c r="G421" s="107"/>
      <c r="H421" s="107"/>
      <c r="I421" s="107"/>
      <c r="J421" s="107"/>
      <c r="K421" s="107"/>
      <c r="L421" s="107"/>
      <c r="M421" s="107"/>
      <c r="N421" s="107"/>
      <c r="O421" s="107"/>
      <c r="P421" s="107"/>
      <c r="Q421" s="107"/>
    </row>
    <row r="422" spans="1:17">
      <c r="A422" s="107"/>
      <c r="B422" s="107"/>
      <c r="C422" s="107"/>
      <c r="D422" s="107"/>
      <c r="E422" s="107"/>
      <c r="F422" s="107"/>
      <c r="G422" s="107"/>
      <c r="H422" s="107"/>
      <c r="I422" s="107"/>
      <c r="J422" s="107"/>
      <c r="K422" s="107"/>
      <c r="L422" s="107"/>
      <c r="M422" s="107"/>
      <c r="N422" s="107"/>
      <c r="O422" s="107"/>
      <c r="P422" s="107"/>
      <c r="Q422" s="107"/>
    </row>
    <row r="423" spans="1:17">
      <c r="A423" s="107"/>
      <c r="B423" s="107"/>
      <c r="C423" s="107"/>
      <c r="D423" s="107"/>
      <c r="E423" s="107"/>
      <c r="F423" s="107"/>
      <c r="G423" s="107"/>
      <c r="H423" s="107"/>
      <c r="I423" s="107"/>
      <c r="J423" s="107"/>
      <c r="K423" s="107"/>
      <c r="L423" s="107"/>
      <c r="M423" s="107"/>
      <c r="N423" s="107"/>
      <c r="O423" s="107"/>
      <c r="P423" s="107"/>
      <c r="Q423" s="107"/>
    </row>
    <row r="424" spans="1:17">
      <c r="A424" s="107"/>
      <c r="B424" s="107"/>
      <c r="C424" s="107"/>
      <c r="D424" s="107"/>
      <c r="E424" s="107"/>
      <c r="F424" s="107"/>
      <c r="G424" s="107"/>
      <c r="H424" s="107"/>
      <c r="I424" s="107"/>
      <c r="J424" s="107"/>
      <c r="K424" s="107"/>
      <c r="L424" s="107"/>
      <c r="M424" s="107"/>
      <c r="N424" s="107"/>
      <c r="O424" s="107"/>
      <c r="P424" s="107"/>
      <c r="Q424" s="107"/>
    </row>
    <row r="425" spans="1:17">
      <c r="A425" s="107"/>
      <c r="B425" s="107"/>
      <c r="C425" s="107"/>
      <c r="D425" s="107"/>
      <c r="E425" s="107"/>
      <c r="F425" s="107"/>
      <c r="G425" s="107"/>
      <c r="H425" s="107"/>
      <c r="I425" s="107"/>
      <c r="J425" s="107"/>
      <c r="K425" s="107"/>
      <c r="L425" s="107"/>
      <c r="M425" s="107"/>
      <c r="N425" s="107"/>
      <c r="O425" s="107"/>
      <c r="P425" s="107"/>
      <c r="Q425" s="107"/>
    </row>
    <row r="426" spans="1:17">
      <c r="A426" s="107"/>
      <c r="B426" s="107"/>
      <c r="C426" s="107"/>
      <c r="D426" s="107"/>
      <c r="E426" s="107"/>
      <c r="F426" s="107"/>
      <c r="G426" s="107"/>
      <c r="H426" s="107"/>
      <c r="I426" s="107"/>
      <c r="J426" s="107"/>
      <c r="K426" s="107"/>
      <c r="L426" s="107"/>
      <c r="M426" s="107"/>
      <c r="N426" s="107"/>
      <c r="O426" s="107"/>
      <c r="P426" s="107"/>
      <c r="Q426" s="107"/>
    </row>
    <row r="427" spans="1:17">
      <c r="A427" s="107"/>
      <c r="B427" s="107"/>
      <c r="C427" s="107"/>
      <c r="D427" s="107"/>
      <c r="E427" s="107"/>
      <c r="F427" s="107"/>
      <c r="G427" s="107"/>
      <c r="H427" s="107"/>
      <c r="I427" s="107"/>
      <c r="J427" s="107"/>
      <c r="K427" s="107"/>
      <c r="L427" s="107"/>
      <c r="M427" s="107"/>
      <c r="N427" s="107"/>
      <c r="O427" s="107"/>
      <c r="P427" s="107"/>
      <c r="Q427" s="107"/>
    </row>
    <row r="428" spans="1:17">
      <c r="A428" s="107"/>
      <c r="B428" s="107"/>
      <c r="C428" s="107"/>
      <c r="D428" s="107"/>
      <c r="E428" s="107"/>
      <c r="F428" s="107"/>
      <c r="G428" s="107"/>
      <c r="H428" s="107"/>
      <c r="I428" s="107"/>
      <c r="J428" s="107"/>
      <c r="K428" s="107"/>
      <c r="L428" s="107"/>
      <c r="M428" s="107"/>
      <c r="N428" s="107"/>
      <c r="O428" s="107"/>
      <c r="P428" s="107"/>
      <c r="Q428" s="107"/>
    </row>
    <row r="429" spans="1:17">
      <c r="A429" s="107"/>
      <c r="B429" s="107"/>
      <c r="C429" s="107"/>
      <c r="D429" s="107"/>
      <c r="E429" s="107"/>
      <c r="F429" s="107"/>
      <c r="G429" s="107"/>
      <c r="H429" s="107"/>
      <c r="I429" s="107"/>
      <c r="J429" s="107"/>
      <c r="K429" s="107"/>
      <c r="L429" s="107"/>
      <c r="M429" s="107"/>
      <c r="N429" s="107"/>
      <c r="O429" s="107"/>
      <c r="P429" s="107"/>
      <c r="Q429" s="107"/>
    </row>
    <row r="430" spans="1:17">
      <c r="A430" s="107"/>
      <c r="B430" s="107"/>
      <c r="C430" s="107"/>
      <c r="D430" s="107"/>
      <c r="E430" s="107"/>
      <c r="F430" s="107"/>
      <c r="G430" s="107"/>
      <c r="H430" s="107"/>
      <c r="I430" s="107"/>
      <c r="J430" s="107"/>
      <c r="K430" s="107"/>
      <c r="L430" s="107"/>
      <c r="M430" s="107"/>
      <c r="N430" s="107"/>
      <c r="O430" s="107"/>
      <c r="P430" s="107"/>
      <c r="Q430" s="107"/>
    </row>
    <row r="431" spans="1:17">
      <c r="A431" s="107"/>
      <c r="B431" s="107"/>
      <c r="C431" s="107"/>
      <c r="D431" s="107"/>
      <c r="E431" s="107"/>
      <c r="F431" s="107"/>
      <c r="G431" s="107"/>
      <c r="H431" s="107"/>
      <c r="I431" s="107"/>
      <c r="J431" s="107"/>
      <c r="K431" s="107"/>
      <c r="L431" s="107"/>
      <c r="M431" s="107"/>
      <c r="N431" s="107"/>
      <c r="O431" s="107"/>
      <c r="P431" s="107"/>
      <c r="Q431" s="107"/>
    </row>
    <row r="432" spans="1:17">
      <c r="A432" s="107"/>
      <c r="B432" s="107"/>
      <c r="C432" s="107"/>
      <c r="D432" s="107"/>
      <c r="E432" s="107"/>
      <c r="F432" s="107"/>
      <c r="G432" s="107"/>
      <c r="H432" s="107"/>
      <c r="I432" s="107"/>
      <c r="J432" s="107"/>
      <c r="K432" s="107"/>
      <c r="L432" s="107"/>
      <c r="M432" s="107"/>
      <c r="N432" s="107"/>
      <c r="O432" s="107"/>
      <c r="P432" s="107"/>
      <c r="Q432" s="107"/>
    </row>
    <row r="433" spans="1:17">
      <c r="A433" s="107"/>
      <c r="B433" s="107"/>
      <c r="C433" s="107"/>
      <c r="D433" s="107"/>
      <c r="E433" s="107"/>
      <c r="F433" s="107"/>
      <c r="G433" s="107"/>
      <c r="H433" s="107"/>
      <c r="I433" s="107"/>
      <c r="J433" s="107"/>
      <c r="K433" s="107"/>
      <c r="L433" s="107"/>
      <c r="M433" s="107"/>
      <c r="N433" s="107"/>
      <c r="O433" s="107"/>
      <c r="P433" s="107"/>
      <c r="Q433" s="107"/>
    </row>
    <row r="434" spans="1:17">
      <c r="A434" s="107"/>
      <c r="B434" s="107"/>
      <c r="C434" s="107"/>
      <c r="D434" s="107"/>
      <c r="E434" s="107"/>
      <c r="F434" s="107"/>
      <c r="G434" s="107"/>
      <c r="H434" s="107"/>
      <c r="I434" s="107"/>
      <c r="J434" s="107"/>
      <c r="K434" s="107"/>
      <c r="L434" s="107"/>
      <c r="M434" s="107"/>
      <c r="N434" s="107"/>
      <c r="O434" s="107"/>
      <c r="P434" s="107"/>
      <c r="Q434" s="107"/>
    </row>
    <row r="435" spans="1:17">
      <c r="A435" s="107"/>
      <c r="B435" s="107"/>
      <c r="C435" s="107"/>
      <c r="D435" s="107"/>
      <c r="E435" s="107"/>
      <c r="F435" s="107"/>
      <c r="G435" s="107"/>
      <c r="H435" s="107"/>
      <c r="I435" s="107"/>
      <c r="J435" s="107"/>
      <c r="K435" s="107"/>
      <c r="L435" s="107"/>
      <c r="M435" s="107"/>
      <c r="N435" s="107"/>
      <c r="O435" s="107"/>
      <c r="P435" s="107"/>
      <c r="Q435" s="107"/>
    </row>
  </sheetData>
  <customSheetViews>
    <customSheetView guid="{4E720B7F-6A3C-4034-90A5-B2BF7A394FC0}" showPageBreaks="1" showGridLines="0" printArea="1" view="pageLayout" topLeftCell="A63">
      <selection activeCell="R8" sqref="R8"/>
      <rowBreaks count="683" manualBreakCount="683">
        <brk id="94" max="16383" man="1"/>
        <brk id="95" max="15" man="1"/>
        <brk id="191" max="16383" man="1"/>
        <brk id="287" max="16383" man="1"/>
        <brk id="383" max="16383" man="1"/>
        <brk id="479" max="16383" man="1"/>
        <brk id="575" max="16383" man="1"/>
        <brk id="671" max="16383" man="1"/>
        <brk id="767" max="16383" man="1"/>
        <brk id="863" max="16383" man="1"/>
        <brk id="959" max="16383" man="1"/>
        <brk id="1055" max="16383" man="1"/>
        <brk id="1151" max="16383" man="1"/>
        <brk id="1247" max="16383" man="1"/>
        <brk id="1343" max="16383" man="1"/>
        <brk id="1439" max="16383" man="1"/>
        <brk id="1535" max="16383" man="1"/>
        <brk id="1631" max="16383" man="1"/>
        <brk id="1727" max="16383" man="1"/>
        <brk id="1823" max="16383" man="1"/>
        <brk id="1919" max="16383" man="1"/>
        <brk id="2015" max="16383" man="1"/>
        <brk id="2111" max="16383" man="1"/>
        <brk id="2207" max="16383" man="1"/>
        <brk id="2303" max="16383" man="1"/>
        <brk id="2399" max="16383" man="1"/>
        <brk id="2495" max="16383" man="1"/>
        <brk id="2591" max="16383" man="1"/>
        <brk id="2687" max="16383" man="1"/>
        <brk id="2783" max="16383" man="1"/>
        <brk id="2879" max="16383" man="1"/>
        <brk id="2975" max="16383" man="1"/>
        <brk id="3071" max="16383" man="1"/>
        <brk id="3167" max="16383" man="1"/>
        <brk id="3263" max="16383" man="1"/>
        <brk id="3359" max="16383" man="1"/>
        <brk id="3455" max="16383" man="1"/>
        <brk id="3551" max="16383" man="1"/>
        <brk id="3647" max="16383" man="1"/>
        <brk id="3743" max="16383" man="1"/>
        <brk id="3839" max="16383" man="1"/>
        <brk id="3935" max="16383" man="1"/>
        <brk id="4031" max="16383" man="1"/>
        <brk id="4127" max="16383" man="1"/>
        <brk id="4223" max="16383" man="1"/>
        <brk id="4319" max="16383" man="1"/>
        <brk id="4415" max="16383" man="1"/>
        <brk id="4511" max="16383" man="1"/>
        <brk id="4607" max="16383" man="1"/>
        <brk id="4703" max="16383" man="1"/>
        <brk id="4799" max="16383" man="1"/>
        <brk id="4895" max="16383" man="1"/>
        <brk id="4991" max="16383" man="1"/>
        <brk id="5087" max="16383" man="1"/>
        <brk id="5183" max="16383" man="1"/>
        <brk id="5279" max="16383" man="1"/>
        <brk id="5375" max="16383" man="1"/>
        <brk id="5471" max="16383" man="1"/>
        <brk id="5567" max="16383" man="1"/>
        <brk id="5663" max="16383" man="1"/>
        <brk id="5759" max="16383" man="1"/>
        <brk id="5855" max="16383" man="1"/>
        <brk id="5951" max="16383" man="1"/>
        <brk id="6047" max="16383" man="1"/>
        <brk id="6143" max="16383" man="1"/>
        <brk id="6239" max="16383" man="1"/>
        <brk id="6335" max="16383" man="1"/>
        <brk id="6431" max="16383" man="1"/>
        <brk id="6527" max="16383" man="1"/>
        <brk id="6623" max="16383" man="1"/>
        <brk id="6719" max="16383" man="1"/>
        <brk id="6815" max="16383" man="1"/>
        <brk id="6911" max="16383" man="1"/>
        <brk id="7007" max="16383" man="1"/>
        <brk id="7103" max="16383" man="1"/>
        <brk id="7199" max="16383" man="1"/>
        <brk id="7295" max="16383" man="1"/>
        <brk id="7391" max="16383" man="1"/>
        <brk id="7487" max="16383" man="1"/>
        <brk id="7583" max="16383" man="1"/>
        <brk id="7679" max="16383" man="1"/>
        <brk id="7775" max="16383" man="1"/>
        <brk id="7871" max="16383" man="1"/>
        <brk id="7967" max="16383" man="1"/>
        <brk id="8063" max="16383" man="1"/>
        <brk id="8159" max="16383" man="1"/>
        <brk id="8255" max="16383" man="1"/>
        <brk id="8351" max="16383" man="1"/>
        <brk id="8447" max="16383" man="1"/>
        <brk id="8543" max="16383" man="1"/>
        <brk id="8639" max="16383" man="1"/>
        <brk id="8735" max="16383" man="1"/>
        <brk id="8831" max="16383" man="1"/>
        <brk id="8927" max="16383" man="1"/>
        <brk id="9023" max="16383" man="1"/>
        <brk id="9119" max="16383" man="1"/>
        <brk id="9215" max="16383" man="1"/>
        <brk id="9311" max="16383" man="1"/>
        <brk id="9407" max="16383" man="1"/>
        <brk id="9503" max="16383" man="1"/>
        <brk id="9599" max="16383" man="1"/>
        <brk id="9695" max="16383" man="1"/>
        <brk id="9791" max="16383" man="1"/>
        <brk id="9887" max="16383" man="1"/>
        <brk id="9983" max="16383" man="1"/>
        <brk id="10079" max="16383" man="1"/>
        <brk id="10175" max="16383" man="1"/>
        <brk id="10271" max="16383" man="1"/>
        <brk id="10367" max="16383" man="1"/>
        <brk id="10463" max="16383" man="1"/>
        <brk id="10559" max="16383" man="1"/>
        <brk id="10655" max="16383" man="1"/>
        <brk id="10751" max="16383" man="1"/>
        <brk id="10847" max="16383" man="1"/>
        <brk id="10943" max="16383" man="1"/>
        <brk id="11039" max="16383" man="1"/>
        <brk id="11135" max="16383" man="1"/>
        <brk id="11231" max="16383" man="1"/>
        <brk id="11327" max="16383" man="1"/>
        <brk id="11423" max="16383" man="1"/>
        <brk id="11519" max="16383" man="1"/>
        <brk id="11615" max="16383" man="1"/>
        <brk id="11711" max="16383" man="1"/>
        <brk id="11807" max="16383" man="1"/>
        <brk id="11903" max="16383" man="1"/>
        <brk id="11999" max="16383" man="1"/>
        <brk id="12095" max="16383" man="1"/>
        <brk id="12191" max="16383" man="1"/>
        <brk id="12287" max="16383" man="1"/>
        <brk id="12383" max="16383" man="1"/>
        <brk id="12479" max="16383" man="1"/>
        <brk id="12575" max="16383" man="1"/>
        <brk id="12671" max="16383" man="1"/>
        <brk id="12767" max="16383" man="1"/>
        <brk id="12863" max="16383" man="1"/>
        <brk id="12959" max="16383" man="1"/>
        <brk id="13055" max="16383" man="1"/>
        <brk id="13151" max="16383" man="1"/>
        <brk id="13247" max="16383" man="1"/>
        <brk id="13343" max="16383" man="1"/>
        <brk id="13439" max="16383" man="1"/>
        <brk id="13535" max="16383" man="1"/>
        <brk id="13631" max="16383" man="1"/>
        <brk id="13727" max="16383" man="1"/>
        <brk id="13823" max="16383" man="1"/>
        <brk id="13919" max="16383" man="1"/>
        <brk id="14015" max="16383" man="1"/>
        <brk id="14111" max="16383" man="1"/>
        <brk id="14207" max="16383" man="1"/>
        <brk id="14303" max="16383" man="1"/>
        <brk id="14399" max="16383" man="1"/>
        <brk id="14495" max="16383" man="1"/>
        <brk id="14591" max="16383" man="1"/>
        <brk id="14687" max="16383" man="1"/>
        <brk id="14783" max="16383" man="1"/>
        <brk id="14879" max="16383" man="1"/>
        <brk id="14975" max="16383" man="1"/>
        <brk id="15071" max="16383" man="1"/>
        <brk id="15167" max="16383" man="1"/>
        <brk id="15263" max="16383" man="1"/>
        <brk id="15359" max="16383" man="1"/>
        <brk id="15455" max="16383" man="1"/>
        <brk id="15551" max="16383" man="1"/>
        <brk id="15647" max="16383" man="1"/>
        <brk id="15743" max="16383" man="1"/>
        <brk id="15839" max="16383" man="1"/>
        <brk id="15935" max="16383" man="1"/>
        <brk id="16031" max="16383" man="1"/>
        <brk id="16127" max="16383" man="1"/>
        <brk id="16223" max="16383" man="1"/>
        <brk id="16319" max="16383" man="1"/>
        <brk id="16415" max="16383" man="1"/>
        <brk id="16511" max="16383" man="1"/>
        <brk id="16607" max="16383" man="1"/>
        <brk id="16703" max="16383" man="1"/>
        <brk id="16799" max="16383" man="1"/>
        <brk id="16895" max="16383" man="1"/>
        <brk id="16991" max="16383" man="1"/>
        <brk id="17087" max="16383" man="1"/>
        <brk id="17183" max="16383" man="1"/>
        <brk id="17279" max="16383" man="1"/>
        <brk id="17375" max="16383" man="1"/>
        <brk id="17471" max="16383" man="1"/>
        <brk id="17567" max="16383" man="1"/>
        <brk id="17663" max="16383" man="1"/>
        <brk id="17759" max="16383" man="1"/>
        <brk id="17855" max="16383" man="1"/>
        <brk id="17951" max="16383" man="1"/>
        <brk id="18047" max="16383" man="1"/>
        <brk id="18143" max="16383" man="1"/>
        <brk id="18239" max="16383" man="1"/>
        <brk id="18335" max="16383" man="1"/>
        <brk id="18431" max="16383" man="1"/>
        <brk id="18527" max="16383" man="1"/>
        <brk id="18623" max="16383" man="1"/>
        <brk id="18719" max="16383" man="1"/>
        <brk id="18815" max="16383" man="1"/>
        <brk id="18911" max="16383" man="1"/>
        <brk id="19007" max="16383" man="1"/>
        <brk id="19103" max="16383" man="1"/>
        <brk id="19199" max="16383" man="1"/>
        <brk id="19295" max="16383" man="1"/>
        <brk id="19391" max="16383" man="1"/>
        <brk id="19487" max="16383" man="1"/>
        <brk id="19583" max="16383" man="1"/>
        <brk id="19679" max="16383" man="1"/>
        <brk id="19775" max="16383" man="1"/>
        <brk id="19871" max="16383" man="1"/>
        <brk id="19967" max="16383" man="1"/>
        <brk id="20063" max="16383" man="1"/>
        <brk id="20159" max="16383" man="1"/>
        <brk id="20255" max="16383" man="1"/>
        <brk id="20351" max="16383" man="1"/>
        <brk id="20447" max="16383" man="1"/>
        <brk id="20543" max="16383" man="1"/>
        <brk id="20639" max="16383" man="1"/>
        <brk id="20735" max="16383" man="1"/>
        <brk id="20831" max="16383" man="1"/>
        <brk id="20927" max="16383" man="1"/>
        <brk id="21023" max="16383" man="1"/>
        <brk id="21119" max="16383" man="1"/>
        <brk id="21215" max="16383" man="1"/>
        <brk id="21311" max="16383" man="1"/>
        <brk id="21407" max="16383" man="1"/>
        <brk id="21503" max="16383" man="1"/>
        <brk id="21599" max="16383" man="1"/>
        <brk id="21695" max="16383" man="1"/>
        <brk id="21791" max="16383" man="1"/>
        <brk id="21887" max="16383" man="1"/>
        <brk id="21983" max="16383" man="1"/>
        <brk id="22079" max="16383" man="1"/>
        <brk id="22175" max="16383" man="1"/>
        <brk id="22271" max="16383" man="1"/>
        <brk id="22367" max="16383" man="1"/>
        <brk id="22463" max="16383" man="1"/>
        <brk id="22559" max="16383" man="1"/>
        <brk id="22655" max="16383" man="1"/>
        <brk id="22751" max="16383" man="1"/>
        <brk id="22847" max="16383" man="1"/>
        <brk id="22943" max="16383" man="1"/>
        <brk id="23039" max="16383" man="1"/>
        <brk id="23135" max="16383" man="1"/>
        <brk id="23231" max="16383" man="1"/>
        <brk id="23327" max="16383" man="1"/>
        <brk id="23423" max="16383" man="1"/>
        <brk id="23519" max="16383" man="1"/>
        <brk id="23615" max="16383" man="1"/>
        <brk id="23711" max="16383" man="1"/>
        <brk id="23807" max="16383" man="1"/>
        <brk id="23903" max="16383" man="1"/>
        <brk id="23999" max="16383" man="1"/>
        <brk id="24095" max="16383" man="1"/>
        <brk id="24191" max="16383" man="1"/>
        <brk id="24287" max="16383" man="1"/>
        <brk id="24383" max="16383" man="1"/>
        <brk id="24479" max="16383" man="1"/>
        <brk id="24575" max="16383" man="1"/>
        <brk id="24671" max="16383" man="1"/>
        <brk id="24767" max="16383" man="1"/>
        <brk id="24863" max="16383" man="1"/>
        <brk id="24959" max="16383" man="1"/>
        <brk id="25055" max="16383" man="1"/>
        <brk id="25151" max="16383" man="1"/>
        <brk id="25247" max="16383" man="1"/>
        <brk id="25343" max="16383" man="1"/>
        <brk id="25439" max="16383" man="1"/>
        <brk id="25535" max="16383" man="1"/>
        <brk id="25631" max="16383" man="1"/>
        <brk id="25727" max="16383" man="1"/>
        <brk id="25823" max="16383" man="1"/>
        <brk id="25919" max="16383" man="1"/>
        <brk id="26015" max="16383" man="1"/>
        <brk id="26111" max="16383" man="1"/>
        <brk id="26207" max="16383" man="1"/>
        <brk id="26303" max="16383" man="1"/>
        <brk id="26399" max="16383" man="1"/>
        <brk id="26495" max="16383" man="1"/>
        <brk id="26591" max="16383" man="1"/>
        <brk id="26687" max="16383" man="1"/>
        <brk id="26783" max="16383" man="1"/>
        <brk id="26879" max="16383" man="1"/>
        <brk id="26975" max="16383" man="1"/>
        <brk id="27071" max="16383" man="1"/>
        <brk id="27167" max="16383" man="1"/>
        <brk id="27263" max="16383" man="1"/>
        <brk id="27359" max="16383" man="1"/>
        <brk id="27455" max="16383" man="1"/>
        <brk id="27551" max="16383" man="1"/>
        <brk id="27647" max="16383" man="1"/>
        <brk id="27743" max="16383" man="1"/>
        <brk id="27839" max="16383" man="1"/>
        <brk id="27935" max="16383" man="1"/>
        <brk id="28031" max="16383" man="1"/>
        <brk id="28127" max="16383" man="1"/>
        <brk id="28223" max="16383" man="1"/>
        <brk id="28319" max="16383" man="1"/>
        <brk id="28415" max="16383" man="1"/>
        <brk id="28511" max="16383" man="1"/>
        <brk id="28607" max="16383" man="1"/>
        <brk id="28703" max="16383" man="1"/>
        <brk id="28799" max="16383" man="1"/>
        <brk id="28895" max="16383" man="1"/>
        <brk id="28991" max="16383" man="1"/>
        <brk id="29087" max="16383" man="1"/>
        <brk id="29183" max="16383" man="1"/>
        <brk id="29279" max="16383" man="1"/>
        <brk id="29375" max="16383" man="1"/>
        <brk id="29471" max="16383" man="1"/>
        <brk id="29567" max="16383" man="1"/>
        <brk id="29663" max="16383" man="1"/>
        <brk id="29759" max="16383" man="1"/>
        <brk id="29855" max="16383" man="1"/>
        <brk id="29951" max="16383" man="1"/>
        <brk id="30047" max="16383" man="1"/>
        <brk id="30143" max="16383" man="1"/>
        <brk id="30239" max="16383" man="1"/>
        <brk id="30335" max="16383" man="1"/>
        <brk id="30431" max="16383" man="1"/>
        <brk id="30527" max="16383" man="1"/>
        <brk id="30623" max="16383" man="1"/>
        <brk id="30719" max="16383" man="1"/>
        <brk id="30815" max="16383" man="1"/>
        <brk id="30911" max="16383" man="1"/>
        <brk id="31007" max="16383" man="1"/>
        <brk id="31103" max="16383" man="1"/>
        <brk id="31199" max="16383" man="1"/>
        <brk id="31295" max="16383" man="1"/>
        <brk id="31391" max="16383" man="1"/>
        <brk id="31487" max="16383" man="1"/>
        <brk id="31583" max="16383" man="1"/>
        <brk id="31679" max="16383" man="1"/>
        <brk id="31775" max="16383" man="1"/>
        <brk id="31871" max="16383" man="1"/>
        <brk id="31967" max="16383" man="1"/>
        <brk id="32063" max="16383" man="1"/>
        <brk id="32159" max="16383" man="1"/>
        <brk id="32255" max="16383" man="1"/>
        <brk id="32351" max="16383" man="1"/>
        <brk id="32447" max="16383" man="1"/>
        <brk id="32543" max="16383" man="1"/>
        <brk id="32639" max="16383" man="1"/>
        <brk id="32735" max="16383" man="1"/>
        <brk id="32831" max="16383" man="1"/>
        <brk id="32927" max="16383" man="1"/>
        <brk id="33023" max="16383" man="1"/>
        <brk id="33119" max="16383" man="1"/>
        <brk id="33215" max="16383" man="1"/>
        <brk id="33311" max="16383" man="1"/>
        <brk id="33407" max="16383" man="1"/>
        <brk id="33503" max="16383" man="1"/>
        <brk id="33599" max="16383" man="1"/>
        <brk id="33695" max="16383" man="1"/>
        <brk id="33791" max="16383" man="1"/>
        <brk id="33887" max="16383" man="1"/>
        <brk id="33983" max="16383" man="1"/>
        <brk id="34079" max="16383" man="1"/>
        <brk id="34175" max="16383" man="1"/>
        <brk id="34271" max="16383" man="1"/>
        <brk id="34367" max="16383" man="1"/>
        <brk id="34463" max="16383" man="1"/>
        <brk id="34559" max="16383" man="1"/>
        <brk id="34655" max="16383" man="1"/>
        <brk id="34751" max="16383" man="1"/>
        <brk id="34847" max="16383" man="1"/>
        <brk id="34943" max="16383" man="1"/>
        <brk id="35039" max="16383" man="1"/>
        <brk id="35135" max="16383" man="1"/>
        <brk id="35231" max="16383" man="1"/>
        <brk id="35327" max="16383" man="1"/>
        <brk id="35423" max="16383" man="1"/>
        <brk id="35519" max="16383" man="1"/>
        <brk id="35615" max="16383" man="1"/>
        <brk id="35711" max="16383" man="1"/>
        <brk id="35807" max="16383" man="1"/>
        <brk id="35903" max="16383" man="1"/>
        <brk id="35999" max="16383" man="1"/>
        <brk id="36095" max="16383" man="1"/>
        <brk id="36191" max="16383" man="1"/>
        <brk id="36287" max="16383" man="1"/>
        <brk id="36383" max="16383" man="1"/>
        <brk id="36479" max="16383" man="1"/>
        <brk id="36575" max="16383" man="1"/>
        <brk id="36671" max="16383" man="1"/>
        <brk id="36767" max="16383" man="1"/>
        <brk id="36863" max="16383" man="1"/>
        <brk id="36959" max="16383" man="1"/>
        <brk id="37055" max="16383" man="1"/>
        <brk id="37151" max="16383" man="1"/>
        <brk id="37247" max="16383" man="1"/>
        <brk id="37343" max="16383" man="1"/>
        <brk id="37439" max="16383" man="1"/>
        <brk id="37535" max="16383" man="1"/>
        <brk id="37631" max="16383" man="1"/>
        <brk id="37727" max="16383" man="1"/>
        <brk id="37823" max="16383" man="1"/>
        <brk id="37919" max="16383" man="1"/>
        <brk id="38015" max="16383" man="1"/>
        <brk id="38111" max="16383" man="1"/>
        <brk id="38207" max="16383" man="1"/>
        <brk id="38303" max="16383" man="1"/>
        <brk id="38399" max="16383" man="1"/>
        <brk id="38495" max="16383" man="1"/>
        <brk id="38591" max="16383" man="1"/>
        <brk id="38687" max="16383" man="1"/>
        <brk id="38783" max="16383" man="1"/>
        <brk id="38879" max="16383" man="1"/>
        <brk id="38975" max="16383" man="1"/>
        <brk id="39071" max="16383" man="1"/>
        <brk id="39167" max="16383" man="1"/>
        <brk id="39263" max="16383" man="1"/>
        <brk id="39359" max="16383" man="1"/>
        <brk id="39455" max="16383" man="1"/>
        <brk id="39551" max="16383" man="1"/>
        <brk id="39647" max="16383" man="1"/>
        <brk id="39743" max="16383" man="1"/>
        <brk id="39839" max="16383" man="1"/>
        <brk id="39935" max="16383" man="1"/>
        <brk id="40031" max="16383" man="1"/>
        <brk id="40127" max="16383" man="1"/>
        <brk id="40223" max="16383" man="1"/>
        <brk id="40319" max="16383" man="1"/>
        <brk id="40415" max="16383" man="1"/>
        <brk id="40511" max="16383" man="1"/>
        <brk id="40607" max="16383" man="1"/>
        <brk id="40703" max="16383" man="1"/>
        <brk id="40799" max="16383" man="1"/>
        <brk id="40895" max="16383" man="1"/>
        <brk id="40991" max="16383" man="1"/>
        <brk id="41087" max="16383" man="1"/>
        <brk id="41183" max="16383" man="1"/>
        <brk id="41279" max="16383" man="1"/>
        <brk id="41375" max="16383" man="1"/>
        <brk id="41471" max="16383" man="1"/>
        <brk id="41567" max="16383" man="1"/>
        <brk id="41663" max="16383" man="1"/>
        <brk id="41759" max="16383" man="1"/>
        <brk id="41855" max="16383" man="1"/>
        <brk id="41951" max="16383" man="1"/>
        <brk id="42047" max="16383" man="1"/>
        <brk id="42143" max="16383" man="1"/>
        <brk id="42239" max="16383" man="1"/>
        <brk id="42335" max="16383" man="1"/>
        <brk id="42431" max="16383" man="1"/>
        <brk id="42527" max="16383" man="1"/>
        <brk id="42623" max="16383" man="1"/>
        <brk id="42719" max="16383" man="1"/>
        <brk id="42815" max="16383" man="1"/>
        <brk id="42911" max="16383" man="1"/>
        <brk id="43007" max="16383" man="1"/>
        <brk id="43103" max="16383" man="1"/>
        <brk id="43199" max="16383" man="1"/>
        <brk id="43295" max="16383" man="1"/>
        <brk id="43391" max="16383" man="1"/>
        <brk id="43487" max="16383" man="1"/>
        <brk id="43583" max="16383" man="1"/>
        <brk id="43679" max="16383" man="1"/>
        <brk id="43775" max="16383" man="1"/>
        <brk id="43871" max="16383" man="1"/>
        <brk id="43967" max="16383" man="1"/>
        <brk id="44063" max="16383" man="1"/>
        <brk id="44159" max="16383" man="1"/>
        <brk id="44255" max="16383" man="1"/>
        <brk id="44351" max="16383" man="1"/>
        <brk id="44447" max="16383" man="1"/>
        <brk id="44543" max="16383" man="1"/>
        <brk id="44639" max="16383" man="1"/>
        <brk id="44735" max="16383" man="1"/>
        <brk id="44831" max="16383" man="1"/>
        <brk id="44927" max="16383" man="1"/>
        <brk id="45023" max="16383" man="1"/>
        <brk id="45119" max="16383" man="1"/>
        <brk id="45215" max="16383" man="1"/>
        <brk id="45311" max="16383" man="1"/>
        <brk id="45407" max="16383" man="1"/>
        <brk id="45503" max="16383" man="1"/>
        <brk id="45599" max="16383" man="1"/>
        <brk id="45695" max="16383" man="1"/>
        <brk id="45791" max="16383" man="1"/>
        <brk id="45887" max="16383" man="1"/>
        <brk id="45983" max="16383" man="1"/>
        <brk id="46079" max="16383" man="1"/>
        <brk id="46175" max="16383" man="1"/>
        <brk id="46271" max="16383" man="1"/>
        <brk id="46367" max="16383" man="1"/>
        <brk id="46463" max="16383" man="1"/>
        <brk id="46559" max="16383" man="1"/>
        <brk id="46655" max="16383" man="1"/>
        <brk id="46751" max="16383" man="1"/>
        <brk id="46847" max="16383" man="1"/>
        <brk id="46943" max="16383" man="1"/>
        <brk id="47039" max="16383" man="1"/>
        <brk id="47135" max="16383" man="1"/>
        <brk id="47231" max="16383" man="1"/>
        <brk id="47327" max="16383" man="1"/>
        <brk id="47423" max="16383" man="1"/>
        <brk id="47519" max="16383" man="1"/>
        <brk id="47615" max="16383" man="1"/>
        <brk id="47711" max="16383" man="1"/>
        <brk id="47807" max="16383" man="1"/>
        <brk id="47903" max="16383" man="1"/>
        <brk id="47999" max="16383" man="1"/>
        <brk id="48095" max="16383" man="1"/>
        <brk id="48191" max="16383" man="1"/>
        <brk id="48287" max="16383" man="1"/>
        <brk id="48383" max="16383" man="1"/>
        <brk id="48479" max="16383" man="1"/>
        <brk id="48575" max="16383" man="1"/>
        <brk id="48671" max="16383" man="1"/>
        <brk id="48767" max="16383" man="1"/>
        <brk id="48863" max="16383" man="1"/>
        <brk id="48959" max="16383" man="1"/>
        <brk id="49055" max="16383" man="1"/>
        <brk id="49151" max="16383" man="1"/>
        <brk id="49247" max="16383" man="1"/>
        <brk id="49343" max="16383" man="1"/>
        <brk id="49439" max="16383" man="1"/>
        <brk id="49535" max="16383" man="1"/>
        <brk id="49631" max="16383" man="1"/>
        <brk id="49727" max="16383" man="1"/>
        <brk id="49823" max="16383" man="1"/>
        <brk id="49919" max="16383" man="1"/>
        <brk id="50015" max="16383" man="1"/>
        <brk id="50111" max="16383" man="1"/>
        <brk id="50207" max="16383" man="1"/>
        <brk id="50303" max="16383" man="1"/>
        <brk id="50399" max="16383" man="1"/>
        <brk id="50495" max="16383" man="1"/>
        <brk id="50591" max="16383" man="1"/>
        <brk id="50687" max="16383" man="1"/>
        <brk id="50783" max="16383" man="1"/>
        <brk id="50879" max="16383" man="1"/>
        <brk id="50975" max="16383" man="1"/>
        <brk id="51071" max="16383" man="1"/>
        <brk id="51167" max="16383" man="1"/>
        <brk id="51263" max="16383" man="1"/>
        <brk id="51359" max="16383" man="1"/>
        <brk id="51455" max="16383" man="1"/>
        <brk id="51551" max="16383" man="1"/>
        <brk id="51647" max="16383" man="1"/>
        <brk id="51743" max="16383" man="1"/>
        <brk id="51839" max="16383" man="1"/>
        <brk id="51935" max="16383" man="1"/>
        <brk id="52031" max="16383" man="1"/>
        <brk id="52127" max="16383" man="1"/>
        <brk id="52223" max="16383" man="1"/>
        <brk id="52319" max="16383" man="1"/>
        <brk id="52415" max="16383" man="1"/>
        <brk id="52511" max="16383" man="1"/>
        <brk id="52607" max="16383" man="1"/>
        <brk id="52703" max="16383" man="1"/>
        <brk id="52799" max="16383" man="1"/>
        <brk id="52895" max="16383" man="1"/>
        <brk id="52991" max="16383" man="1"/>
        <brk id="53087" max="16383" man="1"/>
        <brk id="53183" max="16383" man="1"/>
        <brk id="53279" max="16383" man="1"/>
        <brk id="53375" max="16383" man="1"/>
        <brk id="53471" max="16383" man="1"/>
        <brk id="53567" max="16383" man="1"/>
        <brk id="53663" max="16383" man="1"/>
        <brk id="53759" max="16383" man="1"/>
        <brk id="53855" max="16383" man="1"/>
        <brk id="53951" max="16383" man="1"/>
        <brk id="54047" max="16383" man="1"/>
        <brk id="54143" max="16383" man="1"/>
        <brk id="54239" max="16383" man="1"/>
        <brk id="54335" max="16383" man="1"/>
        <brk id="54431" max="16383" man="1"/>
        <brk id="54527" max="16383" man="1"/>
        <brk id="54623" max="16383" man="1"/>
        <brk id="54719" max="16383" man="1"/>
        <brk id="54815" max="16383" man="1"/>
        <brk id="54911" max="16383" man="1"/>
        <brk id="55007" max="16383" man="1"/>
        <brk id="55103" max="16383" man="1"/>
        <brk id="55199" max="16383" man="1"/>
        <brk id="55295" max="16383" man="1"/>
        <brk id="55391" max="16383" man="1"/>
        <brk id="55487" max="16383" man="1"/>
        <brk id="55583" max="16383" man="1"/>
        <brk id="55679" max="16383" man="1"/>
        <brk id="55775" max="16383" man="1"/>
        <brk id="55871" max="16383" man="1"/>
        <brk id="55967" max="16383" man="1"/>
        <brk id="56063" max="16383" man="1"/>
        <brk id="56159" max="16383" man="1"/>
        <brk id="56255" max="16383" man="1"/>
        <brk id="56351" max="16383" man="1"/>
        <brk id="56447" max="16383" man="1"/>
        <brk id="56543" max="16383" man="1"/>
        <brk id="56639" max="16383" man="1"/>
        <brk id="56735" max="16383" man="1"/>
        <brk id="56831" max="16383" man="1"/>
        <brk id="56927" max="16383" man="1"/>
        <brk id="57023" max="16383" man="1"/>
        <brk id="57119" max="16383" man="1"/>
        <brk id="57215" max="16383" man="1"/>
        <brk id="57311" max="16383" man="1"/>
        <brk id="57407" max="16383" man="1"/>
        <brk id="57503" max="16383" man="1"/>
        <brk id="57599" max="16383" man="1"/>
        <brk id="57695" max="16383" man="1"/>
        <brk id="57791" max="16383" man="1"/>
        <brk id="57887" max="16383" man="1"/>
        <brk id="57983" max="16383" man="1"/>
        <brk id="58079" max="16383" man="1"/>
        <brk id="58175" max="16383" man="1"/>
        <brk id="58271" max="16383" man="1"/>
        <brk id="58367" max="16383" man="1"/>
        <brk id="58463" max="16383" man="1"/>
        <brk id="58559" max="16383" man="1"/>
        <brk id="58655" max="16383" man="1"/>
        <brk id="58751" max="16383" man="1"/>
        <brk id="58847" max="16383" man="1"/>
        <brk id="58943" max="16383" man="1"/>
        <brk id="59039" max="16383" man="1"/>
        <brk id="59135" max="16383" man="1"/>
        <brk id="59231" max="16383" man="1"/>
        <brk id="59327" max="16383" man="1"/>
        <brk id="59423" max="16383" man="1"/>
        <brk id="59519" max="16383" man="1"/>
        <brk id="59615" max="16383" man="1"/>
        <brk id="59711" max="16383" man="1"/>
        <brk id="59807" max="16383" man="1"/>
        <brk id="59903" max="16383" man="1"/>
        <brk id="59999" max="16383" man="1"/>
        <brk id="60095" max="16383" man="1"/>
        <brk id="60191" max="16383" man="1"/>
        <brk id="60287" max="16383" man="1"/>
        <brk id="60383" max="16383" man="1"/>
        <brk id="60479" max="16383" man="1"/>
        <brk id="60575" max="16383" man="1"/>
        <brk id="60671" max="16383" man="1"/>
        <brk id="60767" max="16383" man="1"/>
        <brk id="60863" max="16383" man="1"/>
        <brk id="60959" max="16383" man="1"/>
        <brk id="61055" max="16383" man="1"/>
        <brk id="61151" max="16383" man="1"/>
        <brk id="61247" max="16383" man="1"/>
        <brk id="61343" max="16383" man="1"/>
        <brk id="61439" max="16383" man="1"/>
        <brk id="61535" max="16383" man="1"/>
        <brk id="61631" max="16383" man="1"/>
        <brk id="61727" max="16383" man="1"/>
        <brk id="61823" max="16383" man="1"/>
        <brk id="61919" max="16383" man="1"/>
        <brk id="62015" max="16383" man="1"/>
        <brk id="62111" max="16383" man="1"/>
        <brk id="62207" max="16383" man="1"/>
        <brk id="62303" max="16383" man="1"/>
        <brk id="62399" max="16383" man="1"/>
        <brk id="62495" max="16383" man="1"/>
        <brk id="62591" max="16383" man="1"/>
        <brk id="62687" max="16383" man="1"/>
        <brk id="62783" max="16383" man="1"/>
        <brk id="62879" max="16383" man="1"/>
        <brk id="62975" max="16383" man="1"/>
        <brk id="63071" max="16383" man="1"/>
        <brk id="63167" max="16383" man="1"/>
        <brk id="63263" max="16383" man="1"/>
        <brk id="63359" max="16383" man="1"/>
        <brk id="63455" max="16383" man="1"/>
        <brk id="63551" max="16383" man="1"/>
        <brk id="63647" max="16383" man="1"/>
        <brk id="63743" max="16383" man="1"/>
        <brk id="63839" max="16383" man="1"/>
        <brk id="63935" max="16383" man="1"/>
        <brk id="64031" max="16383" man="1"/>
        <brk id="64127" max="16383" man="1"/>
        <brk id="64223" max="16383" man="1"/>
        <brk id="64319" max="16383" man="1"/>
        <brk id="64415" max="16383" man="1"/>
        <brk id="64511" max="16383" man="1"/>
        <brk id="64607" max="16383" man="1"/>
        <brk id="64703" max="16383" man="1"/>
        <brk id="64799" max="16383" man="1"/>
        <brk id="64895" max="16383" man="1"/>
        <brk id="64991" max="16383" man="1"/>
        <brk id="65087" max="16383" man="1"/>
        <brk id="65183" max="16383" man="1"/>
        <brk id="65279" max="16383" man="1"/>
        <brk id="65375" max="16383" man="1"/>
        <brk id="65471" max="16383" man="1"/>
      </rowBreaks>
      <pageMargins left="0.7" right="0.7" top="0.75" bottom="0.75" header="0.3" footer="0.3"/>
      <pageSetup scale="56" orientation="portrait" r:id="rId1"/>
      <headerFooter differentFirst="1">
        <oddFooter>&amp;LDRAFT August 2016</oddFooter>
        <firstHeader>&amp;L&amp;G&amp;R&amp;"Calibri,Bold"&amp;22Soil Reference Value (SRV) Spreadsheet</firstHeader>
        <firstFooter>&amp;Lc-r1-06&amp;CMinnesota Pollution Control Agency  •  520 Lafayette Rd. N., St. Paul, MN 55155-4194  •  www.pca.state.mn.us
651-296-6300  •  800-657-3864  •  TTY 651-282-5332 or 800-657-3864  •  Available in alternative formats&amp;RDecember 2018</firstFooter>
      </headerFooter>
    </customSheetView>
    <customSheetView guid="{23DC26AF-9753-4BD2-80DE-415E6324C52C}" showPageBreaks="1" showGridLines="0" printArea="1" view="pageLayout">
      <selection activeCell="R8" sqref="R8"/>
      <rowBreaks count="683" manualBreakCount="683">
        <brk id="94" max="16383" man="1"/>
        <brk id="95" max="15" man="1"/>
        <brk id="191" max="16383" man="1"/>
        <brk id="287" max="16383" man="1"/>
        <brk id="383" max="16383" man="1"/>
        <brk id="479" max="16383" man="1"/>
        <brk id="575" max="16383" man="1"/>
        <brk id="671" max="16383" man="1"/>
        <brk id="767" max="16383" man="1"/>
        <brk id="863" max="16383" man="1"/>
        <brk id="959" max="16383" man="1"/>
        <brk id="1055" max="16383" man="1"/>
        <brk id="1151" max="16383" man="1"/>
        <brk id="1247" max="16383" man="1"/>
        <brk id="1343" max="16383" man="1"/>
        <brk id="1439" max="16383" man="1"/>
        <brk id="1535" max="16383" man="1"/>
        <brk id="1631" max="16383" man="1"/>
        <brk id="1727" max="16383" man="1"/>
        <brk id="1823" max="16383" man="1"/>
        <brk id="1919" max="16383" man="1"/>
        <brk id="2015" max="16383" man="1"/>
        <brk id="2111" max="16383" man="1"/>
        <brk id="2207" max="16383" man="1"/>
        <brk id="2303" max="16383" man="1"/>
        <brk id="2399" max="16383" man="1"/>
        <brk id="2495" max="16383" man="1"/>
        <brk id="2591" max="16383" man="1"/>
        <brk id="2687" max="16383" man="1"/>
        <brk id="2783" max="16383" man="1"/>
        <brk id="2879" max="16383" man="1"/>
        <brk id="2975" max="16383" man="1"/>
        <brk id="3071" max="16383" man="1"/>
        <brk id="3167" max="16383" man="1"/>
        <brk id="3263" max="16383" man="1"/>
        <brk id="3359" max="16383" man="1"/>
        <brk id="3455" max="16383" man="1"/>
        <brk id="3551" max="16383" man="1"/>
        <brk id="3647" max="16383" man="1"/>
        <brk id="3743" max="16383" man="1"/>
        <brk id="3839" max="16383" man="1"/>
        <brk id="3935" max="16383" man="1"/>
        <brk id="4031" max="16383" man="1"/>
        <brk id="4127" max="16383" man="1"/>
        <brk id="4223" max="16383" man="1"/>
        <brk id="4319" max="16383" man="1"/>
        <brk id="4415" max="16383" man="1"/>
        <brk id="4511" max="16383" man="1"/>
        <brk id="4607" max="16383" man="1"/>
        <brk id="4703" max="16383" man="1"/>
        <brk id="4799" max="16383" man="1"/>
        <brk id="4895" max="16383" man="1"/>
        <brk id="4991" max="16383" man="1"/>
        <brk id="5087" max="16383" man="1"/>
        <brk id="5183" max="16383" man="1"/>
        <brk id="5279" max="16383" man="1"/>
        <brk id="5375" max="16383" man="1"/>
        <brk id="5471" max="16383" man="1"/>
        <brk id="5567" max="16383" man="1"/>
        <brk id="5663" max="16383" man="1"/>
        <brk id="5759" max="16383" man="1"/>
        <brk id="5855" max="16383" man="1"/>
        <brk id="5951" max="16383" man="1"/>
        <brk id="6047" max="16383" man="1"/>
        <brk id="6143" max="16383" man="1"/>
        <brk id="6239" max="16383" man="1"/>
        <brk id="6335" max="16383" man="1"/>
        <brk id="6431" max="16383" man="1"/>
        <brk id="6527" max="16383" man="1"/>
        <brk id="6623" max="16383" man="1"/>
        <brk id="6719" max="16383" man="1"/>
        <brk id="6815" max="16383" man="1"/>
        <brk id="6911" max="16383" man="1"/>
        <brk id="7007" max="16383" man="1"/>
        <brk id="7103" max="16383" man="1"/>
        <brk id="7199" max="16383" man="1"/>
        <brk id="7295" max="16383" man="1"/>
        <brk id="7391" max="16383" man="1"/>
        <brk id="7487" max="16383" man="1"/>
        <brk id="7583" max="16383" man="1"/>
        <brk id="7679" max="16383" man="1"/>
        <brk id="7775" max="16383" man="1"/>
        <brk id="7871" max="16383" man="1"/>
        <brk id="7967" max="16383" man="1"/>
        <brk id="8063" max="16383" man="1"/>
        <brk id="8159" max="16383" man="1"/>
        <brk id="8255" max="16383" man="1"/>
        <brk id="8351" max="16383" man="1"/>
        <brk id="8447" max="16383" man="1"/>
        <brk id="8543" max="16383" man="1"/>
        <brk id="8639" max="16383" man="1"/>
        <brk id="8735" max="16383" man="1"/>
        <brk id="8831" max="16383" man="1"/>
        <brk id="8927" max="16383" man="1"/>
        <brk id="9023" max="16383" man="1"/>
        <brk id="9119" max="16383" man="1"/>
        <brk id="9215" max="16383" man="1"/>
        <brk id="9311" max="16383" man="1"/>
        <brk id="9407" max="16383" man="1"/>
        <brk id="9503" max="16383" man="1"/>
        <brk id="9599" max="16383" man="1"/>
        <brk id="9695" max="16383" man="1"/>
        <brk id="9791" max="16383" man="1"/>
        <brk id="9887" max="16383" man="1"/>
        <brk id="9983" max="16383" man="1"/>
        <brk id="10079" max="16383" man="1"/>
        <brk id="10175" max="16383" man="1"/>
        <brk id="10271" max="16383" man="1"/>
        <brk id="10367" max="16383" man="1"/>
        <brk id="10463" max="16383" man="1"/>
        <brk id="10559" max="16383" man="1"/>
        <brk id="10655" max="16383" man="1"/>
        <brk id="10751" max="16383" man="1"/>
        <brk id="10847" max="16383" man="1"/>
        <brk id="10943" max="16383" man="1"/>
        <brk id="11039" max="16383" man="1"/>
        <brk id="11135" max="16383" man="1"/>
        <brk id="11231" max="16383" man="1"/>
        <brk id="11327" max="16383" man="1"/>
        <brk id="11423" max="16383" man="1"/>
        <brk id="11519" max="16383" man="1"/>
        <brk id="11615" max="16383" man="1"/>
        <brk id="11711" max="16383" man="1"/>
        <brk id="11807" max="16383" man="1"/>
        <brk id="11903" max="16383" man="1"/>
        <brk id="11999" max="16383" man="1"/>
        <brk id="12095" max="16383" man="1"/>
        <brk id="12191" max="16383" man="1"/>
        <brk id="12287" max="16383" man="1"/>
        <brk id="12383" max="16383" man="1"/>
        <brk id="12479" max="16383" man="1"/>
        <brk id="12575" max="16383" man="1"/>
        <brk id="12671" max="16383" man="1"/>
        <brk id="12767" max="16383" man="1"/>
        <brk id="12863" max="16383" man="1"/>
        <brk id="12959" max="16383" man="1"/>
        <brk id="13055" max="16383" man="1"/>
        <brk id="13151" max="16383" man="1"/>
        <brk id="13247" max="16383" man="1"/>
        <brk id="13343" max="16383" man="1"/>
        <brk id="13439" max="16383" man="1"/>
        <brk id="13535" max="16383" man="1"/>
        <brk id="13631" max="16383" man="1"/>
        <brk id="13727" max="16383" man="1"/>
        <brk id="13823" max="16383" man="1"/>
        <brk id="13919" max="16383" man="1"/>
        <brk id="14015" max="16383" man="1"/>
        <brk id="14111" max="16383" man="1"/>
        <brk id="14207" max="16383" man="1"/>
        <brk id="14303" max="16383" man="1"/>
        <brk id="14399" max="16383" man="1"/>
        <brk id="14495" max="16383" man="1"/>
        <brk id="14591" max="16383" man="1"/>
        <brk id="14687" max="16383" man="1"/>
        <brk id="14783" max="16383" man="1"/>
        <brk id="14879" max="16383" man="1"/>
        <brk id="14975" max="16383" man="1"/>
        <brk id="15071" max="16383" man="1"/>
        <brk id="15167" max="16383" man="1"/>
        <brk id="15263" max="16383" man="1"/>
        <brk id="15359" max="16383" man="1"/>
        <brk id="15455" max="16383" man="1"/>
        <brk id="15551" max="16383" man="1"/>
        <brk id="15647" max="16383" man="1"/>
        <brk id="15743" max="16383" man="1"/>
        <brk id="15839" max="16383" man="1"/>
        <brk id="15935" max="16383" man="1"/>
        <brk id="16031" max="16383" man="1"/>
        <brk id="16127" max="16383" man="1"/>
        <brk id="16223" max="16383" man="1"/>
        <brk id="16319" max="16383" man="1"/>
        <brk id="16415" max="16383" man="1"/>
        <brk id="16511" max="16383" man="1"/>
        <brk id="16607" max="16383" man="1"/>
        <brk id="16703" max="16383" man="1"/>
        <brk id="16799" max="16383" man="1"/>
        <brk id="16895" max="16383" man="1"/>
        <brk id="16991" max="16383" man="1"/>
        <brk id="17087" max="16383" man="1"/>
        <brk id="17183" max="16383" man="1"/>
        <brk id="17279" max="16383" man="1"/>
        <brk id="17375" max="16383" man="1"/>
        <brk id="17471" max="16383" man="1"/>
        <brk id="17567" max="16383" man="1"/>
        <brk id="17663" max="16383" man="1"/>
        <brk id="17759" max="16383" man="1"/>
        <brk id="17855" max="16383" man="1"/>
        <brk id="17951" max="16383" man="1"/>
        <brk id="18047" max="16383" man="1"/>
        <brk id="18143" max="16383" man="1"/>
        <brk id="18239" max="16383" man="1"/>
        <brk id="18335" max="16383" man="1"/>
        <brk id="18431" max="16383" man="1"/>
        <brk id="18527" max="16383" man="1"/>
        <brk id="18623" max="16383" man="1"/>
        <brk id="18719" max="16383" man="1"/>
        <brk id="18815" max="16383" man="1"/>
        <brk id="18911" max="16383" man="1"/>
        <brk id="19007" max="16383" man="1"/>
        <brk id="19103" max="16383" man="1"/>
        <brk id="19199" max="16383" man="1"/>
        <brk id="19295" max="16383" man="1"/>
        <brk id="19391" max="16383" man="1"/>
        <brk id="19487" max="16383" man="1"/>
        <brk id="19583" max="16383" man="1"/>
        <brk id="19679" max="16383" man="1"/>
        <brk id="19775" max="16383" man="1"/>
        <brk id="19871" max="16383" man="1"/>
        <brk id="19967" max="16383" man="1"/>
        <brk id="20063" max="16383" man="1"/>
        <brk id="20159" max="16383" man="1"/>
        <brk id="20255" max="16383" man="1"/>
        <brk id="20351" max="16383" man="1"/>
        <brk id="20447" max="16383" man="1"/>
        <brk id="20543" max="16383" man="1"/>
        <brk id="20639" max="16383" man="1"/>
        <brk id="20735" max="16383" man="1"/>
        <brk id="20831" max="16383" man="1"/>
        <brk id="20927" max="16383" man="1"/>
        <brk id="21023" max="16383" man="1"/>
        <brk id="21119" max="16383" man="1"/>
        <brk id="21215" max="16383" man="1"/>
        <brk id="21311" max="16383" man="1"/>
        <brk id="21407" max="16383" man="1"/>
        <brk id="21503" max="16383" man="1"/>
        <brk id="21599" max="16383" man="1"/>
        <brk id="21695" max="16383" man="1"/>
        <brk id="21791" max="16383" man="1"/>
        <brk id="21887" max="16383" man="1"/>
        <brk id="21983" max="16383" man="1"/>
        <brk id="22079" max="16383" man="1"/>
        <brk id="22175" max="16383" man="1"/>
        <brk id="22271" max="16383" man="1"/>
        <brk id="22367" max="16383" man="1"/>
        <brk id="22463" max="16383" man="1"/>
        <brk id="22559" max="16383" man="1"/>
        <brk id="22655" max="16383" man="1"/>
        <brk id="22751" max="16383" man="1"/>
        <brk id="22847" max="16383" man="1"/>
        <brk id="22943" max="16383" man="1"/>
        <brk id="23039" max="16383" man="1"/>
        <brk id="23135" max="16383" man="1"/>
        <brk id="23231" max="16383" man="1"/>
        <brk id="23327" max="16383" man="1"/>
        <brk id="23423" max="16383" man="1"/>
        <brk id="23519" max="16383" man="1"/>
        <brk id="23615" max="16383" man="1"/>
        <brk id="23711" max="16383" man="1"/>
        <brk id="23807" max="16383" man="1"/>
        <brk id="23903" max="16383" man="1"/>
        <brk id="23999" max="16383" man="1"/>
        <brk id="24095" max="16383" man="1"/>
        <brk id="24191" max="16383" man="1"/>
        <brk id="24287" max="16383" man="1"/>
        <brk id="24383" max="16383" man="1"/>
        <brk id="24479" max="16383" man="1"/>
        <brk id="24575" max="16383" man="1"/>
        <brk id="24671" max="16383" man="1"/>
        <brk id="24767" max="16383" man="1"/>
        <brk id="24863" max="16383" man="1"/>
        <brk id="24959" max="16383" man="1"/>
        <brk id="25055" max="16383" man="1"/>
        <brk id="25151" max="16383" man="1"/>
        <brk id="25247" max="16383" man="1"/>
        <brk id="25343" max="16383" man="1"/>
        <brk id="25439" max="16383" man="1"/>
        <brk id="25535" max="16383" man="1"/>
        <brk id="25631" max="16383" man="1"/>
        <brk id="25727" max="16383" man="1"/>
        <brk id="25823" max="16383" man="1"/>
        <brk id="25919" max="16383" man="1"/>
        <brk id="26015" max="16383" man="1"/>
        <brk id="26111" max="16383" man="1"/>
        <brk id="26207" max="16383" man="1"/>
        <brk id="26303" max="16383" man="1"/>
        <brk id="26399" max="16383" man="1"/>
        <brk id="26495" max="16383" man="1"/>
        <brk id="26591" max="16383" man="1"/>
        <brk id="26687" max="16383" man="1"/>
        <brk id="26783" max="16383" man="1"/>
        <brk id="26879" max="16383" man="1"/>
        <brk id="26975" max="16383" man="1"/>
        <brk id="27071" max="16383" man="1"/>
        <brk id="27167" max="16383" man="1"/>
        <brk id="27263" max="16383" man="1"/>
        <brk id="27359" max="16383" man="1"/>
        <brk id="27455" max="16383" man="1"/>
        <brk id="27551" max="16383" man="1"/>
        <brk id="27647" max="16383" man="1"/>
        <brk id="27743" max="16383" man="1"/>
        <brk id="27839" max="16383" man="1"/>
        <brk id="27935" max="16383" man="1"/>
        <brk id="28031" max="16383" man="1"/>
        <brk id="28127" max="16383" man="1"/>
        <brk id="28223" max="16383" man="1"/>
        <brk id="28319" max="16383" man="1"/>
        <brk id="28415" max="16383" man="1"/>
        <brk id="28511" max="16383" man="1"/>
        <brk id="28607" max="16383" man="1"/>
        <brk id="28703" max="16383" man="1"/>
        <brk id="28799" max="16383" man="1"/>
        <brk id="28895" max="16383" man="1"/>
        <brk id="28991" max="16383" man="1"/>
        <brk id="29087" max="16383" man="1"/>
        <brk id="29183" max="16383" man="1"/>
        <brk id="29279" max="16383" man="1"/>
        <brk id="29375" max="16383" man="1"/>
        <brk id="29471" max="16383" man="1"/>
        <brk id="29567" max="16383" man="1"/>
        <brk id="29663" max="16383" man="1"/>
        <brk id="29759" max="16383" man="1"/>
        <brk id="29855" max="16383" man="1"/>
        <brk id="29951" max="16383" man="1"/>
        <brk id="30047" max="16383" man="1"/>
        <brk id="30143" max="16383" man="1"/>
        <brk id="30239" max="16383" man="1"/>
        <brk id="30335" max="16383" man="1"/>
        <brk id="30431" max="16383" man="1"/>
        <brk id="30527" max="16383" man="1"/>
        <brk id="30623" max="16383" man="1"/>
        <brk id="30719" max="16383" man="1"/>
        <brk id="30815" max="16383" man="1"/>
        <brk id="30911" max="16383" man="1"/>
        <brk id="31007" max="16383" man="1"/>
        <brk id="31103" max="16383" man="1"/>
        <brk id="31199" max="16383" man="1"/>
        <brk id="31295" max="16383" man="1"/>
        <brk id="31391" max="16383" man="1"/>
        <brk id="31487" max="16383" man="1"/>
        <brk id="31583" max="16383" man="1"/>
        <brk id="31679" max="16383" man="1"/>
        <brk id="31775" max="16383" man="1"/>
        <brk id="31871" max="16383" man="1"/>
        <brk id="31967" max="16383" man="1"/>
        <brk id="32063" max="16383" man="1"/>
        <brk id="32159" max="16383" man="1"/>
        <brk id="32255" max="16383" man="1"/>
        <brk id="32351" max="16383" man="1"/>
        <brk id="32447" max="16383" man="1"/>
        <brk id="32543" max="16383" man="1"/>
        <brk id="32639" max="16383" man="1"/>
        <brk id="32735" max="16383" man="1"/>
        <brk id="32831" max="16383" man="1"/>
        <brk id="32927" max="16383" man="1"/>
        <brk id="33023" max="16383" man="1"/>
        <brk id="33119" max="16383" man="1"/>
        <brk id="33215" max="16383" man="1"/>
        <brk id="33311" max="16383" man="1"/>
        <brk id="33407" max="16383" man="1"/>
        <brk id="33503" max="16383" man="1"/>
        <brk id="33599" max="16383" man="1"/>
        <brk id="33695" max="16383" man="1"/>
        <brk id="33791" max="16383" man="1"/>
        <brk id="33887" max="16383" man="1"/>
        <brk id="33983" max="16383" man="1"/>
        <brk id="34079" max="16383" man="1"/>
        <brk id="34175" max="16383" man="1"/>
        <brk id="34271" max="16383" man="1"/>
        <brk id="34367" max="16383" man="1"/>
        <brk id="34463" max="16383" man="1"/>
        <brk id="34559" max="16383" man="1"/>
        <brk id="34655" max="16383" man="1"/>
        <brk id="34751" max="16383" man="1"/>
        <brk id="34847" max="16383" man="1"/>
        <brk id="34943" max="16383" man="1"/>
        <brk id="35039" max="16383" man="1"/>
        <brk id="35135" max="16383" man="1"/>
        <brk id="35231" max="16383" man="1"/>
        <brk id="35327" max="16383" man="1"/>
        <brk id="35423" max="16383" man="1"/>
        <brk id="35519" max="16383" man="1"/>
        <brk id="35615" max="16383" man="1"/>
        <brk id="35711" max="16383" man="1"/>
        <brk id="35807" max="16383" man="1"/>
        <brk id="35903" max="16383" man="1"/>
        <brk id="35999" max="16383" man="1"/>
        <brk id="36095" max="16383" man="1"/>
        <brk id="36191" max="16383" man="1"/>
        <brk id="36287" max="16383" man="1"/>
        <brk id="36383" max="16383" man="1"/>
        <brk id="36479" max="16383" man="1"/>
        <brk id="36575" max="16383" man="1"/>
        <brk id="36671" max="16383" man="1"/>
        <brk id="36767" max="16383" man="1"/>
        <brk id="36863" max="16383" man="1"/>
        <brk id="36959" max="16383" man="1"/>
        <brk id="37055" max="16383" man="1"/>
        <brk id="37151" max="16383" man="1"/>
        <brk id="37247" max="16383" man="1"/>
        <brk id="37343" max="16383" man="1"/>
        <brk id="37439" max="16383" man="1"/>
        <brk id="37535" max="16383" man="1"/>
        <brk id="37631" max="16383" man="1"/>
        <brk id="37727" max="16383" man="1"/>
        <brk id="37823" max="16383" man="1"/>
        <brk id="37919" max="16383" man="1"/>
        <brk id="38015" max="16383" man="1"/>
        <brk id="38111" max="16383" man="1"/>
        <brk id="38207" max="16383" man="1"/>
        <brk id="38303" max="16383" man="1"/>
        <brk id="38399" max="16383" man="1"/>
        <brk id="38495" max="16383" man="1"/>
        <brk id="38591" max="16383" man="1"/>
        <brk id="38687" max="16383" man="1"/>
        <brk id="38783" max="16383" man="1"/>
        <brk id="38879" max="16383" man="1"/>
        <brk id="38975" max="16383" man="1"/>
        <brk id="39071" max="16383" man="1"/>
        <brk id="39167" max="16383" man="1"/>
        <brk id="39263" max="16383" man="1"/>
        <brk id="39359" max="16383" man="1"/>
        <brk id="39455" max="16383" man="1"/>
        <brk id="39551" max="16383" man="1"/>
        <brk id="39647" max="16383" man="1"/>
        <brk id="39743" max="16383" man="1"/>
        <brk id="39839" max="16383" man="1"/>
        <brk id="39935" max="16383" man="1"/>
        <brk id="40031" max="16383" man="1"/>
        <brk id="40127" max="16383" man="1"/>
        <brk id="40223" max="16383" man="1"/>
        <brk id="40319" max="16383" man="1"/>
        <brk id="40415" max="16383" man="1"/>
        <brk id="40511" max="16383" man="1"/>
        <brk id="40607" max="16383" man="1"/>
        <brk id="40703" max="16383" man="1"/>
        <brk id="40799" max="16383" man="1"/>
        <brk id="40895" max="16383" man="1"/>
        <brk id="40991" max="16383" man="1"/>
        <brk id="41087" max="16383" man="1"/>
        <brk id="41183" max="16383" man="1"/>
        <brk id="41279" max="16383" man="1"/>
        <brk id="41375" max="16383" man="1"/>
        <brk id="41471" max="16383" man="1"/>
        <brk id="41567" max="16383" man="1"/>
        <brk id="41663" max="16383" man="1"/>
        <brk id="41759" max="16383" man="1"/>
        <brk id="41855" max="16383" man="1"/>
        <brk id="41951" max="16383" man="1"/>
        <brk id="42047" max="16383" man="1"/>
        <brk id="42143" max="16383" man="1"/>
        <brk id="42239" max="16383" man="1"/>
        <brk id="42335" max="16383" man="1"/>
        <brk id="42431" max="16383" man="1"/>
        <brk id="42527" max="16383" man="1"/>
        <brk id="42623" max="16383" man="1"/>
        <brk id="42719" max="16383" man="1"/>
        <brk id="42815" max="16383" man="1"/>
        <brk id="42911" max="16383" man="1"/>
        <brk id="43007" max="16383" man="1"/>
        <brk id="43103" max="16383" man="1"/>
        <brk id="43199" max="16383" man="1"/>
        <brk id="43295" max="16383" man="1"/>
        <brk id="43391" max="16383" man="1"/>
        <brk id="43487" max="16383" man="1"/>
        <brk id="43583" max="16383" man="1"/>
        <brk id="43679" max="16383" man="1"/>
        <brk id="43775" max="16383" man="1"/>
        <brk id="43871" max="16383" man="1"/>
        <brk id="43967" max="16383" man="1"/>
        <brk id="44063" max="16383" man="1"/>
        <brk id="44159" max="16383" man="1"/>
        <brk id="44255" max="16383" man="1"/>
        <brk id="44351" max="16383" man="1"/>
        <brk id="44447" max="16383" man="1"/>
        <brk id="44543" max="16383" man="1"/>
        <brk id="44639" max="16383" man="1"/>
        <brk id="44735" max="16383" man="1"/>
        <brk id="44831" max="16383" man="1"/>
        <brk id="44927" max="16383" man="1"/>
        <brk id="45023" max="16383" man="1"/>
        <brk id="45119" max="16383" man="1"/>
        <brk id="45215" max="16383" man="1"/>
        <brk id="45311" max="16383" man="1"/>
        <brk id="45407" max="16383" man="1"/>
        <brk id="45503" max="16383" man="1"/>
        <brk id="45599" max="16383" man="1"/>
        <brk id="45695" max="16383" man="1"/>
        <brk id="45791" max="16383" man="1"/>
        <brk id="45887" max="16383" man="1"/>
        <brk id="45983" max="16383" man="1"/>
        <brk id="46079" max="16383" man="1"/>
        <brk id="46175" max="16383" man="1"/>
        <brk id="46271" max="16383" man="1"/>
        <brk id="46367" max="16383" man="1"/>
        <brk id="46463" max="16383" man="1"/>
        <brk id="46559" max="16383" man="1"/>
        <brk id="46655" max="16383" man="1"/>
        <brk id="46751" max="16383" man="1"/>
        <brk id="46847" max="16383" man="1"/>
        <brk id="46943" max="16383" man="1"/>
        <brk id="47039" max="16383" man="1"/>
        <brk id="47135" max="16383" man="1"/>
        <brk id="47231" max="16383" man="1"/>
        <brk id="47327" max="16383" man="1"/>
        <brk id="47423" max="16383" man="1"/>
        <brk id="47519" max="16383" man="1"/>
        <brk id="47615" max="16383" man="1"/>
        <brk id="47711" max="16383" man="1"/>
        <brk id="47807" max="16383" man="1"/>
        <brk id="47903" max="16383" man="1"/>
        <brk id="47999" max="16383" man="1"/>
        <brk id="48095" max="16383" man="1"/>
        <brk id="48191" max="16383" man="1"/>
        <brk id="48287" max="16383" man="1"/>
        <brk id="48383" max="16383" man="1"/>
        <brk id="48479" max="16383" man="1"/>
        <brk id="48575" max="16383" man="1"/>
        <brk id="48671" max="16383" man="1"/>
        <brk id="48767" max="16383" man="1"/>
        <brk id="48863" max="16383" man="1"/>
        <brk id="48959" max="16383" man="1"/>
        <brk id="49055" max="16383" man="1"/>
        <brk id="49151" max="16383" man="1"/>
        <brk id="49247" max="16383" man="1"/>
        <brk id="49343" max="16383" man="1"/>
        <brk id="49439" max="16383" man="1"/>
        <brk id="49535" max="16383" man="1"/>
        <brk id="49631" max="16383" man="1"/>
        <brk id="49727" max="16383" man="1"/>
        <brk id="49823" max="16383" man="1"/>
        <brk id="49919" max="16383" man="1"/>
        <brk id="50015" max="16383" man="1"/>
        <brk id="50111" max="16383" man="1"/>
        <brk id="50207" max="16383" man="1"/>
        <brk id="50303" max="16383" man="1"/>
        <brk id="50399" max="16383" man="1"/>
        <brk id="50495" max="16383" man="1"/>
        <brk id="50591" max="16383" man="1"/>
        <brk id="50687" max="16383" man="1"/>
        <brk id="50783" max="16383" man="1"/>
        <brk id="50879" max="16383" man="1"/>
        <brk id="50975" max="16383" man="1"/>
        <brk id="51071" max="16383" man="1"/>
        <brk id="51167" max="16383" man="1"/>
        <brk id="51263" max="16383" man="1"/>
        <brk id="51359" max="16383" man="1"/>
        <brk id="51455" max="16383" man="1"/>
        <brk id="51551" max="16383" man="1"/>
        <brk id="51647" max="16383" man="1"/>
        <brk id="51743" max="16383" man="1"/>
        <brk id="51839" max="16383" man="1"/>
        <brk id="51935" max="16383" man="1"/>
        <brk id="52031" max="16383" man="1"/>
        <brk id="52127" max="16383" man="1"/>
        <brk id="52223" max="16383" man="1"/>
        <brk id="52319" max="16383" man="1"/>
        <brk id="52415" max="16383" man="1"/>
        <brk id="52511" max="16383" man="1"/>
        <brk id="52607" max="16383" man="1"/>
        <brk id="52703" max="16383" man="1"/>
        <brk id="52799" max="16383" man="1"/>
        <brk id="52895" max="16383" man="1"/>
        <brk id="52991" max="16383" man="1"/>
        <brk id="53087" max="16383" man="1"/>
        <brk id="53183" max="16383" man="1"/>
        <brk id="53279" max="16383" man="1"/>
        <brk id="53375" max="16383" man="1"/>
        <brk id="53471" max="16383" man="1"/>
        <brk id="53567" max="16383" man="1"/>
        <brk id="53663" max="16383" man="1"/>
        <brk id="53759" max="16383" man="1"/>
        <brk id="53855" max="16383" man="1"/>
        <brk id="53951" max="16383" man="1"/>
        <brk id="54047" max="16383" man="1"/>
        <brk id="54143" max="16383" man="1"/>
        <brk id="54239" max="16383" man="1"/>
        <brk id="54335" max="16383" man="1"/>
        <brk id="54431" max="16383" man="1"/>
        <brk id="54527" max="16383" man="1"/>
        <brk id="54623" max="16383" man="1"/>
        <brk id="54719" max="16383" man="1"/>
        <brk id="54815" max="16383" man="1"/>
        <brk id="54911" max="16383" man="1"/>
        <brk id="55007" max="16383" man="1"/>
        <brk id="55103" max="16383" man="1"/>
        <brk id="55199" max="16383" man="1"/>
        <brk id="55295" max="16383" man="1"/>
        <brk id="55391" max="16383" man="1"/>
        <brk id="55487" max="16383" man="1"/>
        <brk id="55583" max="16383" man="1"/>
        <brk id="55679" max="16383" man="1"/>
        <brk id="55775" max="16383" man="1"/>
        <brk id="55871" max="16383" man="1"/>
        <brk id="55967" max="16383" man="1"/>
        <brk id="56063" max="16383" man="1"/>
        <brk id="56159" max="16383" man="1"/>
        <brk id="56255" max="16383" man="1"/>
        <brk id="56351" max="16383" man="1"/>
        <brk id="56447" max="16383" man="1"/>
        <brk id="56543" max="16383" man="1"/>
        <brk id="56639" max="16383" man="1"/>
        <brk id="56735" max="16383" man="1"/>
        <brk id="56831" max="16383" man="1"/>
        <brk id="56927" max="16383" man="1"/>
        <brk id="57023" max="16383" man="1"/>
        <brk id="57119" max="16383" man="1"/>
        <brk id="57215" max="16383" man="1"/>
        <brk id="57311" max="16383" man="1"/>
        <brk id="57407" max="16383" man="1"/>
        <brk id="57503" max="16383" man="1"/>
        <brk id="57599" max="16383" man="1"/>
        <brk id="57695" max="16383" man="1"/>
        <brk id="57791" max="16383" man="1"/>
        <brk id="57887" max="16383" man="1"/>
        <brk id="57983" max="16383" man="1"/>
        <brk id="58079" max="16383" man="1"/>
        <brk id="58175" max="16383" man="1"/>
        <brk id="58271" max="16383" man="1"/>
        <brk id="58367" max="16383" man="1"/>
        <brk id="58463" max="16383" man="1"/>
        <brk id="58559" max="16383" man="1"/>
        <brk id="58655" max="16383" man="1"/>
        <brk id="58751" max="16383" man="1"/>
        <brk id="58847" max="16383" man="1"/>
        <brk id="58943" max="16383" man="1"/>
        <brk id="59039" max="16383" man="1"/>
        <brk id="59135" max="16383" man="1"/>
        <brk id="59231" max="16383" man="1"/>
        <brk id="59327" max="16383" man="1"/>
        <brk id="59423" max="16383" man="1"/>
        <brk id="59519" max="16383" man="1"/>
        <brk id="59615" max="16383" man="1"/>
        <brk id="59711" max="16383" man="1"/>
        <brk id="59807" max="16383" man="1"/>
        <brk id="59903" max="16383" man="1"/>
        <brk id="59999" max="16383" man="1"/>
        <brk id="60095" max="16383" man="1"/>
        <brk id="60191" max="16383" man="1"/>
        <brk id="60287" max="16383" man="1"/>
        <brk id="60383" max="16383" man="1"/>
        <brk id="60479" max="16383" man="1"/>
        <brk id="60575" max="16383" man="1"/>
        <brk id="60671" max="16383" man="1"/>
        <brk id="60767" max="16383" man="1"/>
        <brk id="60863" max="16383" man="1"/>
        <brk id="60959" max="16383" man="1"/>
        <brk id="61055" max="16383" man="1"/>
        <brk id="61151" max="16383" man="1"/>
        <brk id="61247" max="16383" man="1"/>
        <brk id="61343" max="16383" man="1"/>
        <brk id="61439" max="16383" man="1"/>
        <brk id="61535" max="16383" man="1"/>
        <brk id="61631" max="16383" man="1"/>
        <brk id="61727" max="16383" man="1"/>
        <brk id="61823" max="16383" man="1"/>
        <brk id="61919" max="16383" man="1"/>
        <brk id="62015" max="16383" man="1"/>
        <brk id="62111" max="16383" man="1"/>
        <brk id="62207" max="16383" man="1"/>
        <brk id="62303" max="16383" man="1"/>
        <brk id="62399" max="16383" man="1"/>
        <brk id="62495" max="16383" man="1"/>
        <brk id="62591" max="16383" man="1"/>
        <brk id="62687" max="16383" man="1"/>
        <brk id="62783" max="16383" man="1"/>
        <brk id="62879" max="16383" man="1"/>
        <brk id="62975" max="16383" man="1"/>
        <brk id="63071" max="16383" man="1"/>
        <brk id="63167" max="16383" man="1"/>
        <brk id="63263" max="16383" man="1"/>
        <brk id="63359" max="16383" man="1"/>
        <brk id="63455" max="16383" man="1"/>
        <brk id="63551" max="16383" man="1"/>
        <brk id="63647" max="16383" man="1"/>
        <brk id="63743" max="16383" man="1"/>
        <brk id="63839" max="16383" man="1"/>
        <brk id="63935" max="16383" man="1"/>
        <brk id="64031" max="16383" man="1"/>
        <brk id="64127" max="16383" man="1"/>
        <brk id="64223" max="16383" man="1"/>
        <brk id="64319" max="16383" man="1"/>
        <brk id="64415" max="16383" man="1"/>
        <brk id="64511" max="16383" man="1"/>
        <brk id="64607" max="16383" man="1"/>
        <brk id="64703" max="16383" man="1"/>
        <brk id="64799" max="16383" man="1"/>
        <brk id="64895" max="16383" man="1"/>
        <brk id="64991" max="16383" man="1"/>
        <brk id="65087" max="16383" man="1"/>
        <brk id="65183" max="16383" man="1"/>
        <brk id="65279" max="16383" man="1"/>
        <brk id="65375" max="16383" man="1"/>
        <brk id="65471" max="16383" man="1"/>
      </rowBreaks>
      <pageMargins left="0.7" right="0.7" top="0.75" bottom="0.75" header="0.3" footer="0.3"/>
      <pageSetup scale="56" orientation="portrait" r:id="rId2"/>
      <headerFooter differentFirst="1">
        <oddFooter>&amp;LDRAFT August 2016</oddFooter>
        <firstHeader>&amp;L&amp;G&amp;R&amp;"Calibri,Bold"&amp;22Soil Reference Value (SRV) Spreadsheet</firstHeader>
        <firstFooter>&amp;Lc-r1-06&amp;CMinnesota Pollution Control Agency  •  520 Lafayette Rd. N., St. Paul, MN 55155-4194  •  www.pca.state.mn.us
651-296-6300  •  800-657-3864  •  TTY 651-282-5332 or 800-657-3864  •  Available in alternative formats&amp;RDecember 2018</firstFooter>
      </headerFooter>
    </customSheetView>
  </customSheetViews>
  <mergeCells count="2">
    <mergeCell ref="A1:O1"/>
    <mergeCell ref="A4:O7"/>
  </mergeCells>
  <pageMargins left="0.7" right="0.7" top="0.75" bottom="0.75" header="0.3" footer="0.3"/>
  <pageSetup scale="56" orientation="portrait" r:id="rId3"/>
  <headerFooter differentFirst="1">
    <firstHeader>&amp;L&amp;G&amp;R&amp;"Calibri,Bold"&amp;22Soil Reference Value (SRV) Spreadsheet</firstHeader>
    <firstFooter>&amp;Lc-r1-06&amp;CMinnesota Pollution Control Agency  •  520 Lafayette Rd. N., St. Paul, MN 55155-4194  •  www.pca.state.mn.us
651-296-6300  •  800-657-3864 or use your preferred relay service • Info.pca@state.mn.us</firstFooter>
  </headerFooter>
  <rowBreaks count="683" manualBreakCount="683">
    <brk id="94" max="16383" man="1"/>
    <brk id="95" max="15" man="1"/>
    <brk id="191" max="16383" man="1"/>
    <brk id="287" max="16383" man="1"/>
    <brk id="383" max="16383" man="1"/>
    <brk id="479" max="16383" man="1"/>
    <brk id="575" max="16383" man="1"/>
    <brk id="671" max="16383" man="1"/>
    <brk id="767" max="16383" man="1"/>
    <brk id="863" max="16383" man="1"/>
    <brk id="959" max="16383" man="1"/>
    <brk id="1055" max="16383" man="1"/>
    <brk id="1151" max="16383" man="1"/>
    <brk id="1247" max="16383" man="1"/>
    <brk id="1343" max="16383" man="1"/>
    <brk id="1439" max="16383" man="1"/>
    <brk id="1535" max="16383" man="1"/>
    <brk id="1631" max="16383" man="1"/>
    <brk id="1727" max="16383" man="1"/>
    <brk id="1823" max="16383" man="1"/>
    <brk id="1919" max="16383" man="1"/>
    <brk id="2015" max="16383" man="1"/>
    <brk id="2111" max="16383" man="1"/>
    <brk id="2207" max="16383" man="1"/>
    <brk id="2303" max="16383" man="1"/>
    <brk id="2399" max="16383" man="1"/>
    <brk id="2495" max="16383" man="1"/>
    <brk id="2591" max="16383" man="1"/>
    <brk id="2687" max="16383" man="1"/>
    <brk id="2783" max="16383" man="1"/>
    <brk id="2879" max="16383" man="1"/>
    <brk id="2975" max="16383" man="1"/>
    <brk id="3071" max="16383" man="1"/>
    <brk id="3167" max="16383" man="1"/>
    <brk id="3263" max="16383" man="1"/>
    <brk id="3359" max="16383" man="1"/>
    <brk id="3455" max="16383" man="1"/>
    <brk id="3551" max="16383" man="1"/>
    <brk id="3647" max="16383" man="1"/>
    <brk id="3743" max="16383" man="1"/>
    <brk id="3839" max="16383" man="1"/>
    <brk id="3935" max="16383" man="1"/>
    <brk id="4031" max="16383" man="1"/>
    <brk id="4127" max="16383" man="1"/>
    <brk id="4223" max="16383" man="1"/>
    <brk id="4319" max="16383" man="1"/>
    <brk id="4415" max="16383" man="1"/>
    <brk id="4511" max="16383" man="1"/>
    <brk id="4607" max="16383" man="1"/>
    <brk id="4703" max="16383" man="1"/>
    <brk id="4799" max="16383" man="1"/>
    <brk id="4895" max="16383" man="1"/>
    <brk id="4991" max="16383" man="1"/>
    <brk id="5087" max="16383" man="1"/>
    <brk id="5183" max="16383" man="1"/>
    <brk id="5279" max="16383" man="1"/>
    <brk id="5375" max="16383" man="1"/>
    <brk id="5471" max="16383" man="1"/>
    <brk id="5567" max="16383" man="1"/>
    <brk id="5663" max="16383" man="1"/>
    <brk id="5759" max="16383" man="1"/>
    <brk id="5855" max="16383" man="1"/>
    <brk id="5951" max="16383" man="1"/>
    <brk id="6047" max="16383" man="1"/>
    <brk id="6143" max="16383" man="1"/>
    <brk id="6239" max="16383" man="1"/>
    <brk id="6335" max="16383" man="1"/>
    <brk id="6431" max="16383" man="1"/>
    <brk id="6527" max="16383" man="1"/>
    <brk id="6623" max="16383" man="1"/>
    <brk id="6719" max="16383" man="1"/>
    <brk id="6815" max="16383" man="1"/>
    <brk id="6911" max="16383" man="1"/>
    <brk id="7007" max="16383" man="1"/>
    <brk id="7103" max="16383" man="1"/>
    <brk id="7199" max="16383" man="1"/>
    <brk id="7295" max="16383" man="1"/>
    <brk id="7391" max="16383" man="1"/>
    <brk id="7487" max="16383" man="1"/>
    <brk id="7583" max="16383" man="1"/>
    <brk id="7679" max="16383" man="1"/>
    <brk id="7775" max="16383" man="1"/>
    <brk id="7871" max="16383" man="1"/>
    <brk id="7967" max="16383" man="1"/>
    <brk id="8063" max="16383" man="1"/>
    <brk id="8159" max="16383" man="1"/>
    <brk id="8255" max="16383" man="1"/>
    <brk id="8351" max="16383" man="1"/>
    <brk id="8447" max="16383" man="1"/>
    <brk id="8543" max="16383" man="1"/>
    <brk id="8639" max="16383" man="1"/>
    <brk id="8735" max="16383" man="1"/>
    <brk id="8831" max="16383" man="1"/>
    <brk id="8927" max="16383" man="1"/>
    <brk id="9023" max="16383" man="1"/>
    <brk id="9119" max="16383" man="1"/>
    <brk id="9215" max="16383" man="1"/>
    <brk id="9311" max="16383" man="1"/>
    <brk id="9407" max="16383" man="1"/>
    <brk id="9503" max="16383" man="1"/>
    <brk id="9599" max="16383" man="1"/>
    <brk id="9695" max="16383" man="1"/>
    <brk id="9791" max="16383" man="1"/>
    <brk id="9887" max="16383" man="1"/>
    <brk id="9983" max="16383" man="1"/>
    <brk id="10079" max="16383" man="1"/>
    <brk id="10175" max="16383" man="1"/>
    <brk id="10271" max="16383" man="1"/>
    <brk id="10367" max="16383" man="1"/>
    <brk id="10463" max="16383" man="1"/>
    <brk id="10559" max="16383" man="1"/>
    <brk id="10655" max="16383" man="1"/>
    <brk id="10751" max="16383" man="1"/>
    <brk id="10847" max="16383" man="1"/>
    <brk id="10943" max="16383" man="1"/>
    <brk id="11039" max="16383" man="1"/>
    <brk id="11135" max="16383" man="1"/>
    <brk id="11231" max="16383" man="1"/>
    <brk id="11327" max="16383" man="1"/>
    <brk id="11423" max="16383" man="1"/>
    <brk id="11519" max="16383" man="1"/>
    <brk id="11615" max="16383" man="1"/>
    <brk id="11711" max="16383" man="1"/>
    <brk id="11807" max="16383" man="1"/>
    <brk id="11903" max="16383" man="1"/>
    <brk id="11999" max="16383" man="1"/>
    <brk id="12095" max="16383" man="1"/>
    <brk id="12191" max="16383" man="1"/>
    <brk id="12287" max="16383" man="1"/>
    <brk id="12383" max="16383" man="1"/>
    <brk id="12479" max="16383" man="1"/>
    <brk id="12575" max="16383" man="1"/>
    <brk id="12671" max="16383" man="1"/>
    <brk id="12767" max="16383" man="1"/>
    <brk id="12863" max="16383" man="1"/>
    <brk id="12959" max="16383" man="1"/>
    <brk id="13055" max="16383" man="1"/>
    <brk id="13151" max="16383" man="1"/>
    <brk id="13247" max="16383" man="1"/>
    <brk id="13343" max="16383" man="1"/>
    <brk id="13439" max="16383" man="1"/>
    <brk id="13535" max="16383" man="1"/>
    <brk id="13631" max="16383" man="1"/>
    <brk id="13727" max="16383" man="1"/>
    <brk id="13823" max="16383" man="1"/>
    <brk id="13919" max="16383" man="1"/>
    <brk id="14015" max="16383" man="1"/>
    <brk id="14111" max="16383" man="1"/>
    <brk id="14207" max="16383" man="1"/>
    <brk id="14303" max="16383" man="1"/>
    <brk id="14399" max="16383" man="1"/>
    <brk id="14495" max="16383" man="1"/>
    <brk id="14591" max="16383" man="1"/>
    <brk id="14687" max="16383" man="1"/>
    <brk id="14783" max="16383" man="1"/>
    <brk id="14879" max="16383" man="1"/>
    <brk id="14975" max="16383" man="1"/>
    <brk id="15071" max="16383" man="1"/>
    <brk id="15167" max="16383" man="1"/>
    <brk id="15263" max="16383" man="1"/>
    <brk id="15359" max="16383" man="1"/>
    <brk id="15455" max="16383" man="1"/>
    <brk id="15551" max="16383" man="1"/>
    <brk id="15647" max="16383" man="1"/>
    <brk id="15743" max="16383" man="1"/>
    <brk id="15839" max="16383" man="1"/>
    <brk id="15935" max="16383" man="1"/>
    <brk id="16031" max="16383" man="1"/>
    <brk id="16127" max="16383" man="1"/>
    <brk id="16223" max="16383" man="1"/>
    <brk id="16319" max="16383" man="1"/>
    <brk id="16415" max="16383" man="1"/>
    <brk id="16511" max="16383" man="1"/>
    <brk id="16607" max="16383" man="1"/>
    <brk id="16703" max="16383" man="1"/>
    <brk id="16799" max="16383" man="1"/>
    <brk id="16895" max="16383" man="1"/>
    <brk id="16991" max="16383" man="1"/>
    <brk id="17087" max="16383" man="1"/>
    <brk id="17183" max="16383" man="1"/>
    <brk id="17279" max="16383" man="1"/>
    <brk id="17375" max="16383" man="1"/>
    <brk id="17471" max="16383" man="1"/>
    <brk id="17567" max="16383" man="1"/>
    <brk id="17663" max="16383" man="1"/>
    <brk id="17759" max="16383" man="1"/>
    <brk id="17855" max="16383" man="1"/>
    <brk id="17951" max="16383" man="1"/>
    <brk id="18047" max="16383" man="1"/>
    <brk id="18143" max="16383" man="1"/>
    <brk id="18239" max="16383" man="1"/>
    <brk id="18335" max="16383" man="1"/>
    <brk id="18431" max="16383" man="1"/>
    <brk id="18527" max="16383" man="1"/>
    <brk id="18623" max="16383" man="1"/>
    <brk id="18719" max="16383" man="1"/>
    <brk id="18815" max="16383" man="1"/>
    <brk id="18911" max="16383" man="1"/>
    <brk id="19007" max="16383" man="1"/>
    <brk id="19103" max="16383" man="1"/>
    <brk id="19199" max="16383" man="1"/>
    <brk id="19295" max="16383" man="1"/>
    <brk id="19391" max="16383" man="1"/>
    <brk id="19487" max="16383" man="1"/>
    <brk id="19583" max="16383" man="1"/>
    <brk id="19679" max="16383" man="1"/>
    <brk id="19775" max="16383" man="1"/>
    <brk id="19871" max="16383" man="1"/>
    <brk id="19967" max="16383" man="1"/>
    <brk id="20063" max="16383" man="1"/>
    <brk id="20159" max="16383" man="1"/>
    <brk id="20255" max="16383" man="1"/>
    <brk id="20351" max="16383" man="1"/>
    <brk id="20447" max="16383" man="1"/>
    <brk id="20543" max="16383" man="1"/>
    <brk id="20639" max="16383" man="1"/>
    <brk id="20735" max="16383" man="1"/>
    <brk id="20831" max="16383" man="1"/>
    <brk id="20927" max="16383" man="1"/>
    <brk id="21023" max="16383" man="1"/>
    <brk id="21119" max="16383" man="1"/>
    <brk id="21215" max="16383" man="1"/>
    <brk id="21311" max="16383" man="1"/>
    <brk id="21407" max="16383" man="1"/>
    <brk id="21503" max="16383" man="1"/>
    <brk id="21599" max="16383" man="1"/>
    <brk id="21695" max="16383" man="1"/>
    <brk id="21791" max="16383" man="1"/>
    <brk id="21887" max="16383" man="1"/>
    <brk id="21983" max="16383" man="1"/>
    <brk id="22079" max="16383" man="1"/>
    <brk id="22175" max="16383" man="1"/>
    <brk id="22271" max="16383" man="1"/>
    <brk id="22367" max="16383" man="1"/>
    <brk id="22463" max="16383" man="1"/>
    <brk id="22559" max="16383" man="1"/>
    <brk id="22655" max="16383" man="1"/>
    <brk id="22751" max="16383" man="1"/>
    <brk id="22847" max="16383" man="1"/>
    <brk id="22943" max="16383" man="1"/>
    <brk id="23039" max="16383" man="1"/>
    <brk id="23135" max="16383" man="1"/>
    <brk id="23231" max="16383" man="1"/>
    <brk id="23327" max="16383" man="1"/>
    <brk id="23423" max="16383" man="1"/>
    <brk id="23519" max="16383" man="1"/>
    <brk id="23615" max="16383" man="1"/>
    <brk id="23711" max="16383" man="1"/>
    <brk id="23807" max="16383" man="1"/>
    <brk id="23903" max="16383" man="1"/>
    <brk id="23999" max="16383" man="1"/>
    <brk id="24095" max="16383" man="1"/>
    <brk id="24191" max="16383" man="1"/>
    <brk id="24287" max="16383" man="1"/>
    <brk id="24383" max="16383" man="1"/>
    <brk id="24479" max="16383" man="1"/>
    <brk id="24575" max="16383" man="1"/>
    <brk id="24671" max="16383" man="1"/>
    <brk id="24767" max="16383" man="1"/>
    <brk id="24863" max="16383" man="1"/>
    <brk id="24959" max="16383" man="1"/>
    <brk id="25055" max="16383" man="1"/>
    <brk id="25151" max="16383" man="1"/>
    <brk id="25247" max="16383" man="1"/>
    <brk id="25343" max="16383" man="1"/>
    <brk id="25439" max="16383" man="1"/>
    <brk id="25535" max="16383" man="1"/>
    <brk id="25631" max="16383" man="1"/>
    <brk id="25727" max="16383" man="1"/>
    <brk id="25823" max="16383" man="1"/>
    <brk id="25919" max="16383" man="1"/>
    <brk id="26015" max="16383" man="1"/>
    <brk id="26111" max="16383" man="1"/>
    <brk id="26207" max="16383" man="1"/>
    <brk id="26303" max="16383" man="1"/>
    <brk id="26399" max="16383" man="1"/>
    <brk id="26495" max="16383" man="1"/>
    <brk id="26591" max="16383" man="1"/>
    <brk id="26687" max="16383" man="1"/>
    <brk id="26783" max="16383" man="1"/>
    <brk id="26879" max="16383" man="1"/>
    <brk id="26975" max="16383" man="1"/>
    <brk id="27071" max="16383" man="1"/>
    <brk id="27167" max="16383" man="1"/>
    <brk id="27263" max="16383" man="1"/>
    <brk id="27359" max="16383" man="1"/>
    <brk id="27455" max="16383" man="1"/>
    <brk id="27551" max="16383" man="1"/>
    <brk id="27647" max="16383" man="1"/>
    <brk id="27743" max="16383" man="1"/>
    <brk id="27839" max="16383" man="1"/>
    <brk id="27935" max="16383" man="1"/>
    <brk id="28031" max="16383" man="1"/>
    <brk id="28127" max="16383" man="1"/>
    <brk id="28223" max="16383" man="1"/>
    <brk id="28319" max="16383" man="1"/>
    <brk id="28415" max="16383" man="1"/>
    <brk id="28511" max="16383" man="1"/>
    <brk id="28607" max="16383" man="1"/>
    <brk id="28703" max="16383" man="1"/>
    <brk id="28799" max="16383" man="1"/>
    <brk id="28895" max="16383" man="1"/>
    <brk id="28991" max="16383" man="1"/>
    <brk id="29087" max="16383" man="1"/>
    <brk id="29183" max="16383" man="1"/>
    <brk id="29279" max="16383" man="1"/>
    <brk id="29375" max="16383" man="1"/>
    <brk id="29471" max="16383" man="1"/>
    <brk id="29567" max="16383" man="1"/>
    <brk id="29663" max="16383" man="1"/>
    <brk id="29759" max="16383" man="1"/>
    <brk id="29855" max="16383" man="1"/>
    <brk id="29951" max="16383" man="1"/>
    <brk id="30047" max="16383" man="1"/>
    <brk id="30143" max="16383" man="1"/>
    <brk id="30239" max="16383" man="1"/>
    <brk id="30335" max="16383" man="1"/>
    <brk id="30431" max="16383" man="1"/>
    <brk id="30527" max="16383" man="1"/>
    <brk id="30623" max="16383" man="1"/>
    <brk id="30719" max="16383" man="1"/>
    <brk id="30815" max="16383" man="1"/>
    <brk id="30911" max="16383" man="1"/>
    <brk id="31007" max="16383" man="1"/>
    <brk id="31103" max="16383" man="1"/>
    <brk id="31199" max="16383" man="1"/>
    <brk id="31295" max="16383" man="1"/>
    <brk id="31391" max="16383" man="1"/>
    <brk id="31487" max="16383" man="1"/>
    <brk id="31583" max="16383" man="1"/>
    <brk id="31679" max="16383" man="1"/>
    <brk id="31775" max="16383" man="1"/>
    <brk id="31871" max="16383" man="1"/>
    <brk id="31967" max="16383" man="1"/>
    <brk id="32063" max="16383" man="1"/>
    <brk id="32159" max="16383" man="1"/>
    <brk id="32255" max="16383" man="1"/>
    <brk id="32351" max="16383" man="1"/>
    <brk id="32447" max="16383" man="1"/>
    <brk id="32543" max="16383" man="1"/>
    <brk id="32639" max="16383" man="1"/>
    <brk id="32735" max="16383" man="1"/>
    <brk id="32831" max="16383" man="1"/>
    <brk id="32927" max="16383" man="1"/>
    <brk id="33023" max="16383" man="1"/>
    <brk id="33119" max="16383" man="1"/>
    <brk id="33215" max="16383" man="1"/>
    <brk id="33311" max="16383" man="1"/>
    <brk id="33407" max="16383" man="1"/>
    <brk id="33503" max="16383" man="1"/>
    <brk id="33599" max="16383" man="1"/>
    <brk id="33695" max="16383" man="1"/>
    <brk id="33791" max="16383" man="1"/>
    <brk id="33887" max="16383" man="1"/>
    <brk id="33983" max="16383" man="1"/>
    <brk id="34079" max="16383" man="1"/>
    <brk id="34175" max="16383" man="1"/>
    <brk id="34271" max="16383" man="1"/>
    <brk id="34367" max="16383" man="1"/>
    <brk id="34463" max="16383" man="1"/>
    <brk id="34559" max="16383" man="1"/>
    <brk id="34655" max="16383" man="1"/>
    <brk id="34751" max="16383" man="1"/>
    <brk id="34847" max="16383" man="1"/>
    <brk id="34943" max="16383" man="1"/>
    <brk id="35039" max="16383" man="1"/>
    <brk id="35135" max="16383" man="1"/>
    <brk id="35231" max="16383" man="1"/>
    <brk id="35327" max="16383" man="1"/>
    <brk id="35423" max="16383" man="1"/>
    <brk id="35519" max="16383" man="1"/>
    <brk id="35615" max="16383" man="1"/>
    <brk id="35711" max="16383" man="1"/>
    <brk id="35807" max="16383" man="1"/>
    <brk id="35903" max="16383" man="1"/>
    <brk id="35999" max="16383" man="1"/>
    <brk id="36095" max="16383" man="1"/>
    <brk id="36191" max="16383" man="1"/>
    <brk id="36287" max="16383" man="1"/>
    <brk id="36383" max="16383" man="1"/>
    <brk id="36479" max="16383" man="1"/>
    <brk id="36575" max="16383" man="1"/>
    <brk id="36671" max="16383" man="1"/>
    <brk id="36767" max="16383" man="1"/>
    <brk id="36863" max="16383" man="1"/>
    <brk id="36959" max="16383" man="1"/>
    <brk id="37055" max="16383" man="1"/>
    <brk id="37151" max="16383" man="1"/>
    <brk id="37247" max="16383" man="1"/>
    <brk id="37343" max="16383" man="1"/>
    <brk id="37439" max="16383" man="1"/>
    <brk id="37535" max="16383" man="1"/>
    <brk id="37631" max="16383" man="1"/>
    <brk id="37727" max="16383" man="1"/>
    <brk id="37823" max="16383" man="1"/>
    <brk id="37919" max="16383" man="1"/>
    <brk id="38015" max="16383" man="1"/>
    <brk id="38111" max="16383" man="1"/>
    <brk id="38207" max="16383" man="1"/>
    <brk id="38303" max="16383" man="1"/>
    <brk id="38399" max="16383" man="1"/>
    <brk id="38495" max="16383" man="1"/>
    <brk id="38591" max="16383" man="1"/>
    <brk id="38687" max="16383" man="1"/>
    <brk id="38783" max="16383" man="1"/>
    <brk id="38879" max="16383" man="1"/>
    <brk id="38975" max="16383" man="1"/>
    <brk id="39071" max="16383" man="1"/>
    <brk id="39167" max="16383" man="1"/>
    <brk id="39263" max="16383" man="1"/>
    <brk id="39359" max="16383" man="1"/>
    <brk id="39455" max="16383" man="1"/>
    <brk id="39551" max="16383" man="1"/>
    <brk id="39647" max="16383" man="1"/>
    <brk id="39743" max="16383" man="1"/>
    <brk id="39839" max="16383" man="1"/>
    <brk id="39935" max="16383" man="1"/>
    <brk id="40031" max="16383" man="1"/>
    <brk id="40127" max="16383" man="1"/>
    <brk id="40223" max="16383" man="1"/>
    <brk id="40319" max="16383" man="1"/>
    <brk id="40415" max="16383" man="1"/>
    <brk id="40511" max="16383" man="1"/>
    <brk id="40607" max="16383" man="1"/>
    <brk id="40703" max="16383" man="1"/>
    <brk id="40799" max="16383" man="1"/>
    <brk id="40895" max="16383" man="1"/>
    <brk id="40991" max="16383" man="1"/>
    <brk id="41087" max="16383" man="1"/>
    <brk id="41183" max="16383" man="1"/>
    <brk id="41279" max="16383" man="1"/>
    <brk id="41375" max="16383" man="1"/>
    <brk id="41471" max="16383" man="1"/>
    <brk id="41567" max="16383" man="1"/>
    <brk id="41663" max="16383" man="1"/>
    <brk id="41759" max="16383" man="1"/>
    <brk id="41855" max="16383" man="1"/>
    <brk id="41951" max="16383" man="1"/>
    <brk id="42047" max="16383" man="1"/>
    <brk id="42143" max="16383" man="1"/>
    <brk id="42239" max="16383" man="1"/>
    <brk id="42335" max="16383" man="1"/>
    <brk id="42431" max="16383" man="1"/>
    <brk id="42527" max="16383" man="1"/>
    <brk id="42623" max="16383" man="1"/>
    <brk id="42719" max="16383" man="1"/>
    <brk id="42815" max="16383" man="1"/>
    <brk id="42911" max="16383" man="1"/>
    <brk id="43007" max="16383" man="1"/>
    <brk id="43103" max="16383" man="1"/>
    <brk id="43199" max="16383" man="1"/>
    <brk id="43295" max="16383" man="1"/>
    <brk id="43391" max="16383" man="1"/>
    <brk id="43487" max="16383" man="1"/>
    <brk id="43583" max="16383" man="1"/>
    <brk id="43679" max="16383" man="1"/>
    <brk id="43775" max="16383" man="1"/>
    <brk id="43871" max="16383" man="1"/>
    <brk id="43967" max="16383" man="1"/>
    <brk id="44063" max="16383" man="1"/>
    <brk id="44159" max="16383" man="1"/>
    <brk id="44255" max="16383" man="1"/>
    <brk id="44351" max="16383" man="1"/>
    <brk id="44447" max="16383" man="1"/>
    <brk id="44543" max="16383" man="1"/>
    <brk id="44639" max="16383" man="1"/>
    <brk id="44735" max="16383" man="1"/>
    <brk id="44831" max="16383" man="1"/>
    <brk id="44927" max="16383" man="1"/>
    <brk id="45023" max="16383" man="1"/>
    <brk id="45119" max="16383" man="1"/>
    <brk id="45215" max="16383" man="1"/>
    <brk id="45311" max="16383" man="1"/>
    <brk id="45407" max="16383" man="1"/>
    <brk id="45503" max="16383" man="1"/>
    <brk id="45599" max="16383" man="1"/>
    <brk id="45695" max="16383" man="1"/>
    <brk id="45791" max="16383" man="1"/>
    <brk id="45887" max="16383" man="1"/>
    <brk id="45983" max="16383" man="1"/>
    <brk id="46079" max="16383" man="1"/>
    <brk id="46175" max="16383" man="1"/>
    <brk id="46271" max="16383" man="1"/>
    <brk id="46367" max="16383" man="1"/>
    <brk id="46463" max="16383" man="1"/>
    <brk id="46559" max="16383" man="1"/>
    <brk id="46655" max="16383" man="1"/>
    <brk id="46751" max="16383" man="1"/>
    <brk id="46847" max="16383" man="1"/>
    <brk id="46943" max="16383" man="1"/>
    <brk id="47039" max="16383" man="1"/>
    <brk id="47135" max="16383" man="1"/>
    <brk id="47231" max="16383" man="1"/>
    <brk id="47327" max="16383" man="1"/>
    <brk id="47423" max="16383" man="1"/>
    <brk id="47519" max="16383" man="1"/>
    <brk id="47615" max="16383" man="1"/>
    <brk id="47711" max="16383" man="1"/>
    <brk id="47807" max="16383" man="1"/>
    <brk id="47903" max="16383" man="1"/>
    <brk id="47999" max="16383" man="1"/>
    <brk id="48095" max="16383" man="1"/>
    <brk id="48191" max="16383" man="1"/>
    <brk id="48287" max="16383" man="1"/>
    <brk id="48383" max="16383" man="1"/>
    <brk id="48479" max="16383" man="1"/>
    <brk id="48575" max="16383" man="1"/>
    <brk id="48671" max="16383" man="1"/>
    <brk id="48767" max="16383" man="1"/>
    <brk id="48863" max="16383" man="1"/>
    <brk id="48959" max="16383" man="1"/>
    <brk id="49055" max="16383" man="1"/>
    <brk id="49151" max="16383" man="1"/>
    <brk id="49247" max="16383" man="1"/>
    <brk id="49343" max="16383" man="1"/>
    <brk id="49439" max="16383" man="1"/>
    <brk id="49535" max="16383" man="1"/>
    <brk id="49631" max="16383" man="1"/>
    <brk id="49727" max="16383" man="1"/>
    <brk id="49823" max="16383" man="1"/>
    <brk id="49919" max="16383" man="1"/>
    <brk id="50015" max="16383" man="1"/>
    <brk id="50111" max="16383" man="1"/>
    <brk id="50207" max="16383" man="1"/>
    <brk id="50303" max="16383" man="1"/>
    <brk id="50399" max="16383" man="1"/>
    <brk id="50495" max="16383" man="1"/>
    <brk id="50591" max="16383" man="1"/>
    <brk id="50687" max="16383" man="1"/>
    <brk id="50783" max="16383" man="1"/>
    <brk id="50879" max="16383" man="1"/>
    <brk id="50975" max="16383" man="1"/>
    <brk id="51071" max="16383" man="1"/>
    <brk id="51167" max="16383" man="1"/>
    <brk id="51263" max="16383" man="1"/>
    <brk id="51359" max="16383" man="1"/>
    <brk id="51455" max="16383" man="1"/>
    <brk id="51551" max="16383" man="1"/>
    <brk id="51647" max="16383" man="1"/>
    <brk id="51743" max="16383" man="1"/>
    <brk id="51839" max="16383" man="1"/>
    <brk id="51935" max="16383" man="1"/>
    <brk id="52031" max="16383" man="1"/>
    <brk id="52127" max="16383" man="1"/>
    <brk id="52223" max="16383" man="1"/>
    <brk id="52319" max="16383" man="1"/>
    <brk id="52415" max="16383" man="1"/>
    <brk id="52511" max="16383" man="1"/>
    <brk id="52607" max="16383" man="1"/>
    <brk id="52703" max="16383" man="1"/>
    <brk id="52799" max="16383" man="1"/>
    <brk id="52895" max="16383" man="1"/>
    <brk id="52991" max="16383" man="1"/>
    <brk id="53087" max="16383" man="1"/>
    <brk id="53183" max="16383" man="1"/>
    <brk id="53279" max="16383" man="1"/>
    <brk id="53375" max="16383" man="1"/>
    <brk id="53471" max="16383" man="1"/>
    <brk id="53567" max="16383" man="1"/>
    <brk id="53663" max="16383" man="1"/>
    <brk id="53759" max="16383" man="1"/>
    <brk id="53855" max="16383" man="1"/>
    <brk id="53951" max="16383" man="1"/>
    <brk id="54047" max="16383" man="1"/>
    <brk id="54143" max="16383" man="1"/>
    <brk id="54239" max="16383" man="1"/>
    <brk id="54335" max="16383" man="1"/>
    <brk id="54431" max="16383" man="1"/>
    <brk id="54527" max="16383" man="1"/>
    <brk id="54623" max="16383" man="1"/>
    <brk id="54719" max="16383" man="1"/>
    <brk id="54815" max="16383" man="1"/>
    <brk id="54911" max="16383" man="1"/>
    <brk id="55007" max="16383" man="1"/>
    <brk id="55103" max="16383" man="1"/>
    <brk id="55199" max="16383" man="1"/>
    <brk id="55295" max="16383" man="1"/>
    <brk id="55391" max="16383" man="1"/>
    <brk id="55487" max="16383" man="1"/>
    <brk id="55583" max="16383" man="1"/>
    <brk id="55679" max="16383" man="1"/>
    <brk id="55775" max="16383" man="1"/>
    <brk id="55871" max="16383" man="1"/>
    <brk id="55967" max="16383" man="1"/>
    <brk id="56063" max="16383" man="1"/>
    <brk id="56159" max="16383" man="1"/>
    <brk id="56255" max="16383" man="1"/>
    <brk id="56351" max="16383" man="1"/>
    <brk id="56447" max="16383" man="1"/>
    <brk id="56543" max="16383" man="1"/>
    <brk id="56639" max="16383" man="1"/>
    <brk id="56735" max="16383" man="1"/>
    <brk id="56831" max="16383" man="1"/>
    <brk id="56927" max="16383" man="1"/>
    <brk id="57023" max="16383" man="1"/>
    <brk id="57119" max="16383" man="1"/>
    <brk id="57215" max="16383" man="1"/>
    <brk id="57311" max="16383" man="1"/>
    <brk id="57407" max="16383" man="1"/>
    <brk id="57503" max="16383" man="1"/>
    <brk id="57599" max="16383" man="1"/>
    <brk id="57695" max="16383" man="1"/>
    <brk id="57791" max="16383" man="1"/>
    <brk id="57887" max="16383" man="1"/>
    <brk id="57983" max="16383" man="1"/>
    <brk id="58079" max="16383" man="1"/>
    <brk id="58175" max="16383" man="1"/>
    <brk id="58271" max="16383" man="1"/>
    <brk id="58367" max="16383" man="1"/>
    <brk id="58463" max="16383" man="1"/>
    <brk id="58559" max="16383" man="1"/>
    <brk id="58655" max="16383" man="1"/>
    <brk id="58751" max="16383" man="1"/>
    <brk id="58847" max="16383" man="1"/>
    <brk id="58943" max="16383" man="1"/>
    <brk id="59039" max="16383" man="1"/>
    <brk id="59135" max="16383" man="1"/>
    <brk id="59231" max="16383" man="1"/>
    <brk id="59327" max="16383" man="1"/>
    <brk id="59423" max="16383" man="1"/>
    <brk id="59519" max="16383" man="1"/>
    <brk id="59615" max="16383" man="1"/>
    <brk id="59711" max="16383" man="1"/>
    <brk id="59807" max="16383" man="1"/>
    <brk id="59903" max="16383" man="1"/>
    <brk id="59999" max="16383" man="1"/>
    <brk id="60095" max="16383" man="1"/>
    <brk id="60191" max="16383" man="1"/>
    <brk id="60287" max="16383" man="1"/>
    <brk id="60383" max="16383" man="1"/>
    <brk id="60479" max="16383" man="1"/>
    <brk id="60575" max="16383" man="1"/>
    <brk id="60671" max="16383" man="1"/>
    <brk id="60767" max="16383" man="1"/>
    <brk id="60863" max="16383" man="1"/>
    <brk id="60959" max="16383" man="1"/>
    <brk id="61055" max="16383" man="1"/>
    <brk id="61151" max="16383" man="1"/>
    <brk id="61247" max="16383" man="1"/>
    <brk id="61343" max="16383" man="1"/>
    <brk id="61439" max="16383" man="1"/>
    <brk id="61535" max="16383" man="1"/>
    <brk id="61631" max="16383" man="1"/>
    <brk id="61727" max="16383" man="1"/>
    <brk id="61823" max="16383" man="1"/>
    <brk id="61919" max="16383" man="1"/>
    <brk id="62015" max="16383" man="1"/>
    <brk id="62111" max="16383" man="1"/>
    <brk id="62207" max="16383" man="1"/>
    <brk id="62303" max="16383" man="1"/>
    <brk id="62399" max="16383" man="1"/>
    <brk id="62495" max="16383" man="1"/>
    <brk id="62591" max="16383" man="1"/>
    <brk id="62687" max="16383" man="1"/>
    <brk id="62783" max="16383" man="1"/>
    <brk id="62879" max="16383" man="1"/>
    <brk id="62975" max="16383" man="1"/>
    <brk id="63071" max="16383" man="1"/>
    <brk id="63167" max="16383" man="1"/>
    <brk id="63263" max="16383" man="1"/>
    <brk id="63359" max="16383" man="1"/>
    <brk id="63455" max="16383" man="1"/>
    <brk id="63551" max="16383" man="1"/>
    <brk id="63647" max="16383" man="1"/>
    <brk id="63743" max="16383" man="1"/>
    <brk id="63839" max="16383" man="1"/>
    <brk id="63935" max="16383" man="1"/>
    <brk id="64031" max="16383" man="1"/>
    <brk id="64127" max="16383" man="1"/>
    <brk id="64223" max="16383" man="1"/>
    <brk id="64319" max="16383" man="1"/>
    <brk id="64415" max="16383" man="1"/>
    <brk id="64511" max="16383" man="1"/>
    <brk id="64607" max="16383" man="1"/>
    <brk id="64703" max="16383" man="1"/>
    <brk id="64799" max="16383" man="1"/>
    <brk id="64895" max="16383" man="1"/>
    <brk id="64991" max="16383" man="1"/>
    <brk id="65087" max="16383" man="1"/>
    <brk id="65183" max="16383" man="1"/>
    <brk id="65279" max="16383" man="1"/>
    <brk id="65375" max="16383" man="1"/>
    <brk id="65471" max="16383"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AP45"/>
  <sheetViews>
    <sheetView workbookViewId="0">
      <selection activeCell="O15" sqref="O15"/>
    </sheetView>
  </sheetViews>
  <sheetFormatPr defaultColWidth="10.54296875" defaultRowHeight="12.5"/>
  <cols>
    <col min="1" max="1" width="31.81640625" style="569" customWidth="1"/>
    <col min="2" max="2" width="10.54296875" style="569" customWidth="1"/>
    <col min="3" max="3" width="12.54296875" style="569" customWidth="1"/>
    <col min="4" max="4" width="9.81640625" style="569" customWidth="1"/>
    <col min="5" max="5" width="12.54296875" style="569" customWidth="1"/>
    <col min="6" max="6" width="9.81640625" style="569" customWidth="1"/>
    <col min="7" max="7" width="12.54296875" style="569" customWidth="1"/>
    <col min="8" max="8" width="9.81640625" style="569" customWidth="1"/>
    <col min="9" max="9" width="12.54296875" style="569" customWidth="1"/>
    <col min="10" max="10" width="9.81640625" style="569" customWidth="1"/>
    <col min="11" max="11" width="12.54296875" style="569" customWidth="1"/>
    <col min="12" max="12" width="9.81640625" style="569" customWidth="1"/>
    <col min="13" max="13" width="12.54296875" style="569" customWidth="1"/>
    <col min="14" max="14" width="9.81640625" style="569" customWidth="1"/>
    <col min="15" max="15" width="12.54296875" style="569" customWidth="1"/>
    <col min="16" max="16" width="9.81640625" style="569" customWidth="1"/>
    <col min="17" max="17" width="12.54296875" style="569" customWidth="1"/>
    <col min="18" max="18" width="9.81640625" style="569" customWidth="1"/>
    <col min="19" max="19" width="12.54296875" style="569" customWidth="1"/>
    <col min="20" max="20" width="9.81640625" style="569" customWidth="1"/>
    <col min="21" max="21" width="12.54296875" style="569" customWidth="1"/>
    <col min="22" max="22" width="9.81640625" style="569" customWidth="1"/>
    <col min="23" max="23" width="12.54296875" style="569" customWidth="1"/>
    <col min="24" max="24" width="9.81640625" style="569" customWidth="1"/>
    <col min="25" max="25" width="12.54296875" style="569" customWidth="1"/>
    <col min="26" max="26" width="9.81640625" style="569" customWidth="1"/>
    <col min="27" max="27" width="12.54296875" style="569" customWidth="1"/>
    <col min="28" max="28" width="9.81640625" style="569" customWidth="1"/>
    <col min="29" max="29" width="12.54296875" style="569" customWidth="1"/>
    <col min="30" max="30" width="9.81640625" style="569" customWidth="1"/>
    <col min="31" max="31" width="12.54296875" style="569" customWidth="1"/>
    <col min="32" max="32" width="9.81640625" style="569" customWidth="1"/>
    <col min="33" max="33" width="12.54296875" style="569" customWidth="1"/>
    <col min="34" max="34" width="9.81640625" style="569" customWidth="1"/>
    <col min="35" max="35" width="12.54296875" style="569" customWidth="1"/>
    <col min="36" max="36" width="9.81640625" style="569" customWidth="1"/>
    <col min="37" max="37" width="12.54296875" style="569" customWidth="1"/>
    <col min="38" max="38" width="9.81640625" style="569" customWidth="1"/>
    <col min="39" max="39" width="12.54296875" style="569" customWidth="1"/>
    <col min="40" max="40" width="9.81640625" style="569" customWidth="1"/>
    <col min="41" max="41" width="12.54296875" style="569" customWidth="1"/>
    <col min="42" max="42" width="9.81640625" style="569" customWidth="1"/>
    <col min="43" max="254" width="9.1796875" customWidth="1"/>
    <col min="255" max="255" width="22.54296875" customWidth="1"/>
  </cols>
  <sheetData>
    <row r="1" spans="1:42">
      <c r="A1" s="872" t="s">
        <v>596</v>
      </c>
      <c r="B1" s="872" t="s">
        <v>959</v>
      </c>
      <c r="C1" s="870" t="s">
        <v>909</v>
      </c>
      <c r="D1" s="872" t="s">
        <v>910</v>
      </c>
      <c r="E1" s="870" t="s">
        <v>909</v>
      </c>
      <c r="F1" s="872" t="s">
        <v>910</v>
      </c>
      <c r="G1" s="870" t="s">
        <v>909</v>
      </c>
      <c r="H1" s="872" t="s">
        <v>910</v>
      </c>
      <c r="I1" s="870" t="s">
        <v>909</v>
      </c>
      <c r="J1" s="872" t="s">
        <v>911</v>
      </c>
      <c r="K1" s="870" t="s">
        <v>909</v>
      </c>
      <c r="L1" s="872" t="s">
        <v>910</v>
      </c>
      <c r="M1" s="870" t="s">
        <v>909</v>
      </c>
      <c r="N1" s="872" t="s">
        <v>911</v>
      </c>
      <c r="O1" s="870" t="s">
        <v>909</v>
      </c>
      <c r="P1" s="872" t="s">
        <v>910</v>
      </c>
      <c r="Q1" s="870" t="s">
        <v>909</v>
      </c>
      <c r="R1" s="872" t="s">
        <v>911</v>
      </c>
      <c r="S1" s="870" t="s">
        <v>909</v>
      </c>
      <c r="T1" s="872" t="s">
        <v>911</v>
      </c>
      <c r="U1" s="870" t="s">
        <v>909</v>
      </c>
      <c r="V1" s="872" t="s">
        <v>911</v>
      </c>
      <c r="W1" s="870" t="s">
        <v>909</v>
      </c>
      <c r="X1" s="872" t="s">
        <v>911</v>
      </c>
      <c r="Y1" s="870" t="s">
        <v>909</v>
      </c>
      <c r="Z1" s="872" t="s">
        <v>911</v>
      </c>
      <c r="AA1" s="870" t="s">
        <v>909</v>
      </c>
      <c r="AB1" s="872" t="s">
        <v>911</v>
      </c>
      <c r="AC1" s="870" t="s">
        <v>909</v>
      </c>
      <c r="AD1" s="872" t="s">
        <v>911</v>
      </c>
      <c r="AE1" s="870" t="s">
        <v>909</v>
      </c>
      <c r="AF1" s="872" t="s">
        <v>911</v>
      </c>
      <c r="AG1" s="870" t="s">
        <v>909</v>
      </c>
      <c r="AH1" s="872" t="s">
        <v>911</v>
      </c>
      <c r="AI1" s="870" t="s">
        <v>909</v>
      </c>
      <c r="AJ1" s="872" t="s">
        <v>911</v>
      </c>
      <c r="AK1" s="870" t="s">
        <v>909</v>
      </c>
      <c r="AL1" s="872" t="s">
        <v>911</v>
      </c>
      <c r="AM1" s="870" t="s">
        <v>909</v>
      </c>
      <c r="AN1" s="872" t="s">
        <v>911</v>
      </c>
      <c r="AO1" s="870" t="s">
        <v>909</v>
      </c>
      <c r="AP1" s="872" t="s">
        <v>911</v>
      </c>
    </row>
    <row r="2" spans="1:42">
      <c r="A2" s="849"/>
      <c r="B2" s="849"/>
      <c r="C2" s="871"/>
      <c r="D2" s="849"/>
      <c r="E2" s="871"/>
      <c r="F2" s="849"/>
      <c r="G2" s="871"/>
      <c r="H2" s="849"/>
      <c r="I2" s="871"/>
      <c r="J2" s="849"/>
      <c r="K2" s="871"/>
      <c r="L2" s="849"/>
      <c r="M2" s="871"/>
      <c r="N2" s="849"/>
      <c r="O2" s="871"/>
      <c r="P2" s="849"/>
      <c r="Q2" s="871"/>
      <c r="R2" s="849"/>
      <c r="S2" s="871"/>
      <c r="T2" s="849"/>
      <c r="U2" s="871"/>
      <c r="V2" s="849"/>
      <c r="W2" s="871"/>
      <c r="X2" s="849"/>
      <c r="Y2" s="871"/>
      <c r="Z2" s="849"/>
      <c r="AA2" s="871"/>
      <c r="AB2" s="849"/>
      <c r="AC2" s="871"/>
      <c r="AD2" s="849"/>
      <c r="AE2" s="871"/>
      <c r="AF2" s="849"/>
      <c r="AG2" s="871"/>
      <c r="AH2" s="849"/>
      <c r="AI2" s="871"/>
      <c r="AJ2" s="849"/>
      <c r="AK2" s="871"/>
      <c r="AL2" s="849"/>
      <c r="AM2" s="871"/>
      <c r="AN2" s="849"/>
      <c r="AO2" s="871"/>
      <c r="AP2" s="849"/>
    </row>
    <row r="3" spans="1:42" ht="32.25" customHeight="1">
      <c r="A3" s="849"/>
      <c r="B3" s="849"/>
      <c r="C3" s="871"/>
      <c r="D3" s="849"/>
      <c r="E3" s="871"/>
      <c r="F3" s="849"/>
      <c r="G3" s="871"/>
      <c r="H3" s="849"/>
      <c r="I3" s="871"/>
      <c r="J3" s="849"/>
      <c r="K3" s="871"/>
      <c r="L3" s="849"/>
      <c r="M3" s="871"/>
      <c r="N3" s="849"/>
      <c r="O3" s="871"/>
      <c r="P3" s="849"/>
      <c r="Q3" s="871"/>
      <c r="R3" s="849"/>
      <c r="S3" s="871"/>
      <c r="T3" s="849"/>
      <c r="U3" s="871"/>
      <c r="V3" s="849"/>
      <c r="W3" s="871"/>
      <c r="X3" s="849"/>
      <c r="Y3" s="871"/>
      <c r="Z3" s="849"/>
      <c r="AA3" s="871"/>
      <c r="AB3" s="849"/>
      <c r="AC3" s="871"/>
      <c r="AD3" s="849"/>
      <c r="AE3" s="871"/>
      <c r="AF3" s="849"/>
      <c r="AG3" s="871"/>
      <c r="AH3" s="849"/>
      <c r="AI3" s="871"/>
      <c r="AJ3" s="849"/>
      <c r="AK3" s="871"/>
      <c r="AL3" s="849"/>
      <c r="AM3" s="871"/>
      <c r="AN3" s="849"/>
      <c r="AO3" s="871"/>
      <c r="AP3" s="849"/>
    </row>
    <row r="4" spans="1:42" ht="18.75" customHeight="1">
      <c r="A4" s="876"/>
      <c r="B4" s="876"/>
      <c r="C4" s="873" t="s">
        <v>907</v>
      </c>
      <c r="D4" s="874"/>
      <c r="E4" s="873" t="s">
        <v>907</v>
      </c>
      <c r="F4" s="874"/>
      <c r="G4" s="873" t="s">
        <v>907</v>
      </c>
      <c r="H4" s="874"/>
      <c r="I4" s="873" t="s">
        <v>907</v>
      </c>
      <c r="J4" s="874"/>
      <c r="K4" s="873" t="s">
        <v>907</v>
      </c>
      <c r="L4" s="874"/>
      <c r="M4" s="873" t="s">
        <v>907</v>
      </c>
      <c r="N4" s="874"/>
      <c r="O4" s="873" t="s">
        <v>907</v>
      </c>
      <c r="P4" s="874"/>
      <c r="Q4" s="873" t="s">
        <v>907</v>
      </c>
      <c r="R4" s="874"/>
      <c r="S4" s="873" t="s">
        <v>907</v>
      </c>
      <c r="T4" s="874"/>
      <c r="U4" s="873" t="s">
        <v>907</v>
      </c>
      <c r="V4" s="874"/>
      <c r="W4" s="873" t="s">
        <v>907</v>
      </c>
      <c r="X4" s="874"/>
      <c r="Y4" s="873" t="s">
        <v>907</v>
      </c>
      <c r="Z4" s="874"/>
      <c r="AA4" s="873" t="s">
        <v>907</v>
      </c>
      <c r="AB4" s="874"/>
      <c r="AC4" s="873" t="s">
        <v>907</v>
      </c>
      <c r="AD4" s="874"/>
      <c r="AE4" s="873" t="s">
        <v>907</v>
      </c>
      <c r="AF4" s="874"/>
      <c r="AG4" s="873" t="s">
        <v>907</v>
      </c>
      <c r="AH4" s="874"/>
      <c r="AI4" s="873" t="s">
        <v>907</v>
      </c>
      <c r="AJ4" s="874"/>
      <c r="AK4" s="873" t="s">
        <v>907</v>
      </c>
      <c r="AL4" s="874"/>
      <c r="AM4" s="873" t="s">
        <v>907</v>
      </c>
      <c r="AN4" s="874"/>
      <c r="AO4" s="873" t="s">
        <v>907</v>
      </c>
      <c r="AP4" s="874"/>
    </row>
    <row r="5" spans="1:42" ht="12" customHeight="1">
      <c r="A5" s="570" t="s">
        <v>960</v>
      </c>
      <c r="B5" s="571"/>
      <c r="C5" s="571"/>
      <c r="D5" s="572"/>
      <c r="E5" s="571"/>
      <c r="F5" s="572"/>
      <c r="G5" s="571"/>
      <c r="H5" s="572"/>
      <c r="I5" s="571"/>
      <c r="J5" s="572"/>
      <c r="K5" s="571"/>
      <c r="L5" s="572"/>
      <c r="M5" s="571"/>
      <c r="N5" s="572"/>
      <c r="O5" s="571"/>
      <c r="P5" s="572"/>
      <c r="Q5" s="571"/>
      <c r="R5" s="572"/>
      <c r="S5" s="571"/>
      <c r="T5" s="572"/>
      <c r="U5" s="571"/>
      <c r="V5" s="572"/>
      <c r="W5" s="571"/>
      <c r="X5" s="572"/>
      <c r="Y5" s="571"/>
      <c r="Z5" s="572"/>
      <c r="AA5" s="571"/>
      <c r="AB5" s="572"/>
      <c r="AC5" s="571"/>
      <c r="AD5" s="572"/>
      <c r="AE5" s="571"/>
      <c r="AF5" s="572"/>
      <c r="AG5" s="571"/>
      <c r="AH5" s="572"/>
      <c r="AI5" s="571"/>
      <c r="AJ5" s="572"/>
      <c r="AK5" s="571"/>
      <c r="AL5" s="572"/>
      <c r="AM5" s="571"/>
      <c r="AN5" s="572"/>
      <c r="AO5" s="571"/>
      <c r="AP5" s="572"/>
    </row>
    <row r="6" spans="1:42" ht="12" customHeight="1">
      <c r="A6" s="573" t="s">
        <v>636</v>
      </c>
      <c r="B6" s="573">
        <v>1</v>
      </c>
      <c r="C6" s="574"/>
      <c r="D6" s="573">
        <f>C6*B6</f>
        <v>0</v>
      </c>
      <c r="E6" s="574"/>
      <c r="F6" s="573">
        <f>E6*B6</f>
        <v>0</v>
      </c>
      <c r="G6" s="574"/>
      <c r="H6" s="573">
        <f>G6*B6</f>
        <v>0</v>
      </c>
      <c r="I6" s="574"/>
      <c r="J6" s="573">
        <f>I6*B6</f>
        <v>0</v>
      </c>
      <c r="K6" s="574"/>
      <c r="L6" s="573">
        <f>K6*B6</f>
        <v>0</v>
      </c>
      <c r="M6" s="574"/>
      <c r="N6" s="573">
        <f>M6*B6</f>
        <v>0</v>
      </c>
      <c r="O6" s="574"/>
      <c r="P6" s="573">
        <f>O6*B6</f>
        <v>0</v>
      </c>
      <c r="Q6" s="574"/>
      <c r="R6" s="573">
        <f>Q6*B6</f>
        <v>0</v>
      </c>
      <c r="S6" s="574"/>
      <c r="T6" s="573">
        <f>S6*B6</f>
        <v>0</v>
      </c>
      <c r="U6" s="574"/>
      <c r="V6" s="573">
        <f>U6*B6</f>
        <v>0</v>
      </c>
      <c r="W6" s="574"/>
      <c r="X6" s="573">
        <f>W6*B6</f>
        <v>0</v>
      </c>
      <c r="Y6" s="574"/>
      <c r="Z6" s="573">
        <f>Y6*B6</f>
        <v>0</v>
      </c>
      <c r="AA6" s="574"/>
      <c r="AB6" s="573">
        <f>AA6*B6</f>
        <v>0</v>
      </c>
      <c r="AC6" s="574"/>
      <c r="AD6" s="573">
        <f>AC6*B6</f>
        <v>0</v>
      </c>
      <c r="AE6" s="574"/>
      <c r="AF6" s="573">
        <f>AE6*B6</f>
        <v>0</v>
      </c>
      <c r="AG6" s="574"/>
      <c r="AH6" s="573">
        <f>AG6*B6</f>
        <v>0</v>
      </c>
      <c r="AI6" s="574"/>
      <c r="AJ6" s="573">
        <f>AI6*B6</f>
        <v>0</v>
      </c>
      <c r="AK6" s="574"/>
      <c r="AL6" s="573">
        <f>AK6*B6</f>
        <v>0</v>
      </c>
      <c r="AM6" s="574"/>
      <c r="AN6" s="573">
        <f>AM6*B6</f>
        <v>0</v>
      </c>
      <c r="AO6" s="574"/>
      <c r="AP6" s="573">
        <f>AO6*B6</f>
        <v>0</v>
      </c>
    </row>
    <row r="7" spans="1:42" ht="12" customHeight="1">
      <c r="A7" s="575" t="s">
        <v>637</v>
      </c>
      <c r="B7" s="575">
        <v>1</v>
      </c>
      <c r="C7" s="574"/>
      <c r="D7" s="573">
        <f t="shared" ref="D7:D12" si="0">C7*B7</f>
        <v>0</v>
      </c>
      <c r="E7" s="574"/>
      <c r="F7" s="573">
        <f t="shared" ref="F7:F12" si="1">E7*B7</f>
        <v>0</v>
      </c>
      <c r="G7" s="574"/>
      <c r="H7" s="573">
        <f t="shared" ref="H7:H12" si="2">G7*B7</f>
        <v>0</v>
      </c>
      <c r="I7" s="574"/>
      <c r="J7" s="573">
        <f t="shared" ref="J7:J12" si="3">I7*B7</f>
        <v>0</v>
      </c>
      <c r="K7" s="574"/>
      <c r="L7" s="573">
        <f t="shared" ref="L7:L12" si="4">K7*B7</f>
        <v>0</v>
      </c>
      <c r="M7" s="574"/>
      <c r="N7" s="573">
        <f t="shared" ref="N7:N12" si="5">M7*B7</f>
        <v>0</v>
      </c>
      <c r="O7" s="574"/>
      <c r="P7" s="573">
        <f t="shared" ref="P7:P12" si="6">O7*B7</f>
        <v>0</v>
      </c>
      <c r="Q7" s="574"/>
      <c r="R7" s="573">
        <f t="shared" ref="R7:R12" si="7">Q7*B7</f>
        <v>0</v>
      </c>
      <c r="S7" s="574"/>
      <c r="T7" s="573">
        <f t="shared" ref="T7:T12" si="8">S7*B7</f>
        <v>0</v>
      </c>
      <c r="U7" s="574"/>
      <c r="V7" s="573">
        <f t="shared" ref="V7:V12" si="9">U7*B7</f>
        <v>0</v>
      </c>
      <c r="W7" s="574"/>
      <c r="X7" s="573">
        <f t="shared" ref="X7:X12" si="10">W7*B7</f>
        <v>0</v>
      </c>
      <c r="Y7" s="574"/>
      <c r="Z7" s="573">
        <f t="shared" ref="Z7:Z12" si="11">Y7*B7</f>
        <v>0</v>
      </c>
      <c r="AA7" s="574"/>
      <c r="AB7" s="573">
        <f t="shared" ref="AB7:AB12" si="12">AA7*B7</f>
        <v>0</v>
      </c>
      <c r="AC7" s="574"/>
      <c r="AD7" s="573">
        <f t="shared" ref="AD7:AD12" si="13">AC7*B7</f>
        <v>0</v>
      </c>
      <c r="AE7" s="574"/>
      <c r="AF7" s="573">
        <f t="shared" ref="AF7:AF12" si="14">AE7*B7</f>
        <v>0</v>
      </c>
      <c r="AG7" s="574"/>
      <c r="AH7" s="573">
        <f t="shared" ref="AH7:AH12" si="15">AG7*B7</f>
        <v>0</v>
      </c>
      <c r="AI7" s="574"/>
      <c r="AJ7" s="573">
        <f t="shared" ref="AJ7:AJ12" si="16">AI7*B7</f>
        <v>0</v>
      </c>
      <c r="AK7" s="574"/>
      <c r="AL7" s="573">
        <f t="shared" ref="AL7:AL12" si="17">AK7*B7</f>
        <v>0</v>
      </c>
      <c r="AM7" s="574"/>
      <c r="AN7" s="573">
        <f t="shared" ref="AN7:AN12" si="18">AM7*B7</f>
        <v>0</v>
      </c>
      <c r="AO7" s="574"/>
      <c r="AP7" s="573">
        <f t="shared" ref="AP7:AP12" si="19">AO7*B7</f>
        <v>0</v>
      </c>
    </row>
    <row r="8" spans="1:42" ht="12" customHeight="1">
      <c r="A8" s="573" t="s">
        <v>638</v>
      </c>
      <c r="B8" s="573">
        <v>0.1</v>
      </c>
      <c r="C8" s="574"/>
      <c r="D8" s="573">
        <f t="shared" si="0"/>
        <v>0</v>
      </c>
      <c r="E8" s="574"/>
      <c r="F8" s="573">
        <f t="shared" si="1"/>
        <v>0</v>
      </c>
      <c r="G8" s="574"/>
      <c r="H8" s="573">
        <f t="shared" si="2"/>
        <v>0</v>
      </c>
      <c r="I8" s="574"/>
      <c r="J8" s="573">
        <f t="shared" si="3"/>
        <v>0</v>
      </c>
      <c r="K8" s="574"/>
      <c r="L8" s="573">
        <f t="shared" si="4"/>
        <v>0</v>
      </c>
      <c r="M8" s="574"/>
      <c r="N8" s="573">
        <f t="shared" si="5"/>
        <v>0</v>
      </c>
      <c r="O8" s="574"/>
      <c r="P8" s="573">
        <f t="shared" si="6"/>
        <v>0</v>
      </c>
      <c r="Q8" s="574"/>
      <c r="R8" s="573">
        <f t="shared" si="7"/>
        <v>0</v>
      </c>
      <c r="S8" s="574"/>
      <c r="T8" s="573">
        <f t="shared" si="8"/>
        <v>0</v>
      </c>
      <c r="U8" s="574"/>
      <c r="V8" s="573">
        <f t="shared" si="9"/>
        <v>0</v>
      </c>
      <c r="W8" s="574"/>
      <c r="X8" s="573">
        <f t="shared" si="10"/>
        <v>0</v>
      </c>
      <c r="Y8" s="574"/>
      <c r="Z8" s="573">
        <f t="shared" si="11"/>
        <v>0</v>
      </c>
      <c r="AA8" s="574"/>
      <c r="AB8" s="573">
        <f t="shared" si="12"/>
        <v>0</v>
      </c>
      <c r="AC8" s="574"/>
      <c r="AD8" s="573">
        <f t="shared" si="13"/>
        <v>0</v>
      </c>
      <c r="AE8" s="574"/>
      <c r="AF8" s="573">
        <f t="shared" si="14"/>
        <v>0</v>
      </c>
      <c r="AG8" s="574"/>
      <c r="AH8" s="573">
        <f t="shared" si="15"/>
        <v>0</v>
      </c>
      <c r="AI8" s="574"/>
      <c r="AJ8" s="573">
        <f t="shared" si="16"/>
        <v>0</v>
      </c>
      <c r="AK8" s="574"/>
      <c r="AL8" s="573">
        <f t="shared" si="17"/>
        <v>0</v>
      </c>
      <c r="AM8" s="574"/>
      <c r="AN8" s="573">
        <f t="shared" si="18"/>
        <v>0</v>
      </c>
      <c r="AO8" s="574"/>
      <c r="AP8" s="573">
        <f t="shared" si="19"/>
        <v>0</v>
      </c>
    </row>
    <row r="9" spans="1:42" ht="12" customHeight="1">
      <c r="A9" s="573" t="s">
        <v>639</v>
      </c>
      <c r="B9" s="573">
        <v>0.1</v>
      </c>
      <c r="C9" s="574"/>
      <c r="D9" s="573">
        <f t="shared" si="0"/>
        <v>0</v>
      </c>
      <c r="E9" s="574"/>
      <c r="F9" s="573">
        <f t="shared" si="1"/>
        <v>0</v>
      </c>
      <c r="G9" s="574"/>
      <c r="H9" s="573">
        <f t="shared" si="2"/>
        <v>0</v>
      </c>
      <c r="I9" s="574"/>
      <c r="J9" s="573">
        <f t="shared" si="3"/>
        <v>0</v>
      </c>
      <c r="K9" s="574"/>
      <c r="L9" s="573">
        <f t="shared" si="4"/>
        <v>0</v>
      </c>
      <c r="M9" s="574"/>
      <c r="N9" s="573">
        <f t="shared" si="5"/>
        <v>0</v>
      </c>
      <c r="O9" s="574"/>
      <c r="P9" s="573">
        <f t="shared" si="6"/>
        <v>0</v>
      </c>
      <c r="Q9" s="574"/>
      <c r="R9" s="573">
        <f t="shared" si="7"/>
        <v>0</v>
      </c>
      <c r="S9" s="574"/>
      <c r="T9" s="573">
        <f t="shared" si="8"/>
        <v>0</v>
      </c>
      <c r="U9" s="574"/>
      <c r="V9" s="573">
        <f t="shared" si="9"/>
        <v>0</v>
      </c>
      <c r="W9" s="574"/>
      <c r="X9" s="573">
        <f t="shared" si="10"/>
        <v>0</v>
      </c>
      <c r="Y9" s="574"/>
      <c r="Z9" s="573">
        <f t="shared" si="11"/>
        <v>0</v>
      </c>
      <c r="AA9" s="574"/>
      <c r="AB9" s="573">
        <f t="shared" si="12"/>
        <v>0</v>
      </c>
      <c r="AC9" s="574"/>
      <c r="AD9" s="573">
        <f t="shared" si="13"/>
        <v>0</v>
      </c>
      <c r="AE9" s="574"/>
      <c r="AF9" s="573">
        <f t="shared" si="14"/>
        <v>0</v>
      </c>
      <c r="AG9" s="574"/>
      <c r="AH9" s="573">
        <f t="shared" si="15"/>
        <v>0</v>
      </c>
      <c r="AI9" s="574"/>
      <c r="AJ9" s="573">
        <f t="shared" si="16"/>
        <v>0</v>
      </c>
      <c r="AK9" s="574"/>
      <c r="AL9" s="573">
        <f t="shared" si="17"/>
        <v>0</v>
      </c>
      <c r="AM9" s="574"/>
      <c r="AN9" s="573">
        <f t="shared" si="18"/>
        <v>0</v>
      </c>
      <c r="AO9" s="574"/>
      <c r="AP9" s="573">
        <f t="shared" si="19"/>
        <v>0</v>
      </c>
    </row>
    <row r="10" spans="1:42" ht="12" customHeight="1">
      <c r="A10" s="573" t="s">
        <v>640</v>
      </c>
      <c r="B10" s="573">
        <v>0.1</v>
      </c>
      <c r="C10" s="574"/>
      <c r="D10" s="573">
        <f t="shared" si="0"/>
        <v>0</v>
      </c>
      <c r="E10" s="574"/>
      <c r="F10" s="573">
        <f t="shared" si="1"/>
        <v>0</v>
      </c>
      <c r="G10" s="574"/>
      <c r="H10" s="573">
        <f t="shared" si="2"/>
        <v>0</v>
      </c>
      <c r="I10" s="574"/>
      <c r="J10" s="573">
        <f t="shared" si="3"/>
        <v>0</v>
      </c>
      <c r="K10" s="574"/>
      <c r="L10" s="573">
        <f t="shared" si="4"/>
        <v>0</v>
      </c>
      <c r="M10" s="574"/>
      <c r="N10" s="573">
        <f t="shared" si="5"/>
        <v>0</v>
      </c>
      <c r="O10" s="574"/>
      <c r="P10" s="573">
        <f t="shared" si="6"/>
        <v>0</v>
      </c>
      <c r="Q10" s="574"/>
      <c r="R10" s="573">
        <f t="shared" si="7"/>
        <v>0</v>
      </c>
      <c r="S10" s="574"/>
      <c r="T10" s="573">
        <f t="shared" si="8"/>
        <v>0</v>
      </c>
      <c r="U10" s="574"/>
      <c r="V10" s="573">
        <f t="shared" si="9"/>
        <v>0</v>
      </c>
      <c r="W10" s="574"/>
      <c r="X10" s="573">
        <f t="shared" si="10"/>
        <v>0</v>
      </c>
      <c r="Y10" s="574"/>
      <c r="Z10" s="573">
        <f t="shared" si="11"/>
        <v>0</v>
      </c>
      <c r="AA10" s="574"/>
      <c r="AB10" s="573">
        <f t="shared" si="12"/>
        <v>0</v>
      </c>
      <c r="AC10" s="574"/>
      <c r="AD10" s="573">
        <f t="shared" si="13"/>
        <v>0</v>
      </c>
      <c r="AE10" s="574"/>
      <c r="AF10" s="573">
        <f t="shared" si="14"/>
        <v>0</v>
      </c>
      <c r="AG10" s="574"/>
      <c r="AH10" s="573">
        <f t="shared" si="15"/>
        <v>0</v>
      </c>
      <c r="AI10" s="574"/>
      <c r="AJ10" s="573">
        <f t="shared" si="16"/>
        <v>0</v>
      </c>
      <c r="AK10" s="574"/>
      <c r="AL10" s="573">
        <f t="shared" si="17"/>
        <v>0</v>
      </c>
      <c r="AM10" s="574"/>
      <c r="AN10" s="573">
        <f t="shared" si="18"/>
        <v>0</v>
      </c>
      <c r="AO10" s="574"/>
      <c r="AP10" s="573">
        <f t="shared" si="19"/>
        <v>0</v>
      </c>
    </row>
    <row r="11" spans="1:42" ht="12" customHeight="1">
      <c r="A11" s="573" t="s">
        <v>641</v>
      </c>
      <c r="B11" s="573">
        <v>0.01</v>
      </c>
      <c r="C11" s="574"/>
      <c r="D11" s="573">
        <f t="shared" si="0"/>
        <v>0</v>
      </c>
      <c r="E11" s="574"/>
      <c r="F11" s="573">
        <f t="shared" si="1"/>
        <v>0</v>
      </c>
      <c r="G11" s="574"/>
      <c r="H11" s="573">
        <f t="shared" si="2"/>
        <v>0</v>
      </c>
      <c r="I11" s="574"/>
      <c r="J11" s="573">
        <f t="shared" si="3"/>
        <v>0</v>
      </c>
      <c r="K11" s="574"/>
      <c r="L11" s="573">
        <f t="shared" si="4"/>
        <v>0</v>
      </c>
      <c r="M11" s="574"/>
      <c r="N11" s="573">
        <f t="shared" si="5"/>
        <v>0</v>
      </c>
      <c r="O11" s="574"/>
      <c r="P11" s="573">
        <f t="shared" si="6"/>
        <v>0</v>
      </c>
      <c r="Q11" s="574"/>
      <c r="R11" s="573">
        <f t="shared" si="7"/>
        <v>0</v>
      </c>
      <c r="S11" s="574"/>
      <c r="T11" s="573">
        <f t="shared" si="8"/>
        <v>0</v>
      </c>
      <c r="U11" s="574"/>
      <c r="V11" s="573">
        <f t="shared" si="9"/>
        <v>0</v>
      </c>
      <c r="W11" s="574"/>
      <c r="X11" s="573">
        <f t="shared" si="10"/>
        <v>0</v>
      </c>
      <c r="Y11" s="574"/>
      <c r="Z11" s="573">
        <f t="shared" si="11"/>
        <v>0</v>
      </c>
      <c r="AA11" s="574"/>
      <c r="AB11" s="573">
        <f t="shared" si="12"/>
        <v>0</v>
      </c>
      <c r="AC11" s="574"/>
      <c r="AD11" s="573">
        <f t="shared" si="13"/>
        <v>0</v>
      </c>
      <c r="AE11" s="574"/>
      <c r="AF11" s="573">
        <f t="shared" si="14"/>
        <v>0</v>
      </c>
      <c r="AG11" s="574"/>
      <c r="AH11" s="573">
        <f t="shared" si="15"/>
        <v>0</v>
      </c>
      <c r="AI11" s="574"/>
      <c r="AJ11" s="573">
        <f t="shared" si="16"/>
        <v>0</v>
      </c>
      <c r="AK11" s="574"/>
      <c r="AL11" s="573">
        <f t="shared" si="17"/>
        <v>0</v>
      </c>
      <c r="AM11" s="574"/>
      <c r="AN11" s="573">
        <f t="shared" si="18"/>
        <v>0</v>
      </c>
      <c r="AO11" s="574"/>
      <c r="AP11" s="573">
        <f t="shared" si="19"/>
        <v>0</v>
      </c>
    </row>
    <row r="12" spans="1:42" ht="12" customHeight="1">
      <c r="A12" s="575" t="s">
        <v>642</v>
      </c>
      <c r="B12" s="575">
        <v>2.9999999999999997E-4</v>
      </c>
      <c r="C12" s="574"/>
      <c r="D12" s="573">
        <f t="shared" si="0"/>
        <v>0</v>
      </c>
      <c r="E12" s="574"/>
      <c r="F12" s="573">
        <f t="shared" si="1"/>
        <v>0</v>
      </c>
      <c r="G12" s="574"/>
      <c r="H12" s="573">
        <f t="shared" si="2"/>
        <v>0</v>
      </c>
      <c r="I12" s="574"/>
      <c r="J12" s="573">
        <f t="shared" si="3"/>
        <v>0</v>
      </c>
      <c r="K12" s="574"/>
      <c r="L12" s="573">
        <f t="shared" si="4"/>
        <v>0</v>
      </c>
      <c r="M12" s="574"/>
      <c r="N12" s="573">
        <f t="shared" si="5"/>
        <v>0</v>
      </c>
      <c r="O12" s="574"/>
      <c r="P12" s="573">
        <f t="shared" si="6"/>
        <v>0</v>
      </c>
      <c r="Q12" s="574"/>
      <c r="R12" s="573">
        <f t="shared" si="7"/>
        <v>0</v>
      </c>
      <c r="S12" s="574"/>
      <c r="T12" s="573">
        <f t="shared" si="8"/>
        <v>0</v>
      </c>
      <c r="U12" s="574"/>
      <c r="V12" s="573">
        <f t="shared" si="9"/>
        <v>0</v>
      </c>
      <c r="W12" s="574"/>
      <c r="X12" s="573">
        <f t="shared" si="10"/>
        <v>0</v>
      </c>
      <c r="Y12" s="574"/>
      <c r="Z12" s="573">
        <f t="shared" si="11"/>
        <v>0</v>
      </c>
      <c r="AA12" s="574"/>
      <c r="AB12" s="573">
        <f t="shared" si="12"/>
        <v>0</v>
      </c>
      <c r="AC12" s="574"/>
      <c r="AD12" s="573">
        <f t="shared" si="13"/>
        <v>0</v>
      </c>
      <c r="AE12" s="574"/>
      <c r="AF12" s="573">
        <f t="shared" si="14"/>
        <v>0</v>
      </c>
      <c r="AG12" s="574"/>
      <c r="AH12" s="573">
        <f t="shared" si="15"/>
        <v>0</v>
      </c>
      <c r="AI12" s="574"/>
      <c r="AJ12" s="573">
        <f t="shared" si="16"/>
        <v>0</v>
      </c>
      <c r="AK12" s="574"/>
      <c r="AL12" s="573">
        <f t="shared" si="17"/>
        <v>0</v>
      </c>
      <c r="AM12" s="574"/>
      <c r="AN12" s="573">
        <f t="shared" si="18"/>
        <v>0</v>
      </c>
      <c r="AO12" s="574"/>
      <c r="AP12" s="573">
        <f t="shared" si="19"/>
        <v>0</v>
      </c>
    </row>
    <row r="13" spans="1:42" ht="12" customHeight="1">
      <c r="A13" s="576" t="s">
        <v>961</v>
      </c>
      <c r="B13" s="577"/>
      <c r="C13" s="578"/>
      <c r="D13" s="579"/>
      <c r="E13" s="578"/>
      <c r="F13" s="579"/>
      <c r="G13" s="578"/>
      <c r="H13" s="579"/>
      <c r="I13" s="578"/>
      <c r="J13" s="579"/>
      <c r="K13" s="578"/>
      <c r="L13" s="579"/>
      <c r="M13" s="578"/>
      <c r="N13" s="579"/>
      <c r="O13" s="578"/>
      <c r="P13" s="579"/>
      <c r="Q13" s="578"/>
      <c r="R13" s="579"/>
      <c r="S13" s="578"/>
      <c r="T13" s="579"/>
      <c r="U13" s="578"/>
      <c r="V13" s="579"/>
      <c r="W13" s="578"/>
      <c r="X13" s="579"/>
      <c r="Y13" s="578"/>
      <c r="Z13" s="579"/>
      <c r="AA13" s="578"/>
      <c r="AB13" s="579"/>
      <c r="AC13" s="578"/>
      <c r="AD13" s="579"/>
      <c r="AE13" s="578"/>
      <c r="AF13" s="579"/>
      <c r="AG13" s="578"/>
      <c r="AH13" s="579"/>
      <c r="AI13" s="578"/>
      <c r="AJ13" s="579"/>
      <c r="AK13" s="578"/>
      <c r="AL13" s="579"/>
      <c r="AM13" s="578"/>
      <c r="AN13" s="579"/>
      <c r="AO13" s="578"/>
      <c r="AP13" s="579"/>
    </row>
    <row r="14" spans="1:42" ht="12" customHeight="1">
      <c r="A14" s="573" t="s">
        <v>643</v>
      </c>
      <c r="B14" s="573">
        <v>0.1</v>
      </c>
      <c r="C14" s="574"/>
      <c r="D14" s="573">
        <f t="shared" ref="D14:D23" si="20">C14*B14</f>
        <v>0</v>
      </c>
      <c r="E14" s="574"/>
      <c r="F14" s="573">
        <f t="shared" ref="F14:F23" si="21">E14*B14</f>
        <v>0</v>
      </c>
      <c r="G14" s="574"/>
      <c r="H14" s="573">
        <f t="shared" ref="H14:H23" si="22">G14*B14</f>
        <v>0</v>
      </c>
      <c r="I14" s="574"/>
      <c r="J14" s="573">
        <f t="shared" ref="J14:J23" si="23">I14*B14</f>
        <v>0</v>
      </c>
      <c r="K14" s="574"/>
      <c r="L14" s="573">
        <f t="shared" ref="L14:L23" si="24">K14*B14</f>
        <v>0</v>
      </c>
      <c r="M14" s="574"/>
      <c r="N14" s="573">
        <f t="shared" ref="N14:N23" si="25">M14*B14</f>
        <v>0</v>
      </c>
      <c r="O14" s="574"/>
      <c r="P14" s="573">
        <f t="shared" ref="P14:P23" si="26">O14*B14</f>
        <v>0</v>
      </c>
      <c r="Q14" s="574"/>
      <c r="R14" s="573">
        <f t="shared" ref="R14:R23" si="27">Q14*B14</f>
        <v>0</v>
      </c>
      <c r="S14" s="574"/>
      <c r="T14" s="573">
        <f t="shared" ref="T14:T23" si="28">S14*B14</f>
        <v>0</v>
      </c>
      <c r="U14" s="574"/>
      <c r="V14" s="573">
        <f t="shared" ref="V14:V23" si="29">U14*B14</f>
        <v>0</v>
      </c>
      <c r="W14" s="574"/>
      <c r="X14" s="573">
        <f t="shared" ref="X14:X23" si="30">W14*B14</f>
        <v>0</v>
      </c>
      <c r="Y14" s="574"/>
      <c r="Z14" s="573">
        <f t="shared" ref="Z14:Z23" si="31">Y14*B14</f>
        <v>0</v>
      </c>
      <c r="AA14" s="574"/>
      <c r="AB14" s="573">
        <f t="shared" ref="AB14:AB23" si="32">AA14*B14</f>
        <v>0</v>
      </c>
      <c r="AC14" s="574"/>
      <c r="AD14" s="573">
        <f t="shared" ref="AD14:AD23" si="33">AC14*B14</f>
        <v>0</v>
      </c>
      <c r="AE14" s="574"/>
      <c r="AF14" s="573">
        <f t="shared" ref="AF14:AF23" si="34">AE14*B14</f>
        <v>0</v>
      </c>
      <c r="AG14" s="574"/>
      <c r="AH14" s="573">
        <f t="shared" ref="AH14:AH23" si="35">AG14*B14</f>
        <v>0</v>
      </c>
      <c r="AI14" s="574"/>
      <c r="AJ14" s="573">
        <f t="shared" ref="AJ14:AJ23" si="36">AI14*B14</f>
        <v>0</v>
      </c>
      <c r="AK14" s="574"/>
      <c r="AL14" s="573">
        <f t="shared" ref="AL14:AL23" si="37">AK14*B14</f>
        <v>0</v>
      </c>
      <c r="AM14" s="574"/>
      <c r="AN14" s="573">
        <f t="shared" ref="AN14:AN23" si="38">AM14*B14</f>
        <v>0</v>
      </c>
      <c r="AO14" s="574"/>
      <c r="AP14" s="573">
        <f t="shared" ref="AP14:AP23" si="39">AO14*B14</f>
        <v>0</v>
      </c>
    </row>
    <row r="15" spans="1:42" ht="12" customHeight="1">
      <c r="A15" s="573" t="s">
        <v>644</v>
      </c>
      <c r="B15" s="573">
        <v>0.03</v>
      </c>
      <c r="C15" s="574"/>
      <c r="D15" s="573">
        <f t="shared" si="20"/>
        <v>0</v>
      </c>
      <c r="E15" s="574"/>
      <c r="F15" s="573">
        <f t="shared" si="21"/>
        <v>0</v>
      </c>
      <c r="G15" s="574"/>
      <c r="H15" s="573">
        <f t="shared" si="22"/>
        <v>0</v>
      </c>
      <c r="I15" s="574"/>
      <c r="J15" s="573">
        <f t="shared" si="23"/>
        <v>0</v>
      </c>
      <c r="K15" s="574"/>
      <c r="L15" s="573">
        <f t="shared" si="24"/>
        <v>0</v>
      </c>
      <c r="M15" s="574"/>
      <c r="N15" s="573">
        <f t="shared" si="25"/>
        <v>0</v>
      </c>
      <c r="O15" s="574"/>
      <c r="P15" s="573">
        <f t="shared" si="26"/>
        <v>0</v>
      </c>
      <c r="Q15" s="574"/>
      <c r="R15" s="573">
        <f t="shared" si="27"/>
        <v>0</v>
      </c>
      <c r="S15" s="574"/>
      <c r="T15" s="573">
        <f t="shared" si="28"/>
        <v>0</v>
      </c>
      <c r="U15" s="574"/>
      <c r="V15" s="573">
        <f t="shared" si="29"/>
        <v>0</v>
      </c>
      <c r="W15" s="574"/>
      <c r="X15" s="573">
        <f t="shared" si="30"/>
        <v>0</v>
      </c>
      <c r="Y15" s="574"/>
      <c r="Z15" s="573">
        <f t="shared" si="31"/>
        <v>0</v>
      </c>
      <c r="AA15" s="574"/>
      <c r="AB15" s="573">
        <f t="shared" si="32"/>
        <v>0</v>
      </c>
      <c r="AC15" s="574"/>
      <c r="AD15" s="573">
        <f t="shared" si="33"/>
        <v>0</v>
      </c>
      <c r="AE15" s="574"/>
      <c r="AF15" s="573">
        <f t="shared" si="34"/>
        <v>0</v>
      </c>
      <c r="AG15" s="574"/>
      <c r="AH15" s="573">
        <f t="shared" si="35"/>
        <v>0</v>
      </c>
      <c r="AI15" s="574"/>
      <c r="AJ15" s="573">
        <f t="shared" si="36"/>
        <v>0</v>
      </c>
      <c r="AK15" s="574"/>
      <c r="AL15" s="573">
        <f t="shared" si="37"/>
        <v>0</v>
      </c>
      <c r="AM15" s="574"/>
      <c r="AN15" s="573">
        <f t="shared" si="38"/>
        <v>0</v>
      </c>
      <c r="AO15" s="574"/>
      <c r="AP15" s="573">
        <f t="shared" si="39"/>
        <v>0</v>
      </c>
    </row>
    <row r="16" spans="1:42" ht="12" customHeight="1">
      <c r="A16" s="573" t="s">
        <v>645</v>
      </c>
      <c r="B16" s="573">
        <v>0.3</v>
      </c>
      <c r="C16" s="574"/>
      <c r="D16" s="573">
        <f t="shared" si="20"/>
        <v>0</v>
      </c>
      <c r="E16" s="574"/>
      <c r="F16" s="573">
        <f t="shared" si="21"/>
        <v>0</v>
      </c>
      <c r="G16" s="574"/>
      <c r="H16" s="573">
        <f t="shared" si="22"/>
        <v>0</v>
      </c>
      <c r="I16" s="574"/>
      <c r="J16" s="573">
        <f t="shared" si="23"/>
        <v>0</v>
      </c>
      <c r="K16" s="574"/>
      <c r="L16" s="573">
        <f t="shared" si="24"/>
        <v>0</v>
      </c>
      <c r="M16" s="574"/>
      <c r="N16" s="573">
        <f t="shared" si="25"/>
        <v>0</v>
      </c>
      <c r="O16" s="574"/>
      <c r="P16" s="573">
        <f t="shared" si="26"/>
        <v>0</v>
      </c>
      <c r="Q16" s="574"/>
      <c r="R16" s="573">
        <f t="shared" si="27"/>
        <v>0</v>
      </c>
      <c r="S16" s="574"/>
      <c r="T16" s="573">
        <f t="shared" si="28"/>
        <v>0</v>
      </c>
      <c r="U16" s="574"/>
      <c r="V16" s="573">
        <f t="shared" si="29"/>
        <v>0</v>
      </c>
      <c r="W16" s="574"/>
      <c r="X16" s="573">
        <f t="shared" si="30"/>
        <v>0</v>
      </c>
      <c r="Y16" s="574"/>
      <c r="Z16" s="573">
        <f t="shared" si="31"/>
        <v>0</v>
      </c>
      <c r="AA16" s="574"/>
      <c r="AB16" s="573">
        <f t="shared" si="32"/>
        <v>0</v>
      </c>
      <c r="AC16" s="574"/>
      <c r="AD16" s="573">
        <f t="shared" si="33"/>
        <v>0</v>
      </c>
      <c r="AE16" s="574"/>
      <c r="AF16" s="573">
        <f t="shared" si="34"/>
        <v>0</v>
      </c>
      <c r="AG16" s="574"/>
      <c r="AH16" s="573">
        <f t="shared" si="35"/>
        <v>0</v>
      </c>
      <c r="AI16" s="574"/>
      <c r="AJ16" s="573">
        <f t="shared" si="36"/>
        <v>0</v>
      </c>
      <c r="AK16" s="574"/>
      <c r="AL16" s="573">
        <f t="shared" si="37"/>
        <v>0</v>
      </c>
      <c r="AM16" s="574"/>
      <c r="AN16" s="573">
        <f t="shared" si="38"/>
        <v>0</v>
      </c>
      <c r="AO16" s="574"/>
      <c r="AP16" s="573">
        <f t="shared" si="39"/>
        <v>0</v>
      </c>
    </row>
    <row r="17" spans="1:42" ht="12" customHeight="1">
      <c r="A17" s="573" t="s">
        <v>646</v>
      </c>
      <c r="B17" s="573">
        <v>0.1</v>
      </c>
      <c r="C17" s="574"/>
      <c r="D17" s="573">
        <f t="shared" si="20"/>
        <v>0</v>
      </c>
      <c r="E17" s="574"/>
      <c r="F17" s="573">
        <f t="shared" si="21"/>
        <v>0</v>
      </c>
      <c r="G17" s="574"/>
      <c r="H17" s="573">
        <f t="shared" si="22"/>
        <v>0</v>
      </c>
      <c r="I17" s="574"/>
      <c r="J17" s="573">
        <f t="shared" si="23"/>
        <v>0</v>
      </c>
      <c r="K17" s="574"/>
      <c r="L17" s="573">
        <f t="shared" si="24"/>
        <v>0</v>
      </c>
      <c r="M17" s="574"/>
      <c r="N17" s="573">
        <f t="shared" si="25"/>
        <v>0</v>
      </c>
      <c r="O17" s="574"/>
      <c r="P17" s="573">
        <f t="shared" si="26"/>
        <v>0</v>
      </c>
      <c r="Q17" s="574"/>
      <c r="R17" s="573">
        <f t="shared" si="27"/>
        <v>0</v>
      </c>
      <c r="S17" s="574"/>
      <c r="T17" s="573">
        <f t="shared" si="28"/>
        <v>0</v>
      </c>
      <c r="U17" s="574"/>
      <c r="V17" s="573">
        <f t="shared" si="29"/>
        <v>0</v>
      </c>
      <c r="W17" s="574"/>
      <c r="X17" s="573">
        <f t="shared" si="30"/>
        <v>0</v>
      </c>
      <c r="Y17" s="574"/>
      <c r="Z17" s="573">
        <f t="shared" si="31"/>
        <v>0</v>
      </c>
      <c r="AA17" s="574"/>
      <c r="AB17" s="573">
        <f t="shared" si="32"/>
        <v>0</v>
      </c>
      <c r="AC17" s="574"/>
      <c r="AD17" s="573">
        <f t="shared" si="33"/>
        <v>0</v>
      </c>
      <c r="AE17" s="574"/>
      <c r="AF17" s="573">
        <f t="shared" si="34"/>
        <v>0</v>
      </c>
      <c r="AG17" s="574"/>
      <c r="AH17" s="573">
        <f t="shared" si="35"/>
        <v>0</v>
      </c>
      <c r="AI17" s="574"/>
      <c r="AJ17" s="573">
        <f t="shared" si="36"/>
        <v>0</v>
      </c>
      <c r="AK17" s="574"/>
      <c r="AL17" s="573">
        <f t="shared" si="37"/>
        <v>0</v>
      </c>
      <c r="AM17" s="574"/>
      <c r="AN17" s="573">
        <f t="shared" si="38"/>
        <v>0</v>
      </c>
      <c r="AO17" s="574"/>
      <c r="AP17" s="573">
        <f t="shared" si="39"/>
        <v>0</v>
      </c>
    </row>
    <row r="18" spans="1:42" ht="12" customHeight="1">
      <c r="A18" s="573" t="s">
        <v>647</v>
      </c>
      <c r="B18" s="573">
        <v>0.1</v>
      </c>
      <c r="C18" s="574"/>
      <c r="D18" s="573">
        <f t="shared" si="20"/>
        <v>0</v>
      </c>
      <c r="E18" s="574"/>
      <c r="F18" s="573">
        <f t="shared" si="21"/>
        <v>0</v>
      </c>
      <c r="G18" s="574"/>
      <c r="H18" s="573">
        <f t="shared" si="22"/>
        <v>0</v>
      </c>
      <c r="I18" s="574"/>
      <c r="J18" s="573">
        <f t="shared" si="23"/>
        <v>0</v>
      </c>
      <c r="K18" s="574"/>
      <c r="L18" s="573">
        <f t="shared" si="24"/>
        <v>0</v>
      </c>
      <c r="M18" s="574"/>
      <c r="N18" s="573">
        <f t="shared" si="25"/>
        <v>0</v>
      </c>
      <c r="O18" s="574"/>
      <c r="P18" s="573">
        <f t="shared" si="26"/>
        <v>0</v>
      </c>
      <c r="Q18" s="574"/>
      <c r="R18" s="573">
        <f t="shared" si="27"/>
        <v>0</v>
      </c>
      <c r="S18" s="574"/>
      <c r="T18" s="573">
        <f t="shared" si="28"/>
        <v>0</v>
      </c>
      <c r="U18" s="574"/>
      <c r="V18" s="573">
        <f t="shared" si="29"/>
        <v>0</v>
      </c>
      <c r="W18" s="574"/>
      <c r="X18" s="573">
        <f t="shared" si="30"/>
        <v>0</v>
      </c>
      <c r="Y18" s="574"/>
      <c r="Z18" s="573">
        <f t="shared" si="31"/>
        <v>0</v>
      </c>
      <c r="AA18" s="574"/>
      <c r="AB18" s="573">
        <f t="shared" si="32"/>
        <v>0</v>
      </c>
      <c r="AC18" s="574"/>
      <c r="AD18" s="573">
        <f t="shared" si="33"/>
        <v>0</v>
      </c>
      <c r="AE18" s="574"/>
      <c r="AF18" s="573">
        <f t="shared" si="34"/>
        <v>0</v>
      </c>
      <c r="AG18" s="574"/>
      <c r="AH18" s="573">
        <f t="shared" si="35"/>
        <v>0</v>
      </c>
      <c r="AI18" s="574"/>
      <c r="AJ18" s="573">
        <f t="shared" si="36"/>
        <v>0</v>
      </c>
      <c r="AK18" s="574"/>
      <c r="AL18" s="573">
        <f t="shared" si="37"/>
        <v>0</v>
      </c>
      <c r="AM18" s="574"/>
      <c r="AN18" s="573">
        <f t="shared" si="38"/>
        <v>0</v>
      </c>
      <c r="AO18" s="574"/>
      <c r="AP18" s="573">
        <f t="shared" si="39"/>
        <v>0</v>
      </c>
    </row>
    <row r="19" spans="1:42" ht="12" customHeight="1">
      <c r="A19" s="573" t="s">
        <v>649</v>
      </c>
      <c r="B19" s="573">
        <v>0.1</v>
      </c>
      <c r="C19" s="574"/>
      <c r="D19" s="573">
        <f>C19*B19</f>
        <v>0</v>
      </c>
      <c r="E19" s="574"/>
      <c r="F19" s="573">
        <f>E19*B19</f>
        <v>0</v>
      </c>
      <c r="G19" s="574"/>
      <c r="H19" s="573">
        <f>G19*B19</f>
        <v>0</v>
      </c>
      <c r="I19" s="574"/>
      <c r="J19" s="573">
        <f>I19*B19</f>
        <v>0</v>
      </c>
      <c r="K19" s="574"/>
      <c r="L19" s="573">
        <f>K19*B19</f>
        <v>0</v>
      </c>
      <c r="M19" s="574"/>
      <c r="N19" s="573">
        <f>M19*B19</f>
        <v>0</v>
      </c>
      <c r="O19" s="574"/>
      <c r="P19" s="573">
        <f>O19*B19</f>
        <v>0</v>
      </c>
      <c r="Q19" s="574"/>
      <c r="R19" s="573">
        <f>Q19*B19</f>
        <v>0</v>
      </c>
      <c r="S19" s="574"/>
      <c r="T19" s="573">
        <f>S19*B19</f>
        <v>0</v>
      </c>
      <c r="U19" s="574"/>
      <c r="V19" s="573">
        <f>U19*B19</f>
        <v>0</v>
      </c>
      <c r="W19" s="574"/>
      <c r="X19" s="573">
        <f>W19*B19</f>
        <v>0</v>
      </c>
      <c r="Y19" s="574"/>
      <c r="Z19" s="573">
        <f>Y19*B19</f>
        <v>0</v>
      </c>
      <c r="AA19" s="574"/>
      <c r="AB19" s="573">
        <f>AA19*B19</f>
        <v>0</v>
      </c>
      <c r="AC19" s="574"/>
      <c r="AD19" s="573">
        <f>AC19*B19</f>
        <v>0</v>
      </c>
      <c r="AE19" s="574"/>
      <c r="AF19" s="573">
        <f>AE19*B19</f>
        <v>0</v>
      </c>
      <c r="AG19" s="574"/>
      <c r="AH19" s="573">
        <f>AG19*B19</f>
        <v>0</v>
      </c>
      <c r="AI19" s="574"/>
      <c r="AJ19" s="573">
        <f>AI19*B19</f>
        <v>0</v>
      </c>
      <c r="AK19" s="574"/>
      <c r="AL19" s="573">
        <f>AK19*B19</f>
        <v>0</v>
      </c>
      <c r="AM19" s="574"/>
      <c r="AN19" s="573">
        <f>AM19*B19</f>
        <v>0</v>
      </c>
      <c r="AO19" s="574"/>
      <c r="AP19" s="573">
        <f>AO19*B19</f>
        <v>0</v>
      </c>
    </row>
    <row r="20" spans="1:42" ht="12" customHeight="1">
      <c r="A20" s="573" t="s">
        <v>648</v>
      </c>
      <c r="B20" s="573">
        <v>0.1</v>
      </c>
      <c r="C20" s="574"/>
      <c r="D20" s="573">
        <f t="shared" si="20"/>
        <v>0</v>
      </c>
      <c r="E20" s="574"/>
      <c r="F20" s="573">
        <f t="shared" si="21"/>
        <v>0</v>
      </c>
      <c r="G20" s="574"/>
      <c r="H20" s="573">
        <f t="shared" si="22"/>
        <v>0</v>
      </c>
      <c r="I20" s="574"/>
      <c r="J20" s="573">
        <f t="shared" si="23"/>
        <v>0</v>
      </c>
      <c r="K20" s="574"/>
      <c r="L20" s="573">
        <f t="shared" si="24"/>
        <v>0</v>
      </c>
      <c r="M20" s="574"/>
      <c r="N20" s="573">
        <f t="shared" si="25"/>
        <v>0</v>
      </c>
      <c r="O20" s="574"/>
      <c r="P20" s="573">
        <f t="shared" si="26"/>
        <v>0</v>
      </c>
      <c r="Q20" s="574"/>
      <c r="R20" s="573">
        <f t="shared" si="27"/>
        <v>0</v>
      </c>
      <c r="S20" s="574"/>
      <c r="T20" s="573">
        <f t="shared" si="28"/>
        <v>0</v>
      </c>
      <c r="U20" s="574"/>
      <c r="V20" s="573">
        <f t="shared" si="29"/>
        <v>0</v>
      </c>
      <c r="W20" s="574"/>
      <c r="X20" s="573">
        <f t="shared" si="30"/>
        <v>0</v>
      </c>
      <c r="Y20" s="574"/>
      <c r="Z20" s="573">
        <f t="shared" si="31"/>
        <v>0</v>
      </c>
      <c r="AA20" s="574"/>
      <c r="AB20" s="573">
        <f t="shared" si="32"/>
        <v>0</v>
      </c>
      <c r="AC20" s="574"/>
      <c r="AD20" s="573">
        <f t="shared" si="33"/>
        <v>0</v>
      </c>
      <c r="AE20" s="574"/>
      <c r="AF20" s="573">
        <f t="shared" si="34"/>
        <v>0</v>
      </c>
      <c r="AG20" s="574"/>
      <c r="AH20" s="573">
        <f t="shared" si="35"/>
        <v>0</v>
      </c>
      <c r="AI20" s="574"/>
      <c r="AJ20" s="573">
        <f t="shared" si="36"/>
        <v>0</v>
      </c>
      <c r="AK20" s="574"/>
      <c r="AL20" s="573">
        <f t="shared" si="37"/>
        <v>0</v>
      </c>
      <c r="AM20" s="574"/>
      <c r="AN20" s="573">
        <f t="shared" si="38"/>
        <v>0</v>
      </c>
      <c r="AO20" s="574"/>
      <c r="AP20" s="573">
        <f t="shared" si="39"/>
        <v>0</v>
      </c>
    </row>
    <row r="21" spans="1:42" ht="12" customHeight="1">
      <c r="A21" s="573" t="s">
        <v>650</v>
      </c>
      <c r="B21" s="573">
        <v>0.01</v>
      </c>
      <c r="C21" s="574"/>
      <c r="D21" s="573">
        <f t="shared" si="20"/>
        <v>0</v>
      </c>
      <c r="E21" s="574"/>
      <c r="F21" s="573">
        <f t="shared" si="21"/>
        <v>0</v>
      </c>
      <c r="G21" s="574"/>
      <c r="H21" s="573">
        <f t="shared" si="22"/>
        <v>0</v>
      </c>
      <c r="I21" s="574"/>
      <c r="J21" s="573">
        <f t="shared" si="23"/>
        <v>0</v>
      </c>
      <c r="K21" s="574"/>
      <c r="L21" s="573">
        <f t="shared" si="24"/>
        <v>0</v>
      </c>
      <c r="M21" s="574"/>
      <c r="N21" s="573">
        <f t="shared" si="25"/>
        <v>0</v>
      </c>
      <c r="O21" s="574"/>
      <c r="P21" s="573">
        <f t="shared" si="26"/>
        <v>0</v>
      </c>
      <c r="Q21" s="574"/>
      <c r="R21" s="573">
        <f t="shared" si="27"/>
        <v>0</v>
      </c>
      <c r="S21" s="574"/>
      <c r="T21" s="573">
        <f t="shared" si="28"/>
        <v>0</v>
      </c>
      <c r="U21" s="574"/>
      <c r="V21" s="573">
        <f t="shared" si="29"/>
        <v>0</v>
      </c>
      <c r="W21" s="574"/>
      <c r="X21" s="573">
        <f t="shared" si="30"/>
        <v>0</v>
      </c>
      <c r="Y21" s="574"/>
      <c r="Z21" s="573">
        <f t="shared" si="31"/>
        <v>0</v>
      </c>
      <c r="AA21" s="574"/>
      <c r="AB21" s="573">
        <f t="shared" si="32"/>
        <v>0</v>
      </c>
      <c r="AC21" s="574"/>
      <c r="AD21" s="573">
        <f t="shared" si="33"/>
        <v>0</v>
      </c>
      <c r="AE21" s="574"/>
      <c r="AF21" s="573">
        <f t="shared" si="34"/>
        <v>0</v>
      </c>
      <c r="AG21" s="574"/>
      <c r="AH21" s="573">
        <f t="shared" si="35"/>
        <v>0</v>
      </c>
      <c r="AI21" s="574"/>
      <c r="AJ21" s="573">
        <f t="shared" si="36"/>
        <v>0</v>
      </c>
      <c r="AK21" s="574"/>
      <c r="AL21" s="573">
        <f t="shared" si="37"/>
        <v>0</v>
      </c>
      <c r="AM21" s="574"/>
      <c r="AN21" s="573">
        <f t="shared" si="38"/>
        <v>0</v>
      </c>
      <c r="AO21" s="574"/>
      <c r="AP21" s="573">
        <f t="shared" si="39"/>
        <v>0</v>
      </c>
    </row>
    <row r="22" spans="1:42" ht="12" customHeight="1">
      <c r="A22" s="573" t="s">
        <v>651</v>
      </c>
      <c r="B22" s="573">
        <v>0.01</v>
      </c>
      <c r="C22" s="574"/>
      <c r="D22" s="573">
        <f t="shared" si="20"/>
        <v>0</v>
      </c>
      <c r="E22" s="574"/>
      <c r="F22" s="573">
        <f t="shared" si="21"/>
        <v>0</v>
      </c>
      <c r="G22" s="574"/>
      <c r="H22" s="573">
        <f t="shared" si="22"/>
        <v>0</v>
      </c>
      <c r="I22" s="574"/>
      <c r="J22" s="573">
        <f t="shared" si="23"/>
        <v>0</v>
      </c>
      <c r="K22" s="574"/>
      <c r="L22" s="573">
        <f t="shared" si="24"/>
        <v>0</v>
      </c>
      <c r="M22" s="574"/>
      <c r="N22" s="573">
        <f t="shared" si="25"/>
        <v>0</v>
      </c>
      <c r="O22" s="574"/>
      <c r="P22" s="573">
        <f t="shared" si="26"/>
        <v>0</v>
      </c>
      <c r="Q22" s="574"/>
      <c r="R22" s="573">
        <f t="shared" si="27"/>
        <v>0</v>
      </c>
      <c r="S22" s="574"/>
      <c r="T22" s="573">
        <f t="shared" si="28"/>
        <v>0</v>
      </c>
      <c r="U22" s="574"/>
      <c r="V22" s="573">
        <f t="shared" si="29"/>
        <v>0</v>
      </c>
      <c r="W22" s="574"/>
      <c r="X22" s="573">
        <f t="shared" si="30"/>
        <v>0</v>
      </c>
      <c r="Y22" s="574"/>
      <c r="Z22" s="573">
        <f t="shared" si="31"/>
        <v>0</v>
      </c>
      <c r="AA22" s="574"/>
      <c r="AB22" s="573">
        <f t="shared" si="32"/>
        <v>0</v>
      </c>
      <c r="AC22" s="574"/>
      <c r="AD22" s="573">
        <f t="shared" si="33"/>
        <v>0</v>
      </c>
      <c r="AE22" s="574"/>
      <c r="AF22" s="573">
        <f t="shared" si="34"/>
        <v>0</v>
      </c>
      <c r="AG22" s="574"/>
      <c r="AH22" s="573">
        <f t="shared" si="35"/>
        <v>0</v>
      </c>
      <c r="AI22" s="574"/>
      <c r="AJ22" s="573">
        <f t="shared" si="36"/>
        <v>0</v>
      </c>
      <c r="AK22" s="574"/>
      <c r="AL22" s="573">
        <f t="shared" si="37"/>
        <v>0</v>
      </c>
      <c r="AM22" s="574"/>
      <c r="AN22" s="573">
        <f t="shared" si="38"/>
        <v>0</v>
      </c>
      <c r="AO22" s="574"/>
      <c r="AP22" s="573">
        <f t="shared" si="39"/>
        <v>0</v>
      </c>
    </row>
    <row r="23" spans="1:42" ht="12" customHeight="1">
      <c r="A23" s="575" t="s">
        <v>652</v>
      </c>
      <c r="B23" s="575">
        <v>2.9999999999999997E-4</v>
      </c>
      <c r="C23" s="574"/>
      <c r="D23" s="573">
        <f t="shared" si="20"/>
        <v>0</v>
      </c>
      <c r="E23" s="574"/>
      <c r="F23" s="573">
        <f t="shared" si="21"/>
        <v>0</v>
      </c>
      <c r="G23" s="574"/>
      <c r="H23" s="573">
        <f t="shared" si="22"/>
        <v>0</v>
      </c>
      <c r="I23" s="574"/>
      <c r="J23" s="573">
        <f t="shared" si="23"/>
        <v>0</v>
      </c>
      <c r="K23" s="574"/>
      <c r="L23" s="573">
        <f t="shared" si="24"/>
        <v>0</v>
      </c>
      <c r="M23" s="574"/>
      <c r="N23" s="573">
        <f t="shared" si="25"/>
        <v>0</v>
      </c>
      <c r="O23" s="574"/>
      <c r="P23" s="573">
        <f t="shared" si="26"/>
        <v>0</v>
      </c>
      <c r="Q23" s="574"/>
      <c r="R23" s="573">
        <f t="shared" si="27"/>
        <v>0</v>
      </c>
      <c r="S23" s="574"/>
      <c r="T23" s="573">
        <f t="shared" si="28"/>
        <v>0</v>
      </c>
      <c r="U23" s="574"/>
      <c r="V23" s="573">
        <f t="shared" si="29"/>
        <v>0</v>
      </c>
      <c r="W23" s="574"/>
      <c r="X23" s="573">
        <f t="shared" si="30"/>
        <v>0</v>
      </c>
      <c r="Y23" s="574"/>
      <c r="Z23" s="573">
        <f t="shared" si="31"/>
        <v>0</v>
      </c>
      <c r="AA23" s="574"/>
      <c r="AB23" s="573">
        <f t="shared" si="32"/>
        <v>0</v>
      </c>
      <c r="AC23" s="574"/>
      <c r="AD23" s="573">
        <f t="shared" si="33"/>
        <v>0</v>
      </c>
      <c r="AE23" s="574"/>
      <c r="AF23" s="573">
        <f t="shared" si="34"/>
        <v>0</v>
      </c>
      <c r="AG23" s="574"/>
      <c r="AH23" s="573">
        <f t="shared" si="35"/>
        <v>0</v>
      </c>
      <c r="AI23" s="574"/>
      <c r="AJ23" s="573">
        <f t="shared" si="36"/>
        <v>0</v>
      </c>
      <c r="AK23" s="574"/>
      <c r="AL23" s="573">
        <f t="shared" si="37"/>
        <v>0</v>
      </c>
      <c r="AM23" s="574"/>
      <c r="AN23" s="573">
        <f t="shared" si="38"/>
        <v>0</v>
      </c>
      <c r="AO23" s="574"/>
      <c r="AP23" s="573">
        <f t="shared" si="39"/>
        <v>0</v>
      </c>
    </row>
    <row r="24" spans="1:42" ht="12" customHeight="1">
      <c r="A24" s="576" t="s">
        <v>962</v>
      </c>
      <c r="B24" s="577"/>
      <c r="C24" s="578"/>
      <c r="D24" s="579"/>
      <c r="E24" s="578"/>
      <c r="F24" s="579"/>
      <c r="G24" s="578"/>
      <c r="H24" s="579"/>
      <c r="I24" s="578"/>
      <c r="J24" s="579"/>
      <c r="K24" s="578"/>
      <c r="L24" s="579"/>
      <c r="M24" s="578"/>
      <c r="N24" s="579"/>
      <c r="O24" s="578"/>
      <c r="P24" s="579"/>
      <c r="Q24" s="578"/>
      <c r="R24" s="579"/>
      <c r="S24" s="578"/>
      <c r="T24" s="579"/>
      <c r="U24" s="578"/>
      <c r="V24" s="579"/>
      <c r="W24" s="578"/>
      <c r="X24" s="579"/>
      <c r="Y24" s="578"/>
      <c r="Z24" s="579"/>
      <c r="AA24" s="578"/>
      <c r="AB24" s="579"/>
      <c r="AC24" s="578"/>
      <c r="AD24" s="579"/>
      <c r="AE24" s="578"/>
      <c r="AF24" s="579"/>
      <c r="AG24" s="578"/>
      <c r="AH24" s="579"/>
      <c r="AI24" s="578"/>
      <c r="AJ24" s="579"/>
      <c r="AK24" s="578"/>
      <c r="AL24" s="579"/>
      <c r="AM24" s="578"/>
      <c r="AN24" s="579"/>
      <c r="AO24" s="578"/>
      <c r="AP24" s="579"/>
    </row>
    <row r="25" spans="1:42" ht="12" customHeight="1">
      <c r="A25" s="575" t="s">
        <v>701</v>
      </c>
      <c r="B25" s="575">
        <v>1E-4</v>
      </c>
      <c r="C25" s="574"/>
      <c r="D25" s="573">
        <f t="shared" ref="D25:D36" si="40">C25*B25</f>
        <v>0</v>
      </c>
      <c r="E25" s="574"/>
      <c r="F25" s="573">
        <f t="shared" ref="F25:F36" si="41">E25*B25</f>
        <v>0</v>
      </c>
      <c r="G25" s="574"/>
      <c r="H25" s="573">
        <f t="shared" ref="H25:H36" si="42">G25*B25</f>
        <v>0</v>
      </c>
      <c r="I25" s="574"/>
      <c r="J25" s="573">
        <f t="shared" ref="J25:J36" si="43">I25*B25</f>
        <v>0</v>
      </c>
      <c r="K25" s="574"/>
      <c r="L25" s="573">
        <f t="shared" ref="L25:L36" si="44">K25*B25</f>
        <v>0</v>
      </c>
      <c r="M25" s="574"/>
      <c r="N25" s="573">
        <f t="shared" ref="N25:N36" si="45">M25*B25</f>
        <v>0</v>
      </c>
      <c r="O25" s="574"/>
      <c r="P25" s="573">
        <f t="shared" ref="P25:P36" si="46">O25*B25</f>
        <v>0</v>
      </c>
      <c r="Q25" s="574"/>
      <c r="R25" s="573">
        <f t="shared" ref="R25:R36" si="47">Q25*B25</f>
        <v>0</v>
      </c>
      <c r="S25" s="574"/>
      <c r="T25" s="573">
        <f t="shared" ref="T25:T36" si="48">S25*B25</f>
        <v>0</v>
      </c>
      <c r="U25" s="574"/>
      <c r="V25" s="573">
        <f t="shared" ref="V25:V36" si="49">U25*B25</f>
        <v>0</v>
      </c>
      <c r="W25" s="574"/>
      <c r="X25" s="573">
        <f t="shared" ref="X25:X36" si="50">W25*B25</f>
        <v>0</v>
      </c>
      <c r="Y25" s="574"/>
      <c r="Z25" s="573">
        <f t="shared" ref="Z25:Z36" si="51">Y25*B25</f>
        <v>0</v>
      </c>
      <c r="AA25" s="574"/>
      <c r="AB25" s="573">
        <f t="shared" ref="AB25:AB36" si="52">AA25*B25</f>
        <v>0</v>
      </c>
      <c r="AC25" s="574"/>
      <c r="AD25" s="573">
        <f t="shared" ref="AD25:AD36" si="53">AC25*B25</f>
        <v>0</v>
      </c>
      <c r="AE25" s="574"/>
      <c r="AF25" s="573">
        <f t="shared" ref="AF25:AF36" si="54">AE25*B25</f>
        <v>0</v>
      </c>
      <c r="AG25" s="574"/>
      <c r="AH25" s="573">
        <f t="shared" ref="AH25:AH36" si="55">AG25*B25</f>
        <v>0</v>
      </c>
      <c r="AI25" s="574"/>
      <c r="AJ25" s="573">
        <f t="shared" ref="AJ25:AJ36" si="56">AI25*B25</f>
        <v>0</v>
      </c>
      <c r="AK25" s="574"/>
      <c r="AL25" s="573">
        <f t="shared" ref="AL25:AL36" si="57">AK25*B25</f>
        <v>0</v>
      </c>
      <c r="AM25" s="574"/>
      <c r="AN25" s="573">
        <f t="shared" ref="AN25:AN36" si="58">AM25*B25</f>
        <v>0</v>
      </c>
      <c r="AO25" s="574"/>
      <c r="AP25" s="573">
        <f t="shared" ref="AP25:AP36" si="59">AO25*B25</f>
        <v>0</v>
      </c>
    </row>
    <row r="26" spans="1:42" ht="12" customHeight="1">
      <c r="A26" s="580" t="s">
        <v>653</v>
      </c>
      <c r="B26" s="575">
        <v>2.9999999999999997E-4</v>
      </c>
      <c r="C26" s="574"/>
      <c r="D26" s="573">
        <f t="shared" si="40"/>
        <v>0</v>
      </c>
      <c r="E26" s="574"/>
      <c r="F26" s="573">
        <f t="shared" si="41"/>
        <v>0</v>
      </c>
      <c r="G26" s="574"/>
      <c r="H26" s="573">
        <f t="shared" si="42"/>
        <v>0</v>
      </c>
      <c r="I26" s="574"/>
      <c r="J26" s="573">
        <f t="shared" si="43"/>
        <v>0</v>
      </c>
      <c r="K26" s="574"/>
      <c r="L26" s="573">
        <f t="shared" si="44"/>
        <v>0</v>
      </c>
      <c r="M26" s="574"/>
      <c r="N26" s="573">
        <f t="shared" si="45"/>
        <v>0</v>
      </c>
      <c r="O26" s="574"/>
      <c r="P26" s="573">
        <f t="shared" si="46"/>
        <v>0</v>
      </c>
      <c r="Q26" s="574"/>
      <c r="R26" s="573">
        <f t="shared" si="47"/>
        <v>0</v>
      </c>
      <c r="S26" s="574"/>
      <c r="T26" s="573">
        <f t="shared" si="48"/>
        <v>0</v>
      </c>
      <c r="U26" s="574"/>
      <c r="V26" s="573">
        <f t="shared" si="49"/>
        <v>0</v>
      </c>
      <c r="W26" s="574"/>
      <c r="X26" s="573">
        <f t="shared" si="50"/>
        <v>0</v>
      </c>
      <c r="Y26" s="574"/>
      <c r="Z26" s="573">
        <f t="shared" si="51"/>
        <v>0</v>
      </c>
      <c r="AA26" s="574"/>
      <c r="AB26" s="573">
        <f t="shared" si="52"/>
        <v>0</v>
      </c>
      <c r="AC26" s="574"/>
      <c r="AD26" s="573">
        <f t="shared" si="53"/>
        <v>0</v>
      </c>
      <c r="AE26" s="574"/>
      <c r="AF26" s="573">
        <f t="shared" si="54"/>
        <v>0</v>
      </c>
      <c r="AG26" s="574"/>
      <c r="AH26" s="573">
        <f t="shared" si="55"/>
        <v>0</v>
      </c>
      <c r="AI26" s="574"/>
      <c r="AJ26" s="573">
        <f t="shared" si="56"/>
        <v>0</v>
      </c>
      <c r="AK26" s="574"/>
      <c r="AL26" s="573">
        <f t="shared" si="57"/>
        <v>0</v>
      </c>
      <c r="AM26" s="574"/>
      <c r="AN26" s="573">
        <f t="shared" si="58"/>
        <v>0</v>
      </c>
      <c r="AO26" s="574"/>
      <c r="AP26" s="573">
        <f t="shared" si="59"/>
        <v>0</v>
      </c>
    </row>
    <row r="27" spans="1:42" ht="12" customHeight="1">
      <c r="A27" s="573" t="s">
        <v>658</v>
      </c>
      <c r="B27" s="573">
        <v>0.1</v>
      </c>
      <c r="C27" s="574"/>
      <c r="D27" s="573">
        <f>C27*B27</f>
        <v>0</v>
      </c>
      <c r="E27" s="574"/>
      <c r="F27" s="573">
        <f>E27*B27</f>
        <v>0</v>
      </c>
      <c r="G27" s="574"/>
      <c r="H27" s="573">
        <f>G27*B27</f>
        <v>0</v>
      </c>
      <c r="I27" s="574"/>
      <c r="J27" s="573">
        <f>I27*B27</f>
        <v>0</v>
      </c>
      <c r="K27" s="574"/>
      <c r="L27" s="573">
        <f>K27*B27</f>
        <v>0</v>
      </c>
      <c r="M27" s="574"/>
      <c r="N27" s="573">
        <f>M27*B27</f>
        <v>0</v>
      </c>
      <c r="O27" s="574"/>
      <c r="P27" s="573">
        <f>O27*B27</f>
        <v>0</v>
      </c>
      <c r="Q27" s="574"/>
      <c r="R27" s="573">
        <f>Q27*B27</f>
        <v>0</v>
      </c>
      <c r="S27" s="574"/>
      <c r="T27" s="573">
        <f>S27*B27</f>
        <v>0</v>
      </c>
      <c r="U27" s="574"/>
      <c r="V27" s="573">
        <f>U27*B27</f>
        <v>0</v>
      </c>
      <c r="W27" s="574"/>
      <c r="X27" s="573">
        <f>W27*B27</f>
        <v>0</v>
      </c>
      <c r="Y27" s="574"/>
      <c r="Z27" s="573">
        <f>Y27*B27</f>
        <v>0</v>
      </c>
      <c r="AA27" s="574"/>
      <c r="AB27" s="573">
        <f>AA27*B27</f>
        <v>0</v>
      </c>
      <c r="AC27" s="574"/>
      <c r="AD27" s="573">
        <f>AC27*B27</f>
        <v>0</v>
      </c>
      <c r="AE27" s="574"/>
      <c r="AF27" s="573">
        <f>AE27*B27</f>
        <v>0</v>
      </c>
      <c r="AG27" s="574"/>
      <c r="AH27" s="573">
        <f>AG27*B27</f>
        <v>0</v>
      </c>
      <c r="AI27" s="574"/>
      <c r="AJ27" s="573">
        <f>AI27*B27</f>
        <v>0</v>
      </c>
      <c r="AK27" s="574"/>
      <c r="AL27" s="573">
        <f>AK27*B27</f>
        <v>0</v>
      </c>
      <c r="AM27" s="574"/>
      <c r="AN27" s="573">
        <f>AM27*B27</f>
        <v>0</v>
      </c>
      <c r="AO27" s="574"/>
      <c r="AP27" s="573">
        <f>AO27*B27</f>
        <v>0</v>
      </c>
    </row>
    <row r="28" spans="1:42" ht="12" customHeight="1">
      <c r="A28" s="573" t="s">
        <v>662</v>
      </c>
      <c r="B28" s="573">
        <v>0.03</v>
      </c>
      <c r="C28" s="574"/>
      <c r="D28" s="573">
        <f>C28*B28</f>
        <v>0</v>
      </c>
      <c r="E28" s="574"/>
      <c r="F28" s="573">
        <f>E28*B28</f>
        <v>0</v>
      </c>
      <c r="G28" s="574"/>
      <c r="H28" s="573">
        <f>G28*B28</f>
        <v>0</v>
      </c>
      <c r="I28" s="574"/>
      <c r="J28" s="573">
        <f>I28*B28</f>
        <v>0</v>
      </c>
      <c r="K28" s="574"/>
      <c r="L28" s="573">
        <f>K28*B28</f>
        <v>0</v>
      </c>
      <c r="M28" s="574"/>
      <c r="N28" s="573">
        <f>M28*B28</f>
        <v>0</v>
      </c>
      <c r="O28" s="574"/>
      <c r="P28" s="573">
        <f>O28*B28</f>
        <v>0</v>
      </c>
      <c r="Q28" s="574"/>
      <c r="R28" s="573">
        <f>Q28*B28</f>
        <v>0</v>
      </c>
      <c r="S28" s="574"/>
      <c r="T28" s="573">
        <f>S28*B28</f>
        <v>0</v>
      </c>
      <c r="U28" s="574"/>
      <c r="V28" s="573">
        <f>U28*B28</f>
        <v>0</v>
      </c>
      <c r="W28" s="574"/>
      <c r="X28" s="573">
        <f>W28*B28</f>
        <v>0</v>
      </c>
      <c r="Y28" s="574"/>
      <c r="Z28" s="573">
        <f>Y28*B28</f>
        <v>0</v>
      </c>
      <c r="AA28" s="574"/>
      <c r="AB28" s="573">
        <f>AA28*B28</f>
        <v>0</v>
      </c>
      <c r="AC28" s="574"/>
      <c r="AD28" s="573">
        <f>AC28*B28</f>
        <v>0</v>
      </c>
      <c r="AE28" s="574"/>
      <c r="AF28" s="573">
        <f>AE28*B28</f>
        <v>0</v>
      </c>
      <c r="AG28" s="574"/>
      <c r="AH28" s="573">
        <f>AG28*B28</f>
        <v>0</v>
      </c>
      <c r="AI28" s="574"/>
      <c r="AJ28" s="573">
        <f>AI28*B28</f>
        <v>0</v>
      </c>
      <c r="AK28" s="574"/>
      <c r="AL28" s="573">
        <f>AK28*B28</f>
        <v>0</v>
      </c>
      <c r="AM28" s="574"/>
      <c r="AN28" s="573">
        <f>AM28*B28</f>
        <v>0</v>
      </c>
      <c r="AO28" s="574"/>
      <c r="AP28" s="573">
        <f>AO28*B28</f>
        <v>0</v>
      </c>
    </row>
    <row r="29" spans="1:42" ht="12" customHeight="1">
      <c r="A29" s="573" t="s">
        <v>654</v>
      </c>
      <c r="B29" s="573">
        <v>3.0000000000000001E-5</v>
      </c>
      <c r="C29" s="574"/>
      <c r="D29" s="573">
        <f t="shared" si="40"/>
        <v>0</v>
      </c>
      <c r="E29" s="574"/>
      <c r="F29" s="573">
        <f t="shared" si="41"/>
        <v>0</v>
      </c>
      <c r="G29" s="574"/>
      <c r="H29" s="573">
        <f t="shared" si="42"/>
        <v>0</v>
      </c>
      <c r="I29" s="574"/>
      <c r="J29" s="573">
        <f t="shared" si="43"/>
        <v>0</v>
      </c>
      <c r="K29" s="574"/>
      <c r="L29" s="573">
        <f t="shared" si="44"/>
        <v>0</v>
      </c>
      <c r="M29" s="574"/>
      <c r="N29" s="573">
        <f t="shared" si="45"/>
        <v>0</v>
      </c>
      <c r="O29" s="574"/>
      <c r="P29" s="573">
        <f t="shared" si="46"/>
        <v>0</v>
      </c>
      <c r="Q29" s="574"/>
      <c r="R29" s="573">
        <f t="shared" si="47"/>
        <v>0</v>
      </c>
      <c r="S29" s="574"/>
      <c r="T29" s="573">
        <f t="shared" si="48"/>
        <v>0</v>
      </c>
      <c r="U29" s="574"/>
      <c r="V29" s="573">
        <f t="shared" si="49"/>
        <v>0</v>
      </c>
      <c r="W29" s="574"/>
      <c r="X29" s="573">
        <f t="shared" si="50"/>
        <v>0</v>
      </c>
      <c r="Y29" s="574"/>
      <c r="Z29" s="573">
        <f t="shared" si="51"/>
        <v>0</v>
      </c>
      <c r="AA29" s="574"/>
      <c r="AB29" s="573">
        <f t="shared" si="52"/>
        <v>0</v>
      </c>
      <c r="AC29" s="574"/>
      <c r="AD29" s="573">
        <f t="shared" si="53"/>
        <v>0</v>
      </c>
      <c r="AE29" s="574"/>
      <c r="AF29" s="573">
        <f t="shared" si="54"/>
        <v>0</v>
      </c>
      <c r="AG29" s="574"/>
      <c r="AH29" s="573">
        <f t="shared" si="55"/>
        <v>0</v>
      </c>
      <c r="AI29" s="574"/>
      <c r="AJ29" s="573">
        <f t="shared" si="56"/>
        <v>0</v>
      </c>
      <c r="AK29" s="574"/>
      <c r="AL29" s="573">
        <f t="shared" si="57"/>
        <v>0</v>
      </c>
      <c r="AM29" s="574"/>
      <c r="AN29" s="573">
        <f t="shared" si="58"/>
        <v>0</v>
      </c>
      <c r="AO29" s="574"/>
      <c r="AP29" s="573">
        <f t="shared" si="59"/>
        <v>0</v>
      </c>
    </row>
    <row r="30" spans="1:42" ht="12" customHeight="1">
      <c r="A30" s="573" t="s">
        <v>655</v>
      </c>
      <c r="B30" s="573">
        <v>3.0000000000000001E-5</v>
      </c>
      <c r="C30" s="574"/>
      <c r="D30" s="573">
        <f t="shared" si="40"/>
        <v>0</v>
      </c>
      <c r="E30" s="574"/>
      <c r="F30" s="573">
        <f t="shared" si="41"/>
        <v>0</v>
      </c>
      <c r="G30" s="574"/>
      <c r="H30" s="573">
        <f t="shared" si="42"/>
        <v>0</v>
      </c>
      <c r="I30" s="574"/>
      <c r="J30" s="573">
        <f t="shared" si="43"/>
        <v>0</v>
      </c>
      <c r="K30" s="574"/>
      <c r="L30" s="573">
        <f t="shared" si="44"/>
        <v>0</v>
      </c>
      <c r="M30" s="574"/>
      <c r="N30" s="573">
        <f t="shared" si="45"/>
        <v>0</v>
      </c>
      <c r="O30" s="574"/>
      <c r="P30" s="573">
        <f t="shared" si="46"/>
        <v>0</v>
      </c>
      <c r="Q30" s="574"/>
      <c r="R30" s="573">
        <f t="shared" si="47"/>
        <v>0</v>
      </c>
      <c r="S30" s="574"/>
      <c r="T30" s="573">
        <f t="shared" si="48"/>
        <v>0</v>
      </c>
      <c r="U30" s="574"/>
      <c r="V30" s="573">
        <f t="shared" si="49"/>
        <v>0</v>
      </c>
      <c r="W30" s="574"/>
      <c r="X30" s="573">
        <f t="shared" si="50"/>
        <v>0</v>
      </c>
      <c r="Y30" s="574"/>
      <c r="Z30" s="573">
        <f t="shared" si="51"/>
        <v>0</v>
      </c>
      <c r="AA30" s="574"/>
      <c r="AB30" s="573">
        <f t="shared" si="52"/>
        <v>0</v>
      </c>
      <c r="AC30" s="574"/>
      <c r="AD30" s="573">
        <f t="shared" si="53"/>
        <v>0</v>
      </c>
      <c r="AE30" s="574"/>
      <c r="AF30" s="573">
        <f t="shared" si="54"/>
        <v>0</v>
      </c>
      <c r="AG30" s="574"/>
      <c r="AH30" s="573">
        <f t="shared" si="55"/>
        <v>0</v>
      </c>
      <c r="AI30" s="574"/>
      <c r="AJ30" s="573">
        <f t="shared" si="56"/>
        <v>0</v>
      </c>
      <c r="AK30" s="574"/>
      <c r="AL30" s="573">
        <f t="shared" si="57"/>
        <v>0</v>
      </c>
      <c r="AM30" s="574"/>
      <c r="AN30" s="573">
        <f t="shared" si="58"/>
        <v>0</v>
      </c>
      <c r="AO30" s="574"/>
      <c r="AP30" s="573">
        <f t="shared" si="59"/>
        <v>0</v>
      </c>
    </row>
    <row r="31" spans="1:42" ht="12" customHeight="1">
      <c r="A31" s="573" t="s">
        <v>656</v>
      </c>
      <c r="B31" s="573">
        <v>3.0000000000000001E-5</v>
      </c>
      <c r="C31" s="574"/>
      <c r="D31" s="573">
        <f t="shared" si="40"/>
        <v>0</v>
      </c>
      <c r="E31" s="574"/>
      <c r="F31" s="573">
        <f t="shared" si="41"/>
        <v>0</v>
      </c>
      <c r="G31" s="574"/>
      <c r="H31" s="573">
        <f t="shared" si="42"/>
        <v>0</v>
      </c>
      <c r="I31" s="574"/>
      <c r="J31" s="573">
        <f t="shared" si="43"/>
        <v>0</v>
      </c>
      <c r="K31" s="574"/>
      <c r="L31" s="573">
        <f t="shared" si="44"/>
        <v>0</v>
      </c>
      <c r="M31" s="574"/>
      <c r="N31" s="573">
        <f t="shared" si="45"/>
        <v>0</v>
      </c>
      <c r="O31" s="574"/>
      <c r="P31" s="573">
        <f t="shared" si="46"/>
        <v>0</v>
      </c>
      <c r="Q31" s="574"/>
      <c r="R31" s="573">
        <f t="shared" si="47"/>
        <v>0</v>
      </c>
      <c r="S31" s="574"/>
      <c r="T31" s="573">
        <f t="shared" si="48"/>
        <v>0</v>
      </c>
      <c r="U31" s="574"/>
      <c r="V31" s="573">
        <f t="shared" si="49"/>
        <v>0</v>
      </c>
      <c r="W31" s="574"/>
      <c r="X31" s="573">
        <f t="shared" si="50"/>
        <v>0</v>
      </c>
      <c r="Y31" s="574"/>
      <c r="Z31" s="573">
        <f t="shared" si="51"/>
        <v>0</v>
      </c>
      <c r="AA31" s="574"/>
      <c r="AB31" s="573">
        <f t="shared" si="52"/>
        <v>0</v>
      </c>
      <c r="AC31" s="574"/>
      <c r="AD31" s="573">
        <f t="shared" si="53"/>
        <v>0</v>
      </c>
      <c r="AE31" s="574"/>
      <c r="AF31" s="573">
        <f t="shared" si="54"/>
        <v>0</v>
      </c>
      <c r="AG31" s="574"/>
      <c r="AH31" s="573">
        <f t="shared" si="55"/>
        <v>0</v>
      </c>
      <c r="AI31" s="574"/>
      <c r="AJ31" s="573">
        <f t="shared" si="56"/>
        <v>0</v>
      </c>
      <c r="AK31" s="574"/>
      <c r="AL31" s="573">
        <f t="shared" si="57"/>
        <v>0</v>
      </c>
      <c r="AM31" s="574"/>
      <c r="AN31" s="573">
        <f t="shared" si="58"/>
        <v>0</v>
      </c>
      <c r="AO31" s="574"/>
      <c r="AP31" s="573">
        <f t="shared" si="59"/>
        <v>0</v>
      </c>
    </row>
    <row r="32" spans="1:42" ht="12" customHeight="1">
      <c r="A32" s="573" t="s">
        <v>657</v>
      </c>
      <c r="B32" s="573">
        <v>3.0000000000000001E-5</v>
      </c>
      <c r="C32" s="574"/>
      <c r="D32" s="573">
        <f t="shared" si="40"/>
        <v>0</v>
      </c>
      <c r="E32" s="574"/>
      <c r="F32" s="573">
        <f t="shared" si="41"/>
        <v>0</v>
      </c>
      <c r="G32" s="574"/>
      <c r="H32" s="573">
        <f t="shared" si="42"/>
        <v>0</v>
      </c>
      <c r="I32" s="574"/>
      <c r="J32" s="573">
        <f t="shared" si="43"/>
        <v>0</v>
      </c>
      <c r="K32" s="574"/>
      <c r="L32" s="573">
        <f t="shared" si="44"/>
        <v>0</v>
      </c>
      <c r="M32" s="574"/>
      <c r="N32" s="573">
        <f t="shared" si="45"/>
        <v>0</v>
      </c>
      <c r="O32" s="574"/>
      <c r="P32" s="573">
        <f t="shared" si="46"/>
        <v>0</v>
      </c>
      <c r="Q32" s="574"/>
      <c r="R32" s="573">
        <f t="shared" si="47"/>
        <v>0</v>
      </c>
      <c r="S32" s="574"/>
      <c r="T32" s="573">
        <f t="shared" si="48"/>
        <v>0</v>
      </c>
      <c r="U32" s="574"/>
      <c r="V32" s="573">
        <f t="shared" si="49"/>
        <v>0</v>
      </c>
      <c r="W32" s="574"/>
      <c r="X32" s="573">
        <f t="shared" si="50"/>
        <v>0</v>
      </c>
      <c r="Y32" s="574"/>
      <c r="Z32" s="573">
        <f t="shared" si="51"/>
        <v>0</v>
      </c>
      <c r="AA32" s="574"/>
      <c r="AB32" s="573">
        <f t="shared" si="52"/>
        <v>0</v>
      </c>
      <c r="AC32" s="574"/>
      <c r="AD32" s="573">
        <f t="shared" si="53"/>
        <v>0</v>
      </c>
      <c r="AE32" s="574"/>
      <c r="AF32" s="573">
        <f t="shared" si="54"/>
        <v>0</v>
      </c>
      <c r="AG32" s="574"/>
      <c r="AH32" s="573">
        <f t="shared" si="55"/>
        <v>0</v>
      </c>
      <c r="AI32" s="574"/>
      <c r="AJ32" s="573">
        <f t="shared" si="56"/>
        <v>0</v>
      </c>
      <c r="AK32" s="574"/>
      <c r="AL32" s="573">
        <f t="shared" si="57"/>
        <v>0</v>
      </c>
      <c r="AM32" s="574"/>
      <c r="AN32" s="573">
        <f t="shared" si="58"/>
        <v>0</v>
      </c>
      <c r="AO32" s="574"/>
      <c r="AP32" s="573">
        <f t="shared" si="59"/>
        <v>0</v>
      </c>
    </row>
    <row r="33" spans="1:42" ht="12" customHeight="1">
      <c r="A33" s="573" t="s">
        <v>659</v>
      </c>
      <c r="B33" s="573">
        <v>3.0000000000000001E-5</v>
      </c>
      <c r="C33" s="574"/>
      <c r="D33" s="573">
        <f t="shared" si="40"/>
        <v>0</v>
      </c>
      <c r="E33" s="574"/>
      <c r="F33" s="573">
        <f t="shared" si="41"/>
        <v>0</v>
      </c>
      <c r="G33" s="574"/>
      <c r="H33" s="573">
        <f t="shared" si="42"/>
        <v>0</v>
      </c>
      <c r="I33" s="574"/>
      <c r="J33" s="573">
        <f t="shared" si="43"/>
        <v>0</v>
      </c>
      <c r="K33" s="574"/>
      <c r="L33" s="573">
        <f t="shared" si="44"/>
        <v>0</v>
      </c>
      <c r="M33" s="574"/>
      <c r="N33" s="573">
        <f t="shared" si="45"/>
        <v>0</v>
      </c>
      <c r="O33" s="574"/>
      <c r="P33" s="573">
        <f t="shared" si="46"/>
        <v>0</v>
      </c>
      <c r="Q33" s="574"/>
      <c r="R33" s="573">
        <f t="shared" si="47"/>
        <v>0</v>
      </c>
      <c r="S33" s="574"/>
      <c r="T33" s="573">
        <f t="shared" si="48"/>
        <v>0</v>
      </c>
      <c r="U33" s="574"/>
      <c r="V33" s="573">
        <f t="shared" si="49"/>
        <v>0</v>
      </c>
      <c r="W33" s="574"/>
      <c r="X33" s="573">
        <f t="shared" si="50"/>
        <v>0</v>
      </c>
      <c r="Y33" s="574"/>
      <c r="Z33" s="573">
        <f t="shared" si="51"/>
        <v>0</v>
      </c>
      <c r="AA33" s="574"/>
      <c r="AB33" s="573">
        <f t="shared" si="52"/>
        <v>0</v>
      </c>
      <c r="AC33" s="574"/>
      <c r="AD33" s="573">
        <f t="shared" si="53"/>
        <v>0</v>
      </c>
      <c r="AE33" s="574"/>
      <c r="AF33" s="573">
        <f t="shared" si="54"/>
        <v>0</v>
      </c>
      <c r="AG33" s="574"/>
      <c r="AH33" s="573">
        <f t="shared" si="55"/>
        <v>0</v>
      </c>
      <c r="AI33" s="574"/>
      <c r="AJ33" s="573">
        <f t="shared" si="56"/>
        <v>0</v>
      </c>
      <c r="AK33" s="574"/>
      <c r="AL33" s="573">
        <f t="shared" si="57"/>
        <v>0</v>
      </c>
      <c r="AM33" s="574"/>
      <c r="AN33" s="573">
        <f t="shared" si="58"/>
        <v>0</v>
      </c>
      <c r="AO33" s="574"/>
      <c r="AP33" s="573">
        <f t="shared" si="59"/>
        <v>0</v>
      </c>
    </row>
    <row r="34" spans="1:42" ht="12" customHeight="1">
      <c r="A34" s="573" t="s">
        <v>660</v>
      </c>
      <c r="B34" s="573">
        <v>3.0000000000000001E-5</v>
      </c>
      <c r="C34" s="574"/>
      <c r="D34" s="573">
        <f t="shared" si="40"/>
        <v>0</v>
      </c>
      <c r="E34" s="574"/>
      <c r="F34" s="573">
        <f t="shared" si="41"/>
        <v>0</v>
      </c>
      <c r="G34" s="574"/>
      <c r="H34" s="573">
        <f t="shared" si="42"/>
        <v>0</v>
      </c>
      <c r="I34" s="574"/>
      <c r="J34" s="573">
        <f t="shared" si="43"/>
        <v>0</v>
      </c>
      <c r="K34" s="574"/>
      <c r="L34" s="573">
        <f t="shared" si="44"/>
        <v>0</v>
      </c>
      <c r="M34" s="574"/>
      <c r="N34" s="573">
        <f t="shared" si="45"/>
        <v>0</v>
      </c>
      <c r="O34" s="574"/>
      <c r="P34" s="573">
        <f t="shared" si="46"/>
        <v>0</v>
      </c>
      <c r="Q34" s="574"/>
      <c r="R34" s="573">
        <f t="shared" si="47"/>
        <v>0</v>
      </c>
      <c r="S34" s="574"/>
      <c r="T34" s="573">
        <f t="shared" si="48"/>
        <v>0</v>
      </c>
      <c r="U34" s="574"/>
      <c r="V34" s="573">
        <f t="shared" si="49"/>
        <v>0</v>
      </c>
      <c r="W34" s="574"/>
      <c r="X34" s="573">
        <f t="shared" si="50"/>
        <v>0</v>
      </c>
      <c r="Y34" s="574"/>
      <c r="Z34" s="573">
        <f t="shared" si="51"/>
        <v>0</v>
      </c>
      <c r="AA34" s="574"/>
      <c r="AB34" s="573">
        <f t="shared" si="52"/>
        <v>0</v>
      </c>
      <c r="AC34" s="574"/>
      <c r="AD34" s="573">
        <f t="shared" si="53"/>
        <v>0</v>
      </c>
      <c r="AE34" s="574"/>
      <c r="AF34" s="573">
        <f t="shared" si="54"/>
        <v>0</v>
      </c>
      <c r="AG34" s="574"/>
      <c r="AH34" s="573">
        <f t="shared" si="55"/>
        <v>0</v>
      </c>
      <c r="AI34" s="574"/>
      <c r="AJ34" s="573">
        <f t="shared" si="56"/>
        <v>0</v>
      </c>
      <c r="AK34" s="574"/>
      <c r="AL34" s="573">
        <f t="shared" si="57"/>
        <v>0</v>
      </c>
      <c r="AM34" s="574"/>
      <c r="AN34" s="573">
        <f t="shared" si="58"/>
        <v>0</v>
      </c>
      <c r="AO34" s="574"/>
      <c r="AP34" s="573">
        <f t="shared" si="59"/>
        <v>0</v>
      </c>
    </row>
    <row r="35" spans="1:42" ht="12" customHeight="1">
      <c r="A35" s="573" t="s">
        <v>661</v>
      </c>
      <c r="B35" s="573">
        <v>3.0000000000000001E-5</v>
      </c>
      <c r="C35" s="574"/>
      <c r="D35" s="573">
        <f t="shared" si="40"/>
        <v>0</v>
      </c>
      <c r="E35" s="574"/>
      <c r="F35" s="573">
        <f t="shared" si="41"/>
        <v>0</v>
      </c>
      <c r="G35" s="574"/>
      <c r="H35" s="573">
        <f t="shared" si="42"/>
        <v>0</v>
      </c>
      <c r="I35" s="574"/>
      <c r="J35" s="573">
        <f t="shared" si="43"/>
        <v>0</v>
      </c>
      <c r="K35" s="574"/>
      <c r="L35" s="573">
        <f t="shared" si="44"/>
        <v>0</v>
      </c>
      <c r="M35" s="574"/>
      <c r="N35" s="573">
        <f t="shared" si="45"/>
        <v>0</v>
      </c>
      <c r="O35" s="574"/>
      <c r="P35" s="573">
        <f t="shared" si="46"/>
        <v>0</v>
      </c>
      <c r="Q35" s="574"/>
      <c r="R35" s="573">
        <f t="shared" si="47"/>
        <v>0</v>
      </c>
      <c r="S35" s="574"/>
      <c r="T35" s="573">
        <f t="shared" si="48"/>
        <v>0</v>
      </c>
      <c r="U35" s="574"/>
      <c r="V35" s="573">
        <f t="shared" si="49"/>
        <v>0</v>
      </c>
      <c r="W35" s="574"/>
      <c r="X35" s="573">
        <f t="shared" si="50"/>
        <v>0</v>
      </c>
      <c r="Y35" s="574"/>
      <c r="Z35" s="573">
        <f t="shared" si="51"/>
        <v>0</v>
      </c>
      <c r="AA35" s="574"/>
      <c r="AB35" s="573">
        <f t="shared" si="52"/>
        <v>0</v>
      </c>
      <c r="AC35" s="574"/>
      <c r="AD35" s="573">
        <f t="shared" si="53"/>
        <v>0</v>
      </c>
      <c r="AE35" s="574"/>
      <c r="AF35" s="573">
        <f t="shared" si="54"/>
        <v>0</v>
      </c>
      <c r="AG35" s="574"/>
      <c r="AH35" s="573">
        <f t="shared" si="55"/>
        <v>0</v>
      </c>
      <c r="AI35" s="574"/>
      <c r="AJ35" s="573">
        <f t="shared" si="56"/>
        <v>0</v>
      </c>
      <c r="AK35" s="574"/>
      <c r="AL35" s="573">
        <f t="shared" si="57"/>
        <v>0</v>
      </c>
      <c r="AM35" s="574"/>
      <c r="AN35" s="573">
        <f t="shared" si="58"/>
        <v>0</v>
      </c>
      <c r="AO35" s="574"/>
      <c r="AP35" s="573">
        <f t="shared" si="59"/>
        <v>0</v>
      </c>
    </row>
    <row r="36" spans="1:42" ht="12" customHeight="1">
      <c r="A36" s="573" t="s">
        <v>663</v>
      </c>
      <c r="B36" s="573">
        <v>3.0000000000000001E-5</v>
      </c>
      <c r="C36" s="574"/>
      <c r="D36" s="573">
        <f t="shared" si="40"/>
        <v>0</v>
      </c>
      <c r="E36" s="574"/>
      <c r="F36" s="573">
        <f t="shared" si="41"/>
        <v>0</v>
      </c>
      <c r="G36" s="574"/>
      <c r="H36" s="573">
        <f t="shared" si="42"/>
        <v>0</v>
      </c>
      <c r="I36" s="574"/>
      <c r="J36" s="573">
        <f t="shared" si="43"/>
        <v>0</v>
      </c>
      <c r="K36" s="574"/>
      <c r="L36" s="573">
        <f t="shared" si="44"/>
        <v>0</v>
      </c>
      <c r="M36" s="574"/>
      <c r="N36" s="573">
        <f t="shared" si="45"/>
        <v>0</v>
      </c>
      <c r="O36" s="574"/>
      <c r="P36" s="573">
        <f t="shared" si="46"/>
        <v>0</v>
      </c>
      <c r="Q36" s="574"/>
      <c r="R36" s="573">
        <f t="shared" si="47"/>
        <v>0</v>
      </c>
      <c r="S36" s="574"/>
      <c r="T36" s="573">
        <f t="shared" si="48"/>
        <v>0</v>
      </c>
      <c r="U36" s="574"/>
      <c r="V36" s="573">
        <f t="shared" si="49"/>
        <v>0</v>
      </c>
      <c r="W36" s="574"/>
      <c r="X36" s="573">
        <f t="shared" si="50"/>
        <v>0</v>
      </c>
      <c r="Y36" s="574"/>
      <c r="Z36" s="573">
        <f t="shared" si="51"/>
        <v>0</v>
      </c>
      <c r="AA36" s="574"/>
      <c r="AB36" s="573">
        <f t="shared" si="52"/>
        <v>0</v>
      </c>
      <c r="AC36" s="574"/>
      <c r="AD36" s="573">
        <f t="shared" si="53"/>
        <v>0</v>
      </c>
      <c r="AE36" s="574"/>
      <c r="AF36" s="573">
        <f t="shared" si="54"/>
        <v>0</v>
      </c>
      <c r="AG36" s="574"/>
      <c r="AH36" s="573">
        <f t="shared" si="55"/>
        <v>0</v>
      </c>
      <c r="AI36" s="574"/>
      <c r="AJ36" s="573">
        <f t="shared" si="56"/>
        <v>0</v>
      </c>
      <c r="AK36" s="574"/>
      <c r="AL36" s="573">
        <f t="shared" si="57"/>
        <v>0</v>
      </c>
      <c r="AM36" s="574"/>
      <c r="AN36" s="573">
        <f t="shared" si="58"/>
        <v>0</v>
      </c>
      <c r="AO36" s="574"/>
      <c r="AP36" s="573">
        <f t="shared" si="59"/>
        <v>0</v>
      </c>
    </row>
    <row r="37" spans="1:42" ht="12" customHeight="1">
      <c r="A37" s="581"/>
      <c r="B37" s="875" t="s">
        <v>913</v>
      </c>
      <c r="C37" s="799"/>
      <c r="D37" s="575">
        <f>SUM(D6:D36)</f>
        <v>0</v>
      </c>
      <c r="E37" s="582"/>
      <c r="F37" s="575">
        <f>SUM(F6:F36)</f>
        <v>0</v>
      </c>
      <c r="G37" s="583"/>
      <c r="H37" s="575">
        <f>SUM(H6:H36)</f>
        <v>0</v>
      </c>
      <c r="I37" s="583"/>
      <c r="J37" s="575">
        <f>SUM(J6:J36)</f>
        <v>0</v>
      </c>
      <c r="K37" s="583"/>
      <c r="L37" s="575">
        <f>SUM(L6:L36)</f>
        <v>0</v>
      </c>
      <c r="M37" s="583"/>
      <c r="N37" s="575">
        <f>SUM(N6:N36)</f>
        <v>0</v>
      </c>
      <c r="O37" s="583"/>
      <c r="P37" s="575">
        <f>SUM(P6:P36)</f>
        <v>0</v>
      </c>
      <c r="Q37" s="583"/>
      <c r="R37" s="575">
        <f>SUM(R6:R36)</f>
        <v>0</v>
      </c>
      <c r="S37" s="583"/>
      <c r="T37" s="575">
        <f>SUM(T6:T36)</f>
        <v>0</v>
      </c>
      <c r="U37" s="583"/>
      <c r="V37" s="575">
        <f>SUM(V6:V36)</f>
        <v>0</v>
      </c>
      <c r="W37" s="583"/>
      <c r="X37" s="575">
        <f>SUM(X6:X36)</f>
        <v>0</v>
      </c>
      <c r="Y37" s="583"/>
      <c r="Z37" s="575">
        <f>SUM(Z6:Z36)</f>
        <v>0</v>
      </c>
      <c r="AA37" s="583"/>
      <c r="AB37" s="575">
        <f>SUM(AB6:AB36)</f>
        <v>0</v>
      </c>
      <c r="AC37" s="583"/>
      <c r="AD37" s="575">
        <f>SUM(AD6:AD36)</f>
        <v>0</v>
      </c>
      <c r="AE37" s="583"/>
      <c r="AF37" s="575">
        <f>SUM(AF6:AF36)</f>
        <v>0</v>
      </c>
      <c r="AG37" s="583"/>
      <c r="AH37" s="575">
        <f>SUM(AH6:AH36)</f>
        <v>0</v>
      </c>
      <c r="AI37" s="583"/>
      <c r="AJ37" s="575">
        <f>SUM(AJ6:AJ36)</f>
        <v>0</v>
      </c>
      <c r="AK37" s="583"/>
      <c r="AL37" s="575">
        <f>SUM(AL6:AL36)</f>
        <v>0</v>
      </c>
      <c r="AM37" s="583"/>
      <c r="AN37" s="575">
        <f>SUM(AN6:AN36)</f>
        <v>0</v>
      </c>
      <c r="AO37" s="583"/>
      <c r="AP37" s="575">
        <f>SUM(AP6:AP36)</f>
        <v>0</v>
      </c>
    </row>
    <row r="38" spans="1:42" ht="12" customHeight="1">
      <c r="A38" s="581"/>
      <c r="B38" s="584" t="s">
        <v>914</v>
      </c>
      <c r="C38" s="542"/>
      <c r="D38" s="585"/>
      <c r="E38" s="582"/>
      <c r="F38" s="585"/>
      <c r="G38" s="583"/>
      <c r="H38" s="585"/>
      <c r="I38" s="583"/>
      <c r="J38" s="585"/>
      <c r="K38" s="583"/>
      <c r="L38" s="585"/>
      <c r="M38" s="583"/>
      <c r="N38" s="585"/>
      <c r="O38" s="583"/>
      <c r="P38" s="585"/>
      <c r="Q38" s="583"/>
      <c r="R38" s="585"/>
      <c r="S38" s="583"/>
      <c r="T38" s="585"/>
      <c r="U38" s="583"/>
      <c r="V38" s="585"/>
      <c r="W38" s="583"/>
      <c r="X38" s="585"/>
      <c r="Y38" s="583"/>
      <c r="Z38" s="585"/>
      <c r="AA38" s="583"/>
      <c r="AB38" s="585"/>
      <c r="AC38" s="583"/>
      <c r="AD38" s="585"/>
      <c r="AE38" s="583"/>
      <c r="AF38" s="585"/>
      <c r="AG38" s="583"/>
      <c r="AH38" s="585"/>
      <c r="AI38" s="583"/>
      <c r="AJ38" s="585"/>
      <c r="AK38" s="583"/>
      <c r="AL38" s="585"/>
      <c r="AM38" s="583"/>
      <c r="AN38" s="585"/>
      <c r="AO38" s="583"/>
      <c r="AP38" s="585"/>
    </row>
    <row r="39" spans="1:42" ht="12" customHeight="1">
      <c r="B39" s="586" t="s">
        <v>912</v>
      </c>
    </row>
    <row r="40" spans="1:42" ht="12" customHeight="1"/>
    <row r="41" spans="1:42" ht="12" customHeight="1">
      <c r="A41" s="586" t="s">
        <v>963</v>
      </c>
    </row>
    <row r="42" spans="1:42" ht="12" customHeight="1">
      <c r="A42" s="586" t="s">
        <v>964</v>
      </c>
    </row>
    <row r="43" spans="1:42" ht="12" customHeight="1">
      <c r="A43" s="586" t="s">
        <v>965</v>
      </c>
    </row>
    <row r="45" spans="1:42">
      <c r="A45" s="627"/>
    </row>
  </sheetData>
  <sheetProtection algorithmName="SHA-512" hashValue="PE5W+pBpkVEbPXAijOd5RcFOaZwGXFFO+7C8iz6rwe687NKQfNyUNXpcnDZR5MgVUxYdeDnKHFhKhx8PWNnPhw==" saltValue="z3NMapgq7EBstHtoV6Cihw==" spinCount="100000" sheet="1" objects="1" scenarios="1"/>
  <protectedRanges>
    <protectedRange sqref="C6:C36" name="Range26_1"/>
    <protectedRange sqref="E6:E36" name="Range25_1"/>
    <protectedRange sqref="G6:G36" name="Range24_1"/>
    <protectedRange sqref="I6:I36" name="Range22_1"/>
    <protectedRange sqref="K6:K36" name="Range20_1"/>
    <protectedRange sqref="M6:M36" name="Range19_1"/>
    <protectedRange sqref="O6:O36" name="Range18_1"/>
    <protectedRange sqref="Q6:Q36" name="Range17_1"/>
    <protectedRange sqref="S6:S36" name="Range16_1"/>
    <protectedRange sqref="U6:U36" name="Range14_1"/>
    <protectedRange sqref="W6:W36" name="Range13_1"/>
    <protectedRange sqref="Y6:Y36" name="Range12_1"/>
    <protectedRange sqref="AA6:AA36" name="Range11_1"/>
    <protectedRange sqref="AC6:AC36" name="Range10_1"/>
    <protectedRange sqref="AE6:AE36" name="Range9_1"/>
    <protectedRange sqref="AG6:AG36" name="Range6_1"/>
    <protectedRange sqref="AI6:AI36" name="Range5_1"/>
    <protectedRange sqref="AK6:AK36" name="Range4_1"/>
    <protectedRange sqref="AM6:AM36" name="Range3_1"/>
    <protectedRange sqref="AO6:AO36" name="Range2_1"/>
    <protectedRange sqref="C4:AP4" name="Range1_1"/>
    <protectedRange sqref="D38 F38 H38 J38 L38 N38 P38 R38 T38 V38 X38 Z38 AB38 AD38 AF38 AH38 AJ38 AL38 AN38 AP38" name="Range27_1"/>
  </protectedRanges>
  <customSheetViews>
    <customSheetView guid="{4E720B7F-6A3C-4034-90A5-B2BF7A394FC0}" scale="130">
      <selection sqref="A1:A4"/>
      <pageMargins left="0.75" right="0.75" top="1" bottom="0.75" header="0.5" footer="0.5"/>
      <printOptions gridLines="1"/>
      <pageSetup scale="80" orientation="landscape" horizontalDpi="4294967292" r:id="rId1"/>
      <headerFooter alignWithMargins="0">
        <oddHeader>&amp;C&amp;"Arial,Bold"2,3,7,8-TCDD Equivalents</oddHeader>
        <oddFooter>&amp;LDecember 2018&amp;R&amp;"MS Sans Serif,Regular"&amp;8&amp;P of &amp;N</oddFooter>
      </headerFooter>
    </customSheetView>
    <customSheetView guid="{23DC26AF-9753-4BD2-80DE-415E6324C52C}">
      <selection sqref="A1:A4"/>
      <pageMargins left="0.75" right="0.75" top="1" bottom="0.75" header="0.5" footer="0.5"/>
      <printOptions gridLines="1"/>
      <pageSetup scale="80" orientation="landscape" horizontalDpi="4294967292" r:id="rId2"/>
      <headerFooter alignWithMargins="0">
        <oddHeader>&amp;C&amp;"Arial,Bold"2,3,7,8-TCDD Equivalents</oddHeader>
        <oddFooter>&amp;LDecember 2018&amp;R&amp;"MS Sans Serif,Regular"&amp;8&amp;P of &amp;N</oddFooter>
      </headerFooter>
    </customSheetView>
  </customSheetViews>
  <mergeCells count="63">
    <mergeCell ref="B37:C37"/>
    <mergeCell ref="C1:C3"/>
    <mergeCell ref="D1:D3"/>
    <mergeCell ref="A1:A4"/>
    <mergeCell ref="B1:B4"/>
    <mergeCell ref="C4:D4"/>
    <mergeCell ref="E1:E3"/>
    <mergeCell ref="F1:F3"/>
    <mergeCell ref="E4:F4"/>
    <mergeCell ref="G1:G3"/>
    <mergeCell ref="H1:H3"/>
    <mergeCell ref="G4:H4"/>
    <mergeCell ref="I1:I3"/>
    <mergeCell ref="J1:J3"/>
    <mergeCell ref="I4:J4"/>
    <mergeCell ref="K1:K3"/>
    <mergeCell ref="L1:L3"/>
    <mergeCell ref="K4:L4"/>
    <mergeCell ref="M1:M3"/>
    <mergeCell ref="N1:N3"/>
    <mergeCell ref="M4:N4"/>
    <mergeCell ref="O1:O3"/>
    <mergeCell ref="P1:P3"/>
    <mergeCell ref="O4:P4"/>
    <mergeCell ref="Q1:Q3"/>
    <mergeCell ref="R1:R3"/>
    <mergeCell ref="Q4:R4"/>
    <mergeCell ref="S1:S3"/>
    <mergeCell ref="T1:T3"/>
    <mergeCell ref="S4:T4"/>
    <mergeCell ref="U1:U3"/>
    <mergeCell ref="V1:V3"/>
    <mergeCell ref="U4:V4"/>
    <mergeCell ref="W1:W3"/>
    <mergeCell ref="X1:X3"/>
    <mergeCell ref="W4:X4"/>
    <mergeCell ref="Y1:Y3"/>
    <mergeCell ref="Z1:Z3"/>
    <mergeCell ref="Y4:Z4"/>
    <mergeCell ref="AA1:AA3"/>
    <mergeCell ref="AB1:AB3"/>
    <mergeCell ref="AA4:AB4"/>
    <mergeCell ref="AC1:AC3"/>
    <mergeCell ref="AD1:AD3"/>
    <mergeCell ref="AC4:AD4"/>
    <mergeCell ref="AE1:AE3"/>
    <mergeCell ref="AF1:AF3"/>
    <mergeCell ref="AE4:AF4"/>
    <mergeCell ref="AG1:AG3"/>
    <mergeCell ref="AH1:AH3"/>
    <mergeCell ref="AG4:AH4"/>
    <mergeCell ref="AI1:AI3"/>
    <mergeCell ref="AJ1:AJ3"/>
    <mergeCell ref="AI4:AJ4"/>
    <mergeCell ref="AO1:AO3"/>
    <mergeCell ref="AP1:AP3"/>
    <mergeCell ref="AO4:AP4"/>
    <mergeCell ref="AK1:AK3"/>
    <mergeCell ref="AL1:AL3"/>
    <mergeCell ref="AK4:AL4"/>
    <mergeCell ref="AM1:AM3"/>
    <mergeCell ref="AN1:AN3"/>
    <mergeCell ref="AM4:AN4"/>
  </mergeCells>
  <printOptions gridLines="1" gridLinesSet="0"/>
  <pageMargins left="0.75" right="0.75" top="1" bottom="0.75" header="0.5" footer="0.5"/>
  <pageSetup scale="80" orientation="landscape" horizontalDpi="4294967292" r:id="rId3"/>
  <headerFooter alignWithMargins="0">
    <oddHeader>&amp;C&amp;"Arial,Bold"2,3,7,8-TCDD Equivalents</oddHeader>
    <oddFooter>&amp;LApril 2026&amp;R&amp;"MS Sans Serif,Regular"&amp;8&amp;P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sheetPr>
  <dimension ref="A1:AW280"/>
  <sheetViews>
    <sheetView zoomScaleNormal="100" workbookViewId="0">
      <pane xSplit="5" ySplit="4" topLeftCell="G23" activePane="bottomRight" state="frozen"/>
      <selection pane="topRight" activeCell="F1" sqref="F1"/>
      <selection pane="bottomLeft" activeCell="A5" sqref="A5"/>
      <selection pane="bottomRight" activeCell="I17" sqref="I17"/>
    </sheetView>
  </sheetViews>
  <sheetFormatPr defaultColWidth="9.1796875" defaultRowHeight="10.5"/>
  <cols>
    <col min="1" max="1" width="30.453125" style="302" customWidth="1"/>
    <col min="2" max="2" width="11" style="302" customWidth="1"/>
    <col min="3" max="4" width="6.453125" style="208" customWidth="1"/>
    <col min="5" max="5" width="6.453125" style="303" customWidth="1"/>
    <col min="6" max="6" width="13.54296875" style="304" customWidth="1"/>
    <col min="7" max="7" width="12" style="303" customWidth="1"/>
    <col min="8" max="8" width="11.1796875" style="305" customWidth="1"/>
    <col min="9" max="9" width="36.54296875" style="302" customWidth="1"/>
    <col min="10" max="10" width="11.453125" style="305" customWidth="1"/>
    <col min="11" max="11" width="35.81640625" style="302" customWidth="1"/>
    <col min="12" max="12" width="11.453125" style="305" customWidth="1"/>
    <col min="13" max="13" width="41.1796875" style="302" customWidth="1"/>
    <col min="14" max="14" width="11.54296875" style="305" customWidth="1"/>
    <col min="15" max="15" width="43" style="302" customWidth="1"/>
    <col min="16" max="16" width="12.453125" style="306" customWidth="1"/>
    <col min="17" max="17" width="33.54296875" style="302" customWidth="1"/>
    <col min="18" max="27" width="5.81640625" style="308" customWidth="1"/>
    <col min="28" max="28" width="7.453125" style="303" customWidth="1"/>
    <col min="29" max="29" width="18.453125" style="302" customWidth="1"/>
    <col min="30" max="30" width="8" style="303" customWidth="1"/>
    <col min="31" max="31" width="16.54296875" style="203" customWidth="1"/>
    <col min="32" max="32" width="7.453125" style="303" customWidth="1"/>
    <col min="33" max="33" width="17.453125" style="302" customWidth="1"/>
    <col min="34" max="35" width="10.54296875" style="315" customWidth="1"/>
    <col min="36" max="36" width="11.1796875" style="315" customWidth="1"/>
    <col min="37" max="37" width="11" style="315" customWidth="1"/>
    <col min="38" max="38" width="10.453125" style="331" customWidth="1"/>
    <col min="39" max="39" width="10.54296875" style="315" customWidth="1"/>
    <col min="40" max="40" width="10.453125" style="315" customWidth="1"/>
    <col min="41" max="41" width="11.453125" style="316" customWidth="1"/>
    <col min="42" max="42" width="10.54296875" style="315" customWidth="1"/>
    <col min="43" max="43" width="16.453125" style="315" customWidth="1"/>
    <col min="44" max="44" width="10.54296875" style="315" customWidth="1"/>
    <col min="45" max="45" width="11.54296875" style="315" customWidth="1"/>
    <col min="46" max="46" width="11" style="303" customWidth="1"/>
    <col min="47" max="47" width="10.81640625" style="204" customWidth="1"/>
    <col min="48" max="57" width="9.1796875" style="204" customWidth="1"/>
    <col min="58" max="16384" width="9.1796875" style="204"/>
  </cols>
  <sheetData>
    <row r="1" spans="1:47" ht="18.75" customHeight="1">
      <c r="A1" s="744" t="s">
        <v>26</v>
      </c>
      <c r="B1" s="762" t="s">
        <v>204</v>
      </c>
      <c r="C1" s="755" t="s">
        <v>536</v>
      </c>
      <c r="D1" s="755" t="s">
        <v>561</v>
      </c>
      <c r="E1" s="755" t="s">
        <v>535</v>
      </c>
      <c r="F1" s="751" t="s">
        <v>447</v>
      </c>
      <c r="G1" s="752"/>
      <c r="H1" s="753"/>
      <c r="I1" s="753"/>
      <c r="J1" s="753"/>
      <c r="K1" s="754"/>
      <c r="L1" s="775" t="s">
        <v>448</v>
      </c>
      <c r="M1" s="776"/>
      <c r="N1" s="776"/>
      <c r="O1" s="777"/>
      <c r="P1" s="771" t="s">
        <v>834</v>
      </c>
      <c r="Q1" s="772"/>
      <c r="R1" s="773" t="s">
        <v>352</v>
      </c>
      <c r="S1" s="774"/>
      <c r="T1" s="774"/>
      <c r="U1" s="774"/>
      <c r="V1" s="774"/>
      <c r="W1" s="774"/>
      <c r="X1" s="774"/>
      <c r="Y1" s="774"/>
      <c r="Z1" s="774"/>
      <c r="AA1" s="774"/>
      <c r="AB1" s="768" t="s">
        <v>449</v>
      </c>
      <c r="AC1" s="769"/>
      <c r="AD1" s="769"/>
      <c r="AE1" s="769"/>
      <c r="AF1" s="769"/>
      <c r="AG1" s="769"/>
      <c r="AH1" s="769"/>
      <c r="AI1" s="769"/>
      <c r="AJ1" s="769"/>
      <c r="AK1" s="769"/>
      <c r="AL1" s="769"/>
      <c r="AM1" s="769"/>
      <c r="AN1" s="769"/>
      <c r="AO1" s="769"/>
      <c r="AP1" s="769"/>
      <c r="AQ1" s="769"/>
      <c r="AR1" s="769"/>
      <c r="AS1" s="769"/>
      <c r="AT1" s="770"/>
      <c r="AU1" s="770"/>
    </row>
    <row r="2" spans="1:47" ht="11.25" customHeight="1">
      <c r="A2" s="745"/>
      <c r="B2" s="763"/>
      <c r="C2" s="760"/>
      <c r="D2" s="760"/>
      <c r="E2" s="756"/>
      <c r="F2" s="749" t="s">
        <v>453</v>
      </c>
      <c r="G2" s="758" t="s">
        <v>248</v>
      </c>
      <c r="H2" s="747" t="s">
        <v>444</v>
      </c>
      <c r="I2" s="744" t="s">
        <v>445</v>
      </c>
      <c r="J2" s="747" t="s">
        <v>1017</v>
      </c>
      <c r="K2" s="744" t="s">
        <v>446</v>
      </c>
      <c r="L2" s="747" t="s">
        <v>835</v>
      </c>
      <c r="M2" s="744" t="s">
        <v>838</v>
      </c>
      <c r="N2" s="747" t="s">
        <v>836</v>
      </c>
      <c r="O2" s="744" t="s">
        <v>839</v>
      </c>
      <c r="P2" s="766" t="s">
        <v>837</v>
      </c>
      <c r="Q2" s="778" t="s">
        <v>840</v>
      </c>
      <c r="R2" s="774"/>
      <c r="S2" s="774"/>
      <c r="T2" s="774"/>
      <c r="U2" s="774"/>
      <c r="V2" s="774"/>
      <c r="W2" s="774"/>
      <c r="X2" s="774"/>
      <c r="Y2" s="774"/>
      <c r="Z2" s="774"/>
      <c r="AA2" s="774"/>
      <c r="AB2" s="783" t="s">
        <v>330</v>
      </c>
      <c r="AC2" s="784"/>
      <c r="AD2" s="783" t="s">
        <v>329</v>
      </c>
      <c r="AE2" s="784"/>
      <c r="AF2" s="783" t="s">
        <v>331</v>
      </c>
      <c r="AG2" s="784"/>
      <c r="AH2" s="766" t="s">
        <v>326</v>
      </c>
      <c r="AI2" s="747" t="s">
        <v>248</v>
      </c>
      <c r="AJ2" s="766" t="s">
        <v>327</v>
      </c>
      <c r="AK2" s="747" t="s">
        <v>248</v>
      </c>
      <c r="AL2" s="786" t="s">
        <v>1327</v>
      </c>
      <c r="AM2" s="747" t="s">
        <v>248</v>
      </c>
      <c r="AN2" s="766" t="s">
        <v>1328</v>
      </c>
      <c r="AO2" s="747" t="s">
        <v>248</v>
      </c>
      <c r="AP2" s="766" t="s">
        <v>328</v>
      </c>
      <c r="AQ2" s="747" t="s">
        <v>248</v>
      </c>
      <c r="AR2" s="766" t="s">
        <v>1207</v>
      </c>
      <c r="AS2" s="747" t="s">
        <v>248</v>
      </c>
      <c r="AT2" s="766" t="s">
        <v>921</v>
      </c>
      <c r="AU2" s="747" t="s">
        <v>248</v>
      </c>
    </row>
    <row r="3" spans="1:47" s="208" customFormat="1" ht="67.5" customHeight="1">
      <c r="A3" s="746"/>
      <c r="B3" s="764"/>
      <c r="C3" s="761"/>
      <c r="D3" s="761"/>
      <c r="E3" s="757"/>
      <c r="F3" s="750"/>
      <c r="G3" s="748"/>
      <c r="H3" s="748"/>
      <c r="I3" s="759"/>
      <c r="J3" s="748"/>
      <c r="K3" s="759"/>
      <c r="L3" s="748"/>
      <c r="M3" s="759"/>
      <c r="N3" s="748"/>
      <c r="O3" s="759"/>
      <c r="P3" s="778"/>
      <c r="Q3" s="779"/>
      <c r="R3" s="205" t="s">
        <v>353</v>
      </c>
      <c r="S3" s="205" t="s">
        <v>343</v>
      </c>
      <c r="T3" s="205" t="s">
        <v>344</v>
      </c>
      <c r="U3" s="205" t="s">
        <v>345</v>
      </c>
      <c r="V3" s="205" t="s">
        <v>346</v>
      </c>
      <c r="W3" s="205" t="s">
        <v>559</v>
      </c>
      <c r="X3" s="205" t="s">
        <v>347</v>
      </c>
      <c r="Y3" s="205" t="s">
        <v>348</v>
      </c>
      <c r="Z3" s="205" t="s">
        <v>349</v>
      </c>
      <c r="AA3" s="205" t="s">
        <v>350</v>
      </c>
      <c r="AB3" s="206" t="s">
        <v>451</v>
      </c>
      <c r="AC3" s="206" t="s">
        <v>248</v>
      </c>
      <c r="AD3" s="207" t="s">
        <v>450</v>
      </c>
      <c r="AE3" s="207" t="s">
        <v>248</v>
      </c>
      <c r="AF3" s="206" t="s">
        <v>452</v>
      </c>
      <c r="AG3" s="206" t="s">
        <v>248</v>
      </c>
      <c r="AH3" s="785"/>
      <c r="AI3" s="761"/>
      <c r="AJ3" s="785"/>
      <c r="AK3" s="761"/>
      <c r="AL3" s="787"/>
      <c r="AM3" s="765"/>
      <c r="AN3" s="767"/>
      <c r="AO3" s="765"/>
      <c r="AP3" s="767"/>
      <c r="AQ3" s="765"/>
      <c r="AR3" s="767"/>
      <c r="AS3" s="765"/>
      <c r="AT3" s="767"/>
      <c r="AU3" s="765"/>
    </row>
    <row r="4" spans="1:47" ht="13.5" customHeight="1">
      <c r="A4" s="209" t="s">
        <v>363</v>
      </c>
      <c r="B4" s="210"/>
      <c r="C4" s="211"/>
      <c r="D4" s="211"/>
      <c r="E4" s="212"/>
      <c r="F4" s="213"/>
      <c r="G4" s="212"/>
      <c r="H4" s="214"/>
      <c r="I4" s="215"/>
      <c r="J4" s="214"/>
      <c r="K4" s="215"/>
      <c r="L4" s="214"/>
      <c r="M4" s="215"/>
      <c r="N4" s="214"/>
      <c r="O4" s="215"/>
      <c r="P4" s="216"/>
      <c r="Q4" s="215"/>
      <c r="R4" s="217"/>
      <c r="S4" s="217"/>
      <c r="T4" s="217"/>
      <c r="U4" s="217"/>
      <c r="V4" s="217"/>
      <c r="W4" s="217"/>
      <c r="X4" s="217"/>
      <c r="Y4" s="217"/>
      <c r="Z4" s="217"/>
      <c r="AA4" s="217"/>
      <c r="AB4" s="212"/>
      <c r="AC4" s="215"/>
      <c r="AD4" s="212"/>
      <c r="AE4" s="218"/>
      <c r="AF4" s="212"/>
      <c r="AG4" s="215"/>
      <c r="AH4" s="219"/>
      <c r="AI4" s="219"/>
      <c r="AJ4" s="219"/>
      <c r="AK4" s="219"/>
      <c r="AL4" s="220"/>
      <c r="AM4" s="219"/>
      <c r="AN4" s="219"/>
      <c r="AO4" s="297"/>
      <c r="AP4" s="219"/>
      <c r="AQ4" s="219"/>
      <c r="AR4" s="219"/>
      <c r="AS4" s="219"/>
      <c r="AU4" s="550"/>
    </row>
    <row r="5" spans="1:47" ht="84" customHeight="1">
      <c r="A5" s="221" t="s">
        <v>28</v>
      </c>
      <c r="B5" s="222" t="s">
        <v>29</v>
      </c>
      <c r="C5" s="222"/>
      <c r="D5" s="222"/>
      <c r="E5" s="223" t="str">
        <f>IF(OR(AN5&gt;0.00001,AT5&gt;1),"Yes","No")</f>
        <v>No</v>
      </c>
      <c r="F5" s="222" t="s">
        <v>470</v>
      </c>
      <c r="G5" s="223" t="s">
        <v>469</v>
      </c>
      <c r="H5" s="154" t="s">
        <v>31</v>
      </c>
      <c r="I5" s="221" t="s">
        <v>31</v>
      </c>
      <c r="J5" s="154" t="s">
        <v>31</v>
      </c>
      <c r="K5" s="221" t="s">
        <v>31</v>
      </c>
      <c r="L5" s="154">
        <v>1</v>
      </c>
      <c r="M5" s="224" t="s">
        <v>1439</v>
      </c>
      <c r="N5" s="154">
        <v>5.0000000000000001E-3</v>
      </c>
      <c r="O5" s="221" t="s">
        <v>1499</v>
      </c>
      <c r="P5" s="154" t="s">
        <v>31</v>
      </c>
      <c r="Q5" s="224" t="s">
        <v>31</v>
      </c>
      <c r="R5" s="225" t="s">
        <v>351</v>
      </c>
      <c r="S5" s="225"/>
      <c r="T5" s="225"/>
      <c r="U5" s="225"/>
      <c r="V5" s="225"/>
      <c r="W5" s="225"/>
      <c r="X5" s="225"/>
      <c r="Y5" s="225"/>
      <c r="Z5" s="225"/>
      <c r="AA5" s="225"/>
      <c r="AB5" s="222">
        <v>0</v>
      </c>
      <c r="AC5" s="221" t="s">
        <v>461</v>
      </c>
      <c r="AD5" s="222">
        <v>1</v>
      </c>
      <c r="AE5" s="221" t="s">
        <v>30</v>
      </c>
      <c r="AF5" s="222">
        <v>1</v>
      </c>
      <c r="AG5" s="226" t="s">
        <v>464</v>
      </c>
      <c r="AH5" s="154"/>
      <c r="AI5" s="154" t="s">
        <v>457</v>
      </c>
      <c r="AJ5" s="154"/>
      <c r="AK5" s="154" t="s">
        <v>457</v>
      </c>
      <c r="AL5" s="227"/>
      <c r="AM5" s="154"/>
      <c r="AN5" s="228"/>
      <c r="AO5" s="228"/>
      <c r="AP5" s="154"/>
      <c r="AQ5" s="154"/>
      <c r="AR5" s="229">
        <v>26.9815</v>
      </c>
      <c r="AS5" s="230" t="s">
        <v>934</v>
      </c>
      <c r="AT5" s="223">
        <v>0</v>
      </c>
      <c r="AU5" s="222" t="s">
        <v>924</v>
      </c>
    </row>
    <row r="6" spans="1:47" ht="80">
      <c r="A6" s="221" t="s">
        <v>32</v>
      </c>
      <c r="B6" s="222" t="s">
        <v>33</v>
      </c>
      <c r="C6" s="222"/>
      <c r="D6" s="222"/>
      <c r="E6" s="223" t="str">
        <f>IF(OR(AN6&gt;0.00001,AT6&gt;1),"Yes","No")</f>
        <v>No</v>
      </c>
      <c r="F6" s="231" t="s">
        <v>532</v>
      </c>
      <c r="G6" s="223" t="s">
        <v>469</v>
      </c>
      <c r="H6" s="154" t="s">
        <v>31</v>
      </c>
      <c r="I6" s="221" t="s">
        <v>31</v>
      </c>
      <c r="J6" s="154" t="s">
        <v>31</v>
      </c>
      <c r="K6" s="232" t="s">
        <v>31</v>
      </c>
      <c r="L6" s="154">
        <v>4.0000000000000002E-4</v>
      </c>
      <c r="M6" s="233" t="s">
        <v>1438</v>
      </c>
      <c r="N6" s="154">
        <v>2.0000000000000001E-4</v>
      </c>
      <c r="O6" s="234" t="s">
        <v>1399</v>
      </c>
      <c r="P6" s="154" t="s">
        <v>31</v>
      </c>
      <c r="Q6" s="224" t="s">
        <v>31</v>
      </c>
      <c r="R6" s="225"/>
      <c r="S6" s="225" t="s">
        <v>351</v>
      </c>
      <c r="T6" s="225"/>
      <c r="U6" s="225"/>
      <c r="V6" s="225"/>
      <c r="W6" s="225"/>
      <c r="X6" s="225" t="s">
        <v>351</v>
      </c>
      <c r="Y6" s="225"/>
      <c r="Z6" s="225"/>
      <c r="AA6" s="225"/>
      <c r="AB6" s="222">
        <v>0</v>
      </c>
      <c r="AC6" s="221" t="s">
        <v>461</v>
      </c>
      <c r="AD6" s="222">
        <v>1</v>
      </c>
      <c r="AE6" s="221" t="s">
        <v>30</v>
      </c>
      <c r="AF6" s="222">
        <v>0.15</v>
      </c>
      <c r="AG6" s="226" t="s">
        <v>465</v>
      </c>
      <c r="AH6" s="154"/>
      <c r="AI6" s="154" t="s">
        <v>457</v>
      </c>
      <c r="AJ6" s="154"/>
      <c r="AK6" s="154" t="s">
        <v>457</v>
      </c>
      <c r="AL6" s="227"/>
      <c r="AM6" s="154"/>
      <c r="AN6" s="228"/>
      <c r="AO6" s="228"/>
      <c r="AP6" s="154"/>
      <c r="AQ6" s="154"/>
      <c r="AR6" s="229">
        <v>121.75</v>
      </c>
      <c r="AS6" s="230" t="s">
        <v>934</v>
      </c>
      <c r="AT6" s="223">
        <v>0</v>
      </c>
      <c r="AU6" s="222" t="s">
        <v>924</v>
      </c>
    </row>
    <row r="7" spans="1:47" ht="96">
      <c r="A7" s="221" t="s">
        <v>1306</v>
      </c>
      <c r="B7" s="222" t="s">
        <v>214</v>
      </c>
      <c r="C7" s="222"/>
      <c r="D7" s="222"/>
      <c r="E7" s="223" t="str">
        <f>IF(OR(AN7&gt;0.00001,AT7&gt;1),"Yes","No")</f>
        <v>No</v>
      </c>
      <c r="F7" s="235" t="s">
        <v>471</v>
      </c>
      <c r="G7" s="223" t="s">
        <v>472</v>
      </c>
      <c r="H7" s="236">
        <v>32</v>
      </c>
      <c r="I7" s="234" t="s">
        <v>1711</v>
      </c>
      <c r="J7" s="236">
        <v>4.3E-3</v>
      </c>
      <c r="K7" s="234" t="s">
        <v>1307</v>
      </c>
      <c r="L7" s="236">
        <v>6.0000000000000002E-5</v>
      </c>
      <c r="M7" s="233" t="s">
        <v>1574</v>
      </c>
      <c r="N7" s="154">
        <v>1.5E-5</v>
      </c>
      <c r="O7" s="234" t="s">
        <v>1626</v>
      </c>
      <c r="P7" s="154">
        <v>5.0000000000000001E-3</v>
      </c>
      <c r="Q7" s="224" t="s">
        <v>1563</v>
      </c>
      <c r="R7" s="225" t="s">
        <v>351</v>
      </c>
      <c r="S7" s="225" t="s">
        <v>351</v>
      </c>
      <c r="T7" s="225"/>
      <c r="U7" s="225"/>
      <c r="V7" s="225" t="s">
        <v>351</v>
      </c>
      <c r="W7" s="225" t="s">
        <v>351</v>
      </c>
      <c r="X7" s="225" t="s">
        <v>351</v>
      </c>
      <c r="Y7" s="225"/>
      <c r="Z7" s="225" t="s">
        <v>351</v>
      </c>
      <c r="AA7" s="225"/>
      <c r="AB7" s="222">
        <v>0.03</v>
      </c>
      <c r="AC7" s="221" t="s">
        <v>458</v>
      </c>
      <c r="AD7" s="222">
        <v>0.6</v>
      </c>
      <c r="AE7" s="221" t="s">
        <v>999</v>
      </c>
      <c r="AF7" s="222">
        <v>1</v>
      </c>
      <c r="AG7" s="226" t="s">
        <v>465</v>
      </c>
      <c r="AH7" s="154"/>
      <c r="AI7" s="154" t="s">
        <v>457</v>
      </c>
      <c r="AJ7" s="154"/>
      <c r="AK7" s="154" t="s">
        <v>457</v>
      </c>
      <c r="AL7" s="227"/>
      <c r="AM7" s="154"/>
      <c r="AN7" s="154"/>
      <c r="AO7" s="154"/>
      <c r="AP7" s="154"/>
      <c r="AQ7" s="154"/>
      <c r="AR7" s="229">
        <v>74.921599999999998</v>
      </c>
      <c r="AS7" s="230" t="s">
        <v>934</v>
      </c>
      <c r="AT7" s="223"/>
      <c r="AU7" s="223"/>
    </row>
    <row r="8" spans="1:47" s="239" customFormat="1" ht="102.65" customHeight="1">
      <c r="A8" s="221" t="s">
        <v>215</v>
      </c>
      <c r="B8" s="223" t="s">
        <v>216</v>
      </c>
      <c r="C8" s="223"/>
      <c r="D8" s="223"/>
      <c r="E8" s="223" t="str">
        <f>IF(OR(AN8&gt;0.00001,AT8&gt;1),"Yes","No")</f>
        <v>No</v>
      </c>
      <c r="F8" s="222" t="s">
        <v>473</v>
      </c>
      <c r="G8" s="223" t="s">
        <v>472</v>
      </c>
      <c r="H8" s="237" t="s">
        <v>31</v>
      </c>
      <c r="I8" s="221" t="s">
        <v>31</v>
      </c>
      <c r="J8" s="237" t="s">
        <v>31</v>
      </c>
      <c r="K8" s="221" t="s">
        <v>31</v>
      </c>
      <c r="L8" s="154">
        <v>0.2</v>
      </c>
      <c r="M8" s="233" t="s">
        <v>1440</v>
      </c>
      <c r="N8" s="236">
        <v>5.0000000000000001E-4</v>
      </c>
      <c r="O8" s="234" t="s">
        <v>821</v>
      </c>
      <c r="P8" s="154">
        <v>0.2</v>
      </c>
      <c r="Q8" s="224" t="s">
        <v>1355</v>
      </c>
      <c r="R8" s="225"/>
      <c r="S8" s="225"/>
      <c r="T8" s="225"/>
      <c r="U8" s="225" t="s">
        <v>351</v>
      </c>
      <c r="V8" s="225" t="s">
        <v>351</v>
      </c>
      <c r="W8" s="225" t="s">
        <v>351</v>
      </c>
      <c r="X8" s="225"/>
      <c r="Y8" s="225"/>
      <c r="Z8" s="225"/>
      <c r="AA8" s="225"/>
      <c r="AB8" s="223">
        <v>0</v>
      </c>
      <c r="AC8" s="221" t="s">
        <v>461</v>
      </c>
      <c r="AD8" s="223">
        <v>1</v>
      </c>
      <c r="AE8" s="232" t="s">
        <v>30</v>
      </c>
      <c r="AF8" s="223">
        <v>7.0000000000000007E-2</v>
      </c>
      <c r="AG8" s="226" t="s">
        <v>465</v>
      </c>
      <c r="AH8" s="237"/>
      <c r="AI8" s="154" t="s">
        <v>457</v>
      </c>
      <c r="AJ8" s="237"/>
      <c r="AK8" s="154" t="s">
        <v>457</v>
      </c>
      <c r="AL8" s="238"/>
      <c r="AM8" s="237"/>
      <c r="AN8" s="237"/>
      <c r="AO8" s="154"/>
      <c r="AP8" s="237"/>
      <c r="AQ8" s="237"/>
      <c r="AR8" s="229">
        <v>137.33000000000001</v>
      </c>
      <c r="AS8" s="230" t="s">
        <v>934</v>
      </c>
      <c r="AT8" s="223"/>
      <c r="AU8" s="223"/>
    </row>
    <row r="9" spans="1:47" ht="70">
      <c r="A9" s="221" t="s">
        <v>77</v>
      </c>
      <c r="B9" s="223" t="s">
        <v>78</v>
      </c>
      <c r="C9" s="223"/>
      <c r="D9" s="223"/>
      <c r="E9" s="223" t="str">
        <f t="shared" ref="E9:E34" si="0">IF(OR(AN9&gt;0.00001,AT9&gt;1),"Yes","No")</f>
        <v>No</v>
      </c>
      <c r="F9" s="222" t="s">
        <v>476</v>
      </c>
      <c r="G9" s="223" t="s">
        <v>472</v>
      </c>
      <c r="H9" s="243" t="s">
        <v>31</v>
      </c>
      <c r="I9" s="241" t="s">
        <v>31</v>
      </c>
      <c r="J9" s="237">
        <v>2.3999999999999998E-3</v>
      </c>
      <c r="K9" s="240" t="s">
        <v>1370</v>
      </c>
      <c r="L9" s="237">
        <v>2E-3</v>
      </c>
      <c r="M9" s="233" t="s">
        <v>1441</v>
      </c>
      <c r="N9" s="237">
        <v>9.9999999999999995E-7</v>
      </c>
      <c r="O9" s="221" t="s">
        <v>1308</v>
      </c>
      <c r="P9" s="154" t="s">
        <v>31</v>
      </c>
      <c r="Q9" s="224" t="s">
        <v>31</v>
      </c>
      <c r="R9" s="225"/>
      <c r="S9" s="225"/>
      <c r="T9" s="225" t="s">
        <v>351</v>
      </c>
      <c r="U9" s="225"/>
      <c r="V9" s="225" t="s">
        <v>351</v>
      </c>
      <c r="W9" s="225"/>
      <c r="X9" s="225"/>
      <c r="Y9" s="225"/>
      <c r="Z9" s="225"/>
      <c r="AA9" s="225"/>
      <c r="AB9" s="223">
        <v>0</v>
      </c>
      <c r="AC9" s="221" t="s">
        <v>461</v>
      </c>
      <c r="AD9" s="223">
        <v>1</v>
      </c>
      <c r="AE9" s="232" t="s">
        <v>30</v>
      </c>
      <c r="AF9" s="223">
        <v>7.0000000000000001E-3</v>
      </c>
      <c r="AG9" s="226" t="s">
        <v>465</v>
      </c>
      <c r="AH9" s="237"/>
      <c r="AI9" s="154" t="s">
        <v>457</v>
      </c>
      <c r="AJ9" s="237"/>
      <c r="AK9" s="154" t="s">
        <v>457</v>
      </c>
      <c r="AL9" s="238"/>
      <c r="AM9" s="237"/>
      <c r="AN9" s="237"/>
      <c r="AO9" s="154"/>
      <c r="AP9" s="237"/>
      <c r="AQ9" s="237"/>
      <c r="AR9" s="229">
        <v>9.01</v>
      </c>
      <c r="AS9" s="230" t="s">
        <v>934</v>
      </c>
      <c r="AT9" s="223">
        <v>0</v>
      </c>
      <c r="AU9" s="222" t="s">
        <v>924</v>
      </c>
    </row>
    <row r="10" spans="1:47" ht="120">
      <c r="A10" s="241" t="s">
        <v>50</v>
      </c>
      <c r="B10" s="242" t="s">
        <v>51</v>
      </c>
      <c r="C10" s="242"/>
      <c r="D10" s="242"/>
      <c r="E10" s="223" t="str">
        <f t="shared" si="0"/>
        <v>No</v>
      </c>
      <c r="F10" s="222" t="s">
        <v>470</v>
      </c>
      <c r="G10" s="223" t="s">
        <v>472</v>
      </c>
      <c r="H10" s="243" t="s">
        <v>31</v>
      </c>
      <c r="I10" s="241" t="s">
        <v>31</v>
      </c>
      <c r="J10" s="243" t="s">
        <v>31</v>
      </c>
      <c r="K10" s="241" t="s">
        <v>31</v>
      </c>
      <c r="L10" s="243">
        <v>0.2</v>
      </c>
      <c r="M10" s="244" t="s">
        <v>1442</v>
      </c>
      <c r="N10" s="243">
        <v>0.02</v>
      </c>
      <c r="O10" s="241" t="s">
        <v>1500</v>
      </c>
      <c r="P10" s="154" t="s">
        <v>31</v>
      </c>
      <c r="Q10" s="224" t="s">
        <v>31</v>
      </c>
      <c r="R10" s="245"/>
      <c r="S10" s="245"/>
      <c r="T10" s="245"/>
      <c r="U10" s="245"/>
      <c r="V10" s="245"/>
      <c r="W10" s="245" t="s">
        <v>351</v>
      </c>
      <c r="X10" s="245" t="s">
        <v>351</v>
      </c>
      <c r="Y10" s="245"/>
      <c r="Z10" s="245"/>
      <c r="AA10" s="245"/>
      <c r="AB10" s="242">
        <v>0</v>
      </c>
      <c r="AC10" s="221" t="s">
        <v>461</v>
      </c>
      <c r="AD10" s="242">
        <v>1</v>
      </c>
      <c r="AE10" s="246" t="s">
        <v>30</v>
      </c>
      <c r="AF10" s="242">
        <v>1</v>
      </c>
      <c r="AG10" s="226" t="s">
        <v>464</v>
      </c>
      <c r="AH10" s="243"/>
      <c r="AI10" s="154" t="s">
        <v>457</v>
      </c>
      <c r="AJ10" s="243"/>
      <c r="AK10" s="154" t="s">
        <v>457</v>
      </c>
      <c r="AL10" s="247"/>
      <c r="AM10" s="243"/>
      <c r="AN10" s="237"/>
      <c r="AO10" s="154"/>
      <c r="AP10" s="243"/>
      <c r="AQ10" s="243"/>
      <c r="AR10" s="229">
        <v>13.84</v>
      </c>
      <c r="AS10" s="230" t="s">
        <v>934</v>
      </c>
      <c r="AT10" s="223"/>
      <c r="AU10" s="223"/>
    </row>
    <row r="11" spans="1:47" ht="110">
      <c r="A11" s="221" t="s">
        <v>52</v>
      </c>
      <c r="B11" s="223" t="s">
        <v>53</v>
      </c>
      <c r="C11" s="223"/>
      <c r="D11" s="223"/>
      <c r="E11" s="223" t="str">
        <f t="shared" si="0"/>
        <v>No</v>
      </c>
      <c r="F11" s="222" t="s">
        <v>476</v>
      </c>
      <c r="G11" s="223" t="s">
        <v>472</v>
      </c>
      <c r="H11" s="237" t="s">
        <v>31</v>
      </c>
      <c r="I11" s="221" t="s">
        <v>31</v>
      </c>
      <c r="J11" s="237">
        <v>1.8E-3</v>
      </c>
      <c r="K11" s="240" t="s">
        <v>1309</v>
      </c>
      <c r="L11" s="237">
        <v>1.1E-4</v>
      </c>
      <c r="M11" s="224" t="s">
        <v>1541</v>
      </c>
      <c r="N11" s="237">
        <v>1.0000000000000001E-5</v>
      </c>
      <c r="O11" s="221" t="s">
        <v>1502</v>
      </c>
      <c r="P11" s="154">
        <v>7.0000000000000001E-3</v>
      </c>
      <c r="Q11" s="224" t="s">
        <v>1354</v>
      </c>
      <c r="R11" s="225"/>
      <c r="S11" s="225"/>
      <c r="T11" s="225"/>
      <c r="U11" s="225" t="s">
        <v>351</v>
      </c>
      <c r="V11" s="225" t="s">
        <v>351</v>
      </c>
      <c r="W11" s="225"/>
      <c r="X11" s="225"/>
      <c r="Y11" s="225" t="s">
        <v>351</v>
      </c>
      <c r="Z11" s="225"/>
      <c r="AA11" s="225"/>
      <c r="AB11" s="223">
        <v>1E-3</v>
      </c>
      <c r="AC11" s="221" t="s">
        <v>458</v>
      </c>
      <c r="AD11" s="223">
        <v>1</v>
      </c>
      <c r="AE11" s="221" t="s">
        <v>30</v>
      </c>
      <c r="AF11" s="223">
        <v>2.5000000000000001E-2</v>
      </c>
      <c r="AG11" s="226" t="s">
        <v>465</v>
      </c>
      <c r="AH11" s="237"/>
      <c r="AI11" s="154" t="s">
        <v>457</v>
      </c>
      <c r="AJ11" s="237"/>
      <c r="AK11" s="154" t="s">
        <v>457</v>
      </c>
      <c r="AL11" s="238"/>
      <c r="AM11" s="237"/>
      <c r="AN11" s="237"/>
      <c r="AO11" s="154"/>
      <c r="AP11" s="237"/>
      <c r="AQ11" s="237"/>
      <c r="AR11" s="229">
        <v>112.41</v>
      </c>
      <c r="AS11" s="230" t="s">
        <v>934</v>
      </c>
      <c r="AT11" s="223">
        <v>0</v>
      </c>
      <c r="AU11" s="222" t="s">
        <v>924</v>
      </c>
    </row>
    <row r="12" spans="1:47" ht="72">
      <c r="A12" s="221" t="s">
        <v>83</v>
      </c>
      <c r="B12" s="223" t="s">
        <v>84</v>
      </c>
      <c r="C12" s="223"/>
      <c r="D12" s="223"/>
      <c r="E12" s="223" t="str">
        <f t="shared" si="0"/>
        <v>No</v>
      </c>
      <c r="F12" s="222" t="s">
        <v>477</v>
      </c>
      <c r="G12" s="223" t="s">
        <v>472</v>
      </c>
      <c r="H12" s="237" t="s">
        <v>31</v>
      </c>
      <c r="I12" s="221" t="s">
        <v>31</v>
      </c>
      <c r="J12" s="237" t="s">
        <v>31</v>
      </c>
      <c r="K12" s="221" t="s">
        <v>31</v>
      </c>
      <c r="L12" s="237">
        <v>1.5</v>
      </c>
      <c r="M12" s="233" t="s">
        <v>1443</v>
      </c>
      <c r="N12" s="237" t="s">
        <v>31</v>
      </c>
      <c r="O12" s="221" t="s">
        <v>31</v>
      </c>
      <c r="P12" s="154" t="s">
        <v>31</v>
      </c>
      <c r="Q12" s="224" t="s">
        <v>31</v>
      </c>
      <c r="R12" s="225"/>
      <c r="S12" s="225"/>
      <c r="T12" s="225"/>
      <c r="U12" s="225"/>
      <c r="V12" s="225"/>
      <c r="W12" s="225"/>
      <c r="X12" s="225"/>
      <c r="Y12" s="225"/>
      <c r="Z12" s="225"/>
      <c r="AA12" s="225"/>
      <c r="AB12" s="223">
        <v>0</v>
      </c>
      <c r="AC12" s="221" t="s">
        <v>461</v>
      </c>
      <c r="AD12" s="223">
        <v>1</v>
      </c>
      <c r="AE12" s="232" t="s">
        <v>30</v>
      </c>
      <c r="AF12" s="223">
        <v>1.2999999999999999E-2</v>
      </c>
      <c r="AG12" s="226" t="s">
        <v>465</v>
      </c>
      <c r="AH12" s="237"/>
      <c r="AI12" s="154" t="s">
        <v>457</v>
      </c>
      <c r="AJ12" s="237"/>
      <c r="AK12" s="154" t="s">
        <v>457</v>
      </c>
      <c r="AL12" s="238"/>
      <c r="AM12" s="237"/>
      <c r="AN12" s="237"/>
      <c r="AO12" s="154"/>
      <c r="AP12" s="237"/>
      <c r="AQ12" s="237"/>
      <c r="AR12" s="229">
        <v>52</v>
      </c>
      <c r="AS12" s="230" t="s">
        <v>934</v>
      </c>
      <c r="AT12" s="223"/>
      <c r="AU12" s="223"/>
    </row>
    <row r="13" spans="1:47" ht="84.65" customHeight="1">
      <c r="A13" s="221" t="s">
        <v>69</v>
      </c>
      <c r="B13" s="223" t="s">
        <v>72</v>
      </c>
      <c r="C13" s="721"/>
      <c r="D13" s="223" t="s">
        <v>76</v>
      </c>
      <c r="E13" s="223" t="str">
        <f t="shared" si="0"/>
        <v>No</v>
      </c>
      <c r="F13" s="231" t="s">
        <v>1310</v>
      </c>
      <c r="G13" s="223" t="s">
        <v>472</v>
      </c>
      <c r="H13" s="237">
        <v>0.16</v>
      </c>
      <c r="I13" s="248" t="s">
        <v>1721</v>
      </c>
      <c r="J13" s="154">
        <v>1.0999999999999999E-2</v>
      </c>
      <c r="K13" s="240" t="s">
        <v>1722</v>
      </c>
      <c r="L13" s="237">
        <v>8.9999999999999998E-4</v>
      </c>
      <c r="M13" s="233" t="s">
        <v>1380</v>
      </c>
      <c r="N13" s="237">
        <v>3.0000000000000001E-5</v>
      </c>
      <c r="O13" s="234" t="s">
        <v>1501</v>
      </c>
      <c r="P13" s="154" t="s">
        <v>31</v>
      </c>
      <c r="Q13" s="224" t="s">
        <v>31</v>
      </c>
      <c r="R13" s="225"/>
      <c r="S13" s="225"/>
      <c r="T13" s="225"/>
      <c r="U13" s="225"/>
      <c r="V13" s="225" t="s">
        <v>351</v>
      </c>
      <c r="W13" s="225"/>
      <c r="X13" s="225" t="s">
        <v>351</v>
      </c>
      <c r="Y13" s="225"/>
      <c r="Z13" s="225"/>
      <c r="AA13" s="225"/>
      <c r="AB13" s="223">
        <v>0</v>
      </c>
      <c r="AC13" s="221" t="s">
        <v>461</v>
      </c>
      <c r="AD13" s="223">
        <v>1</v>
      </c>
      <c r="AE13" s="232" t="s">
        <v>30</v>
      </c>
      <c r="AF13" s="223">
        <v>2.5000000000000001E-2</v>
      </c>
      <c r="AG13" s="226" t="s">
        <v>465</v>
      </c>
      <c r="AH13" s="237"/>
      <c r="AI13" s="154" t="s">
        <v>457</v>
      </c>
      <c r="AJ13" s="237"/>
      <c r="AK13" s="154" t="s">
        <v>457</v>
      </c>
      <c r="AL13" s="238"/>
      <c r="AM13" s="237"/>
      <c r="AN13" s="237"/>
      <c r="AO13" s="154"/>
      <c r="AP13" s="237">
        <v>1690000</v>
      </c>
      <c r="AQ13" s="237" t="s">
        <v>934</v>
      </c>
      <c r="AR13" s="229">
        <v>52</v>
      </c>
      <c r="AS13" s="230" t="s">
        <v>934</v>
      </c>
      <c r="AT13" s="223"/>
      <c r="AU13" s="223"/>
    </row>
    <row r="14" spans="1:47" ht="62">
      <c r="A14" s="221" t="s">
        <v>168</v>
      </c>
      <c r="B14" s="222" t="s">
        <v>169</v>
      </c>
      <c r="C14" s="222"/>
      <c r="D14" s="222"/>
      <c r="E14" s="223" t="str">
        <f t="shared" si="0"/>
        <v>No</v>
      </c>
      <c r="F14" s="231" t="s">
        <v>1067</v>
      </c>
      <c r="G14" s="223" t="s">
        <v>469</v>
      </c>
      <c r="H14" s="154" t="s">
        <v>31</v>
      </c>
      <c r="I14" s="221" t="s">
        <v>31</v>
      </c>
      <c r="J14" s="154">
        <v>8.9999999999999993E-3</v>
      </c>
      <c r="K14" s="234" t="s">
        <v>1435</v>
      </c>
      <c r="L14" s="154">
        <v>2.9999999999999997E-4</v>
      </c>
      <c r="M14" s="233" t="s">
        <v>1444</v>
      </c>
      <c r="N14" s="154">
        <v>6.0000000000000002E-6</v>
      </c>
      <c r="O14" s="234" t="s">
        <v>1719</v>
      </c>
      <c r="P14" s="154" t="s">
        <v>31</v>
      </c>
      <c r="Q14" s="224" t="s">
        <v>31</v>
      </c>
      <c r="R14" s="225"/>
      <c r="S14" s="225"/>
      <c r="T14" s="225"/>
      <c r="U14" s="225"/>
      <c r="V14" s="225"/>
      <c r="W14" s="225"/>
      <c r="X14" s="225" t="s">
        <v>351</v>
      </c>
      <c r="Y14" s="225"/>
      <c r="Z14" s="225"/>
      <c r="AA14" s="225" t="s">
        <v>351</v>
      </c>
      <c r="AB14" s="223">
        <v>0</v>
      </c>
      <c r="AC14" s="221" t="s">
        <v>461</v>
      </c>
      <c r="AD14" s="222">
        <v>1</v>
      </c>
      <c r="AE14" s="221" t="s">
        <v>30</v>
      </c>
      <c r="AF14" s="222">
        <v>1</v>
      </c>
      <c r="AG14" s="226" t="s">
        <v>464</v>
      </c>
      <c r="AH14" s="154"/>
      <c r="AI14" s="154" t="s">
        <v>457</v>
      </c>
      <c r="AJ14" s="154"/>
      <c r="AK14" s="154" t="s">
        <v>457</v>
      </c>
      <c r="AL14" s="227"/>
      <c r="AM14" s="154"/>
      <c r="AN14" s="237"/>
      <c r="AO14" s="154"/>
      <c r="AP14" s="154"/>
      <c r="AQ14" s="154"/>
      <c r="AR14" s="229">
        <v>58.93</v>
      </c>
      <c r="AS14" s="230" t="s">
        <v>934</v>
      </c>
      <c r="AT14" s="223">
        <v>0</v>
      </c>
      <c r="AU14" s="222" t="s">
        <v>924</v>
      </c>
    </row>
    <row r="15" spans="1:47" ht="100">
      <c r="A15" s="221" t="s">
        <v>170</v>
      </c>
      <c r="B15" s="223" t="s">
        <v>171</v>
      </c>
      <c r="C15" s="223"/>
      <c r="D15" s="223"/>
      <c r="E15" s="223" t="str">
        <f t="shared" si="0"/>
        <v>No</v>
      </c>
      <c r="F15" s="222" t="s">
        <v>477</v>
      </c>
      <c r="G15" s="223" t="s">
        <v>472</v>
      </c>
      <c r="H15" s="237" t="s">
        <v>31</v>
      </c>
      <c r="I15" s="221" t="s">
        <v>31</v>
      </c>
      <c r="J15" s="237" t="s">
        <v>31</v>
      </c>
      <c r="K15" s="221" t="s">
        <v>31</v>
      </c>
      <c r="L15" s="236">
        <v>0.14199999999999999</v>
      </c>
      <c r="M15" s="233" t="s">
        <v>1592</v>
      </c>
      <c r="N15" s="237" t="s">
        <v>31</v>
      </c>
      <c r="O15" s="221" t="s">
        <v>31</v>
      </c>
      <c r="P15" s="694">
        <v>0.14199999999999999</v>
      </c>
      <c r="Q15" s="233" t="s">
        <v>1564</v>
      </c>
      <c r="R15" s="225"/>
      <c r="S15" s="225"/>
      <c r="T15" s="225"/>
      <c r="U15" s="225"/>
      <c r="V15" s="225" t="s">
        <v>351</v>
      </c>
      <c r="W15" s="225"/>
      <c r="X15" s="225"/>
      <c r="Y15" s="225"/>
      <c r="Z15" s="225"/>
      <c r="AA15" s="225"/>
      <c r="AB15" s="223">
        <v>0</v>
      </c>
      <c r="AC15" s="221" t="s">
        <v>461</v>
      </c>
      <c r="AD15" s="223">
        <v>1</v>
      </c>
      <c r="AE15" s="232" t="s">
        <v>30</v>
      </c>
      <c r="AF15" s="223">
        <v>1</v>
      </c>
      <c r="AG15" s="226" t="s">
        <v>464</v>
      </c>
      <c r="AH15" s="237"/>
      <c r="AI15" s="154" t="s">
        <v>457</v>
      </c>
      <c r="AJ15" s="237"/>
      <c r="AK15" s="154" t="s">
        <v>457</v>
      </c>
      <c r="AL15" s="238"/>
      <c r="AM15" s="237"/>
      <c r="AN15" s="237"/>
      <c r="AO15" s="154"/>
      <c r="AP15" s="237"/>
      <c r="AQ15" s="237"/>
      <c r="AR15" s="229">
        <v>63.55</v>
      </c>
      <c r="AS15" s="230" t="s">
        <v>934</v>
      </c>
      <c r="AT15" s="223">
        <v>0</v>
      </c>
      <c r="AU15" s="222" t="s">
        <v>924</v>
      </c>
    </row>
    <row r="16" spans="1:47" ht="70">
      <c r="A16" s="226" t="s">
        <v>172</v>
      </c>
      <c r="B16" s="249" t="s">
        <v>173</v>
      </c>
      <c r="C16" s="249"/>
      <c r="D16" s="249"/>
      <c r="E16" s="223" t="str">
        <f t="shared" si="0"/>
        <v>No</v>
      </c>
      <c r="F16" s="222" t="s">
        <v>478</v>
      </c>
      <c r="G16" s="223" t="s">
        <v>472</v>
      </c>
      <c r="H16" s="250" t="s">
        <v>31</v>
      </c>
      <c r="I16" s="226" t="s">
        <v>31</v>
      </c>
      <c r="J16" s="250" t="s">
        <v>31</v>
      </c>
      <c r="K16" s="226" t="s">
        <v>31</v>
      </c>
      <c r="L16" s="251">
        <v>5.0000000000000001E-3</v>
      </c>
      <c r="M16" s="233" t="s">
        <v>1445</v>
      </c>
      <c r="N16" s="250" t="s">
        <v>31</v>
      </c>
      <c r="O16" s="226" t="s">
        <v>31</v>
      </c>
      <c r="P16" s="251" t="s">
        <v>31</v>
      </c>
      <c r="Q16" s="344" t="s">
        <v>31</v>
      </c>
      <c r="R16" s="252"/>
      <c r="S16" s="252"/>
      <c r="T16" s="252"/>
      <c r="U16" s="252" t="s">
        <v>351</v>
      </c>
      <c r="V16" s="252" t="s">
        <v>351</v>
      </c>
      <c r="W16" s="252"/>
      <c r="X16" s="252"/>
      <c r="Y16" s="252"/>
      <c r="Z16" s="252"/>
      <c r="AA16" s="252"/>
      <c r="AB16" s="223">
        <v>0</v>
      </c>
      <c r="AC16" s="221" t="s">
        <v>461</v>
      </c>
      <c r="AD16" s="249">
        <v>1</v>
      </c>
      <c r="AE16" s="253" t="s">
        <v>30</v>
      </c>
      <c r="AF16" s="249">
        <v>1</v>
      </c>
      <c r="AG16" s="226" t="s">
        <v>464</v>
      </c>
      <c r="AH16" s="250"/>
      <c r="AI16" s="154" t="s">
        <v>457</v>
      </c>
      <c r="AJ16" s="250"/>
      <c r="AK16" s="154" t="s">
        <v>457</v>
      </c>
      <c r="AL16" s="254"/>
      <c r="AM16" s="250"/>
      <c r="AN16" s="250"/>
      <c r="AO16" s="251"/>
      <c r="AP16" s="250"/>
      <c r="AQ16" s="250"/>
      <c r="AR16" s="229">
        <v>89.56</v>
      </c>
      <c r="AS16" s="230" t="s">
        <v>934</v>
      </c>
      <c r="AT16" s="223"/>
      <c r="AU16" s="223"/>
    </row>
    <row r="17" spans="1:47" ht="70">
      <c r="A17" s="226" t="s">
        <v>94</v>
      </c>
      <c r="B17" s="249" t="s">
        <v>95</v>
      </c>
      <c r="C17" s="249"/>
      <c r="D17" s="249"/>
      <c r="E17" s="223" t="str">
        <f t="shared" si="0"/>
        <v>Yes</v>
      </c>
      <c r="F17" s="222" t="s">
        <v>479</v>
      </c>
      <c r="G17" s="223" t="s">
        <v>472</v>
      </c>
      <c r="H17" s="250" t="s">
        <v>31</v>
      </c>
      <c r="I17" s="226" t="s">
        <v>31</v>
      </c>
      <c r="J17" s="250" t="s">
        <v>31</v>
      </c>
      <c r="K17" s="221" t="s">
        <v>31</v>
      </c>
      <c r="L17" s="250">
        <v>5.9999999999999995E-4</v>
      </c>
      <c r="M17" s="233" t="s">
        <v>1446</v>
      </c>
      <c r="N17" s="249" t="s">
        <v>31</v>
      </c>
      <c r="O17" s="253" t="s">
        <v>31</v>
      </c>
      <c r="P17" s="255">
        <v>5.5999999999999999E-3</v>
      </c>
      <c r="Q17" s="224" t="s">
        <v>595</v>
      </c>
      <c r="R17" s="252"/>
      <c r="S17" s="252"/>
      <c r="T17" s="252"/>
      <c r="U17" s="252"/>
      <c r="V17" s="252"/>
      <c r="W17" s="252" t="s">
        <v>351</v>
      </c>
      <c r="X17" s="252"/>
      <c r="Y17" s="252"/>
      <c r="Z17" s="252"/>
      <c r="AA17" s="252"/>
      <c r="AB17" s="249">
        <v>0</v>
      </c>
      <c r="AC17" s="221" t="s">
        <v>461</v>
      </c>
      <c r="AD17" s="249">
        <v>1</v>
      </c>
      <c r="AE17" s="253" t="s">
        <v>30</v>
      </c>
      <c r="AF17" s="249">
        <v>1</v>
      </c>
      <c r="AG17" s="226" t="s">
        <v>464</v>
      </c>
      <c r="AH17" s="250">
        <v>0.2109549</v>
      </c>
      <c r="AI17" s="250" t="s">
        <v>456</v>
      </c>
      <c r="AJ17" s="250">
        <v>2.4640000000000001E-5</v>
      </c>
      <c r="AK17" s="250" t="s">
        <v>456</v>
      </c>
      <c r="AL17" s="256">
        <v>2.8410000000000002</v>
      </c>
      <c r="AM17" s="230" t="s">
        <v>934</v>
      </c>
      <c r="AN17" s="250">
        <v>1.01E-4</v>
      </c>
      <c r="AO17" s="251" t="s">
        <v>923</v>
      </c>
      <c r="AP17" s="250">
        <v>1000000</v>
      </c>
      <c r="AQ17" s="237" t="s">
        <v>934</v>
      </c>
      <c r="AR17" s="229">
        <v>27.03</v>
      </c>
      <c r="AS17" s="230" t="s">
        <v>934</v>
      </c>
      <c r="AT17" s="237">
        <v>308</v>
      </c>
      <c r="AU17" s="222" t="s">
        <v>925</v>
      </c>
    </row>
    <row r="18" spans="1:47" ht="64">
      <c r="A18" s="226" t="s">
        <v>97</v>
      </c>
      <c r="B18" s="249" t="s">
        <v>98</v>
      </c>
      <c r="C18" s="249"/>
      <c r="D18" s="249"/>
      <c r="E18" s="223" t="str">
        <f t="shared" si="0"/>
        <v>No</v>
      </c>
      <c r="F18" s="222" t="s">
        <v>480</v>
      </c>
      <c r="G18" s="223" t="s">
        <v>472</v>
      </c>
      <c r="H18" s="237" t="s">
        <v>31</v>
      </c>
      <c r="I18" s="226" t="s">
        <v>31</v>
      </c>
      <c r="J18" s="250" t="s">
        <v>31</v>
      </c>
      <c r="K18" s="226" t="s">
        <v>31</v>
      </c>
      <c r="L18" s="251">
        <v>0.06</v>
      </c>
      <c r="M18" s="233" t="s">
        <v>1447</v>
      </c>
      <c r="N18" s="250">
        <v>1.2999999999999999E-2</v>
      </c>
      <c r="O18" s="234" t="s">
        <v>1692</v>
      </c>
      <c r="P18" s="255">
        <v>0.5</v>
      </c>
      <c r="Q18" s="224" t="s">
        <v>594</v>
      </c>
      <c r="R18" s="252"/>
      <c r="S18" s="252"/>
      <c r="T18" s="252"/>
      <c r="U18" s="252"/>
      <c r="V18" s="252" t="s">
        <v>351</v>
      </c>
      <c r="W18" s="252"/>
      <c r="X18" s="252"/>
      <c r="Y18" s="252" t="s">
        <v>351</v>
      </c>
      <c r="Z18" s="252"/>
      <c r="AA18" s="252"/>
      <c r="AB18" s="249">
        <v>0</v>
      </c>
      <c r="AC18" s="221" t="s">
        <v>461</v>
      </c>
      <c r="AD18" s="249">
        <v>1</v>
      </c>
      <c r="AE18" s="226" t="s">
        <v>30</v>
      </c>
      <c r="AF18" s="249">
        <v>1</v>
      </c>
      <c r="AG18" s="226" t="s">
        <v>464</v>
      </c>
      <c r="AH18" s="249"/>
      <c r="AI18" s="154" t="s">
        <v>457</v>
      </c>
      <c r="AJ18" s="249"/>
      <c r="AK18" s="154" t="s">
        <v>457</v>
      </c>
      <c r="AL18" s="254"/>
      <c r="AM18" s="250"/>
      <c r="AN18" s="237"/>
      <c r="AO18" s="154"/>
      <c r="AP18" s="250">
        <v>1.69</v>
      </c>
      <c r="AQ18" s="237" t="s">
        <v>934</v>
      </c>
      <c r="AR18" s="229">
        <v>38</v>
      </c>
      <c r="AS18" s="230" t="s">
        <v>934</v>
      </c>
      <c r="AT18" s="223"/>
      <c r="AU18" s="223"/>
    </row>
    <row r="19" spans="1:47" ht="50">
      <c r="A19" s="221" t="s">
        <v>105</v>
      </c>
      <c r="B19" s="223" t="s">
        <v>106</v>
      </c>
      <c r="C19" s="223"/>
      <c r="D19" s="223"/>
      <c r="E19" s="223" t="str">
        <f t="shared" si="0"/>
        <v>No</v>
      </c>
      <c r="F19" s="222" t="s">
        <v>470</v>
      </c>
      <c r="G19" s="223" t="s">
        <v>469</v>
      </c>
      <c r="H19" s="237" t="s">
        <v>31</v>
      </c>
      <c r="I19" s="221" t="s">
        <v>31</v>
      </c>
      <c r="J19" s="237" t="s">
        <v>31</v>
      </c>
      <c r="K19" s="221" t="s">
        <v>31</v>
      </c>
      <c r="L19" s="237">
        <v>0.7</v>
      </c>
      <c r="M19" s="233" t="s">
        <v>1448</v>
      </c>
      <c r="N19" s="237" t="s">
        <v>31</v>
      </c>
      <c r="O19" s="221" t="s">
        <v>31</v>
      </c>
      <c r="P19" s="154" t="s">
        <v>31</v>
      </c>
      <c r="Q19" s="224" t="s">
        <v>31</v>
      </c>
      <c r="R19" s="225"/>
      <c r="S19" s="225"/>
      <c r="T19" s="225"/>
      <c r="U19" s="225"/>
      <c r="V19" s="225" t="s">
        <v>351</v>
      </c>
      <c r="W19" s="225"/>
      <c r="X19" s="225"/>
      <c r="Y19" s="225"/>
      <c r="Z19" s="225"/>
      <c r="AA19" s="225"/>
      <c r="AB19" s="223">
        <v>0</v>
      </c>
      <c r="AC19" s="221" t="s">
        <v>461</v>
      </c>
      <c r="AD19" s="249">
        <v>1</v>
      </c>
      <c r="AE19" s="253" t="s">
        <v>30</v>
      </c>
      <c r="AF19" s="223">
        <v>1</v>
      </c>
      <c r="AG19" s="226" t="s">
        <v>464</v>
      </c>
      <c r="AH19" s="237"/>
      <c r="AI19" s="154" t="s">
        <v>457</v>
      </c>
      <c r="AJ19" s="237"/>
      <c r="AK19" s="154" t="s">
        <v>457</v>
      </c>
      <c r="AL19" s="238"/>
      <c r="AM19" s="237"/>
      <c r="AN19" s="237"/>
      <c r="AO19" s="154"/>
      <c r="AP19" s="237"/>
      <c r="AQ19" s="237"/>
      <c r="AR19" s="229">
        <v>55.85</v>
      </c>
      <c r="AS19" s="230" t="s">
        <v>934</v>
      </c>
      <c r="AT19" s="223">
        <v>0</v>
      </c>
      <c r="AU19" s="222" t="s">
        <v>924</v>
      </c>
    </row>
    <row r="20" spans="1:47" ht="40">
      <c r="A20" s="221" t="s">
        <v>107</v>
      </c>
      <c r="B20" s="223" t="s">
        <v>108</v>
      </c>
      <c r="C20" s="223"/>
      <c r="D20" s="223"/>
      <c r="E20" s="223" t="str">
        <f t="shared" si="0"/>
        <v>No</v>
      </c>
      <c r="F20" s="222" t="s">
        <v>518</v>
      </c>
      <c r="G20" s="223" t="s">
        <v>472</v>
      </c>
      <c r="H20" s="237" t="s">
        <v>31</v>
      </c>
      <c r="I20" s="221" t="s">
        <v>31</v>
      </c>
      <c r="J20" s="237" t="s">
        <v>31</v>
      </c>
      <c r="K20" s="221" t="s">
        <v>31</v>
      </c>
      <c r="L20" s="237" t="s">
        <v>31</v>
      </c>
      <c r="M20" s="224" t="s">
        <v>244</v>
      </c>
      <c r="N20" s="237" t="s">
        <v>31</v>
      </c>
      <c r="O20" s="221" t="s">
        <v>31</v>
      </c>
      <c r="P20" s="154" t="s">
        <v>31</v>
      </c>
      <c r="Q20" s="224" t="s">
        <v>31</v>
      </c>
      <c r="R20" s="225"/>
      <c r="S20" s="225"/>
      <c r="T20" s="225"/>
      <c r="U20" s="225"/>
      <c r="V20" s="225"/>
      <c r="W20" s="225"/>
      <c r="X20" s="225"/>
      <c r="Y20" s="225"/>
      <c r="Z20" s="225"/>
      <c r="AA20" s="225"/>
      <c r="AB20" s="780" t="s">
        <v>455</v>
      </c>
      <c r="AC20" s="781"/>
      <c r="AD20" s="781"/>
      <c r="AE20" s="781"/>
      <c r="AF20" s="781"/>
      <c r="AG20" s="782"/>
      <c r="AH20" s="237"/>
      <c r="AI20" s="154"/>
      <c r="AJ20" s="237"/>
      <c r="AK20" s="154"/>
      <c r="AL20" s="238"/>
      <c r="AM20" s="237"/>
      <c r="AN20" s="237"/>
      <c r="AO20" s="154"/>
      <c r="AP20" s="237"/>
      <c r="AQ20" s="237"/>
      <c r="AR20" s="229">
        <v>207.2</v>
      </c>
      <c r="AS20" s="230" t="s">
        <v>934</v>
      </c>
      <c r="AT20" s="223"/>
      <c r="AU20" s="223"/>
    </row>
    <row r="21" spans="1:47" ht="90">
      <c r="A21" s="221" t="s">
        <v>109</v>
      </c>
      <c r="B21" s="223" t="s">
        <v>110</v>
      </c>
      <c r="C21" s="223"/>
      <c r="D21" s="223"/>
      <c r="E21" s="223" t="str">
        <f t="shared" si="0"/>
        <v>No</v>
      </c>
      <c r="F21" s="231" t="s">
        <v>481</v>
      </c>
      <c r="G21" s="223" t="s">
        <v>469</v>
      </c>
      <c r="H21" s="237" t="s">
        <v>31</v>
      </c>
      <c r="I21" s="221" t="s">
        <v>31</v>
      </c>
      <c r="J21" s="237" t="s">
        <v>31</v>
      </c>
      <c r="K21" s="221" t="s">
        <v>31</v>
      </c>
      <c r="L21" s="237">
        <v>2E-3</v>
      </c>
      <c r="M21" s="233" t="s">
        <v>1449</v>
      </c>
      <c r="N21" s="237" t="s">
        <v>31</v>
      </c>
      <c r="O21" s="221" t="s">
        <v>31</v>
      </c>
      <c r="P21" s="154" t="s">
        <v>31</v>
      </c>
      <c r="Q21" s="224" t="s">
        <v>31</v>
      </c>
      <c r="R21" s="225" t="s">
        <v>351</v>
      </c>
      <c r="S21" s="225" t="s">
        <v>351</v>
      </c>
      <c r="T21" s="225"/>
      <c r="U21" s="225" t="s">
        <v>351</v>
      </c>
      <c r="V21" s="225"/>
      <c r="W21" s="225" t="s">
        <v>351</v>
      </c>
      <c r="X21" s="225"/>
      <c r="Y21" s="225"/>
      <c r="Z21" s="225"/>
      <c r="AA21" s="225"/>
      <c r="AB21" s="223">
        <v>0</v>
      </c>
      <c r="AC21" s="221" t="s">
        <v>461</v>
      </c>
      <c r="AD21" s="223">
        <v>1</v>
      </c>
      <c r="AE21" s="232" t="s">
        <v>30</v>
      </c>
      <c r="AF21" s="223">
        <v>1</v>
      </c>
      <c r="AG21" s="226" t="s">
        <v>464</v>
      </c>
      <c r="AH21" s="237"/>
      <c r="AI21" s="154" t="s">
        <v>457</v>
      </c>
      <c r="AJ21" s="237"/>
      <c r="AK21" s="154" t="s">
        <v>457</v>
      </c>
      <c r="AL21" s="238"/>
      <c r="AM21" s="237"/>
      <c r="AN21" s="237"/>
      <c r="AO21" s="154"/>
      <c r="AP21" s="237"/>
      <c r="AQ21" s="237"/>
      <c r="AR21" s="229">
        <v>6.94</v>
      </c>
      <c r="AS21" s="230" t="s">
        <v>934</v>
      </c>
      <c r="AT21" s="223"/>
      <c r="AU21" s="223"/>
    </row>
    <row r="22" spans="1:47" ht="100">
      <c r="A22" s="221" t="s">
        <v>111</v>
      </c>
      <c r="B22" s="223" t="s">
        <v>112</v>
      </c>
      <c r="C22" s="223"/>
      <c r="D22" s="223"/>
      <c r="E22" s="223" t="str">
        <f t="shared" si="0"/>
        <v>No</v>
      </c>
      <c r="F22" s="222" t="s">
        <v>482</v>
      </c>
      <c r="G22" s="223" t="s">
        <v>472</v>
      </c>
      <c r="H22" s="237" t="s">
        <v>31</v>
      </c>
      <c r="I22" s="221" t="s">
        <v>31</v>
      </c>
      <c r="J22" s="237" t="s">
        <v>31</v>
      </c>
      <c r="K22" s="221" t="s">
        <v>31</v>
      </c>
      <c r="L22" s="694">
        <v>4.7E-2</v>
      </c>
      <c r="M22" s="233" t="s">
        <v>1656</v>
      </c>
      <c r="N22" s="237">
        <v>2.0000000000000001E-4</v>
      </c>
      <c r="O22" s="234" t="s">
        <v>1503</v>
      </c>
      <c r="P22" s="154" t="s">
        <v>31</v>
      </c>
      <c r="Q22" s="224" t="s">
        <v>31</v>
      </c>
      <c r="R22" s="225" t="s">
        <v>351</v>
      </c>
      <c r="S22" s="225"/>
      <c r="T22" s="225"/>
      <c r="U22" s="225"/>
      <c r="V22" s="225"/>
      <c r="W22" s="225"/>
      <c r="X22" s="225"/>
      <c r="Y22" s="225"/>
      <c r="Z22" s="225"/>
      <c r="AA22" s="225"/>
      <c r="AB22" s="223">
        <v>0</v>
      </c>
      <c r="AC22" s="221" t="s">
        <v>461</v>
      </c>
      <c r="AD22" s="223">
        <v>1</v>
      </c>
      <c r="AE22" s="232" t="s">
        <v>30</v>
      </c>
      <c r="AF22" s="223">
        <v>0.04</v>
      </c>
      <c r="AG22" s="226" t="s">
        <v>465</v>
      </c>
      <c r="AH22" s="237"/>
      <c r="AI22" s="154" t="s">
        <v>457</v>
      </c>
      <c r="AJ22" s="237"/>
      <c r="AK22" s="154" t="s">
        <v>457</v>
      </c>
      <c r="AL22" s="238"/>
      <c r="AM22" s="237"/>
      <c r="AN22" s="237"/>
      <c r="AO22" s="154"/>
      <c r="AP22" s="237"/>
      <c r="AQ22" s="237"/>
      <c r="AR22" s="229">
        <v>54.94</v>
      </c>
      <c r="AS22" s="230" t="s">
        <v>934</v>
      </c>
      <c r="AT22" s="223">
        <v>0</v>
      </c>
      <c r="AU22" s="222" t="s">
        <v>924</v>
      </c>
    </row>
    <row r="23" spans="1:47" ht="112">
      <c r="A23" s="221" t="s">
        <v>940</v>
      </c>
      <c r="B23" s="222" t="s">
        <v>75</v>
      </c>
      <c r="C23" s="223"/>
      <c r="D23" s="223"/>
      <c r="E23" s="223" t="str">
        <f t="shared" si="0"/>
        <v>Yes</v>
      </c>
      <c r="F23" s="222" t="s">
        <v>514</v>
      </c>
      <c r="G23" s="223" t="s">
        <v>472</v>
      </c>
      <c r="H23" s="237" t="s">
        <v>31</v>
      </c>
      <c r="I23" s="221" t="s">
        <v>31</v>
      </c>
      <c r="J23" s="237" t="s">
        <v>31</v>
      </c>
      <c r="K23" s="221" t="s">
        <v>31</v>
      </c>
      <c r="L23" s="237">
        <v>2.9999999999999997E-4</v>
      </c>
      <c r="M23" s="233" t="s">
        <v>1450</v>
      </c>
      <c r="N23" s="237">
        <v>2.9999999999999997E-4</v>
      </c>
      <c r="O23" s="234" t="s">
        <v>1504</v>
      </c>
      <c r="P23" s="154" t="s">
        <v>31</v>
      </c>
      <c r="Q23" s="224" t="s">
        <v>31</v>
      </c>
      <c r="R23" s="225" t="s">
        <v>351</v>
      </c>
      <c r="S23" s="225"/>
      <c r="T23" s="225" t="s">
        <v>351</v>
      </c>
      <c r="U23" s="225"/>
      <c r="V23" s="225"/>
      <c r="W23" s="225"/>
      <c r="X23" s="225"/>
      <c r="Y23" s="225"/>
      <c r="Z23" s="225"/>
      <c r="AA23" s="225"/>
      <c r="AB23" s="223">
        <v>0</v>
      </c>
      <c r="AC23" s="221" t="s">
        <v>461</v>
      </c>
      <c r="AD23" s="223">
        <v>1</v>
      </c>
      <c r="AE23" s="232" t="s">
        <v>30</v>
      </c>
      <c r="AF23" s="223">
        <v>7.0000000000000007E-2</v>
      </c>
      <c r="AG23" s="226" t="s">
        <v>465</v>
      </c>
      <c r="AH23" s="237">
        <v>3.0700000000000002E-2</v>
      </c>
      <c r="AI23" s="237" t="s">
        <v>269</v>
      </c>
      <c r="AJ23" s="237">
        <v>6.2999999999999998E-6</v>
      </c>
      <c r="AK23" s="237" t="s">
        <v>269</v>
      </c>
      <c r="AL23" s="238">
        <f>52/0.006</f>
        <v>8666.6666666666661</v>
      </c>
      <c r="AM23" s="154" t="s">
        <v>563</v>
      </c>
      <c r="AN23" s="237">
        <v>8.6219999999999995E-3</v>
      </c>
      <c r="AO23" s="154" t="s">
        <v>922</v>
      </c>
      <c r="AP23" s="237">
        <v>0.06</v>
      </c>
      <c r="AQ23" s="237" t="s">
        <v>934</v>
      </c>
      <c r="AR23" s="229">
        <v>200.59</v>
      </c>
      <c r="AS23" s="230" t="s">
        <v>934</v>
      </c>
      <c r="AT23" s="237">
        <v>1.9580000000000001E-3</v>
      </c>
      <c r="AU23" s="222" t="s">
        <v>926</v>
      </c>
    </row>
    <row r="24" spans="1:47" ht="114">
      <c r="A24" s="221" t="s">
        <v>159</v>
      </c>
      <c r="B24" s="222" t="s">
        <v>73</v>
      </c>
      <c r="C24" s="223"/>
      <c r="D24" s="223"/>
      <c r="E24" s="223" t="str">
        <f t="shared" si="0"/>
        <v>No</v>
      </c>
      <c r="F24" s="222" t="s">
        <v>1068</v>
      </c>
      <c r="G24" s="223" t="s">
        <v>472</v>
      </c>
      <c r="H24" s="237" t="s">
        <v>31</v>
      </c>
      <c r="I24" s="221" t="s">
        <v>31</v>
      </c>
      <c r="J24" s="237" t="s">
        <v>31</v>
      </c>
      <c r="K24" s="221" t="s">
        <v>31</v>
      </c>
      <c r="L24" s="237">
        <v>1E-4</v>
      </c>
      <c r="M24" s="233" t="s">
        <v>1451</v>
      </c>
      <c r="N24" s="237" t="s">
        <v>31</v>
      </c>
      <c r="O24" s="221" t="s">
        <v>31</v>
      </c>
      <c r="P24" s="154" t="s">
        <v>31</v>
      </c>
      <c r="Q24" s="224" t="s">
        <v>31</v>
      </c>
      <c r="R24" s="225" t="s">
        <v>351</v>
      </c>
      <c r="S24" s="225"/>
      <c r="T24" s="225"/>
      <c r="U24" s="225"/>
      <c r="V24" s="225"/>
      <c r="W24" s="225" t="s">
        <v>351</v>
      </c>
      <c r="X24" s="225"/>
      <c r="Y24" s="225"/>
      <c r="Z24" s="225"/>
      <c r="AA24" s="225"/>
      <c r="AB24" s="223">
        <v>0.1</v>
      </c>
      <c r="AC24" s="221" t="s">
        <v>1247</v>
      </c>
      <c r="AD24" s="223">
        <v>1</v>
      </c>
      <c r="AE24" s="232" t="s">
        <v>30</v>
      </c>
      <c r="AF24" s="223">
        <v>1</v>
      </c>
      <c r="AG24" s="226" t="s">
        <v>465</v>
      </c>
      <c r="AH24" s="237"/>
      <c r="AI24" s="154" t="s">
        <v>457</v>
      </c>
      <c r="AJ24" s="237"/>
      <c r="AK24" s="154" t="s">
        <v>457</v>
      </c>
      <c r="AL24" s="257"/>
      <c r="AM24" s="257"/>
      <c r="AN24" s="257"/>
      <c r="AO24" s="332"/>
      <c r="AP24" s="257"/>
      <c r="AQ24" s="257"/>
      <c r="AR24" s="229">
        <v>215.63</v>
      </c>
      <c r="AS24" s="230" t="s">
        <v>934</v>
      </c>
      <c r="AT24" s="223"/>
      <c r="AU24" s="223"/>
    </row>
    <row r="25" spans="1:47" ht="74">
      <c r="A25" s="221" t="s">
        <v>1106</v>
      </c>
      <c r="B25" s="222" t="s">
        <v>1144</v>
      </c>
      <c r="C25" s="223"/>
      <c r="D25" s="223"/>
      <c r="E25" s="223" t="str">
        <f t="shared" si="0"/>
        <v>No</v>
      </c>
      <c r="F25" s="222" t="s">
        <v>480</v>
      </c>
      <c r="G25" s="223" t="s">
        <v>472</v>
      </c>
      <c r="H25" s="237" t="s">
        <v>31</v>
      </c>
      <c r="I25" s="221" t="s">
        <v>31</v>
      </c>
      <c r="J25" s="237" t="s">
        <v>31</v>
      </c>
      <c r="K25" s="221" t="s">
        <v>31</v>
      </c>
      <c r="L25" s="237">
        <v>5.0000000000000001E-3</v>
      </c>
      <c r="M25" s="233" t="s">
        <v>1627</v>
      </c>
      <c r="N25" s="237">
        <v>2E-3</v>
      </c>
      <c r="O25" s="221" t="s">
        <v>1400</v>
      </c>
      <c r="P25" s="154" t="s">
        <v>31</v>
      </c>
      <c r="Q25" s="224" t="s">
        <v>31</v>
      </c>
      <c r="R25" s="225"/>
      <c r="S25" s="225"/>
      <c r="T25" s="225"/>
      <c r="U25" s="225" t="s">
        <v>351</v>
      </c>
      <c r="V25" s="225"/>
      <c r="W25" s="225"/>
      <c r="X25" s="225" t="s">
        <v>351</v>
      </c>
      <c r="Y25" s="225"/>
      <c r="Z25" s="225"/>
      <c r="AA25" s="225"/>
      <c r="AB25" s="223">
        <v>0</v>
      </c>
      <c r="AC25" s="221" t="s">
        <v>461</v>
      </c>
      <c r="AD25" s="223">
        <v>1</v>
      </c>
      <c r="AE25" s="232" t="s">
        <v>30</v>
      </c>
      <c r="AF25" s="223">
        <v>1</v>
      </c>
      <c r="AG25" s="226" t="s">
        <v>464</v>
      </c>
      <c r="AH25" s="237"/>
      <c r="AI25" s="154" t="s">
        <v>457</v>
      </c>
      <c r="AJ25" s="237"/>
      <c r="AK25" s="154" t="s">
        <v>457</v>
      </c>
      <c r="AL25" s="257"/>
      <c r="AM25" s="257"/>
      <c r="AN25" s="257"/>
      <c r="AO25" s="332"/>
      <c r="AP25" s="257"/>
      <c r="AQ25" s="257"/>
      <c r="AR25" s="229">
        <v>95.94</v>
      </c>
      <c r="AS25" s="230" t="s">
        <v>1139</v>
      </c>
      <c r="AT25" s="223"/>
      <c r="AU25" s="223"/>
    </row>
    <row r="26" spans="1:47" ht="94">
      <c r="A26" s="221" t="s">
        <v>947</v>
      </c>
      <c r="B26" s="223" t="s">
        <v>114</v>
      </c>
      <c r="C26" s="223"/>
      <c r="D26" s="223"/>
      <c r="E26" s="223" t="str">
        <f t="shared" si="0"/>
        <v>No</v>
      </c>
      <c r="F26" s="222" t="s">
        <v>533</v>
      </c>
      <c r="G26" s="223" t="s">
        <v>472</v>
      </c>
      <c r="H26" s="237" t="s">
        <v>31</v>
      </c>
      <c r="I26" s="221" t="s">
        <v>31</v>
      </c>
      <c r="J26" s="237">
        <v>2.4000000000000001E-4</v>
      </c>
      <c r="K26" s="240" t="s">
        <v>1311</v>
      </c>
      <c r="L26" s="237">
        <v>1.12E-2</v>
      </c>
      <c r="M26" s="258" t="s">
        <v>1628</v>
      </c>
      <c r="N26" s="237">
        <v>1.4E-5</v>
      </c>
      <c r="O26" s="221" t="s">
        <v>1629</v>
      </c>
      <c r="P26" s="154">
        <v>0.2</v>
      </c>
      <c r="Q26" s="224" t="s">
        <v>1538</v>
      </c>
      <c r="R26" s="225"/>
      <c r="S26" s="225"/>
      <c r="T26" s="225" t="s">
        <v>351</v>
      </c>
      <c r="U26" s="225"/>
      <c r="V26" s="225" t="s">
        <v>351</v>
      </c>
      <c r="W26" s="225" t="s">
        <v>351</v>
      </c>
      <c r="X26" s="225" t="s">
        <v>351</v>
      </c>
      <c r="Y26" s="225"/>
      <c r="Z26" s="225"/>
      <c r="AA26" s="225"/>
      <c r="AB26" s="223">
        <v>0</v>
      </c>
      <c r="AC26" s="221" t="s">
        <v>461</v>
      </c>
      <c r="AD26" s="223">
        <v>1</v>
      </c>
      <c r="AE26" s="232" t="s">
        <v>30</v>
      </c>
      <c r="AF26" s="223">
        <v>0.04</v>
      </c>
      <c r="AG26" s="226" t="s">
        <v>465</v>
      </c>
      <c r="AH26" s="237"/>
      <c r="AI26" s="154" t="s">
        <v>457</v>
      </c>
      <c r="AJ26" s="237"/>
      <c r="AK26" s="154" t="s">
        <v>457</v>
      </c>
      <c r="AL26" s="238"/>
      <c r="AM26" s="237"/>
      <c r="AN26" s="237"/>
      <c r="AO26" s="154"/>
      <c r="AP26" s="237"/>
      <c r="AQ26" s="237"/>
      <c r="AR26" s="229">
        <v>58.69</v>
      </c>
      <c r="AS26" s="230" t="s">
        <v>934</v>
      </c>
      <c r="AT26" s="223"/>
      <c r="AU26" s="222"/>
    </row>
    <row r="27" spans="1:47" ht="60">
      <c r="A27" s="221" t="s">
        <v>184</v>
      </c>
      <c r="B27" s="223" t="s">
        <v>185</v>
      </c>
      <c r="C27" s="223"/>
      <c r="D27" s="223"/>
      <c r="E27" s="223" t="str">
        <f t="shared" si="0"/>
        <v>No</v>
      </c>
      <c r="F27" s="222" t="s">
        <v>477</v>
      </c>
      <c r="G27" s="223" t="s">
        <v>472</v>
      </c>
      <c r="H27" s="237" t="s">
        <v>31</v>
      </c>
      <c r="I27" s="221" t="s">
        <v>31</v>
      </c>
      <c r="J27" s="237" t="s">
        <v>31</v>
      </c>
      <c r="K27" s="221" t="s">
        <v>31</v>
      </c>
      <c r="L27" s="237">
        <v>5.0000000000000001E-3</v>
      </c>
      <c r="M27" s="224" t="s">
        <v>1452</v>
      </c>
      <c r="N27" s="237">
        <v>0.02</v>
      </c>
      <c r="O27" s="221" t="s">
        <v>1593</v>
      </c>
      <c r="P27" s="154" t="s">
        <v>31</v>
      </c>
      <c r="Q27" s="224" t="s">
        <v>31</v>
      </c>
      <c r="R27" s="225" t="s">
        <v>351</v>
      </c>
      <c r="S27" s="225" t="s">
        <v>351</v>
      </c>
      <c r="T27" s="225"/>
      <c r="U27" s="225"/>
      <c r="V27" s="225" t="s">
        <v>351</v>
      </c>
      <c r="W27" s="225"/>
      <c r="X27" s="225"/>
      <c r="Y27" s="225"/>
      <c r="Z27" s="225" t="s">
        <v>351</v>
      </c>
      <c r="AA27" s="225"/>
      <c r="AB27" s="223">
        <v>0</v>
      </c>
      <c r="AC27" s="221" t="s">
        <v>461</v>
      </c>
      <c r="AD27" s="223">
        <v>1</v>
      </c>
      <c r="AE27" s="232" t="s">
        <v>30</v>
      </c>
      <c r="AF27" s="223">
        <v>1</v>
      </c>
      <c r="AG27" s="226" t="s">
        <v>465</v>
      </c>
      <c r="AH27" s="237"/>
      <c r="AI27" s="154" t="s">
        <v>457</v>
      </c>
      <c r="AJ27" s="237"/>
      <c r="AK27" s="154" t="s">
        <v>457</v>
      </c>
      <c r="AL27" s="238"/>
      <c r="AM27" s="237"/>
      <c r="AN27" s="237"/>
      <c r="AO27" s="154"/>
      <c r="AP27" s="237"/>
      <c r="AQ27" s="237"/>
      <c r="AR27" s="229">
        <v>78.959999999999994</v>
      </c>
      <c r="AS27" s="230" t="s">
        <v>934</v>
      </c>
      <c r="AT27" s="237">
        <v>1.42E-10</v>
      </c>
      <c r="AU27" s="222" t="s">
        <v>927</v>
      </c>
    </row>
    <row r="28" spans="1:47" ht="62">
      <c r="A28" s="221" t="s">
        <v>186</v>
      </c>
      <c r="B28" s="223" t="s">
        <v>187</v>
      </c>
      <c r="C28" s="223"/>
      <c r="D28" s="223"/>
      <c r="E28" s="223" t="str">
        <f t="shared" si="0"/>
        <v>No</v>
      </c>
      <c r="F28" s="222" t="s">
        <v>477</v>
      </c>
      <c r="G28" s="223" t="s">
        <v>472</v>
      </c>
      <c r="H28" s="237" t="s">
        <v>31</v>
      </c>
      <c r="I28" s="221" t="s">
        <v>31</v>
      </c>
      <c r="J28" s="237" t="s">
        <v>31</v>
      </c>
      <c r="K28" s="221" t="s">
        <v>31</v>
      </c>
      <c r="L28" s="237">
        <v>5.0000000000000001E-3</v>
      </c>
      <c r="M28" s="224" t="s">
        <v>1453</v>
      </c>
      <c r="N28" s="237" t="s">
        <v>31</v>
      </c>
      <c r="O28" s="221" t="s">
        <v>31</v>
      </c>
      <c r="P28" s="154" t="s">
        <v>31</v>
      </c>
      <c r="Q28" s="224" t="s">
        <v>31</v>
      </c>
      <c r="R28" s="225"/>
      <c r="S28" s="225"/>
      <c r="T28" s="225"/>
      <c r="U28" s="225"/>
      <c r="V28" s="225"/>
      <c r="W28" s="225"/>
      <c r="X28" s="225"/>
      <c r="Y28" s="225"/>
      <c r="Z28" s="225" t="s">
        <v>351</v>
      </c>
      <c r="AA28" s="225"/>
      <c r="AB28" s="223">
        <v>0</v>
      </c>
      <c r="AC28" s="221" t="s">
        <v>461</v>
      </c>
      <c r="AD28" s="223">
        <v>1</v>
      </c>
      <c r="AE28" s="232" t="s">
        <v>30</v>
      </c>
      <c r="AF28" s="223">
        <v>0.04</v>
      </c>
      <c r="AG28" s="226" t="s">
        <v>465</v>
      </c>
      <c r="AH28" s="237"/>
      <c r="AI28" s="154" t="s">
        <v>457</v>
      </c>
      <c r="AJ28" s="237"/>
      <c r="AK28" s="154" t="s">
        <v>457</v>
      </c>
      <c r="AL28" s="238"/>
      <c r="AM28" s="237"/>
      <c r="AN28" s="237"/>
      <c r="AO28" s="154"/>
      <c r="AP28" s="237"/>
      <c r="AQ28" s="237"/>
      <c r="AR28" s="229">
        <v>107.87</v>
      </c>
      <c r="AS28" s="230" t="s">
        <v>934</v>
      </c>
      <c r="AT28" s="223">
        <v>0</v>
      </c>
      <c r="AU28" s="222" t="s">
        <v>928</v>
      </c>
    </row>
    <row r="29" spans="1:47" ht="60">
      <c r="A29" s="221" t="s">
        <v>188</v>
      </c>
      <c r="B29" s="223" t="s">
        <v>189</v>
      </c>
      <c r="C29" s="223"/>
      <c r="D29" s="223"/>
      <c r="E29" s="223" t="str">
        <f t="shared" si="0"/>
        <v>No</v>
      </c>
      <c r="F29" s="222" t="s">
        <v>480</v>
      </c>
      <c r="G29" s="223" t="s">
        <v>472</v>
      </c>
      <c r="H29" s="237" t="s">
        <v>31</v>
      </c>
      <c r="I29" s="221" t="s">
        <v>31</v>
      </c>
      <c r="J29" s="237" t="s">
        <v>31</v>
      </c>
      <c r="K29" s="221" t="s">
        <v>31</v>
      </c>
      <c r="L29" s="695">
        <v>0.43</v>
      </c>
      <c r="M29" s="696" t="s">
        <v>1657</v>
      </c>
      <c r="N29" s="237" t="s">
        <v>31</v>
      </c>
      <c r="O29" s="221" t="s">
        <v>31</v>
      </c>
      <c r="P29" s="154" t="s">
        <v>31</v>
      </c>
      <c r="Q29" s="224" t="s">
        <v>31</v>
      </c>
      <c r="R29" s="225"/>
      <c r="S29" s="225"/>
      <c r="T29" s="225"/>
      <c r="U29" s="225"/>
      <c r="V29" s="225"/>
      <c r="W29" s="225" t="s">
        <v>351</v>
      </c>
      <c r="X29" s="225"/>
      <c r="Y29" s="225" t="s">
        <v>351</v>
      </c>
      <c r="Z29" s="225"/>
      <c r="AA29" s="225"/>
      <c r="AB29" s="223">
        <v>0</v>
      </c>
      <c r="AC29" s="221" t="s">
        <v>461</v>
      </c>
      <c r="AD29" s="223">
        <v>1</v>
      </c>
      <c r="AE29" s="232" t="s">
        <v>30</v>
      </c>
      <c r="AF29" s="223">
        <v>1</v>
      </c>
      <c r="AG29" s="226" t="s">
        <v>464</v>
      </c>
      <c r="AH29" s="237"/>
      <c r="AI29" s="154" t="s">
        <v>457</v>
      </c>
      <c r="AJ29" s="237"/>
      <c r="AK29" s="154" t="s">
        <v>457</v>
      </c>
      <c r="AL29" s="238"/>
      <c r="AM29" s="237"/>
      <c r="AN29" s="237"/>
      <c r="AO29" s="154"/>
      <c r="AP29" s="237"/>
      <c r="AQ29" s="237"/>
      <c r="AR29" s="229">
        <v>87.62</v>
      </c>
      <c r="AS29" s="230" t="s">
        <v>934</v>
      </c>
      <c r="AT29" s="223"/>
      <c r="AU29" s="222"/>
    </row>
    <row r="30" spans="1:47" ht="90">
      <c r="A30" s="221" t="s">
        <v>190</v>
      </c>
      <c r="B30" s="223" t="s">
        <v>114</v>
      </c>
      <c r="C30" s="223"/>
      <c r="D30" s="223"/>
      <c r="E30" s="223" t="str">
        <f t="shared" si="0"/>
        <v>No</v>
      </c>
      <c r="F30" s="222" t="s">
        <v>534</v>
      </c>
      <c r="G30" s="222" t="s">
        <v>472</v>
      </c>
      <c r="H30" s="237" t="s">
        <v>31</v>
      </c>
      <c r="I30" s="221" t="s">
        <v>31</v>
      </c>
      <c r="J30" s="237" t="s">
        <v>31</v>
      </c>
      <c r="K30" s="221" t="s">
        <v>31</v>
      </c>
      <c r="L30" s="237">
        <v>1.0000000000000001E-5</v>
      </c>
      <c r="M30" s="224" t="s">
        <v>1658</v>
      </c>
      <c r="N30" s="237" t="s">
        <v>31</v>
      </c>
      <c r="O30" s="221" t="s">
        <v>31</v>
      </c>
      <c r="P30" s="154" t="s">
        <v>31</v>
      </c>
      <c r="Q30" s="224" t="s">
        <v>31</v>
      </c>
      <c r="R30" s="225"/>
      <c r="S30" s="225"/>
      <c r="T30" s="225"/>
      <c r="U30" s="225"/>
      <c r="V30" s="225"/>
      <c r="W30" s="225"/>
      <c r="X30" s="225"/>
      <c r="Y30" s="225"/>
      <c r="Z30" s="225" t="s">
        <v>351</v>
      </c>
      <c r="AA30" s="225"/>
      <c r="AB30" s="223">
        <v>0</v>
      </c>
      <c r="AC30" s="221" t="s">
        <v>461</v>
      </c>
      <c r="AD30" s="223">
        <v>1</v>
      </c>
      <c r="AE30" s="232" t="s">
        <v>30</v>
      </c>
      <c r="AF30" s="223">
        <v>1</v>
      </c>
      <c r="AG30" s="226" t="s">
        <v>465</v>
      </c>
      <c r="AH30" s="237"/>
      <c r="AI30" s="154" t="s">
        <v>457</v>
      </c>
      <c r="AJ30" s="237"/>
      <c r="AK30" s="154" t="s">
        <v>457</v>
      </c>
      <c r="AL30" s="238"/>
      <c r="AM30" s="237"/>
      <c r="AN30" s="237"/>
      <c r="AO30" s="154"/>
      <c r="AP30" s="237"/>
      <c r="AQ30" s="237"/>
      <c r="AR30" s="229">
        <v>204.38</v>
      </c>
      <c r="AS30" s="230" t="s">
        <v>934</v>
      </c>
      <c r="AT30" s="223"/>
      <c r="AU30" s="222"/>
    </row>
    <row r="31" spans="1:47" ht="49.5" customHeight="1">
      <c r="A31" s="221" t="s">
        <v>54</v>
      </c>
      <c r="B31" s="343" t="s">
        <v>114</v>
      </c>
      <c r="C31" s="223"/>
      <c r="D31" s="223"/>
      <c r="E31" s="223" t="str">
        <f t="shared" si="0"/>
        <v>No</v>
      </c>
      <c r="F31" s="348" t="s">
        <v>1069</v>
      </c>
      <c r="G31" s="223" t="s">
        <v>500</v>
      </c>
      <c r="H31" s="338" t="s">
        <v>31</v>
      </c>
      <c r="I31" s="348" t="s">
        <v>31</v>
      </c>
      <c r="J31" s="338" t="s">
        <v>31</v>
      </c>
      <c r="K31" s="348" t="s">
        <v>31</v>
      </c>
      <c r="L31" s="339">
        <v>0.3</v>
      </c>
      <c r="M31" s="348" t="s">
        <v>1454</v>
      </c>
      <c r="N31" s="338" t="s">
        <v>31</v>
      </c>
      <c r="O31" s="348" t="s">
        <v>31</v>
      </c>
      <c r="P31" s="339" t="s">
        <v>31</v>
      </c>
      <c r="Q31" s="348" t="s">
        <v>31</v>
      </c>
      <c r="R31" s="340"/>
      <c r="S31" s="346" t="s">
        <v>351</v>
      </c>
      <c r="T31" s="340"/>
      <c r="U31" s="341"/>
      <c r="V31" s="346"/>
      <c r="W31" s="346"/>
      <c r="X31" s="346"/>
      <c r="Y31" s="346"/>
      <c r="Z31" s="346"/>
      <c r="AA31" s="346"/>
      <c r="AB31" s="343">
        <v>0</v>
      </c>
      <c r="AC31" s="348" t="s">
        <v>461</v>
      </c>
      <c r="AD31" s="343">
        <v>1</v>
      </c>
      <c r="AE31" s="349" t="s">
        <v>30</v>
      </c>
      <c r="AF31" s="343">
        <v>1</v>
      </c>
      <c r="AG31" s="347" t="s">
        <v>464</v>
      </c>
      <c r="AH31" s="338"/>
      <c r="AI31" s="339" t="s">
        <v>457</v>
      </c>
      <c r="AJ31" s="338"/>
      <c r="AK31" s="339" t="s">
        <v>457</v>
      </c>
      <c r="AL31" s="350"/>
      <c r="AM31" s="338"/>
      <c r="AN31" s="338"/>
      <c r="AO31" s="338"/>
      <c r="AP31" s="338"/>
      <c r="AQ31" s="338"/>
      <c r="AR31" s="345">
        <v>118.69</v>
      </c>
      <c r="AS31" s="230" t="s">
        <v>934</v>
      </c>
      <c r="AT31" s="223">
        <v>0</v>
      </c>
      <c r="AU31" s="222" t="s">
        <v>929</v>
      </c>
    </row>
    <row r="32" spans="1:47" ht="204">
      <c r="A32" s="221" t="s">
        <v>948</v>
      </c>
      <c r="B32" s="223" t="s">
        <v>55</v>
      </c>
      <c r="C32" s="223"/>
      <c r="D32" s="223"/>
      <c r="E32" s="223" t="str">
        <f t="shared" si="0"/>
        <v>Yes</v>
      </c>
      <c r="F32" s="222" t="s">
        <v>513</v>
      </c>
      <c r="G32" s="223" t="s">
        <v>500</v>
      </c>
      <c r="H32" s="237" t="s">
        <v>31</v>
      </c>
      <c r="I32" s="221" t="s">
        <v>31</v>
      </c>
      <c r="J32" s="237" t="s">
        <v>31</v>
      </c>
      <c r="K32" s="221" t="s">
        <v>31</v>
      </c>
      <c r="L32" s="237" t="s">
        <v>31</v>
      </c>
      <c r="M32" s="224" t="s">
        <v>31</v>
      </c>
      <c r="N32" s="237">
        <v>1E-4</v>
      </c>
      <c r="O32" s="221" t="s">
        <v>1505</v>
      </c>
      <c r="P32" s="154" t="s">
        <v>31</v>
      </c>
      <c r="Q32" s="224" t="s">
        <v>31</v>
      </c>
      <c r="R32" s="225"/>
      <c r="S32" s="225"/>
      <c r="T32" s="225"/>
      <c r="U32" s="225"/>
      <c r="V32" s="225"/>
      <c r="W32" s="225"/>
      <c r="X32" s="225" t="s">
        <v>351</v>
      </c>
      <c r="Y32" s="225"/>
      <c r="Z32" s="225"/>
      <c r="AA32" s="225"/>
      <c r="AB32" s="223">
        <v>0</v>
      </c>
      <c r="AC32" s="221" t="s">
        <v>461</v>
      </c>
      <c r="AD32" s="223">
        <v>1</v>
      </c>
      <c r="AE32" s="232" t="s">
        <v>30</v>
      </c>
      <c r="AF32" s="223">
        <v>1</v>
      </c>
      <c r="AG32" s="226" t="s">
        <v>464</v>
      </c>
      <c r="AH32" s="237"/>
      <c r="AI32" s="154" t="s">
        <v>457</v>
      </c>
      <c r="AJ32" s="237"/>
      <c r="AK32" s="154" t="s">
        <v>457</v>
      </c>
      <c r="AL32" s="238"/>
      <c r="AM32" s="237"/>
      <c r="AN32" s="237"/>
      <c r="AO32" s="154"/>
      <c r="AP32" s="237"/>
      <c r="AQ32" s="237"/>
      <c r="AR32" s="229">
        <v>47.87</v>
      </c>
      <c r="AS32" s="230" t="s">
        <v>934</v>
      </c>
      <c r="AT32" s="237">
        <v>10</v>
      </c>
      <c r="AU32" s="222" t="s">
        <v>930</v>
      </c>
    </row>
    <row r="33" spans="1:47" ht="82">
      <c r="A33" s="221" t="s">
        <v>949</v>
      </c>
      <c r="B33" s="223" t="s">
        <v>243</v>
      </c>
      <c r="C33" s="223"/>
      <c r="D33" s="223"/>
      <c r="E33" s="223" t="str">
        <f t="shared" si="0"/>
        <v>No</v>
      </c>
      <c r="F33" s="222" t="s">
        <v>499</v>
      </c>
      <c r="G33" s="223" t="s">
        <v>469</v>
      </c>
      <c r="H33" s="237" t="s">
        <v>31</v>
      </c>
      <c r="I33" s="221" t="s">
        <v>31</v>
      </c>
      <c r="J33" s="237" t="s">
        <v>31</v>
      </c>
      <c r="K33" s="221" t="s">
        <v>1436</v>
      </c>
      <c r="L33" s="237">
        <v>6.9999999999999994E-5</v>
      </c>
      <c r="M33" s="224" t="s">
        <v>1455</v>
      </c>
      <c r="N33" s="237">
        <v>1E-4</v>
      </c>
      <c r="O33" s="221" t="s">
        <v>1506</v>
      </c>
      <c r="P33" s="154" t="s">
        <v>31</v>
      </c>
      <c r="Q33" s="224" t="s">
        <v>31</v>
      </c>
      <c r="R33" s="225"/>
      <c r="S33" s="225"/>
      <c r="T33" s="225"/>
      <c r="U33" s="225" t="s">
        <v>351</v>
      </c>
      <c r="V33" s="225"/>
      <c r="W33" s="225"/>
      <c r="X33" s="225" t="s">
        <v>351</v>
      </c>
      <c r="Y33" s="225"/>
      <c r="Z33" s="225"/>
      <c r="AA33" s="225"/>
      <c r="AB33" s="223">
        <v>0</v>
      </c>
      <c r="AC33" s="221" t="s">
        <v>461</v>
      </c>
      <c r="AD33" s="223">
        <v>1</v>
      </c>
      <c r="AE33" s="232" t="s">
        <v>30</v>
      </c>
      <c r="AF33" s="223">
        <v>2.5999999999999999E-2</v>
      </c>
      <c r="AG33" s="226" t="s">
        <v>465</v>
      </c>
      <c r="AH33" s="237"/>
      <c r="AI33" s="154" t="s">
        <v>457</v>
      </c>
      <c r="AJ33" s="237"/>
      <c r="AK33" s="154" t="s">
        <v>457</v>
      </c>
      <c r="AL33" s="238"/>
      <c r="AM33" s="237"/>
      <c r="AN33" s="237"/>
      <c r="AO33" s="154"/>
      <c r="AP33" s="237"/>
      <c r="AQ33" s="237"/>
      <c r="AR33" s="229">
        <v>50.94</v>
      </c>
      <c r="AS33" s="230" t="s">
        <v>934</v>
      </c>
      <c r="AT33" s="223"/>
      <c r="AU33" s="222"/>
    </row>
    <row r="34" spans="1:47" ht="180">
      <c r="A34" s="221" t="s">
        <v>950</v>
      </c>
      <c r="B34" s="223" t="s">
        <v>56</v>
      </c>
      <c r="C34" s="223"/>
      <c r="D34" s="223"/>
      <c r="E34" s="223" t="str">
        <f t="shared" si="0"/>
        <v>No</v>
      </c>
      <c r="F34" s="222" t="s">
        <v>477</v>
      </c>
      <c r="G34" s="223" t="s">
        <v>472</v>
      </c>
      <c r="H34" s="237" t="s">
        <v>31</v>
      </c>
      <c r="I34" s="221" t="s">
        <v>31</v>
      </c>
      <c r="J34" s="237" t="s">
        <v>31</v>
      </c>
      <c r="K34" s="221" t="s">
        <v>31</v>
      </c>
      <c r="L34" s="237">
        <v>0.3</v>
      </c>
      <c r="M34" s="224" t="s">
        <v>1565</v>
      </c>
      <c r="N34" s="237" t="s">
        <v>31</v>
      </c>
      <c r="O34" s="221" t="s">
        <v>31</v>
      </c>
      <c r="P34" s="154" t="s">
        <v>31</v>
      </c>
      <c r="Q34" s="224" t="s">
        <v>31</v>
      </c>
      <c r="R34" s="225"/>
      <c r="S34" s="225" t="s">
        <v>351</v>
      </c>
      <c r="T34" s="225"/>
      <c r="U34" s="225"/>
      <c r="V34" s="225"/>
      <c r="W34" s="225"/>
      <c r="X34" s="225"/>
      <c r="Y34" s="225"/>
      <c r="Z34" s="225"/>
      <c r="AA34" s="225"/>
      <c r="AB34" s="223">
        <v>0</v>
      </c>
      <c r="AC34" s="221" t="s">
        <v>461</v>
      </c>
      <c r="AD34" s="223">
        <v>1</v>
      </c>
      <c r="AE34" s="232" t="s">
        <v>30</v>
      </c>
      <c r="AF34" s="223">
        <v>1</v>
      </c>
      <c r="AG34" s="226" t="s">
        <v>465</v>
      </c>
      <c r="AH34" s="237"/>
      <c r="AI34" s="154" t="s">
        <v>457</v>
      </c>
      <c r="AJ34" s="237"/>
      <c r="AK34" s="154" t="s">
        <v>457</v>
      </c>
      <c r="AL34" s="238"/>
      <c r="AM34" s="237"/>
      <c r="AN34" s="237"/>
      <c r="AO34" s="154"/>
      <c r="AP34" s="237"/>
      <c r="AQ34" s="237"/>
      <c r="AR34" s="229">
        <v>65.38</v>
      </c>
      <c r="AS34" s="230" t="s">
        <v>934</v>
      </c>
      <c r="AT34" s="223"/>
      <c r="AU34" s="222"/>
    </row>
    <row r="35" spans="1:47">
      <c r="A35" s="259" t="s">
        <v>364</v>
      </c>
      <c r="B35" s="260"/>
      <c r="C35" s="261"/>
      <c r="D35" s="262"/>
      <c r="E35" s="263"/>
      <c r="F35" s="264"/>
      <c r="G35" s="262"/>
      <c r="H35" s="265"/>
      <c r="I35" s="266"/>
      <c r="J35" s="265"/>
      <c r="K35" s="266"/>
      <c r="L35" s="265"/>
      <c r="M35" s="267"/>
      <c r="N35" s="265"/>
      <c r="O35" s="266"/>
      <c r="P35" s="268"/>
      <c r="Q35" s="269"/>
      <c r="R35" s="270"/>
      <c r="S35" s="270"/>
      <c r="T35" s="270"/>
      <c r="U35" s="270"/>
      <c r="V35" s="270"/>
      <c r="W35" s="270"/>
      <c r="X35" s="270"/>
      <c r="Y35" s="270"/>
      <c r="Z35" s="270"/>
      <c r="AA35" s="270"/>
      <c r="AB35" s="271"/>
      <c r="AC35" s="266"/>
      <c r="AD35" s="271"/>
      <c r="AE35" s="272"/>
      <c r="AF35" s="271"/>
      <c r="AG35" s="273"/>
      <c r="AH35" s="265"/>
      <c r="AI35" s="265"/>
      <c r="AJ35" s="265"/>
      <c r="AK35" s="265"/>
      <c r="AL35" s="274"/>
      <c r="AM35" s="265"/>
      <c r="AN35" s="265"/>
      <c r="AO35" s="333"/>
      <c r="AP35" s="265"/>
      <c r="AQ35" s="275"/>
      <c r="AR35" s="275"/>
      <c r="AS35" s="275"/>
      <c r="AT35" s="309"/>
      <c r="AU35" s="552"/>
    </row>
    <row r="36" spans="1:47" s="239" customFormat="1" ht="80">
      <c r="A36" s="221" t="s">
        <v>195</v>
      </c>
      <c r="B36" s="223" t="s">
        <v>196</v>
      </c>
      <c r="C36" s="223"/>
      <c r="D36" s="223"/>
      <c r="E36" s="223" t="str">
        <f t="shared" ref="D36:E99" si="1">IF(OR(AN36&gt;0.00001,AT36&gt;1),"Yes","No")</f>
        <v>Yes</v>
      </c>
      <c r="F36" s="222" t="s">
        <v>481</v>
      </c>
      <c r="G36" s="223" t="s">
        <v>472</v>
      </c>
      <c r="H36" s="237" t="s">
        <v>31</v>
      </c>
      <c r="I36" s="221" t="s">
        <v>31</v>
      </c>
      <c r="J36" s="237" t="s">
        <v>31</v>
      </c>
      <c r="K36" s="221" t="s">
        <v>31</v>
      </c>
      <c r="L36" s="237">
        <v>0.69</v>
      </c>
      <c r="M36" s="224" t="s">
        <v>1456</v>
      </c>
      <c r="N36" s="237" t="s">
        <v>31</v>
      </c>
      <c r="O36" s="221" t="s">
        <v>31</v>
      </c>
      <c r="P36" s="154" t="s">
        <v>31</v>
      </c>
      <c r="Q36" s="224" t="s">
        <v>31</v>
      </c>
      <c r="R36" s="225"/>
      <c r="S36" s="225" t="s">
        <v>351</v>
      </c>
      <c r="T36" s="225"/>
      <c r="U36" s="225" t="s">
        <v>351</v>
      </c>
      <c r="V36" s="225" t="s">
        <v>351</v>
      </c>
      <c r="W36" s="225"/>
      <c r="X36" s="225"/>
      <c r="Y36" s="225"/>
      <c r="Z36" s="225"/>
      <c r="AA36" s="225"/>
      <c r="AB36" s="223">
        <v>0</v>
      </c>
      <c r="AC36" s="221" t="s">
        <v>1147</v>
      </c>
      <c r="AD36" s="223">
        <v>1</v>
      </c>
      <c r="AE36" s="232" t="s">
        <v>30</v>
      </c>
      <c r="AF36" s="223">
        <v>1</v>
      </c>
      <c r="AG36" s="226" t="s">
        <v>466</v>
      </c>
      <c r="AH36" s="237">
        <v>0.1059228</v>
      </c>
      <c r="AI36" s="237" t="s">
        <v>456</v>
      </c>
      <c r="AJ36" s="237">
        <v>1.15E-5</v>
      </c>
      <c r="AK36" s="237" t="s">
        <v>456</v>
      </c>
      <c r="AL36" s="276">
        <v>2.3639999999999999</v>
      </c>
      <c r="AM36" s="230" t="s">
        <v>934</v>
      </c>
      <c r="AN36" s="237">
        <v>3.4999999999999997E-5</v>
      </c>
      <c r="AO36" s="222" t="s">
        <v>931</v>
      </c>
      <c r="AP36" s="237">
        <v>1000000</v>
      </c>
      <c r="AQ36" s="237" t="s">
        <v>934</v>
      </c>
      <c r="AR36" s="230">
        <v>58.08</v>
      </c>
      <c r="AS36" s="230" t="s">
        <v>934</v>
      </c>
      <c r="AT36" s="237">
        <v>231.5</v>
      </c>
      <c r="AU36" s="222" t="s">
        <v>926</v>
      </c>
    </row>
    <row r="37" spans="1:47" s="239" customFormat="1" ht="72">
      <c r="A37" s="221" t="s">
        <v>1161</v>
      </c>
      <c r="B37" s="223" t="s">
        <v>1162</v>
      </c>
      <c r="C37" s="223"/>
      <c r="D37" s="223"/>
      <c r="E37" s="223" t="str">
        <f t="shared" si="1"/>
        <v>Yes</v>
      </c>
      <c r="F37" s="222" t="s">
        <v>1215</v>
      </c>
      <c r="G37" s="223" t="s">
        <v>472</v>
      </c>
      <c r="H37" s="237">
        <v>0.54</v>
      </c>
      <c r="I37" s="221" t="s">
        <v>1427</v>
      </c>
      <c r="J37" s="237">
        <v>6.7999999999999999E-5</v>
      </c>
      <c r="K37" s="221" t="s">
        <v>1371</v>
      </c>
      <c r="L37" s="237">
        <v>9.0000000000000006E-5</v>
      </c>
      <c r="M37" s="224" t="s">
        <v>1566</v>
      </c>
      <c r="N37" s="237">
        <v>2E-3</v>
      </c>
      <c r="O37" s="221" t="s">
        <v>1507</v>
      </c>
      <c r="P37" s="154" t="s">
        <v>31</v>
      </c>
      <c r="Q37" s="224" t="s">
        <v>31</v>
      </c>
      <c r="R37" s="225"/>
      <c r="S37" s="225"/>
      <c r="T37" s="225"/>
      <c r="U37" s="225"/>
      <c r="V37" s="225" t="s">
        <v>351</v>
      </c>
      <c r="W37" s="225"/>
      <c r="X37" s="225" t="s">
        <v>351</v>
      </c>
      <c r="Y37" s="225"/>
      <c r="Z37" s="225"/>
      <c r="AA37" s="225"/>
      <c r="AB37" s="223">
        <v>0</v>
      </c>
      <c r="AC37" s="221" t="s">
        <v>1147</v>
      </c>
      <c r="AD37" s="223">
        <v>1</v>
      </c>
      <c r="AE37" s="232" t="s">
        <v>30</v>
      </c>
      <c r="AF37" s="223">
        <v>1</v>
      </c>
      <c r="AG37" s="226" t="s">
        <v>466</v>
      </c>
      <c r="AH37" s="237">
        <v>0.11368364166964</v>
      </c>
      <c r="AI37" s="237" t="s">
        <v>456</v>
      </c>
      <c r="AJ37" s="237">
        <v>1.225952597E-5</v>
      </c>
      <c r="AK37" s="237" t="s">
        <v>456</v>
      </c>
      <c r="AL37" s="276">
        <v>8.5109999999999992</v>
      </c>
      <c r="AM37" s="230" t="s">
        <v>1143</v>
      </c>
      <c r="AN37" s="237">
        <v>1.3799999999999999E-4</v>
      </c>
      <c r="AO37" s="222" t="s">
        <v>1139</v>
      </c>
      <c r="AP37" s="237">
        <v>68900</v>
      </c>
      <c r="AQ37" s="237" t="s">
        <v>1139</v>
      </c>
      <c r="AR37" s="230">
        <v>53.064</v>
      </c>
      <c r="AS37" s="230" t="s">
        <v>1139</v>
      </c>
      <c r="AT37" s="237">
        <v>108.5</v>
      </c>
      <c r="AU37" s="222" t="s">
        <v>1139</v>
      </c>
    </row>
    <row r="38" spans="1:47" s="239" customFormat="1" ht="62">
      <c r="A38" s="221" t="s">
        <v>1119</v>
      </c>
      <c r="B38" s="223" t="s">
        <v>1120</v>
      </c>
      <c r="C38" s="223"/>
      <c r="D38" s="223"/>
      <c r="E38" s="223" t="str">
        <f t="shared" si="1"/>
        <v>Yes</v>
      </c>
      <c r="F38" s="222" t="s">
        <v>502</v>
      </c>
      <c r="G38" s="223" t="s">
        <v>472</v>
      </c>
      <c r="H38" s="237">
        <v>2.1000000000000001E-2</v>
      </c>
      <c r="I38" s="221" t="s">
        <v>1594</v>
      </c>
      <c r="J38" s="237">
        <v>6.0000000000000002E-6</v>
      </c>
      <c r="K38" s="221" t="s">
        <v>1653</v>
      </c>
      <c r="L38" s="237">
        <v>0.05</v>
      </c>
      <c r="M38" s="224" t="s">
        <v>1121</v>
      </c>
      <c r="N38" s="237">
        <v>1E-3</v>
      </c>
      <c r="O38" s="221" t="s">
        <v>1508</v>
      </c>
      <c r="P38" s="154" t="s">
        <v>31</v>
      </c>
      <c r="Q38" s="224" t="s">
        <v>31</v>
      </c>
      <c r="R38" s="225" t="s">
        <v>351</v>
      </c>
      <c r="S38" s="225"/>
      <c r="T38" s="225"/>
      <c r="U38" s="225"/>
      <c r="V38" s="225"/>
      <c r="W38" s="225"/>
      <c r="X38" s="225"/>
      <c r="Y38" s="225"/>
      <c r="Z38" s="225"/>
      <c r="AA38" s="225"/>
      <c r="AB38" s="223">
        <v>0</v>
      </c>
      <c r="AC38" s="221" t="s">
        <v>1147</v>
      </c>
      <c r="AD38" s="223">
        <v>1</v>
      </c>
      <c r="AE38" s="232" t="s">
        <v>30</v>
      </c>
      <c r="AF38" s="223">
        <v>1</v>
      </c>
      <c r="AG38" s="226" t="s">
        <v>466</v>
      </c>
      <c r="AH38" s="237">
        <v>9.3610952858929994E-2</v>
      </c>
      <c r="AI38" s="237" t="s">
        <v>456</v>
      </c>
      <c r="AJ38" s="237">
        <v>1.081924418E-5</v>
      </c>
      <c r="AK38" s="237" t="s">
        <v>456</v>
      </c>
      <c r="AL38" s="276">
        <v>39.6</v>
      </c>
      <c r="AM38" s="230" t="s">
        <v>1143</v>
      </c>
      <c r="AN38" s="237">
        <v>1.0999999999999999E-2</v>
      </c>
      <c r="AO38" s="222" t="s">
        <v>1140</v>
      </c>
      <c r="AP38" s="237">
        <v>3370</v>
      </c>
      <c r="AQ38" s="237" t="s">
        <v>1139</v>
      </c>
      <c r="AR38" s="230">
        <v>76.525999999999996</v>
      </c>
      <c r="AS38" s="230" t="s">
        <v>1139</v>
      </c>
      <c r="AT38" s="237">
        <v>367.9</v>
      </c>
      <c r="AU38" s="222" t="s">
        <v>1139</v>
      </c>
    </row>
    <row r="39" spans="1:47" ht="90">
      <c r="A39" s="221" t="s">
        <v>226</v>
      </c>
      <c r="B39" s="223" t="s">
        <v>227</v>
      </c>
      <c r="C39" s="223"/>
      <c r="D39" s="223" t="s">
        <v>76</v>
      </c>
      <c r="E39" s="223" t="str">
        <f t="shared" si="1"/>
        <v>Yes</v>
      </c>
      <c r="F39" s="222" t="s">
        <v>471</v>
      </c>
      <c r="G39" s="223" t="s">
        <v>472</v>
      </c>
      <c r="H39" s="237">
        <v>5.5E-2</v>
      </c>
      <c r="I39" s="221" t="s">
        <v>1723</v>
      </c>
      <c r="J39" s="237">
        <v>7.7999999999999999E-6</v>
      </c>
      <c r="K39" s="221" t="s">
        <v>1724</v>
      </c>
      <c r="L39" s="237">
        <v>1.2999999999999999E-3</v>
      </c>
      <c r="M39" s="224" t="s">
        <v>1457</v>
      </c>
      <c r="N39" s="237">
        <v>3.0000000000000001E-3</v>
      </c>
      <c r="O39" s="221" t="s">
        <v>997</v>
      </c>
      <c r="P39" s="154" t="s">
        <v>31</v>
      </c>
      <c r="Q39" s="224" t="s">
        <v>31</v>
      </c>
      <c r="R39" s="225"/>
      <c r="S39" s="225" t="s">
        <v>351</v>
      </c>
      <c r="T39" s="225" t="s">
        <v>351</v>
      </c>
      <c r="U39" s="225"/>
      <c r="V39" s="225"/>
      <c r="W39" s="225"/>
      <c r="X39" s="225"/>
      <c r="Y39" s="225"/>
      <c r="Z39" s="225"/>
      <c r="AA39" s="225"/>
      <c r="AB39" s="223">
        <v>0</v>
      </c>
      <c r="AC39" s="221" t="s">
        <v>1147</v>
      </c>
      <c r="AD39" s="223">
        <v>1</v>
      </c>
      <c r="AE39" s="232" t="s">
        <v>30</v>
      </c>
      <c r="AF39" s="223">
        <v>1</v>
      </c>
      <c r="AG39" s="226" t="s">
        <v>466</v>
      </c>
      <c r="AH39" s="237">
        <v>8.9538400000000004E-2</v>
      </c>
      <c r="AI39" s="237" t="s">
        <v>456</v>
      </c>
      <c r="AJ39" s="237">
        <v>1.03E-5</v>
      </c>
      <c r="AK39" s="237" t="s">
        <v>456</v>
      </c>
      <c r="AL39" s="277">
        <v>145.80000000000001</v>
      </c>
      <c r="AM39" s="230" t="s">
        <v>934</v>
      </c>
      <c r="AN39" s="237">
        <v>5.5500000000000002E-3</v>
      </c>
      <c r="AO39" s="222" t="s">
        <v>931</v>
      </c>
      <c r="AP39" s="237">
        <v>1790</v>
      </c>
      <c r="AQ39" s="237" t="s">
        <v>934</v>
      </c>
      <c r="AR39" s="229">
        <v>78.11</v>
      </c>
      <c r="AS39" s="230" t="s">
        <v>934</v>
      </c>
      <c r="AT39" s="237">
        <v>94.8</v>
      </c>
      <c r="AU39" s="222" t="s">
        <v>926</v>
      </c>
    </row>
    <row r="40" spans="1:47" ht="62">
      <c r="A40" s="221" t="s">
        <v>1112</v>
      </c>
      <c r="B40" s="223" t="s">
        <v>1113</v>
      </c>
      <c r="C40" s="223"/>
      <c r="D40" s="223"/>
      <c r="E40" s="223" t="str">
        <f t="shared" si="1"/>
        <v>Yes</v>
      </c>
      <c r="F40" s="222" t="s">
        <v>1210</v>
      </c>
      <c r="G40" s="223" t="s">
        <v>472</v>
      </c>
      <c r="H40" s="237" t="s">
        <v>31</v>
      </c>
      <c r="I40" s="221" t="s">
        <v>31</v>
      </c>
      <c r="J40" s="237" t="s">
        <v>31</v>
      </c>
      <c r="K40" s="221" t="s">
        <v>31</v>
      </c>
      <c r="L40" s="237">
        <v>8.0000000000000002E-3</v>
      </c>
      <c r="M40" s="224" t="s">
        <v>1458</v>
      </c>
      <c r="N40" s="237">
        <v>0.06</v>
      </c>
      <c r="O40" s="221" t="s">
        <v>1391</v>
      </c>
      <c r="P40" s="154" t="s">
        <v>31</v>
      </c>
      <c r="Q40" s="224" t="s">
        <v>31</v>
      </c>
      <c r="R40" s="225"/>
      <c r="S40" s="225"/>
      <c r="T40" s="225"/>
      <c r="U40" s="225"/>
      <c r="V40" s="225" t="s">
        <v>351</v>
      </c>
      <c r="W40" s="225"/>
      <c r="X40" s="225"/>
      <c r="Y40" s="225"/>
      <c r="Z40" s="225"/>
      <c r="AA40" s="225"/>
      <c r="AB40" s="223">
        <v>0</v>
      </c>
      <c r="AC40" s="221" t="s">
        <v>1147</v>
      </c>
      <c r="AD40" s="223">
        <v>1</v>
      </c>
      <c r="AE40" s="232" t="s">
        <v>30</v>
      </c>
      <c r="AF40" s="223">
        <v>1</v>
      </c>
      <c r="AG40" s="226" t="s">
        <v>466</v>
      </c>
      <c r="AH40" s="237">
        <v>5.3713170025199999E-2</v>
      </c>
      <c r="AI40" s="237" t="s">
        <v>456</v>
      </c>
      <c r="AJ40" s="237">
        <v>9.3003672675599996E-6</v>
      </c>
      <c r="AK40" s="237" t="s">
        <v>456</v>
      </c>
      <c r="AL40" s="277">
        <v>233.9</v>
      </c>
      <c r="AM40" s="230" t="s">
        <v>1143</v>
      </c>
      <c r="AN40" s="237">
        <v>2.47E-3</v>
      </c>
      <c r="AO40" s="222" t="s">
        <v>1139</v>
      </c>
      <c r="AP40" s="237">
        <v>446</v>
      </c>
      <c r="AQ40" s="237" t="s">
        <v>1139</v>
      </c>
      <c r="AR40" s="229">
        <v>157.01</v>
      </c>
      <c r="AS40" s="230" t="s">
        <v>1139</v>
      </c>
      <c r="AT40" s="237">
        <v>4.1820000000000004</v>
      </c>
      <c r="AU40" s="222" t="s">
        <v>1139</v>
      </c>
    </row>
    <row r="41" spans="1:47" ht="50">
      <c r="A41" s="221" t="s">
        <v>228</v>
      </c>
      <c r="B41" s="223" t="s">
        <v>229</v>
      </c>
      <c r="C41" s="223"/>
      <c r="D41" s="223"/>
      <c r="E41" s="223" t="str">
        <f t="shared" si="1"/>
        <v>Yes</v>
      </c>
      <c r="F41" s="222" t="s">
        <v>515</v>
      </c>
      <c r="G41" s="223" t="s">
        <v>472</v>
      </c>
      <c r="H41" s="237">
        <v>3.5000000000000003E-2</v>
      </c>
      <c r="I41" s="221" t="s">
        <v>1392</v>
      </c>
      <c r="J41" s="237" t="s">
        <v>31</v>
      </c>
      <c r="K41" s="221" t="s">
        <v>1595</v>
      </c>
      <c r="L41" s="237">
        <v>7.4999999999999997E-3</v>
      </c>
      <c r="M41" s="224" t="s">
        <v>1459</v>
      </c>
      <c r="N41" s="237" t="s">
        <v>31</v>
      </c>
      <c r="O41" s="221" t="s">
        <v>31</v>
      </c>
      <c r="P41" s="154" t="s">
        <v>31</v>
      </c>
      <c r="Q41" s="224" t="s">
        <v>31</v>
      </c>
      <c r="R41" s="245"/>
      <c r="S41" s="245"/>
      <c r="T41" s="245"/>
      <c r="U41" s="245"/>
      <c r="V41" s="245" t="s">
        <v>351</v>
      </c>
      <c r="W41" s="245"/>
      <c r="X41" s="245"/>
      <c r="Y41" s="245"/>
      <c r="Z41" s="245"/>
      <c r="AA41" s="245"/>
      <c r="AB41" s="223">
        <v>0</v>
      </c>
      <c r="AC41" s="221" t="s">
        <v>1147</v>
      </c>
      <c r="AD41" s="223">
        <v>1</v>
      </c>
      <c r="AE41" s="232" t="s">
        <v>30</v>
      </c>
      <c r="AF41" s="223">
        <v>1</v>
      </c>
      <c r="AG41" s="226" t="s">
        <v>466</v>
      </c>
      <c r="AH41" s="237">
        <v>5.6262899999999998E-2</v>
      </c>
      <c r="AI41" s="237" t="s">
        <v>456</v>
      </c>
      <c r="AJ41" s="237">
        <v>1.0699999999999999E-5</v>
      </c>
      <c r="AK41" s="237" t="s">
        <v>456</v>
      </c>
      <c r="AL41" s="238">
        <v>31.82</v>
      </c>
      <c r="AM41" s="230" t="s">
        <v>934</v>
      </c>
      <c r="AN41" s="237">
        <v>2.1199999999999999E-3</v>
      </c>
      <c r="AO41" s="222" t="s">
        <v>931</v>
      </c>
      <c r="AP41" s="237">
        <v>3030</v>
      </c>
      <c r="AQ41" s="237" t="s">
        <v>934</v>
      </c>
      <c r="AR41" s="229">
        <v>163.83000000000001</v>
      </c>
      <c r="AS41" s="230" t="s">
        <v>934</v>
      </c>
      <c r="AT41" s="237">
        <v>50</v>
      </c>
      <c r="AU41" s="222" t="s">
        <v>926</v>
      </c>
    </row>
    <row r="42" spans="1:47" ht="70">
      <c r="A42" s="221" t="s">
        <v>504</v>
      </c>
      <c r="B42" s="223" t="s">
        <v>202</v>
      </c>
      <c r="C42" s="223"/>
      <c r="D42" s="223"/>
      <c r="E42" s="223" t="str">
        <f t="shared" si="1"/>
        <v>Yes</v>
      </c>
      <c r="F42" s="222" t="s">
        <v>477</v>
      </c>
      <c r="G42" s="223" t="s">
        <v>472</v>
      </c>
      <c r="H42" s="237" t="s">
        <v>31</v>
      </c>
      <c r="I42" s="221" t="s">
        <v>31</v>
      </c>
      <c r="J42" s="237" t="s">
        <v>31</v>
      </c>
      <c r="K42" s="221" t="s">
        <v>31</v>
      </c>
      <c r="L42" s="237">
        <v>1.4E-3</v>
      </c>
      <c r="M42" s="224" t="s">
        <v>1460</v>
      </c>
      <c r="N42" s="237">
        <v>4.0000000000000001E-3</v>
      </c>
      <c r="O42" s="221" t="s">
        <v>1509</v>
      </c>
      <c r="P42" s="154" t="s">
        <v>31</v>
      </c>
      <c r="Q42" s="224" t="s">
        <v>31</v>
      </c>
      <c r="R42" s="225"/>
      <c r="S42" s="225"/>
      <c r="T42" s="225"/>
      <c r="U42" s="225"/>
      <c r="V42" s="225" t="s">
        <v>351</v>
      </c>
      <c r="W42" s="225"/>
      <c r="X42" s="225" t="s">
        <v>351</v>
      </c>
      <c r="Y42" s="225"/>
      <c r="Z42" s="225"/>
      <c r="AA42" s="225"/>
      <c r="AB42" s="223">
        <v>0</v>
      </c>
      <c r="AC42" s="221" t="s">
        <v>1147</v>
      </c>
      <c r="AD42" s="223">
        <v>1</v>
      </c>
      <c r="AE42" s="232" t="s">
        <v>30</v>
      </c>
      <c r="AF42" s="223">
        <v>1</v>
      </c>
      <c r="AG42" s="226" t="s">
        <v>466</v>
      </c>
      <c r="AH42" s="237">
        <v>0.10049669999999999</v>
      </c>
      <c r="AI42" s="237" t="s">
        <v>456</v>
      </c>
      <c r="AJ42" s="237">
        <v>1.3499999999999999E-5</v>
      </c>
      <c r="AK42" s="237" t="s">
        <v>456</v>
      </c>
      <c r="AL42" s="238">
        <v>13.22</v>
      </c>
      <c r="AM42" s="230" t="s">
        <v>934</v>
      </c>
      <c r="AN42" s="237">
        <v>7.3400000000000002E-3</v>
      </c>
      <c r="AO42" s="222" t="s">
        <v>931</v>
      </c>
      <c r="AP42" s="237">
        <v>15200</v>
      </c>
      <c r="AQ42" s="237" t="s">
        <v>934</v>
      </c>
      <c r="AR42" s="229">
        <v>94.94</v>
      </c>
      <c r="AS42" s="230" t="s">
        <v>934</v>
      </c>
      <c r="AT42" s="237">
        <v>1616</v>
      </c>
      <c r="AU42" s="222" t="s">
        <v>926</v>
      </c>
    </row>
    <row r="43" spans="1:47" ht="60">
      <c r="A43" s="221" t="s">
        <v>1152</v>
      </c>
      <c r="B43" s="223" t="s">
        <v>1153</v>
      </c>
      <c r="C43" s="223"/>
      <c r="D43" s="223"/>
      <c r="E43" s="223" t="str">
        <f t="shared" si="1"/>
        <v>Yes</v>
      </c>
      <c r="F43" s="222" t="s">
        <v>477</v>
      </c>
      <c r="G43" s="223" t="s">
        <v>472</v>
      </c>
      <c r="H43" s="237" t="s">
        <v>31</v>
      </c>
      <c r="I43" s="221" t="s">
        <v>31</v>
      </c>
      <c r="J43" s="237" t="s">
        <v>31</v>
      </c>
      <c r="K43" s="221" t="s">
        <v>31</v>
      </c>
      <c r="L43" s="237">
        <v>0.1</v>
      </c>
      <c r="M43" s="224" t="s">
        <v>1659</v>
      </c>
      <c r="N43" s="237" t="s">
        <v>31</v>
      </c>
      <c r="O43" s="221" t="s">
        <v>31</v>
      </c>
      <c r="P43" s="154" t="s">
        <v>31</v>
      </c>
      <c r="Q43" s="224" t="s">
        <v>31</v>
      </c>
      <c r="R43" s="225" t="s">
        <v>351</v>
      </c>
      <c r="S43" s="225"/>
      <c r="T43" s="225"/>
      <c r="U43" s="225"/>
      <c r="V43" s="225"/>
      <c r="W43" s="225"/>
      <c r="X43" s="225"/>
      <c r="Y43" s="225"/>
      <c r="Z43" s="225"/>
      <c r="AA43" s="225"/>
      <c r="AB43" s="223">
        <v>0</v>
      </c>
      <c r="AC43" s="221" t="s">
        <v>1147</v>
      </c>
      <c r="AD43" s="223">
        <v>1</v>
      </c>
      <c r="AE43" s="232" t="s">
        <v>30</v>
      </c>
      <c r="AF43" s="223">
        <v>1</v>
      </c>
      <c r="AG43" s="226" t="s">
        <v>466</v>
      </c>
      <c r="AH43" s="237">
        <v>9.0038707026769998E-2</v>
      </c>
      <c r="AI43" s="237" t="s">
        <v>456</v>
      </c>
      <c r="AJ43" s="237">
        <v>1.009779559E-5</v>
      </c>
      <c r="AK43" s="237" t="s">
        <v>456</v>
      </c>
      <c r="AL43" s="238">
        <v>3.4710000000000001</v>
      </c>
      <c r="AM43" s="230" t="s">
        <v>1143</v>
      </c>
      <c r="AN43" s="237">
        <v>8.8100000000000004E-6</v>
      </c>
      <c r="AO43" s="222" t="s">
        <v>1139</v>
      </c>
      <c r="AP43" s="237">
        <v>63200</v>
      </c>
      <c r="AQ43" s="237" t="s">
        <v>1139</v>
      </c>
      <c r="AR43" s="229">
        <v>74.12</v>
      </c>
      <c r="AS43" s="230" t="s">
        <v>1139</v>
      </c>
      <c r="AT43" s="237">
        <v>6.7</v>
      </c>
      <c r="AU43" s="222" t="s">
        <v>1139</v>
      </c>
    </row>
    <row r="44" spans="1:47" ht="62">
      <c r="A44" s="221" t="s">
        <v>1235</v>
      </c>
      <c r="B44" s="223" t="s">
        <v>1231</v>
      </c>
      <c r="C44" s="223"/>
      <c r="D44" s="223"/>
      <c r="E44" s="223" t="str">
        <f t="shared" si="1"/>
        <v>Yes</v>
      </c>
      <c r="F44" s="222" t="s">
        <v>1082</v>
      </c>
      <c r="G44" s="223" t="s">
        <v>472</v>
      </c>
      <c r="H44" s="237">
        <v>5.0000000000000001E-4</v>
      </c>
      <c r="I44" s="221" t="s">
        <v>1393</v>
      </c>
      <c r="J44" s="237" t="s">
        <v>31</v>
      </c>
      <c r="K44" s="221" t="s">
        <v>31</v>
      </c>
      <c r="L44" s="237">
        <v>0.4</v>
      </c>
      <c r="M44" s="224" t="s">
        <v>1630</v>
      </c>
      <c r="N44" s="237">
        <v>5</v>
      </c>
      <c r="O44" s="221" t="s">
        <v>1401</v>
      </c>
      <c r="P44" s="154" t="s">
        <v>31</v>
      </c>
      <c r="Q44" s="224" t="s">
        <v>31</v>
      </c>
      <c r="R44" s="225"/>
      <c r="S44" s="225"/>
      <c r="T44" s="225"/>
      <c r="U44" s="225" t="s">
        <v>351</v>
      </c>
      <c r="V44" s="225"/>
      <c r="W44" s="225"/>
      <c r="X44" s="225"/>
      <c r="Y44" s="225"/>
      <c r="Z44" s="225"/>
      <c r="AA44" s="225"/>
      <c r="AB44" s="223">
        <v>0</v>
      </c>
      <c r="AC44" s="221" t="s">
        <v>1147</v>
      </c>
      <c r="AD44" s="223">
        <v>1</v>
      </c>
      <c r="AE44" s="232" t="s">
        <v>30</v>
      </c>
      <c r="AF44" s="223">
        <v>1</v>
      </c>
      <c r="AG44" s="226" t="s">
        <v>466</v>
      </c>
      <c r="AH44" s="237">
        <v>8.9030987241509998E-2</v>
      </c>
      <c r="AI44" s="237" t="s">
        <v>456</v>
      </c>
      <c r="AJ44" s="237">
        <v>9.9413088784600001E-6</v>
      </c>
      <c r="AK44" s="237" t="s">
        <v>456</v>
      </c>
      <c r="AL44" s="238">
        <v>2.1110000000000002</v>
      </c>
      <c r="AM44" s="230" t="s">
        <v>1143</v>
      </c>
      <c r="AN44" s="237">
        <v>9.0499999999999997E-6</v>
      </c>
      <c r="AO44" s="222" t="s">
        <v>1139</v>
      </c>
      <c r="AP44" s="237">
        <v>1000000</v>
      </c>
      <c r="AQ44" s="237" t="s">
        <v>1139</v>
      </c>
      <c r="AR44" s="229">
        <v>74.12</v>
      </c>
      <c r="AS44" s="230" t="s">
        <v>934</v>
      </c>
      <c r="AT44" s="237">
        <v>40.700000000000003</v>
      </c>
      <c r="AU44" s="222" t="s">
        <v>1139</v>
      </c>
    </row>
    <row r="45" spans="1:47" ht="60">
      <c r="A45" s="221" t="s">
        <v>397</v>
      </c>
      <c r="B45" s="223" t="s">
        <v>18</v>
      </c>
      <c r="C45" s="223"/>
      <c r="D45" s="223"/>
      <c r="E45" s="223" t="str">
        <f t="shared" si="1"/>
        <v>Yes</v>
      </c>
      <c r="F45" s="222" t="s">
        <v>481</v>
      </c>
      <c r="G45" s="223" t="s">
        <v>469</v>
      </c>
      <c r="H45" s="237" t="s">
        <v>31</v>
      </c>
      <c r="I45" s="221" t="s">
        <v>31</v>
      </c>
      <c r="J45" s="237" t="s">
        <v>31</v>
      </c>
      <c r="K45" s="221" t="s">
        <v>31</v>
      </c>
      <c r="L45" s="237">
        <v>0.05</v>
      </c>
      <c r="M45" s="224" t="s">
        <v>1461</v>
      </c>
      <c r="N45" s="237" t="s">
        <v>31</v>
      </c>
      <c r="O45" s="221" t="s">
        <v>31</v>
      </c>
      <c r="P45" s="154" t="s">
        <v>31</v>
      </c>
      <c r="Q45" s="224" t="s">
        <v>31</v>
      </c>
      <c r="R45" s="225"/>
      <c r="S45" s="225"/>
      <c r="T45" s="225"/>
      <c r="U45" s="225"/>
      <c r="V45" s="225" t="s">
        <v>351</v>
      </c>
      <c r="W45" s="225"/>
      <c r="X45" s="225"/>
      <c r="Y45" s="225"/>
      <c r="Z45" s="225"/>
      <c r="AA45" s="225"/>
      <c r="AB45" s="223">
        <v>0</v>
      </c>
      <c r="AC45" s="221" t="s">
        <v>1147</v>
      </c>
      <c r="AD45" s="223">
        <v>1</v>
      </c>
      <c r="AE45" s="232" t="s">
        <v>30</v>
      </c>
      <c r="AF45" s="223">
        <v>1</v>
      </c>
      <c r="AG45" s="226" t="s">
        <v>466</v>
      </c>
      <c r="AH45" s="237">
        <v>5.2773199999999999E-2</v>
      </c>
      <c r="AI45" s="237" t="s">
        <v>456</v>
      </c>
      <c r="AJ45" s="237">
        <v>7.3335000000000002E-6</v>
      </c>
      <c r="AK45" s="237" t="s">
        <v>456</v>
      </c>
      <c r="AL45" s="229">
        <v>1482</v>
      </c>
      <c r="AM45" s="230" t="s">
        <v>934</v>
      </c>
      <c r="AN45" s="237">
        <v>1.5900000000000001E-2</v>
      </c>
      <c r="AO45" s="154" t="s">
        <v>927</v>
      </c>
      <c r="AP45" s="237">
        <v>11.8</v>
      </c>
      <c r="AQ45" s="237" t="s">
        <v>934</v>
      </c>
      <c r="AR45" s="229">
        <v>134.22</v>
      </c>
      <c r="AS45" s="230" t="s">
        <v>934</v>
      </c>
      <c r="AT45" s="237">
        <v>1.0641</v>
      </c>
      <c r="AU45" s="222" t="s">
        <v>926</v>
      </c>
    </row>
    <row r="46" spans="1:47" ht="40">
      <c r="A46" s="221" t="s">
        <v>144</v>
      </c>
      <c r="B46" s="223" t="s">
        <v>145</v>
      </c>
      <c r="C46" s="223"/>
      <c r="D46" s="223"/>
      <c r="E46" s="223" t="str">
        <f t="shared" si="1"/>
        <v>Yes</v>
      </c>
      <c r="F46" s="222" t="s">
        <v>481</v>
      </c>
      <c r="G46" s="222" t="s">
        <v>469</v>
      </c>
      <c r="H46" s="237" t="s">
        <v>31</v>
      </c>
      <c r="I46" s="221" t="s">
        <v>31</v>
      </c>
      <c r="J46" s="237" t="s">
        <v>31</v>
      </c>
      <c r="K46" s="221" t="s">
        <v>31</v>
      </c>
      <c r="L46" s="237">
        <v>0.1</v>
      </c>
      <c r="M46" s="224" t="s">
        <v>1402</v>
      </c>
      <c r="N46" s="237" t="s">
        <v>31</v>
      </c>
      <c r="O46" s="221" t="s">
        <v>31</v>
      </c>
      <c r="P46" s="154" t="s">
        <v>31</v>
      </c>
      <c r="Q46" s="224" t="s">
        <v>31</v>
      </c>
      <c r="R46" s="225"/>
      <c r="S46" s="225"/>
      <c r="T46" s="225"/>
      <c r="U46" s="225" t="s">
        <v>351</v>
      </c>
      <c r="V46" s="225"/>
      <c r="W46" s="225"/>
      <c r="X46" s="225"/>
      <c r="Y46" s="225"/>
      <c r="Z46" s="225"/>
      <c r="AA46" s="225"/>
      <c r="AB46" s="223">
        <v>0</v>
      </c>
      <c r="AC46" s="221" t="s">
        <v>1147</v>
      </c>
      <c r="AD46" s="223">
        <v>1</v>
      </c>
      <c r="AE46" s="232" t="s">
        <v>30</v>
      </c>
      <c r="AF46" s="223">
        <v>1</v>
      </c>
      <c r="AG46" s="226" t="s">
        <v>466</v>
      </c>
      <c r="AH46" s="237">
        <v>5.28E-2</v>
      </c>
      <c r="AI46" s="154" t="s">
        <v>557</v>
      </c>
      <c r="AJ46" s="237">
        <v>7.3300000000000001E-6</v>
      </c>
      <c r="AK46" s="154" t="s">
        <v>556</v>
      </c>
      <c r="AL46" s="229">
        <v>1331</v>
      </c>
      <c r="AM46" s="230" t="s">
        <v>934</v>
      </c>
      <c r="AN46" s="237">
        <v>1.7600000000000001E-2</v>
      </c>
      <c r="AO46" s="154" t="s">
        <v>934</v>
      </c>
      <c r="AP46" s="237">
        <v>17.600000000000001</v>
      </c>
      <c r="AQ46" s="237" t="s">
        <v>934</v>
      </c>
      <c r="AR46" s="229">
        <v>134.22</v>
      </c>
      <c r="AS46" s="230" t="s">
        <v>934</v>
      </c>
      <c r="AT46" s="237">
        <v>1.752</v>
      </c>
      <c r="AU46" s="222" t="s">
        <v>932</v>
      </c>
    </row>
    <row r="47" spans="1:47" ht="40">
      <c r="A47" s="221" t="s">
        <v>146</v>
      </c>
      <c r="B47" s="223" t="s">
        <v>147</v>
      </c>
      <c r="C47" s="223"/>
      <c r="D47" s="223"/>
      <c r="E47" s="223" t="str">
        <f t="shared" si="1"/>
        <v>Yes</v>
      </c>
      <c r="F47" s="222" t="s">
        <v>481</v>
      </c>
      <c r="G47" s="222" t="s">
        <v>469</v>
      </c>
      <c r="H47" s="237" t="s">
        <v>31</v>
      </c>
      <c r="I47" s="221" t="s">
        <v>31</v>
      </c>
      <c r="J47" s="237" t="s">
        <v>31</v>
      </c>
      <c r="K47" s="221" t="s">
        <v>31</v>
      </c>
      <c r="L47" s="237">
        <v>0.1</v>
      </c>
      <c r="M47" s="224" t="s">
        <v>1402</v>
      </c>
      <c r="N47" s="237" t="s">
        <v>31</v>
      </c>
      <c r="O47" s="221" t="s">
        <v>31</v>
      </c>
      <c r="P47" s="154" t="s">
        <v>31</v>
      </c>
      <c r="Q47" s="224" t="s">
        <v>31</v>
      </c>
      <c r="R47" s="225"/>
      <c r="S47" s="225"/>
      <c r="T47" s="225"/>
      <c r="U47" s="225" t="s">
        <v>351</v>
      </c>
      <c r="V47" s="225"/>
      <c r="W47" s="225"/>
      <c r="X47" s="225"/>
      <c r="Y47" s="225"/>
      <c r="Z47" s="225"/>
      <c r="AA47" s="225"/>
      <c r="AB47" s="223">
        <v>0</v>
      </c>
      <c r="AC47" s="221" t="s">
        <v>1147</v>
      </c>
      <c r="AD47" s="223">
        <v>1</v>
      </c>
      <c r="AE47" s="232" t="s">
        <v>30</v>
      </c>
      <c r="AF47" s="223">
        <v>1</v>
      </c>
      <c r="AG47" s="226" t="s">
        <v>466</v>
      </c>
      <c r="AH47" s="237">
        <v>5.2999999999999999E-2</v>
      </c>
      <c r="AI47" s="154" t="s">
        <v>556</v>
      </c>
      <c r="AJ47" s="237">
        <v>7.3699999999999997E-6</v>
      </c>
      <c r="AK47" s="154" t="s">
        <v>556</v>
      </c>
      <c r="AL47" s="229">
        <v>1001</v>
      </c>
      <c r="AM47" s="230" t="s">
        <v>934</v>
      </c>
      <c r="AN47" s="237">
        <v>1.32E-2</v>
      </c>
      <c r="AO47" s="154" t="s">
        <v>933</v>
      </c>
      <c r="AP47" s="237">
        <v>29.5</v>
      </c>
      <c r="AQ47" s="237" t="s">
        <v>934</v>
      </c>
      <c r="AR47" s="229">
        <v>134.22</v>
      </c>
      <c r="AS47" s="230" t="s">
        <v>934</v>
      </c>
      <c r="AT47" s="237">
        <v>2.2044000000000001</v>
      </c>
      <c r="AU47" s="222" t="s">
        <v>926</v>
      </c>
    </row>
    <row r="48" spans="1:47" ht="95.5" customHeight="1">
      <c r="A48" s="221" t="s">
        <v>148</v>
      </c>
      <c r="B48" s="223" t="s">
        <v>149</v>
      </c>
      <c r="C48" s="223"/>
      <c r="D48" s="223"/>
      <c r="E48" s="223" t="str">
        <f t="shared" si="1"/>
        <v>Yes</v>
      </c>
      <c r="F48" s="222" t="s">
        <v>480</v>
      </c>
      <c r="G48" s="223" t="s">
        <v>472</v>
      </c>
      <c r="H48" s="237" t="s">
        <v>31</v>
      </c>
      <c r="I48" s="221" t="s">
        <v>31</v>
      </c>
      <c r="J48" s="237" t="s">
        <v>31</v>
      </c>
      <c r="K48" s="221" t="s">
        <v>31</v>
      </c>
      <c r="L48" s="237">
        <v>0.1</v>
      </c>
      <c r="M48" s="224" t="s">
        <v>1707</v>
      </c>
      <c r="N48" s="237">
        <v>0.7</v>
      </c>
      <c r="O48" s="221" t="s">
        <v>1510</v>
      </c>
      <c r="P48" s="154" t="s">
        <v>31</v>
      </c>
      <c r="Q48" s="224" t="s">
        <v>39</v>
      </c>
      <c r="R48" s="225" t="s">
        <v>351</v>
      </c>
      <c r="S48" s="225"/>
      <c r="T48" s="225"/>
      <c r="U48" s="225"/>
      <c r="V48" s="225"/>
      <c r="W48" s="225" t="s">
        <v>351</v>
      </c>
      <c r="X48" s="225"/>
      <c r="Y48" s="225"/>
      <c r="Z48" s="225"/>
      <c r="AA48" s="225"/>
      <c r="AB48" s="223">
        <v>0</v>
      </c>
      <c r="AC48" s="221" t="s">
        <v>1147</v>
      </c>
      <c r="AD48" s="223">
        <v>1</v>
      </c>
      <c r="AE48" s="232" t="s">
        <v>30</v>
      </c>
      <c r="AF48" s="223">
        <v>1</v>
      </c>
      <c r="AG48" s="221" t="s">
        <v>197</v>
      </c>
      <c r="AH48" s="237">
        <v>0.1064466</v>
      </c>
      <c r="AI48" s="237" t="s">
        <v>456</v>
      </c>
      <c r="AJ48" s="237">
        <v>1.2999999999999999E-5</v>
      </c>
      <c r="AK48" s="237" t="s">
        <v>456</v>
      </c>
      <c r="AL48" s="238">
        <v>21.73</v>
      </c>
      <c r="AM48" s="230" t="s">
        <v>934</v>
      </c>
      <c r="AN48" s="237">
        <v>1.44E-2</v>
      </c>
      <c r="AO48" s="154" t="s">
        <v>936</v>
      </c>
      <c r="AP48" s="237">
        <v>2160</v>
      </c>
      <c r="AQ48" s="237" t="s">
        <v>934</v>
      </c>
      <c r="AR48" s="229">
        <v>76.13</v>
      </c>
      <c r="AS48" s="230" t="s">
        <v>934</v>
      </c>
      <c r="AT48" s="237">
        <v>359</v>
      </c>
      <c r="AU48" s="222" t="s">
        <v>926</v>
      </c>
    </row>
    <row r="49" spans="1:47" ht="101.5">
      <c r="A49" s="221" t="s">
        <v>150</v>
      </c>
      <c r="B49" s="223" t="s">
        <v>151</v>
      </c>
      <c r="C49" s="223"/>
      <c r="D49" s="223" t="s">
        <v>76</v>
      </c>
      <c r="E49" s="223" t="str">
        <f t="shared" si="1"/>
        <v>Yes</v>
      </c>
      <c r="F49" s="222" t="s">
        <v>516</v>
      </c>
      <c r="G49" s="223" t="s">
        <v>472</v>
      </c>
      <c r="H49" s="154">
        <v>7.0000000000000007E-2</v>
      </c>
      <c r="I49" s="221" t="s">
        <v>1358</v>
      </c>
      <c r="J49" s="237">
        <v>6.0000000000000002E-6</v>
      </c>
      <c r="K49" s="221" t="s">
        <v>822</v>
      </c>
      <c r="L49" s="237">
        <v>3.3E-3</v>
      </c>
      <c r="M49" s="224" t="s">
        <v>1085</v>
      </c>
      <c r="N49" s="237">
        <v>0.1</v>
      </c>
      <c r="O49" s="221" t="s">
        <v>1511</v>
      </c>
      <c r="P49" s="154" t="s">
        <v>31</v>
      </c>
      <c r="Q49" s="224" t="s">
        <v>31</v>
      </c>
      <c r="R49" s="225"/>
      <c r="S49" s="225"/>
      <c r="T49" s="225" t="s">
        <v>351</v>
      </c>
      <c r="U49" s="225"/>
      <c r="V49" s="225" t="s">
        <v>351</v>
      </c>
      <c r="W49" s="225"/>
      <c r="X49" s="225"/>
      <c r="Y49" s="225"/>
      <c r="Z49" s="225"/>
      <c r="AA49" s="225"/>
      <c r="AB49" s="223">
        <v>0</v>
      </c>
      <c r="AC49" s="221" t="s">
        <v>1147</v>
      </c>
      <c r="AD49" s="223">
        <v>1</v>
      </c>
      <c r="AE49" s="232" t="s">
        <v>30</v>
      </c>
      <c r="AF49" s="223">
        <v>1</v>
      </c>
      <c r="AG49" s="226" t="s">
        <v>466</v>
      </c>
      <c r="AH49" s="237">
        <v>5.71435E-2</v>
      </c>
      <c r="AI49" s="237" t="s">
        <v>456</v>
      </c>
      <c r="AJ49" s="237">
        <v>9.7849000000000001E-6</v>
      </c>
      <c r="AK49" s="237" t="s">
        <v>456</v>
      </c>
      <c r="AL49" s="238">
        <v>43.89</v>
      </c>
      <c r="AM49" s="230" t="s">
        <v>934</v>
      </c>
      <c r="AN49" s="237">
        <v>2.76E-2</v>
      </c>
      <c r="AO49" s="154" t="s">
        <v>936</v>
      </c>
      <c r="AP49" s="237">
        <v>793</v>
      </c>
      <c r="AQ49" s="237" t="s">
        <v>934</v>
      </c>
      <c r="AR49" s="229">
        <v>153.82</v>
      </c>
      <c r="AS49" s="230" t="s">
        <v>934</v>
      </c>
      <c r="AT49" s="237">
        <v>115</v>
      </c>
      <c r="AU49" s="222" t="s">
        <v>926</v>
      </c>
    </row>
    <row r="50" spans="1:47" ht="82">
      <c r="A50" s="221" t="s">
        <v>19</v>
      </c>
      <c r="B50" s="223" t="s">
        <v>20</v>
      </c>
      <c r="C50" s="223"/>
      <c r="D50" s="223"/>
      <c r="E50" s="223" t="str">
        <f t="shared" si="1"/>
        <v>Yes</v>
      </c>
      <c r="F50" s="222" t="s">
        <v>477</v>
      </c>
      <c r="G50" s="223" t="s">
        <v>472</v>
      </c>
      <c r="H50" s="237" t="s">
        <v>31</v>
      </c>
      <c r="I50" s="221" t="s">
        <v>31</v>
      </c>
      <c r="J50" s="237" t="s">
        <v>31</v>
      </c>
      <c r="K50" s="221" t="s">
        <v>31</v>
      </c>
      <c r="L50" s="237">
        <v>0.02</v>
      </c>
      <c r="M50" s="224" t="s">
        <v>1706</v>
      </c>
      <c r="N50" s="237">
        <v>0.05</v>
      </c>
      <c r="O50" s="221" t="s">
        <v>1619</v>
      </c>
      <c r="P50" s="154" t="s">
        <v>31</v>
      </c>
      <c r="Q50" s="224" t="s">
        <v>31</v>
      </c>
      <c r="R50" s="225"/>
      <c r="S50" s="225"/>
      <c r="T50" s="225"/>
      <c r="U50" s="225" t="s">
        <v>351</v>
      </c>
      <c r="V50" s="225" t="s">
        <v>351</v>
      </c>
      <c r="W50" s="225"/>
      <c r="X50" s="225"/>
      <c r="Y50" s="225"/>
      <c r="Z50" s="225"/>
      <c r="AA50" s="225"/>
      <c r="AB50" s="223">
        <v>0</v>
      </c>
      <c r="AC50" s="221" t="s">
        <v>1147</v>
      </c>
      <c r="AD50" s="223">
        <v>1</v>
      </c>
      <c r="AE50" s="232" t="s">
        <v>30</v>
      </c>
      <c r="AF50" s="223">
        <v>1</v>
      </c>
      <c r="AG50" s="226" t="s">
        <v>466</v>
      </c>
      <c r="AH50" s="237">
        <v>7.2130600000000003E-2</v>
      </c>
      <c r="AI50" s="237" t="s">
        <v>456</v>
      </c>
      <c r="AJ50" s="237">
        <v>9.4764999999999998E-6</v>
      </c>
      <c r="AK50" s="237" t="s">
        <v>456</v>
      </c>
      <c r="AL50" s="277">
        <v>233.9</v>
      </c>
      <c r="AM50" s="230" t="s">
        <v>934</v>
      </c>
      <c r="AN50" s="237">
        <v>3.1099999999999999E-3</v>
      </c>
      <c r="AO50" s="154" t="s">
        <v>936</v>
      </c>
      <c r="AP50" s="237">
        <v>498</v>
      </c>
      <c r="AQ50" s="237" t="s">
        <v>934</v>
      </c>
      <c r="AR50" s="229">
        <v>112.56</v>
      </c>
      <c r="AS50" s="230" t="s">
        <v>934</v>
      </c>
      <c r="AT50" s="237">
        <v>11.97</v>
      </c>
      <c r="AU50" s="222" t="s">
        <v>926</v>
      </c>
    </row>
    <row r="51" spans="1:47" ht="74">
      <c r="A51" s="221" t="s">
        <v>505</v>
      </c>
      <c r="B51" s="223" t="s">
        <v>21</v>
      </c>
      <c r="C51" s="223"/>
      <c r="D51" s="223"/>
      <c r="E51" s="223" t="str">
        <f t="shared" si="1"/>
        <v>Yes</v>
      </c>
      <c r="F51" s="722" t="s">
        <v>1312</v>
      </c>
      <c r="G51" s="723" t="s">
        <v>469</v>
      </c>
      <c r="H51" s="237" t="s">
        <v>31</v>
      </c>
      <c r="I51" s="278" t="s">
        <v>31</v>
      </c>
      <c r="J51" s="237" t="s">
        <v>31</v>
      </c>
      <c r="K51" s="221" t="s">
        <v>31</v>
      </c>
      <c r="L51" s="237" t="s">
        <v>31</v>
      </c>
      <c r="M51" s="279" t="s">
        <v>31</v>
      </c>
      <c r="N51" s="237">
        <v>4</v>
      </c>
      <c r="O51" s="221" t="s">
        <v>1512</v>
      </c>
      <c r="P51" s="154" t="s">
        <v>31</v>
      </c>
      <c r="Q51" s="224" t="s">
        <v>31</v>
      </c>
      <c r="R51" s="225"/>
      <c r="S51" s="225"/>
      <c r="T51" s="225"/>
      <c r="U51" s="225"/>
      <c r="V51" s="225"/>
      <c r="W51" s="225" t="s">
        <v>351</v>
      </c>
      <c r="X51" s="225"/>
      <c r="Y51" s="225"/>
      <c r="Z51" s="225"/>
      <c r="AA51" s="225"/>
      <c r="AB51" s="223">
        <v>0</v>
      </c>
      <c r="AC51" s="221" t="s">
        <v>1147</v>
      </c>
      <c r="AD51" s="223">
        <v>1</v>
      </c>
      <c r="AE51" s="232" t="s">
        <v>30</v>
      </c>
      <c r="AF51" s="223">
        <v>1</v>
      </c>
      <c r="AG51" s="226" t="s">
        <v>466</v>
      </c>
      <c r="AH51" s="237">
        <v>0.103754</v>
      </c>
      <c r="AI51" s="237" t="s">
        <v>456</v>
      </c>
      <c r="AJ51" s="237">
        <v>1.1600000000000001E-5</v>
      </c>
      <c r="AK51" s="237" t="s">
        <v>456</v>
      </c>
      <c r="AL51" s="238">
        <v>21.73</v>
      </c>
      <c r="AM51" s="230" t="s">
        <v>934</v>
      </c>
      <c r="AN51" s="237">
        <v>1.11E-2</v>
      </c>
      <c r="AO51" s="154" t="s">
        <v>936</v>
      </c>
      <c r="AP51" s="237">
        <v>6710</v>
      </c>
      <c r="AQ51" s="237" t="s">
        <v>934</v>
      </c>
      <c r="AR51" s="229">
        <v>64.52</v>
      </c>
      <c r="AS51" s="230" t="s">
        <v>934</v>
      </c>
      <c r="AT51" s="237">
        <v>1008</v>
      </c>
      <c r="AU51" s="222" t="s">
        <v>926</v>
      </c>
    </row>
    <row r="52" spans="1:47" ht="100">
      <c r="A52" s="221" t="s">
        <v>682</v>
      </c>
      <c r="B52" s="223" t="s">
        <v>155</v>
      </c>
      <c r="C52" s="223"/>
      <c r="D52" s="223"/>
      <c r="E52" s="223" t="str">
        <f t="shared" si="1"/>
        <v>Yes</v>
      </c>
      <c r="F52" s="222" t="s">
        <v>1084</v>
      </c>
      <c r="G52" s="223" t="s">
        <v>472</v>
      </c>
      <c r="H52" s="237" t="s">
        <v>31</v>
      </c>
      <c r="I52" s="237" t="s">
        <v>31</v>
      </c>
      <c r="J52" s="237" t="s">
        <v>31</v>
      </c>
      <c r="K52" s="221" t="s">
        <v>31</v>
      </c>
      <c r="L52" s="237">
        <v>0.02</v>
      </c>
      <c r="M52" s="224" t="s">
        <v>1462</v>
      </c>
      <c r="N52" s="237">
        <v>2E-3</v>
      </c>
      <c r="O52" s="221" t="s">
        <v>1463</v>
      </c>
      <c r="P52" s="154" t="s">
        <v>31</v>
      </c>
      <c r="Q52" s="224" t="s">
        <v>31</v>
      </c>
      <c r="R52" s="225"/>
      <c r="S52" s="225"/>
      <c r="T52" s="225"/>
      <c r="U52" s="225"/>
      <c r="V52" s="225" t="s">
        <v>351</v>
      </c>
      <c r="W52" s="225"/>
      <c r="X52" s="225" t="s">
        <v>351</v>
      </c>
      <c r="Y52" s="225"/>
      <c r="Z52" s="225"/>
      <c r="AA52" s="225"/>
      <c r="AB52" s="223">
        <v>0</v>
      </c>
      <c r="AC52" s="221" t="s">
        <v>1147</v>
      </c>
      <c r="AD52" s="223">
        <v>1</v>
      </c>
      <c r="AE52" s="232" t="s">
        <v>30</v>
      </c>
      <c r="AF52" s="223">
        <v>1</v>
      </c>
      <c r="AG52" s="226" t="s">
        <v>466</v>
      </c>
      <c r="AH52" s="237">
        <v>7.6919699999999994E-2</v>
      </c>
      <c r="AI52" s="237" t="s">
        <v>456</v>
      </c>
      <c r="AJ52" s="237">
        <v>1.0900000000000001E-5</v>
      </c>
      <c r="AK52" s="237" t="s">
        <v>456</v>
      </c>
      <c r="AL52" s="238">
        <v>31.82</v>
      </c>
      <c r="AM52" s="230" t="s">
        <v>934</v>
      </c>
      <c r="AN52" s="237">
        <v>3.6700000000000001E-3</v>
      </c>
      <c r="AO52" s="154" t="s">
        <v>936</v>
      </c>
      <c r="AP52" s="237">
        <v>7950</v>
      </c>
      <c r="AQ52" s="237" t="s">
        <v>934</v>
      </c>
      <c r="AR52" s="229">
        <v>119.38</v>
      </c>
      <c r="AS52" s="230" t="s">
        <v>934</v>
      </c>
      <c r="AT52" s="237">
        <v>197</v>
      </c>
      <c r="AU52" s="222" t="s">
        <v>926</v>
      </c>
    </row>
    <row r="53" spans="1:47" ht="62">
      <c r="A53" s="221" t="s">
        <v>424</v>
      </c>
      <c r="B53" s="223" t="s">
        <v>132</v>
      </c>
      <c r="C53" s="223"/>
      <c r="D53" s="223"/>
      <c r="E53" s="223" t="str">
        <f t="shared" si="1"/>
        <v>Yes</v>
      </c>
      <c r="F53" s="222" t="s">
        <v>477</v>
      </c>
      <c r="G53" s="223" t="s">
        <v>472</v>
      </c>
      <c r="H53" s="237" t="s">
        <v>31</v>
      </c>
      <c r="I53" s="221" t="s">
        <v>31</v>
      </c>
      <c r="J53" s="237" t="s">
        <v>31</v>
      </c>
      <c r="K53" s="221" t="s">
        <v>31</v>
      </c>
      <c r="L53" s="237" t="s">
        <v>31</v>
      </c>
      <c r="M53" s="224" t="s">
        <v>31</v>
      </c>
      <c r="N53" s="154">
        <v>0.09</v>
      </c>
      <c r="O53" s="221" t="s">
        <v>1513</v>
      </c>
      <c r="P53" s="154" t="s">
        <v>31</v>
      </c>
      <c r="Q53" s="224" t="s">
        <v>31</v>
      </c>
      <c r="R53" s="225" t="s">
        <v>351</v>
      </c>
      <c r="S53" s="225"/>
      <c r="T53" s="225"/>
      <c r="U53" s="225"/>
      <c r="V53" s="225"/>
      <c r="W53" s="225"/>
      <c r="X53" s="225"/>
      <c r="Y53" s="225"/>
      <c r="Z53" s="225"/>
      <c r="AA53" s="225"/>
      <c r="AB53" s="223">
        <v>0</v>
      </c>
      <c r="AC53" s="221" t="s">
        <v>1147</v>
      </c>
      <c r="AD53" s="223">
        <v>1</v>
      </c>
      <c r="AE53" s="232" t="s">
        <v>30</v>
      </c>
      <c r="AF53" s="223">
        <v>1</v>
      </c>
      <c r="AG53" s="226" t="s">
        <v>466</v>
      </c>
      <c r="AH53" s="237">
        <v>0.1239618</v>
      </c>
      <c r="AI53" s="237" t="s">
        <v>456</v>
      </c>
      <c r="AJ53" s="237">
        <v>1.36E-5</v>
      </c>
      <c r="AK53" s="237" t="s">
        <v>456</v>
      </c>
      <c r="AL53" s="238">
        <v>13.22</v>
      </c>
      <c r="AM53" s="230" t="s">
        <v>934</v>
      </c>
      <c r="AN53" s="237">
        <v>8.8199999999999997E-3</v>
      </c>
      <c r="AO53" s="154" t="s">
        <v>936</v>
      </c>
      <c r="AP53" s="237">
        <v>5320</v>
      </c>
      <c r="AQ53" s="237" t="s">
        <v>934</v>
      </c>
      <c r="AR53" s="229">
        <v>50.49</v>
      </c>
      <c r="AS53" s="230" t="s">
        <v>934</v>
      </c>
      <c r="AT53" s="237">
        <v>3.43</v>
      </c>
      <c r="AU53" s="222" t="s">
        <v>926</v>
      </c>
    </row>
    <row r="54" spans="1:47" ht="102">
      <c r="A54" s="221" t="s">
        <v>1196</v>
      </c>
      <c r="B54" s="223" t="s">
        <v>1166</v>
      </c>
      <c r="C54" s="223"/>
      <c r="D54" s="223" t="s">
        <v>76</v>
      </c>
      <c r="E54" s="223" t="str">
        <f t="shared" si="1"/>
        <v>Yes</v>
      </c>
      <c r="F54" s="222" t="s">
        <v>1216</v>
      </c>
      <c r="G54" s="223" t="s">
        <v>472</v>
      </c>
      <c r="H54" s="237" t="s">
        <v>31</v>
      </c>
      <c r="I54" s="221" t="s">
        <v>31</v>
      </c>
      <c r="J54" s="237">
        <v>2.9999999999999997E-4</v>
      </c>
      <c r="K54" s="221" t="s">
        <v>1725</v>
      </c>
      <c r="L54" s="237">
        <v>0.02</v>
      </c>
      <c r="M54" s="224" t="s">
        <v>1382</v>
      </c>
      <c r="N54" s="154">
        <v>0.02</v>
      </c>
      <c r="O54" s="221" t="s">
        <v>1381</v>
      </c>
      <c r="P54" s="154" t="s">
        <v>31</v>
      </c>
      <c r="Q54" s="224" t="s">
        <v>31</v>
      </c>
      <c r="R54" s="225" t="s">
        <v>351</v>
      </c>
      <c r="S54" s="225"/>
      <c r="T54" s="225" t="s">
        <v>351</v>
      </c>
      <c r="U54" s="225"/>
      <c r="V54" s="225"/>
      <c r="W54" s="225"/>
      <c r="X54" s="225" t="s">
        <v>351</v>
      </c>
      <c r="Y54" s="225"/>
      <c r="Z54" s="225"/>
      <c r="AA54" s="225"/>
      <c r="AB54" s="223">
        <v>0</v>
      </c>
      <c r="AC54" s="221" t="s">
        <v>1147</v>
      </c>
      <c r="AD54" s="223">
        <v>1</v>
      </c>
      <c r="AE54" s="232" t="s">
        <v>30</v>
      </c>
      <c r="AF54" s="223">
        <v>1</v>
      </c>
      <c r="AG54" s="226" t="s">
        <v>466</v>
      </c>
      <c r="AH54" s="237">
        <v>8.4148902764249994E-2</v>
      </c>
      <c r="AI54" s="237" t="s">
        <v>456</v>
      </c>
      <c r="AJ54" s="237">
        <v>1.0029323170000001E-5</v>
      </c>
      <c r="AK54" s="237" t="s">
        <v>456</v>
      </c>
      <c r="AL54" s="238">
        <v>60.7</v>
      </c>
      <c r="AM54" s="230" t="s">
        <v>1143</v>
      </c>
      <c r="AN54" s="237">
        <v>5.6099999999999997E-2</v>
      </c>
      <c r="AO54" s="154" t="s">
        <v>1141</v>
      </c>
      <c r="AP54" s="237">
        <v>874.9</v>
      </c>
      <c r="AQ54" s="237" t="s">
        <v>934</v>
      </c>
      <c r="AR54" s="229">
        <v>88.537000000000006</v>
      </c>
      <c r="AS54" s="230" t="s">
        <v>1139</v>
      </c>
      <c r="AT54" s="237">
        <v>215.5</v>
      </c>
      <c r="AU54" s="222" t="s">
        <v>1139</v>
      </c>
    </row>
    <row r="55" spans="1:47" ht="60">
      <c r="A55" s="221" t="s">
        <v>454</v>
      </c>
      <c r="B55" s="223" t="s">
        <v>133</v>
      </c>
      <c r="C55" s="223"/>
      <c r="D55" s="223"/>
      <c r="E55" s="223" t="str">
        <f t="shared" si="1"/>
        <v>Yes</v>
      </c>
      <c r="F55" s="222" t="s">
        <v>517</v>
      </c>
      <c r="G55" s="223" t="s">
        <v>472</v>
      </c>
      <c r="H55" s="237" t="s">
        <v>31</v>
      </c>
      <c r="I55" s="221" t="s">
        <v>31</v>
      </c>
      <c r="J55" s="237" t="s">
        <v>31</v>
      </c>
      <c r="K55" s="221" t="s">
        <v>31</v>
      </c>
      <c r="L55" s="237">
        <v>0.02</v>
      </c>
      <c r="M55" s="224" t="s">
        <v>1464</v>
      </c>
      <c r="N55" s="237" t="s">
        <v>31</v>
      </c>
      <c r="O55" s="221" t="s">
        <v>31</v>
      </c>
      <c r="P55" s="154" t="s">
        <v>31</v>
      </c>
      <c r="Q55" s="224" t="s">
        <v>31</v>
      </c>
      <c r="R55" s="225"/>
      <c r="S55" s="225"/>
      <c r="T55" s="225"/>
      <c r="U55" s="225"/>
      <c r="V55" s="225"/>
      <c r="W55" s="225"/>
      <c r="X55" s="225"/>
      <c r="Y55" s="225"/>
      <c r="Z55" s="225"/>
      <c r="AA55" s="225"/>
      <c r="AB55" s="223">
        <v>0</v>
      </c>
      <c r="AC55" s="221" t="s">
        <v>1147</v>
      </c>
      <c r="AD55" s="223">
        <v>1</v>
      </c>
      <c r="AE55" s="232" t="s">
        <v>30</v>
      </c>
      <c r="AF55" s="223">
        <v>1</v>
      </c>
      <c r="AG55" s="226" t="s">
        <v>466</v>
      </c>
      <c r="AH55" s="237">
        <v>6.29025E-2</v>
      </c>
      <c r="AI55" s="237" t="s">
        <v>456</v>
      </c>
      <c r="AJ55" s="237">
        <v>8.7193999999999999E-6</v>
      </c>
      <c r="AK55" s="237" t="s">
        <v>456</v>
      </c>
      <c r="AL55" s="277">
        <v>382.9</v>
      </c>
      <c r="AM55" s="230" t="s">
        <v>934</v>
      </c>
      <c r="AN55" s="237">
        <v>3.5699999999999998E-3</v>
      </c>
      <c r="AO55" s="154" t="s">
        <v>936</v>
      </c>
      <c r="AP55" s="237">
        <v>374</v>
      </c>
      <c r="AQ55" s="237" t="s">
        <v>934</v>
      </c>
      <c r="AR55" s="229">
        <v>126.59</v>
      </c>
      <c r="AS55" s="230" t="s">
        <v>934</v>
      </c>
      <c r="AT55" s="237">
        <v>3.43</v>
      </c>
      <c r="AU55" s="222" t="s">
        <v>926</v>
      </c>
    </row>
    <row r="56" spans="1:47" ht="60">
      <c r="A56" s="221" t="s">
        <v>1217</v>
      </c>
      <c r="B56" s="223" t="s">
        <v>1193</v>
      </c>
      <c r="C56" s="223"/>
      <c r="D56" s="223"/>
      <c r="E56" s="223" t="str">
        <f t="shared" si="1"/>
        <v>Yes</v>
      </c>
      <c r="F56" s="222" t="s">
        <v>520</v>
      </c>
      <c r="G56" s="223" t="s">
        <v>472</v>
      </c>
      <c r="H56" s="237">
        <v>1.9</v>
      </c>
      <c r="I56" s="221" t="s">
        <v>1428</v>
      </c>
      <c r="J56" s="237" t="s">
        <v>31</v>
      </c>
      <c r="K56" s="221" t="s">
        <v>31</v>
      </c>
      <c r="L56" s="237">
        <v>1E-3</v>
      </c>
      <c r="M56" s="224" t="s">
        <v>1660</v>
      </c>
      <c r="N56" s="237" t="s">
        <v>31</v>
      </c>
      <c r="O56" s="221" t="s">
        <v>31</v>
      </c>
      <c r="P56" s="154" t="s">
        <v>31</v>
      </c>
      <c r="Q56" s="224" t="s">
        <v>31</v>
      </c>
      <c r="R56" s="225"/>
      <c r="S56" s="225"/>
      <c r="T56" s="225"/>
      <c r="U56" s="225"/>
      <c r="V56" s="225" t="s">
        <v>351</v>
      </c>
      <c r="W56" s="225"/>
      <c r="X56" s="225"/>
      <c r="Y56" s="225"/>
      <c r="Z56" s="225"/>
      <c r="AA56" s="225"/>
      <c r="AB56" s="223">
        <v>0</v>
      </c>
      <c r="AC56" s="221" t="s">
        <v>1147</v>
      </c>
      <c r="AD56" s="223">
        <v>1</v>
      </c>
      <c r="AE56" s="232" t="s">
        <v>30</v>
      </c>
      <c r="AF56" s="223">
        <v>1</v>
      </c>
      <c r="AG56" s="226" t="s">
        <v>466</v>
      </c>
      <c r="AH56" s="237">
        <v>9.5923530204479995E-2</v>
      </c>
      <c r="AI56" s="237" t="s">
        <v>456</v>
      </c>
      <c r="AJ56" s="237">
        <v>1.0764951860000001E-5</v>
      </c>
      <c r="AK56" s="237" t="s">
        <v>456</v>
      </c>
      <c r="AL56" s="277">
        <v>1.7929999999999999</v>
      </c>
      <c r="AM56" s="230" t="s">
        <v>1143</v>
      </c>
      <c r="AN56" s="237">
        <v>1.9400000000000001E-5</v>
      </c>
      <c r="AO56" s="154" t="s">
        <v>1139</v>
      </c>
      <c r="AP56" s="237">
        <v>181000</v>
      </c>
      <c r="AQ56" s="237" t="s">
        <v>1139</v>
      </c>
      <c r="AR56" s="229">
        <v>70.091999999999999</v>
      </c>
      <c r="AS56" s="230" t="s">
        <v>1139</v>
      </c>
      <c r="AT56" s="237">
        <v>30</v>
      </c>
      <c r="AU56" s="222" t="s">
        <v>1139</v>
      </c>
    </row>
    <row r="57" spans="1:47" ht="82">
      <c r="A57" s="221" t="s">
        <v>14</v>
      </c>
      <c r="B57" s="223" t="s">
        <v>15</v>
      </c>
      <c r="C57" s="223"/>
      <c r="D57" s="223"/>
      <c r="E57" s="223" t="str">
        <f t="shared" si="1"/>
        <v>Yes</v>
      </c>
      <c r="F57" s="222" t="s">
        <v>477</v>
      </c>
      <c r="G57" s="223" t="s">
        <v>472</v>
      </c>
      <c r="H57" s="237" t="s">
        <v>31</v>
      </c>
      <c r="I57" s="221" t="s">
        <v>31</v>
      </c>
      <c r="J57" s="237" t="s">
        <v>31</v>
      </c>
      <c r="K57" s="221" t="s">
        <v>31</v>
      </c>
      <c r="L57" s="237">
        <v>0.1</v>
      </c>
      <c r="M57" s="224" t="s">
        <v>1406</v>
      </c>
      <c r="N57" s="237">
        <v>0.4</v>
      </c>
      <c r="O57" s="221" t="s">
        <v>1514</v>
      </c>
      <c r="P57" s="154" t="s">
        <v>31</v>
      </c>
      <c r="Q57" s="224" t="s">
        <v>31</v>
      </c>
      <c r="R57" s="225"/>
      <c r="S57" s="225"/>
      <c r="T57" s="225"/>
      <c r="U57" s="225" t="s">
        <v>351</v>
      </c>
      <c r="V57" s="225"/>
      <c r="W57" s="225"/>
      <c r="X57" s="225"/>
      <c r="Y57" s="225"/>
      <c r="Z57" s="225"/>
      <c r="AA57" s="225"/>
      <c r="AB57" s="223">
        <v>0</v>
      </c>
      <c r="AC57" s="221" t="s">
        <v>1147</v>
      </c>
      <c r="AD57" s="223">
        <v>1</v>
      </c>
      <c r="AE57" s="232" t="s">
        <v>30</v>
      </c>
      <c r="AF57" s="223">
        <v>1</v>
      </c>
      <c r="AG57" s="226" t="s">
        <v>466</v>
      </c>
      <c r="AH57" s="237">
        <v>6.0304400000000001E-2</v>
      </c>
      <c r="AI57" s="237" t="s">
        <v>456</v>
      </c>
      <c r="AJ57" s="237">
        <v>7.8566000000000003E-6</v>
      </c>
      <c r="AK57" s="237" t="s">
        <v>456</v>
      </c>
      <c r="AL57" s="277">
        <v>697.8</v>
      </c>
      <c r="AM57" s="230" t="s">
        <v>934</v>
      </c>
      <c r="AN57" s="237">
        <v>1.15E-2</v>
      </c>
      <c r="AO57" s="154" t="s">
        <v>936</v>
      </c>
      <c r="AP57" s="237">
        <v>61.3</v>
      </c>
      <c r="AQ57" s="237" t="s">
        <v>934</v>
      </c>
      <c r="AR57" s="229">
        <v>120.2</v>
      </c>
      <c r="AS57" s="230" t="s">
        <v>934</v>
      </c>
      <c r="AT57" s="237">
        <v>4.5</v>
      </c>
      <c r="AU57" s="222" t="s">
        <v>926</v>
      </c>
    </row>
    <row r="58" spans="1:47" ht="62">
      <c r="A58" s="221" t="s">
        <v>1303</v>
      </c>
      <c r="B58" s="242" t="s">
        <v>126</v>
      </c>
      <c r="C58" s="223"/>
      <c r="D58" s="223"/>
      <c r="E58" s="223" t="str">
        <f t="shared" si="1"/>
        <v>Yes</v>
      </c>
      <c r="F58" s="222" t="s">
        <v>516</v>
      </c>
      <c r="G58" s="223" t="s">
        <v>472</v>
      </c>
      <c r="H58" s="243">
        <v>3.6</v>
      </c>
      <c r="I58" s="241" t="s">
        <v>1302</v>
      </c>
      <c r="J58" s="243">
        <v>5.9999999999999995E-4</v>
      </c>
      <c r="K58" s="241" t="s">
        <v>823</v>
      </c>
      <c r="L58" s="243">
        <v>2.0999999999999999E-3</v>
      </c>
      <c r="M58" s="244" t="s">
        <v>1542</v>
      </c>
      <c r="N58" s="243">
        <v>8.9999999999999993E-3</v>
      </c>
      <c r="O58" s="241" t="s">
        <v>1515</v>
      </c>
      <c r="P58" s="228" t="s">
        <v>31</v>
      </c>
      <c r="Q58" s="244" t="s">
        <v>31</v>
      </c>
      <c r="R58" s="245"/>
      <c r="S58" s="245"/>
      <c r="T58" s="245" t="s">
        <v>351</v>
      </c>
      <c r="U58" s="245"/>
      <c r="V58" s="245" t="s">
        <v>351</v>
      </c>
      <c r="W58" s="245" t="s">
        <v>351</v>
      </c>
      <c r="X58" s="245" t="s">
        <v>351</v>
      </c>
      <c r="Y58" s="245"/>
      <c r="Z58" s="245"/>
      <c r="AA58" s="245"/>
      <c r="AB58" s="242">
        <v>0</v>
      </c>
      <c r="AC58" s="221" t="s">
        <v>1147</v>
      </c>
      <c r="AD58" s="242">
        <v>1</v>
      </c>
      <c r="AE58" s="246" t="s">
        <v>30</v>
      </c>
      <c r="AF58" s="223">
        <v>1</v>
      </c>
      <c r="AG58" s="226" t="s">
        <v>466</v>
      </c>
      <c r="AH58" s="243">
        <v>4.3034799999999998E-2</v>
      </c>
      <c r="AI58" s="237" t="s">
        <v>456</v>
      </c>
      <c r="AJ58" s="243">
        <v>1.04E-5</v>
      </c>
      <c r="AK58" s="237" t="s">
        <v>456</v>
      </c>
      <c r="AL58" s="280">
        <v>39.6</v>
      </c>
      <c r="AM58" s="230" t="s">
        <v>934</v>
      </c>
      <c r="AN58" s="243">
        <v>6.4999999999999997E-4</v>
      </c>
      <c r="AO58" s="154" t="s">
        <v>936</v>
      </c>
      <c r="AP58" s="243">
        <v>3910</v>
      </c>
      <c r="AQ58" s="237" t="s">
        <v>934</v>
      </c>
      <c r="AR58" s="229">
        <v>187.86</v>
      </c>
      <c r="AS58" s="230" t="s">
        <v>934</v>
      </c>
      <c r="AT58" s="237">
        <v>11.2</v>
      </c>
      <c r="AU58" s="222" t="s">
        <v>926</v>
      </c>
    </row>
    <row r="59" spans="1:47" ht="70">
      <c r="A59" s="234" t="s">
        <v>506</v>
      </c>
      <c r="B59" s="223" t="s">
        <v>176</v>
      </c>
      <c r="C59" s="223"/>
      <c r="D59" s="223"/>
      <c r="E59" s="223" t="str">
        <f t="shared" si="1"/>
        <v>Yes</v>
      </c>
      <c r="F59" s="222" t="s">
        <v>481</v>
      </c>
      <c r="G59" s="223" t="s">
        <v>469</v>
      </c>
      <c r="H59" s="237" t="s">
        <v>31</v>
      </c>
      <c r="I59" s="222" t="s">
        <v>31</v>
      </c>
      <c r="J59" s="237" t="s">
        <v>31</v>
      </c>
      <c r="K59" s="221" t="s">
        <v>31</v>
      </c>
      <c r="L59" s="237">
        <v>3.0000000000000001E-3</v>
      </c>
      <c r="M59" s="233" t="s">
        <v>1705</v>
      </c>
      <c r="N59" s="237">
        <v>4.0000000000000001E-3</v>
      </c>
      <c r="O59" s="221" t="s">
        <v>1403</v>
      </c>
      <c r="P59" s="154" t="s">
        <v>31</v>
      </c>
      <c r="Q59" s="224" t="s">
        <v>31</v>
      </c>
      <c r="R59" s="225"/>
      <c r="S59" s="225" t="s">
        <v>351</v>
      </c>
      <c r="T59" s="225"/>
      <c r="U59" s="225"/>
      <c r="V59" s="225"/>
      <c r="W59" s="225"/>
      <c r="X59" s="225"/>
      <c r="Y59" s="225"/>
      <c r="Z59" s="225"/>
      <c r="AA59" s="225"/>
      <c r="AB59" s="223">
        <v>0</v>
      </c>
      <c r="AC59" s="221" t="s">
        <v>1147</v>
      </c>
      <c r="AD59" s="223">
        <v>1</v>
      </c>
      <c r="AE59" s="232" t="s">
        <v>30</v>
      </c>
      <c r="AF59" s="223">
        <v>1</v>
      </c>
      <c r="AG59" s="226" t="s">
        <v>466</v>
      </c>
      <c r="AH59" s="237">
        <v>5.51373E-2</v>
      </c>
      <c r="AI59" s="237" t="s">
        <v>456</v>
      </c>
      <c r="AJ59" s="237">
        <v>1.19E-5</v>
      </c>
      <c r="AK59" s="237" t="s">
        <v>456</v>
      </c>
      <c r="AL59" s="238">
        <v>21.73</v>
      </c>
      <c r="AM59" s="230" t="s">
        <v>934</v>
      </c>
      <c r="AN59" s="237">
        <v>8.2200000000000003E-4</v>
      </c>
      <c r="AO59" s="154" t="s">
        <v>936</v>
      </c>
      <c r="AP59" s="237">
        <v>11900</v>
      </c>
      <c r="AQ59" s="237" t="s">
        <v>934</v>
      </c>
      <c r="AR59" s="229">
        <v>173.84</v>
      </c>
      <c r="AS59" s="230" t="s">
        <v>934</v>
      </c>
      <c r="AT59" s="237">
        <v>44.4</v>
      </c>
      <c r="AU59" s="222" t="s">
        <v>926</v>
      </c>
    </row>
    <row r="60" spans="1:47" ht="50">
      <c r="A60" s="221" t="s">
        <v>507</v>
      </c>
      <c r="B60" s="223" t="s">
        <v>0</v>
      </c>
      <c r="C60" s="223"/>
      <c r="D60" s="223"/>
      <c r="E60" s="223" t="str">
        <f t="shared" si="1"/>
        <v>Yes</v>
      </c>
      <c r="F60" s="222" t="s">
        <v>517</v>
      </c>
      <c r="G60" s="223" t="s">
        <v>472</v>
      </c>
      <c r="H60" s="237" t="s">
        <v>31</v>
      </c>
      <c r="I60" s="222" t="s">
        <v>31</v>
      </c>
      <c r="J60" s="237" t="s">
        <v>31</v>
      </c>
      <c r="K60" s="221" t="s">
        <v>31</v>
      </c>
      <c r="L60" s="237">
        <v>0.11</v>
      </c>
      <c r="M60" s="224" t="s">
        <v>1407</v>
      </c>
      <c r="N60" s="237" t="s">
        <v>31</v>
      </c>
      <c r="O60" s="221" t="s">
        <v>31</v>
      </c>
      <c r="P60" s="154" t="s">
        <v>31</v>
      </c>
      <c r="Q60" s="224" t="s">
        <v>31</v>
      </c>
      <c r="R60" s="225"/>
      <c r="S60" s="225"/>
      <c r="T60" s="225"/>
      <c r="U60" s="225"/>
      <c r="V60" s="225"/>
      <c r="W60" s="225"/>
      <c r="X60" s="225"/>
      <c r="Y60" s="225"/>
      <c r="Z60" s="225"/>
      <c r="AA60" s="225"/>
      <c r="AB60" s="223">
        <v>0</v>
      </c>
      <c r="AC60" s="221" t="s">
        <v>1147</v>
      </c>
      <c r="AD60" s="223">
        <v>1</v>
      </c>
      <c r="AE60" s="232" t="s">
        <v>30</v>
      </c>
      <c r="AF60" s="223">
        <v>1</v>
      </c>
      <c r="AG60" s="226" t="s">
        <v>466</v>
      </c>
      <c r="AH60" s="237">
        <v>7.6029299999999994E-2</v>
      </c>
      <c r="AI60" s="237" t="s">
        <v>456</v>
      </c>
      <c r="AJ60" s="237">
        <v>1.08E-5</v>
      </c>
      <c r="AK60" s="237" t="s">
        <v>456</v>
      </c>
      <c r="AL60" s="238">
        <v>43.89</v>
      </c>
      <c r="AM60" s="230" t="s">
        <v>934</v>
      </c>
      <c r="AN60" s="237">
        <v>0.34300000000000003</v>
      </c>
      <c r="AO60" s="154" t="s">
        <v>936</v>
      </c>
      <c r="AP60" s="237">
        <v>280</v>
      </c>
      <c r="AQ60" s="237" t="s">
        <v>934</v>
      </c>
      <c r="AR60" s="229">
        <v>120.91</v>
      </c>
      <c r="AS60" s="230" t="s">
        <v>934</v>
      </c>
      <c r="AT60" s="237">
        <v>4848</v>
      </c>
      <c r="AU60" s="222" t="s">
        <v>926</v>
      </c>
    </row>
    <row r="61" spans="1:47" ht="100">
      <c r="A61" s="221" t="s">
        <v>917</v>
      </c>
      <c r="B61" s="223" t="s">
        <v>160</v>
      </c>
      <c r="C61" s="223"/>
      <c r="D61" s="223"/>
      <c r="E61" s="223" t="str">
        <f t="shared" si="1"/>
        <v>Yes</v>
      </c>
      <c r="F61" s="222" t="s">
        <v>502</v>
      </c>
      <c r="G61" s="223" t="s">
        <v>472</v>
      </c>
      <c r="H61" s="237" t="s">
        <v>31</v>
      </c>
      <c r="I61" s="237" t="s">
        <v>31</v>
      </c>
      <c r="J61" s="237" t="s">
        <v>31</v>
      </c>
      <c r="K61" s="221" t="s">
        <v>31</v>
      </c>
      <c r="L61" s="237">
        <v>1.7999999999999999E-2</v>
      </c>
      <c r="M61" s="224" t="s">
        <v>1704</v>
      </c>
      <c r="N61" s="237" t="s">
        <v>31</v>
      </c>
      <c r="O61" s="221" t="s">
        <v>31</v>
      </c>
      <c r="P61" s="154" t="s">
        <v>31</v>
      </c>
      <c r="Q61" s="224" t="s">
        <v>31</v>
      </c>
      <c r="R61" s="225" t="s">
        <v>351</v>
      </c>
      <c r="S61" s="225"/>
      <c r="T61" s="225"/>
      <c r="U61" s="225"/>
      <c r="V61" s="225"/>
      <c r="W61" s="225"/>
      <c r="X61" s="225"/>
      <c r="Y61" s="225"/>
      <c r="Z61" s="225"/>
      <c r="AA61" s="225"/>
      <c r="AB61" s="223">
        <v>0</v>
      </c>
      <c r="AC61" s="221" t="s">
        <v>1147</v>
      </c>
      <c r="AD61" s="223">
        <v>1</v>
      </c>
      <c r="AE61" s="232" t="s">
        <v>30</v>
      </c>
      <c r="AF61" s="223">
        <v>1</v>
      </c>
      <c r="AG61" s="226" t="s">
        <v>466</v>
      </c>
      <c r="AH61" s="237">
        <v>8.36446E-2</v>
      </c>
      <c r="AI61" s="237" t="s">
        <v>456</v>
      </c>
      <c r="AJ61" s="237">
        <v>1.06E-5</v>
      </c>
      <c r="AK61" s="237" t="s">
        <v>456</v>
      </c>
      <c r="AL61" s="238">
        <v>31.82</v>
      </c>
      <c r="AM61" s="230" t="s">
        <v>934</v>
      </c>
      <c r="AN61" s="237">
        <v>5.62E-3</v>
      </c>
      <c r="AO61" s="154" t="s">
        <v>936</v>
      </c>
      <c r="AP61" s="237">
        <v>5040</v>
      </c>
      <c r="AQ61" s="237" t="s">
        <v>934</v>
      </c>
      <c r="AR61" s="229">
        <v>98.96</v>
      </c>
      <c r="AS61" s="230" t="s">
        <v>934</v>
      </c>
      <c r="AT61" s="237">
        <v>227.3</v>
      </c>
      <c r="AU61" s="222" t="s">
        <v>926</v>
      </c>
    </row>
    <row r="62" spans="1:47" ht="80">
      <c r="A62" s="221" t="s">
        <v>815</v>
      </c>
      <c r="B62" s="223" t="s">
        <v>161</v>
      </c>
      <c r="C62" s="223"/>
      <c r="D62" s="223" t="s">
        <v>76</v>
      </c>
      <c r="E62" s="223" t="str">
        <f t="shared" si="1"/>
        <v>Yes</v>
      </c>
      <c r="F62" s="222" t="s">
        <v>519</v>
      </c>
      <c r="G62" s="223" t="s">
        <v>472</v>
      </c>
      <c r="H62" s="237">
        <v>9.0999999999999998E-2</v>
      </c>
      <c r="I62" s="221" t="s">
        <v>1625</v>
      </c>
      <c r="J62" s="237">
        <v>2.5999999999999998E-5</v>
      </c>
      <c r="K62" s="221" t="s">
        <v>1624</v>
      </c>
      <c r="L62" s="237">
        <v>1.2E-2</v>
      </c>
      <c r="M62" s="224" t="s">
        <v>1465</v>
      </c>
      <c r="N62" s="237">
        <v>7.0000000000000001E-3</v>
      </c>
      <c r="O62" s="221" t="s">
        <v>1516</v>
      </c>
      <c r="P62" s="154" t="s">
        <v>31</v>
      </c>
      <c r="Q62" s="224" t="s">
        <v>31</v>
      </c>
      <c r="R62" s="225" t="s">
        <v>351</v>
      </c>
      <c r="S62" s="225"/>
      <c r="T62" s="225"/>
      <c r="U62" s="225" t="s">
        <v>351</v>
      </c>
      <c r="V62" s="225" t="s">
        <v>351</v>
      </c>
      <c r="W62" s="225"/>
      <c r="X62" s="225"/>
      <c r="Y62" s="225"/>
      <c r="Z62" s="225"/>
      <c r="AA62" s="225"/>
      <c r="AB62" s="223">
        <v>0</v>
      </c>
      <c r="AC62" s="221" t="s">
        <v>1147</v>
      </c>
      <c r="AD62" s="223">
        <v>1</v>
      </c>
      <c r="AE62" s="232" t="s">
        <v>30</v>
      </c>
      <c r="AF62" s="223">
        <v>1</v>
      </c>
      <c r="AG62" s="226" t="s">
        <v>466</v>
      </c>
      <c r="AH62" s="237">
        <v>8.5722099999999996E-2</v>
      </c>
      <c r="AI62" s="237" t="s">
        <v>456</v>
      </c>
      <c r="AJ62" s="237">
        <v>1.1E-5</v>
      </c>
      <c r="AK62" s="237" t="s">
        <v>456</v>
      </c>
      <c r="AL62" s="277">
        <v>39.6</v>
      </c>
      <c r="AM62" s="230" t="s">
        <v>934</v>
      </c>
      <c r="AN62" s="237">
        <v>1.1800000000000001E-3</v>
      </c>
      <c r="AO62" s="154" t="s">
        <v>936</v>
      </c>
      <c r="AP62" s="237">
        <v>8600</v>
      </c>
      <c r="AQ62" s="237" t="s">
        <v>934</v>
      </c>
      <c r="AR62" s="229">
        <v>98.96</v>
      </c>
      <c r="AS62" s="230" t="s">
        <v>934</v>
      </c>
      <c r="AT62" s="237">
        <v>78.900000000000006</v>
      </c>
      <c r="AU62" s="222" t="s">
        <v>926</v>
      </c>
    </row>
    <row r="63" spans="1:47" ht="62">
      <c r="A63" s="221" t="s">
        <v>818</v>
      </c>
      <c r="B63" s="223" t="s">
        <v>162</v>
      </c>
      <c r="C63" s="223"/>
      <c r="D63" s="223"/>
      <c r="E63" s="223" t="str">
        <f t="shared" si="1"/>
        <v>Yes</v>
      </c>
      <c r="F63" s="222" t="s">
        <v>520</v>
      </c>
      <c r="G63" s="223" t="s">
        <v>472</v>
      </c>
      <c r="H63" s="237" t="s">
        <v>31</v>
      </c>
      <c r="I63" s="221" t="s">
        <v>31</v>
      </c>
      <c r="J63" s="237" t="s">
        <v>31</v>
      </c>
      <c r="K63" s="221" t="s">
        <v>31</v>
      </c>
      <c r="L63" s="237">
        <v>0.04</v>
      </c>
      <c r="M63" s="224" t="s">
        <v>1466</v>
      </c>
      <c r="N63" s="237">
        <v>0.2</v>
      </c>
      <c r="O63" s="221" t="s">
        <v>1517</v>
      </c>
      <c r="P63" s="154" t="s">
        <v>31</v>
      </c>
      <c r="Q63" s="224" t="s">
        <v>31</v>
      </c>
      <c r="R63" s="225"/>
      <c r="S63" s="225"/>
      <c r="T63" s="225"/>
      <c r="U63" s="225"/>
      <c r="V63" s="225" t="s">
        <v>351</v>
      </c>
      <c r="W63" s="225"/>
      <c r="X63" s="225"/>
      <c r="Y63" s="225"/>
      <c r="Z63" s="225"/>
      <c r="AA63" s="225"/>
      <c r="AB63" s="223">
        <v>0</v>
      </c>
      <c r="AC63" s="221" t="s">
        <v>1147</v>
      </c>
      <c r="AD63" s="223">
        <v>1</v>
      </c>
      <c r="AE63" s="232" t="s">
        <v>30</v>
      </c>
      <c r="AF63" s="223">
        <v>1</v>
      </c>
      <c r="AG63" s="226" t="s">
        <v>466</v>
      </c>
      <c r="AH63" s="237">
        <v>8.6313799999999996E-2</v>
      </c>
      <c r="AI63" s="237" t="s">
        <v>456</v>
      </c>
      <c r="AJ63" s="237">
        <v>1.1E-5</v>
      </c>
      <c r="AK63" s="237" t="s">
        <v>456</v>
      </c>
      <c r="AL63" s="238">
        <v>31.82</v>
      </c>
      <c r="AM63" s="230" t="s">
        <v>934</v>
      </c>
      <c r="AN63" s="237">
        <v>2.6100000000000002E-2</v>
      </c>
      <c r="AO63" s="154" t="s">
        <v>936</v>
      </c>
      <c r="AP63" s="237">
        <v>2420</v>
      </c>
      <c r="AQ63" s="237" t="s">
        <v>934</v>
      </c>
      <c r="AR63" s="229">
        <v>96.94</v>
      </c>
      <c r="AS63" s="230" t="s">
        <v>934</v>
      </c>
      <c r="AT63" s="237">
        <v>600</v>
      </c>
      <c r="AU63" s="222" t="s">
        <v>926</v>
      </c>
    </row>
    <row r="64" spans="1:47" ht="92">
      <c r="A64" s="221" t="s">
        <v>816</v>
      </c>
      <c r="B64" s="223" t="s">
        <v>113</v>
      </c>
      <c r="C64" s="223"/>
      <c r="D64" s="223"/>
      <c r="E64" s="223" t="str">
        <f t="shared" si="1"/>
        <v>Yes</v>
      </c>
      <c r="F64" s="222" t="s">
        <v>481</v>
      </c>
      <c r="G64" s="223" t="s">
        <v>472</v>
      </c>
      <c r="H64" s="237" t="s">
        <v>31</v>
      </c>
      <c r="I64" s="221" t="s">
        <v>31</v>
      </c>
      <c r="J64" s="237" t="s">
        <v>31</v>
      </c>
      <c r="K64" s="221" t="s">
        <v>31</v>
      </c>
      <c r="L64" s="237">
        <v>1.2999999999999999E-3</v>
      </c>
      <c r="M64" s="224" t="s">
        <v>1404</v>
      </c>
      <c r="N64" s="154">
        <v>0.04</v>
      </c>
      <c r="O64" s="221" t="s">
        <v>1352</v>
      </c>
      <c r="P64" s="154" t="s">
        <v>31</v>
      </c>
      <c r="Q64" s="224" t="s">
        <v>31</v>
      </c>
      <c r="R64" s="225"/>
      <c r="S64" s="225"/>
      <c r="T64" s="225" t="s">
        <v>351</v>
      </c>
      <c r="U64" s="225" t="s">
        <v>351</v>
      </c>
      <c r="V64" s="225"/>
      <c r="W64" s="225"/>
      <c r="X64" s="225"/>
      <c r="Y64" s="225"/>
      <c r="Z64" s="225"/>
      <c r="AA64" s="225"/>
      <c r="AB64" s="223">
        <v>0</v>
      </c>
      <c r="AC64" s="221" t="s">
        <v>1147</v>
      </c>
      <c r="AD64" s="223">
        <v>1</v>
      </c>
      <c r="AE64" s="232" t="s">
        <v>30</v>
      </c>
      <c r="AF64" s="223">
        <v>1</v>
      </c>
      <c r="AG64" s="226" t="s">
        <v>466</v>
      </c>
      <c r="AH64" s="237">
        <v>8.8408799999999996E-2</v>
      </c>
      <c r="AI64" s="237" t="s">
        <v>456</v>
      </c>
      <c r="AJ64" s="237">
        <v>1.13E-5</v>
      </c>
      <c r="AK64" s="237" t="s">
        <v>456</v>
      </c>
      <c r="AL64" s="277">
        <v>39.6</v>
      </c>
      <c r="AM64" s="230" t="s">
        <v>934</v>
      </c>
      <c r="AN64" s="237">
        <v>4.0800000000000003E-3</v>
      </c>
      <c r="AO64" s="154" t="s">
        <v>936</v>
      </c>
      <c r="AP64" s="237">
        <v>6410</v>
      </c>
      <c r="AQ64" s="237" t="s">
        <v>934</v>
      </c>
      <c r="AR64" s="229">
        <v>96.94</v>
      </c>
      <c r="AS64" s="230" t="s">
        <v>934</v>
      </c>
      <c r="AT64" s="237">
        <v>200</v>
      </c>
      <c r="AU64" s="222" t="s">
        <v>926</v>
      </c>
    </row>
    <row r="65" spans="1:47" ht="82">
      <c r="A65" s="221" t="s">
        <v>817</v>
      </c>
      <c r="B65" s="223" t="s">
        <v>152</v>
      </c>
      <c r="C65" s="223"/>
      <c r="D65" s="223"/>
      <c r="E65" s="223" t="str">
        <f t="shared" si="1"/>
        <v>Yes</v>
      </c>
      <c r="F65" s="222" t="s">
        <v>481</v>
      </c>
      <c r="G65" s="223" t="s">
        <v>472</v>
      </c>
      <c r="H65" s="237" t="s">
        <v>31</v>
      </c>
      <c r="I65" s="221" t="s">
        <v>31</v>
      </c>
      <c r="J65" s="237" t="s">
        <v>31</v>
      </c>
      <c r="K65" s="221" t="s">
        <v>31</v>
      </c>
      <c r="L65" s="237">
        <v>2E-3</v>
      </c>
      <c r="M65" s="224" t="s">
        <v>1467</v>
      </c>
      <c r="N65" s="154">
        <v>0.02</v>
      </c>
      <c r="O65" s="221" t="s">
        <v>1654</v>
      </c>
      <c r="P65" s="154" t="s">
        <v>31</v>
      </c>
      <c r="Q65" s="224" t="s">
        <v>31</v>
      </c>
      <c r="R65" s="225"/>
      <c r="S65" s="225"/>
      <c r="T65" s="225" t="s">
        <v>351</v>
      </c>
      <c r="U65" s="225"/>
      <c r="V65" s="225"/>
      <c r="W65" s="225"/>
      <c r="X65" s="225"/>
      <c r="Y65" s="225"/>
      <c r="Z65" s="225"/>
      <c r="AA65" s="225"/>
      <c r="AB65" s="223">
        <v>0</v>
      </c>
      <c r="AC65" s="221" t="s">
        <v>1147</v>
      </c>
      <c r="AD65" s="223">
        <v>1</v>
      </c>
      <c r="AE65" s="232" t="s">
        <v>30</v>
      </c>
      <c r="AF65" s="223">
        <v>1</v>
      </c>
      <c r="AG65" s="226" t="s">
        <v>466</v>
      </c>
      <c r="AH65" s="237">
        <v>8.7612599999999999E-2</v>
      </c>
      <c r="AI65" s="237" t="s">
        <v>456</v>
      </c>
      <c r="AJ65" s="237">
        <v>1.1199999999999999E-5</v>
      </c>
      <c r="AK65" s="237" t="s">
        <v>456</v>
      </c>
      <c r="AL65" s="277">
        <v>39.6</v>
      </c>
      <c r="AM65" s="230" t="s">
        <v>934</v>
      </c>
      <c r="AN65" s="237">
        <v>9.3799999999999994E-3</v>
      </c>
      <c r="AO65" s="154" t="s">
        <v>936</v>
      </c>
      <c r="AP65" s="237">
        <v>4520</v>
      </c>
      <c r="AQ65" s="237" t="s">
        <v>934</v>
      </c>
      <c r="AR65" s="229">
        <v>96.94</v>
      </c>
      <c r="AS65" s="230" t="s">
        <v>934</v>
      </c>
      <c r="AT65" s="237">
        <v>331</v>
      </c>
      <c r="AU65" s="222" t="s">
        <v>926</v>
      </c>
    </row>
    <row r="66" spans="1:47" ht="70">
      <c r="A66" s="234" t="s">
        <v>372</v>
      </c>
      <c r="B66" s="223" t="s">
        <v>153</v>
      </c>
      <c r="C66" s="223"/>
      <c r="D66" s="223"/>
      <c r="E66" s="223" t="str">
        <f t="shared" si="1"/>
        <v>Yes</v>
      </c>
      <c r="F66" s="222" t="s">
        <v>481</v>
      </c>
      <c r="G66" s="223" t="s">
        <v>469</v>
      </c>
      <c r="H66" s="237" t="s">
        <v>31</v>
      </c>
      <c r="I66" s="221" t="s">
        <v>31</v>
      </c>
      <c r="J66" s="237" t="s">
        <v>31</v>
      </c>
      <c r="K66" s="221" t="s">
        <v>31</v>
      </c>
      <c r="L66" s="237">
        <v>8.9999999999999993E-3</v>
      </c>
      <c r="M66" s="233" t="s">
        <v>1468</v>
      </c>
      <c r="N66" s="237" t="s">
        <v>31</v>
      </c>
      <c r="O66" s="221" t="s">
        <v>31</v>
      </c>
      <c r="P66" s="154" t="s">
        <v>31</v>
      </c>
      <c r="Q66" s="224" t="s">
        <v>31</v>
      </c>
      <c r="R66" s="225"/>
      <c r="S66" s="225"/>
      <c r="T66" s="225"/>
      <c r="U66" s="225"/>
      <c r="V66" s="225" t="s">
        <v>351</v>
      </c>
      <c r="W66" s="225"/>
      <c r="X66" s="225"/>
      <c r="Y66" s="225"/>
      <c r="Z66" s="225"/>
      <c r="AA66" s="225"/>
      <c r="AB66" s="223">
        <v>0</v>
      </c>
      <c r="AC66" s="221" t="s">
        <v>1147</v>
      </c>
      <c r="AD66" s="223">
        <v>1</v>
      </c>
      <c r="AE66" s="232" t="s">
        <v>30</v>
      </c>
      <c r="AF66" s="223">
        <v>1</v>
      </c>
      <c r="AG66" s="226" t="s">
        <v>466</v>
      </c>
      <c r="AH66" s="237">
        <v>8.7862700000000002E-2</v>
      </c>
      <c r="AI66" s="237" t="s">
        <v>456</v>
      </c>
      <c r="AJ66" s="237">
        <v>1.1199999999999999E-5</v>
      </c>
      <c r="AK66" s="237" t="s">
        <v>456</v>
      </c>
      <c r="AL66" s="277">
        <v>39.6</v>
      </c>
      <c r="AM66" s="230" t="s">
        <v>934</v>
      </c>
      <c r="AN66" s="237">
        <v>4.0800000000000003E-3</v>
      </c>
      <c r="AO66" s="154" t="s">
        <v>934</v>
      </c>
      <c r="AP66" s="237">
        <v>3500</v>
      </c>
      <c r="AQ66" s="237" t="s">
        <v>934</v>
      </c>
      <c r="AR66" s="229">
        <v>96.94</v>
      </c>
      <c r="AS66" s="230" t="s">
        <v>934</v>
      </c>
      <c r="AT66" s="237">
        <v>254</v>
      </c>
      <c r="AU66" s="222" t="s">
        <v>934</v>
      </c>
    </row>
    <row r="67" spans="1:47" ht="62">
      <c r="A67" s="221" t="s">
        <v>508</v>
      </c>
      <c r="B67" s="223" t="s">
        <v>27</v>
      </c>
      <c r="C67" s="223"/>
      <c r="D67" s="223" t="s">
        <v>76</v>
      </c>
      <c r="E67" s="223" t="str">
        <f t="shared" si="1"/>
        <v>Yes</v>
      </c>
      <c r="F67" s="222" t="s">
        <v>516</v>
      </c>
      <c r="G67" s="223" t="s">
        <v>472</v>
      </c>
      <c r="H67" s="237">
        <v>2E-3</v>
      </c>
      <c r="I67" s="221" t="s">
        <v>1728</v>
      </c>
      <c r="J67" s="237">
        <v>1E-8</v>
      </c>
      <c r="K67" s="240" t="s">
        <v>1372</v>
      </c>
      <c r="L67" s="237">
        <v>6.0000000000000001E-3</v>
      </c>
      <c r="M67" s="224" t="s">
        <v>1469</v>
      </c>
      <c r="N67" s="237">
        <v>0.6</v>
      </c>
      <c r="O67" s="221" t="s">
        <v>1518</v>
      </c>
      <c r="P67" s="154" t="s">
        <v>31</v>
      </c>
      <c r="Q67" s="224" t="s">
        <v>31</v>
      </c>
      <c r="R67" s="225"/>
      <c r="S67" s="225"/>
      <c r="T67" s="225"/>
      <c r="U67" s="225"/>
      <c r="V67" s="225" t="s">
        <v>351</v>
      </c>
      <c r="W67" s="225"/>
      <c r="X67" s="225"/>
      <c r="Y67" s="225"/>
      <c r="Z67" s="225"/>
      <c r="AA67" s="225"/>
      <c r="AB67" s="223">
        <v>0</v>
      </c>
      <c r="AC67" s="221" t="s">
        <v>1147</v>
      </c>
      <c r="AD67" s="223">
        <v>1</v>
      </c>
      <c r="AE67" s="232" t="s">
        <v>30</v>
      </c>
      <c r="AF67" s="223">
        <v>1</v>
      </c>
      <c r="AG67" s="226" t="s">
        <v>466</v>
      </c>
      <c r="AH67" s="237">
        <v>9.9938899999999997E-2</v>
      </c>
      <c r="AI67" s="237" t="s">
        <v>456</v>
      </c>
      <c r="AJ67" s="237">
        <v>1.2500000000000001E-5</v>
      </c>
      <c r="AK67" s="237" t="s">
        <v>456</v>
      </c>
      <c r="AL67" s="238">
        <v>21.73</v>
      </c>
      <c r="AM67" s="230" t="s">
        <v>934</v>
      </c>
      <c r="AN67" s="237">
        <v>3.2499999999999999E-3</v>
      </c>
      <c r="AO67" s="154" t="s">
        <v>936</v>
      </c>
      <c r="AP67" s="237">
        <v>13000</v>
      </c>
      <c r="AQ67" s="237" t="s">
        <v>934</v>
      </c>
      <c r="AR67" s="229">
        <v>85</v>
      </c>
      <c r="AS67" s="230" t="s">
        <v>934</v>
      </c>
      <c r="AT67" s="237">
        <v>435</v>
      </c>
      <c r="AU67" s="222" t="s">
        <v>926</v>
      </c>
    </row>
    <row r="68" spans="1:47" ht="78.75" customHeight="1">
      <c r="A68" s="221" t="s">
        <v>398</v>
      </c>
      <c r="B68" s="223" t="s">
        <v>123</v>
      </c>
      <c r="C68" s="223"/>
      <c r="D68" s="223" t="s">
        <v>76</v>
      </c>
      <c r="E68" s="223" t="str">
        <f t="shared" si="1"/>
        <v>Yes</v>
      </c>
      <c r="F68" s="222" t="s">
        <v>516</v>
      </c>
      <c r="G68" s="223" t="s">
        <v>469</v>
      </c>
      <c r="H68" s="237">
        <v>3.6999999999999998E-2</v>
      </c>
      <c r="I68" s="221" t="s">
        <v>1359</v>
      </c>
      <c r="J68" s="237">
        <v>3.7000000000000002E-6</v>
      </c>
      <c r="K68" s="221" t="s">
        <v>1198</v>
      </c>
      <c r="L68" s="237">
        <v>1.7999999999999999E-2</v>
      </c>
      <c r="M68" s="224" t="s">
        <v>1631</v>
      </c>
      <c r="N68" s="237">
        <v>4.0000000000000001E-3</v>
      </c>
      <c r="O68" s="221" t="s">
        <v>1519</v>
      </c>
      <c r="P68" s="154" t="s">
        <v>31</v>
      </c>
      <c r="Q68" s="224" t="s">
        <v>31</v>
      </c>
      <c r="R68" s="225" t="s">
        <v>351</v>
      </c>
      <c r="S68" s="225" t="s">
        <v>351</v>
      </c>
      <c r="T68" s="225"/>
      <c r="U68" s="225"/>
      <c r="V68" s="225" t="s">
        <v>351</v>
      </c>
      <c r="W68" s="225" t="s">
        <v>351</v>
      </c>
      <c r="X68" s="225" t="s">
        <v>351</v>
      </c>
      <c r="Y68" s="225"/>
      <c r="Z68" s="225"/>
      <c r="AA68" s="225"/>
      <c r="AB68" s="223">
        <v>0</v>
      </c>
      <c r="AC68" s="221" t="s">
        <v>1147</v>
      </c>
      <c r="AD68" s="223">
        <v>1</v>
      </c>
      <c r="AE68" s="232" t="s">
        <v>30</v>
      </c>
      <c r="AF68" s="223">
        <v>1</v>
      </c>
      <c r="AG68" s="226" t="s">
        <v>466</v>
      </c>
      <c r="AH68" s="237">
        <v>7.3340199999999994E-2</v>
      </c>
      <c r="AI68" s="237" t="s">
        <v>456</v>
      </c>
      <c r="AJ68" s="237">
        <v>9.7251999999999997E-6</v>
      </c>
      <c r="AK68" s="237" t="s">
        <v>456</v>
      </c>
      <c r="AL68" s="277">
        <v>60.7</v>
      </c>
      <c r="AM68" s="230" t="s">
        <v>934</v>
      </c>
      <c r="AN68" s="237">
        <v>2.82E-3</v>
      </c>
      <c r="AO68" s="154" t="s">
        <v>936</v>
      </c>
      <c r="AP68" s="237">
        <v>2800</v>
      </c>
      <c r="AQ68" s="237" t="s">
        <v>934</v>
      </c>
      <c r="AR68" s="229">
        <v>112.99</v>
      </c>
      <c r="AS68" s="230" t="s">
        <v>934</v>
      </c>
      <c r="AT68" s="237">
        <v>53.3</v>
      </c>
      <c r="AU68" s="222" t="s">
        <v>926</v>
      </c>
    </row>
    <row r="69" spans="1:47" ht="60">
      <c r="A69" s="221" t="s">
        <v>1183</v>
      </c>
      <c r="B69" s="223" t="s">
        <v>1184</v>
      </c>
      <c r="C69" s="223"/>
      <c r="D69" s="223"/>
      <c r="E69" s="223" t="str">
        <f t="shared" si="1"/>
        <v>Yes</v>
      </c>
      <c r="F69" s="222" t="s">
        <v>1218</v>
      </c>
      <c r="G69" s="223" t="s">
        <v>469</v>
      </c>
      <c r="H69" s="237" t="s">
        <v>31</v>
      </c>
      <c r="I69" s="221" t="s">
        <v>31</v>
      </c>
      <c r="J69" s="237" t="s">
        <v>31</v>
      </c>
      <c r="K69" s="221" t="s">
        <v>31</v>
      </c>
      <c r="L69" s="237">
        <v>0.02</v>
      </c>
      <c r="M69" s="224" t="s">
        <v>1632</v>
      </c>
      <c r="N69" s="237" t="s">
        <v>31</v>
      </c>
      <c r="O69" s="221" t="s">
        <v>31</v>
      </c>
      <c r="P69" s="154" t="s">
        <v>31</v>
      </c>
      <c r="Q69" s="224" t="s">
        <v>31</v>
      </c>
      <c r="R69" s="225"/>
      <c r="S69" s="225"/>
      <c r="T69" s="225"/>
      <c r="U69" s="225" t="s">
        <v>351</v>
      </c>
      <c r="V69" s="225" t="s">
        <v>351</v>
      </c>
      <c r="W69" s="225"/>
      <c r="X69" s="225"/>
      <c r="Y69" s="225"/>
      <c r="Z69" s="225"/>
      <c r="AA69" s="225"/>
      <c r="AB69" s="223">
        <v>0</v>
      </c>
      <c r="AC69" s="221" t="s">
        <v>1147</v>
      </c>
      <c r="AD69" s="223">
        <v>1</v>
      </c>
      <c r="AE69" s="232" t="s">
        <v>30</v>
      </c>
      <c r="AF69" s="223">
        <v>1</v>
      </c>
      <c r="AG69" s="226" t="s">
        <v>466</v>
      </c>
      <c r="AH69" s="237">
        <v>7.3873815434119999E-2</v>
      </c>
      <c r="AI69" s="237" t="s">
        <v>456</v>
      </c>
      <c r="AJ69" s="237">
        <v>9.8230310876100005E-6</v>
      </c>
      <c r="AK69" s="237" t="s">
        <v>456</v>
      </c>
      <c r="AL69" s="277">
        <v>72.17</v>
      </c>
      <c r="AM69" s="230" t="s">
        <v>1143</v>
      </c>
      <c r="AN69" s="237">
        <v>9.7599999999999998E-4</v>
      </c>
      <c r="AO69" s="154" t="s">
        <v>1139</v>
      </c>
      <c r="AP69" s="237">
        <v>2750</v>
      </c>
      <c r="AQ69" s="237" t="s">
        <v>1139</v>
      </c>
      <c r="AR69" s="229">
        <v>112.99</v>
      </c>
      <c r="AS69" s="230" t="s">
        <v>1139</v>
      </c>
      <c r="AT69" s="237">
        <v>18.16</v>
      </c>
      <c r="AU69" s="222" t="s">
        <v>1139</v>
      </c>
    </row>
    <row r="70" spans="1:47" ht="130">
      <c r="A70" s="221" t="s">
        <v>920</v>
      </c>
      <c r="B70" s="223" t="s">
        <v>125</v>
      </c>
      <c r="C70" s="223"/>
      <c r="D70" s="723" t="str">
        <f t="shared" si="1"/>
        <v>Yes</v>
      </c>
      <c r="E70" s="223" t="str">
        <f t="shared" si="1"/>
        <v>Yes</v>
      </c>
      <c r="F70" s="222" t="s">
        <v>477</v>
      </c>
      <c r="G70" s="223" t="s">
        <v>472</v>
      </c>
      <c r="H70" s="237">
        <v>1.0999999999999999E-2</v>
      </c>
      <c r="I70" s="221" t="s">
        <v>1726</v>
      </c>
      <c r="J70" s="237">
        <v>2.5000000000000002E-6</v>
      </c>
      <c r="K70" s="221" t="s">
        <v>1727</v>
      </c>
      <c r="L70" s="237">
        <v>1.0999999999999999E-2</v>
      </c>
      <c r="M70" s="224" t="s">
        <v>1620</v>
      </c>
      <c r="N70" s="237">
        <v>0.26</v>
      </c>
      <c r="O70" s="221" t="s">
        <v>1520</v>
      </c>
      <c r="P70" s="154" t="s">
        <v>31</v>
      </c>
      <c r="Q70" s="224" t="s">
        <v>31</v>
      </c>
      <c r="R70" s="225"/>
      <c r="S70" s="225"/>
      <c r="T70" s="225"/>
      <c r="U70" s="225" t="s">
        <v>351</v>
      </c>
      <c r="V70" s="225" t="s">
        <v>351</v>
      </c>
      <c r="W70" s="225"/>
      <c r="X70" s="225"/>
      <c r="Y70" s="225"/>
      <c r="Z70" s="225"/>
      <c r="AA70" s="225"/>
      <c r="AB70" s="223">
        <v>0</v>
      </c>
      <c r="AC70" s="221" t="s">
        <v>1147</v>
      </c>
      <c r="AD70" s="223">
        <v>1</v>
      </c>
      <c r="AE70" s="232" t="s">
        <v>30</v>
      </c>
      <c r="AF70" s="223">
        <v>1</v>
      </c>
      <c r="AG70" s="226" t="s">
        <v>466</v>
      </c>
      <c r="AH70" s="237">
        <v>6.8465200000000004E-2</v>
      </c>
      <c r="AI70" s="237" t="s">
        <v>456</v>
      </c>
      <c r="AJ70" s="237">
        <v>8.4557999999999996E-6</v>
      </c>
      <c r="AK70" s="237" t="s">
        <v>456</v>
      </c>
      <c r="AL70" s="277">
        <v>446.1</v>
      </c>
      <c r="AM70" s="230" t="s">
        <v>934</v>
      </c>
      <c r="AN70" s="237">
        <v>7.8799999999999999E-3</v>
      </c>
      <c r="AO70" s="154" t="s">
        <v>936</v>
      </c>
      <c r="AP70" s="237">
        <v>169</v>
      </c>
      <c r="AQ70" s="237" t="s">
        <v>934</v>
      </c>
      <c r="AR70" s="229">
        <v>106.17</v>
      </c>
      <c r="AS70" s="230" t="s">
        <v>934</v>
      </c>
      <c r="AT70" s="237">
        <v>9.6</v>
      </c>
      <c r="AU70" s="222" t="s">
        <v>926</v>
      </c>
    </row>
    <row r="71" spans="1:47" ht="50">
      <c r="A71" s="221" t="s">
        <v>1122</v>
      </c>
      <c r="B71" s="223" t="s">
        <v>1114</v>
      </c>
      <c r="C71" s="223"/>
      <c r="D71" s="223"/>
      <c r="E71" s="223" t="str">
        <f t="shared" si="1"/>
        <v>Yes</v>
      </c>
      <c r="F71" s="222" t="s">
        <v>517</v>
      </c>
      <c r="G71" s="223" t="s">
        <v>472</v>
      </c>
      <c r="H71" s="237" t="s">
        <v>31</v>
      </c>
      <c r="I71" s="221" t="s">
        <v>31</v>
      </c>
      <c r="J71" s="237" t="s">
        <v>31</v>
      </c>
      <c r="K71" s="221" t="s">
        <v>31</v>
      </c>
      <c r="L71" s="237">
        <v>4.2000000000000003E-2</v>
      </c>
      <c r="M71" s="224" t="s">
        <v>1633</v>
      </c>
      <c r="N71" s="237" t="s">
        <v>31</v>
      </c>
      <c r="O71" s="221" t="s">
        <v>31</v>
      </c>
      <c r="P71" s="154" t="s">
        <v>31</v>
      </c>
      <c r="Q71" s="224" t="s">
        <v>31</v>
      </c>
      <c r="R71" s="225" t="s">
        <v>351</v>
      </c>
      <c r="S71" s="225"/>
      <c r="T71" s="225"/>
      <c r="U71" s="225"/>
      <c r="V71" s="225" t="s">
        <v>351</v>
      </c>
      <c r="W71" s="225"/>
      <c r="X71" s="225"/>
      <c r="Y71" s="225"/>
      <c r="Z71" s="225"/>
      <c r="AA71" s="225"/>
      <c r="AB71" s="223">
        <v>0</v>
      </c>
      <c r="AC71" s="221" t="s">
        <v>1147</v>
      </c>
      <c r="AD71" s="223">
        <v>1</v>
      </c>
      <c r="AE71" s="232" t="s">
        <v>30</v>
      </c>
      <c r="AF71" s="223">
        <v>1</v>
      </c>
      <c r="AG71" s="226" t="s">
        <v>466</v>
      </c>
      <c r="AH71" s="237">
        <v>8.5244567392969997E-2</v>
      </c>
      <c r="AI71" s="237" t="s">
        <v>456</v>
      </c>
      <c r="AJ71" s="237">
        <v>9.3635900031999996E-6</v>
      </c>
      <c r="AK71" s="237" t="s">
        <v>456</v>
      </c>
      <c r="AL71" s="277">
        <v>9.6989999999999998</v>
      </c>
      <c r="AM71" s="230" t="s">
        <v>1143</v>
      </c>
      <c r="AN71" s="237">
        <v>1.23E-3</v>
      </c>
      <c r="AO71" s="154" t="s">
        <v>1139</v>
      </c>
      <c r="AP71" s="237">
        <v>60400</v>
      </c>
      <c r="AQ71" s="237" t="s">
        <v>1139</v>
      </c>
      <c r="AR71" s="229">
        <v>74.123999999999995</v>
      </c>
      <c r="AS71" s="230" t="s">
        <v>1139</v>
      </c>
      <c r="AT71" s="237">
        <v>538</v>
      </c>
      <c r="AU71" s="222" t="s">
        <v>1139</v>
      </c>
    </row>
    <row r="72" spans="1:47" ht="62">
      <c r="A72" s="221" t="s">
        <v>1228</v>
      </c>
      <c r="B72" s="223" t="s">
        <v>1229</v>
      </c>
      <c r="C72" s="223"/>
      <c r="D72" s="223"/>
      <c r="E72" s="223" t="str">
        <f t="shared" si="1"/>
        <v>Yes</v>
      </c>
      <c r="F72" s="222" t="s">
        <v>1234</v>
      </c>
      <c r="G72" s="223" t="s">
        <v>472</v>
      </c>
      <c r="H72" s="237" t="s">
        <v>31</v>
      </c>
      <c r="I72" s="221" t="s">
        <v>31</v>
      </c>
      <c r="J72" s="237">
        <v>8.0000000000000002E-8</v>
      </c>
      <c r="K72" s="221" t="s">
        <v>1405</v>
      </c>
      <c r="L72" s="237">
        <v>1</v>
      </c>
      <c r="M72" s="224" t="s">
        <v>1634</v>
      </c>
      <c r="N72" s="237">
        <v>40</v>
      </c>
      <c r="O72" s="221" t="s">
        <v>1408</v>
      </c>
      <c r="P72" s="154" t="s">
        <v>31</v>
      </c>
      <c r="Q72" s="224" t="s">
        <v>31</v>
      </c>
      <c r="R72" s="225"/>
      <c r="S72" s="225"/>
      <c r="T72" s="225"/>
      <c r="U72" s="225" t="s">
        <v>351</v>
      </c>
      <c r="V72" s="225"/>
      <c r="W72" s="225"/>
      <c r="X72" s="225"/>
      <c r="Y72" s="225"/>
      <c r="Z72" s="225"/>
      <c r="AA72" s="225"/>
      <c r="AB72" s="223">
        <v>0</v>
      </c>
      <c r="AC72" s="221" t="s">
        <v>1147</v>
      </c>
      <c r="AD72" s="223">
        <v>1</v>
      </c>
      <c r="AE72" s="232" t="s">
        <v>30</v>
      </c>
      <c r="AF72" s="223">
        <v>1</v>
      </c>
      <c r="AG72" s="226" t="s">
        <v>466</v>
      </c>
      <c r="AH72" s="237">
        <v>6.6110361242539994E-2</v>
      </c>
      <c r="AI72" s="237" t="s">
        <v>456</v>
      </c>
      <c r="AJ72" s="237">
        <v>7.8664524374700001E-6</v>
      </c>
      <c r="AK72" s="237" t="s">
        <v>456</v>
      </c>
      <c r="AL72" s="277">
        <v>21.07</v>
      </c>
      <c r="AM72" s="230" t="s">
        <v>1143</v>
      </c>
      <c r="AN72" s="237">
        <v>1.64E-3</v>
      </c>
      <c r="AO72" s="154" t="s">
        <v>1139</v>
      </c>
      <c r="AP72" s="237">
        <v>12000</v>
      </c>
      <c r="AQ72" s="237" t="s">
        <v>1139</v>
      </c>
      <c r="AR72" s="229">
        <v>102.18</v>
      </c>
      <c r="AS72" s="230" t="s">
        <v>934</v>
      </c>
      <c r="AT72" s="237">
        <v>124</v>
      </c>
      <c r="AU72" s="222" t="s">
        <v>1139</v>
      </c>
    </row>
    <row r="73" spans="1:47" ht="62">
      <c r="A73" s="221" t="s">
        <v>1167</v>
      </c>
      <c r="B73" s="223" t="s">
        <v>1168</v>
      </c>
      <c r="C73" s="223"/>
      <c r="D73" s="223"/>
      <c r="E73" s="223" t="str">
        <f t="shared" si="1"/>
        <v>Yes</v>
      </c>
      <c r="F73" s="222" t="s">
        <v>515</v>
      </c>
      <c r="G73" s="223" t="s">
        <v>472</v>
      </c>
      <c r="H73" s="237">
        <v>9.9000000000000008E-3</v>
      </c>
      <c r="I73" s="221" t="s">
        <v>1429</v>
      </c>
      <c r="J73" s="237">
        <v>1.1999999999999999E-6</v>
      </c>
      <c r="K73" s="221" t="s">
        <v>1373</v>
      </c>
      <c r="L73" s="237">
        <v>6.0000000000000001E-3</v>
      </c>
      <c r="M73" s="224" t="s">
        <v>1635</v>
      </c>
      <c r="N73" s="237">
        <v>1E-3</v>
      </c>
      <c r="O73" s="221" t="s">
        <v>1409</v>
      </c>
      <c r="P73" s="154" t="s">
        <v>31</v>
      </c>
      <c r="Q73" s="224" t="s">
        <v>31</v>
      </c>
      <c r="R73" s="225"/>
      <c r="S73" s="225"/>
      <c r="T73" s="225"/>
      <c r="U73" s="225"/>
      <c r="V73" s="225"/>
      <c r="W73" s="225" t="s">
        <v>351</v>
      </c>
      <c r="X73" s="225" t="s">
        <v>351</v>
      </c>
      <c r="Y73" s="225"/>
      <c r="Z73" s="225"/>
      <c r="AA73" s="225"/>
      <c r="AB73" s="223">
        <v>0</v>
      </c>
      <c r="AC73" s="221" t="s">
        <v>1147</v>
      </c>
      <c r="AD73" s="223">
        <v>1</v>
      </c>
      <c r="AE73" s="232" t="s">
        <v>30</v>
      </c>
      <c r="AF73" s="223">
        <v>1</v>
      </c>
      <c r="AG73" s="226" t="s">
        <v>466</v>
      </c>
      <c r="AH73" s="237">
        <v>8.8868248103709996E-2</v>
      </c>
      <c r="AI73" s="237" t="s">
        <v>456</v>
      </c>
      <c r="AJ73" s="237">
        <v>1.109952378E-5</v>
      </c>
      <c r="AK73" s="237" t="s">
        <v>456</v>
      </c>
      <c r="AL73" s="277">
        <v>9.907</v>
      </c>
      <c r="AM73" s="230" t="s">
        <v>1143</v>
      </c>
      <c r="AN73" s="237">
        <v>3.04E-5</v>
      </c>
      <c r="AO73" s="154" t="s">
        <v>934</v>
      </c>
      <c r="AP73" s="237">
        <v>65900</v>
      </c>
      <c r="AQ73" s="237" t="s">
        <v>1139</v>
      </c>
      <c r="AR73" s="229">
        <v>92.525999999999996</v>
      </c>
      <c r="AS73" s="230" t="s">
        <v>1139</v>
      </c>
      <c r="AT73" s="237">
        <v>16.440000000000001</v>
      </c>
      <c r="AU73" s="222" t="s">
        <v>1139</v>
      </c>
    </row>
    <row r="74" spans="1:47" ht="60">
      <c r="A74" s="221" t="s">
        <v>166</v>
      </c>
      <c r="B74" s="223" t="s">
        <v>167</v>
      </c>
      <c r="C74" s="223"/>
      <c r="D74" s="223"/>
      <c r="E74" s="223" t="str">
        <f t="shared" si="1"/>
        <v>Yes</v>
      </c>
      <c r="F74" s="222" t="s">
        <v>517</v>
      </c>
      <c r="G74" s="223" t="s">
        <v>472</v>
      </c>
      <c r="H74" s="237" t="s">
        <v>31</v>
      </c>
      <c r="I74" s="221" t="s">
        <v>31</v>
      </c>
      <c r="J74" s="237" t="s">
        <v>31</v>
      </c>
      <c r="K74" s="221" t="s">
        <v>31</v>
      </c>
      <c r="L74" s="237">
        <v>1E-3</v>
      </c>
      <c r="M74" s="224" t="s">
        <v>1543</v>
      </c>
      <c r="N74" s="237" t="s">
        <v>31</v>
      </c>
      <c r="O74" s="221" t="s">
        <v>31</v>
      </c>
      <c r="P74" s="154" t="s">
        <v>31</v>
      </c>
      <c r="Q74" s="224" t="s">
        <v>31</v>
      </c>
      <c r="R74" s="225"/>
      <c r="S74" s="225"/>
      <c r="T74" s="225"/>
      <c r="U74" s="225"/>
      <c r="V74" s="225" t="s">
        <v>351</v>
      </c>
      <c r="W74" s="225"/>
      <c r="X74" s="225"/>
      <c r="Y74" s="225"/>
      <c r="Z74" s="225"/>
      <c r="AA74" s="225"/>
      <c r="AB74" s="223">
        <v>0</v>
      </c>
      <c r="AC74" s="221" t="s">
        <v>1147</v>
      </c>
      <c r="AD74" s="223">
        <v>1</v>
      </c>
      <c r="AE74" s="232" t="s">
        <v>30</v>
      </c>
      <c r="AF74" s="223">
        <v>1</v>
      </c>
      <c r="AG74" s="226" t="s">
        <v>466</v>
      </c>
      <c r="AH74" s="237">
        <v>0.10267279999999999</v>
      </c>
      <c r="AI74" s="237" t="s">
        <v>456</v>
      </c>
      <c r="AJ74" s="237">
        <v>1.17E-5</v>
      </c>
      <c r="AK74" s="237" t="s">
        <v>456</v>
      </c>
      <c r="AL74" s="238">
        <v>79.989999999999995</v>
      </c>
      <c r="AM74" s="230" t="s">
        <v>934</v>
      </c>
      <c r="AN74" s="237">
        <v>5.4000000000000003E-3</v>
      </c>
      <c r="AO74" s="154" t="s">
        <v>927</v>
      </c>
      <c r="AP74" s="237">
        <v>10000</v>
      </c>
      <c r="AQ74" s="237" t="s">
        <v>934</v>
      </c>
      <c r="AR74" s="229">
        <v>68.08</v>
      </c>
      <c r="AS74" s="230" t="s">
        <v>934</v>
      </c>
      <c r="AT74" s="237">
        <v>600</v>
      </c>
      <c r="AU74" s="222" t="s">
        <v>926</v>
      </c>
    </row>
    <row r="75" spans="1:47" ht="72">
      <c r="A75" s="221" t="s">
        <v>63</v>
      </c>
      <c r="B75" s="223" t="s">
        <v>64</v>
      </c>
      <c r="C75" s="223"/>
      <c r="D75" s="223"/>
      <c r="E75" s="223" t="str">
        <f t="shared" si="1"/>
        <v>Yes</v>
      </c>
      <c r="F75" s="222" t="s">
        <v>481</v>
      </c>
      <c r="G75" s="223" t="s">
        <v>472</v>
      </c>
      <c r="H75" s="237" t="s">
        <v>31</v>
      </c>
      <c r="I75" s="278" t="s">
        <v>31</v>
      </c>
      <c r="J75" s="237" t="s">
        <v>31</v>
      </c>
      <c r="K75" s="221" t="s">
        <v>31</v>
      </c>
      <c r="L75" s="237">
        <v>1.9E-2</v>
      </c>
      <c r="M75" s="224" t="s">
        <v>1636</v>
      </c>
      <c r="N75" s="237">
        <v>0.7</v>
      </c>
      <c r="O75" s="221" t="s">
        <v>1410</v>
      </c>
      <c r="P75" s="154" t="s">
        <v>31</v>
      </c>
      <c r="Q75" s="224" t="s">
        <v>31</v>
      </c>
      <c r="R75" s="225" t="s">
        <v>351</v>
      </c>
      <c r="S75" s="225"/>
      <c r="T75" s="225"/>
      <c r="U75" s="225"/>
      <c r="V75" s="225"/>
      <c r="W75" s="225"/>
      <c r="X75" s="225"/>
      <c r="Y75" s="225"/>
      <c r="Z75" s="225"/>
      <c r="AA75" s="225"/>
      <c r="AB75" s="223">
        <v>0</v>
      </c>
      <c r="AC75" s="221" t="s">
        <v>1147</v>
      </c>
      <c r="AD75" s="223">
        <v>1</v>
      </c>
      <c r="AE75" s="232" t="s">
        <v>30</v>
      </c>
      <c r="AF75" s="223">
        <v>1</v>
      </c>
      <c r="AG75" s="226" t="s">
        <v>466</v>
      </c>
      <c r="AH75" s="237">
        <v>7.3106400000000002E-2</v>
      </c>
      <c r="AI75" s="237" t="s">
        <v>456</v>
      </c>
      <c r="AJ75" s="237">
        <v>8.1657000000000004E-6</v>
      </c>
      <c r="AK75" s="237" t="s">
        <v>456</v>
      </c>
      <c r="AL75" s="277">
        <v>131.5</v>
      </c>
      <c r="AM75" s="230" t="s">
        <v>934</v>
      </c>
      <c r="AN75" s="237">
        <v>1.8</v>
      </c>
      <c r="AO75" s="154" t="s">
        <v>927</v>
      </c>
      <c r="AP75" s="237">
        <v>9.5</v>
      </c>
      <c r="AQ75" s="237" t="s">
        <v>934</v>
      </c>
      <c r="AR75" s="229">
        <v>86.18</v>
      </c>
      <c r="AS75" s="230" t="s">
        <v>934</v>
      </c>
      <c r="AT75" s="237">
        <v>151.30000000000001</v>
      </c>
      <c r="AU75" s="222" t="s">
        <v>926</v>
      </c>
    </row>
    <row r="76" spans="1:47" ht="62">
      <c r="A76" s="221" t="s">
        <v>1173</v>
      </c>
      <c r="B76" s="223" t="s">
        <v>1174</v>
      </c>
      <c r="C76" s="223"/>
      <c r="D76" s="223"/>
      <c r="E76" s="223" t="str">
        <f t="shared" si="1"/>
        <v>Yes</v>
      </c>
      <c r="F76" s="222" t="s">
        <v>517</v>
      </c>
      <c r="G76" s="223" t="s">
        <v>472</v>
      </c>
      <c r="H76" s="237" t="s">
        <v>31</v>
      </c>
      <c r="I76" s="278" t="s">
        <v>31</v>
      </c>
      <c r="J76" s="237" t="s">
        <v>31</v>
      </c>
      <c r="K76" s="221" t="s">
        <v>31</v>
      </c>
      <c r="L76" s="237">
        <v>1E-4</v>
      </c>
      <c r="M76" s="224" t="s">
        <v>1661</v>
      </c>
      <c r="N76" s="237">
        <v>0.03</v>
      </c>
      <c r="O76" s="221" t="s">
        <v>1411</v>
      </c>
      <c r="P76" s="154" t="s">
        <v>31</v>
      </c>
      <c r="Q76" s="224" t="s">
        <v>31</v>
      </c>
      <c r="R76" s="225"/>
      <c r="S76" s="225"/>
      <c r="T76" s="225"/>
      <c r="U76" s="225"/>
      <c r="V76" s="225" t="s">
        <v>351</v>
      </c>
      <c r="W76" s="225"/>
      <c r="X76" s="225"/>
      <c r="Y76" s="225"/>
      <c r="Z76" s="225"/>
      <c r="AA76" s="225"/>
      <c r="AB76" s="223">
        <v>0</v>
      </c>
      <c r="AC76" s="221" t="s">
        <v>1147</v>
      </c>
      <c r="AD76" s="223">
        <v>1</v>
      </c>
      <c r="AE76" s="232" t="s">
        <v>30</v>
      </c>
      <c r="AF76" s="223">
        <v>1</v>
      </c>
      <c r="AG76" s="226" t="s">
        <v>466</v>
      </c>
      <c r="AH76" s="237">
        <v>9.6429871013529997E-2</v>
      </c>
      <c r="AI76" s="237" t="s">
        <v>456</v>
      </c>
      <c r="AJ76" s="237">
        <v>1.064534583E-5</v>
      </c>
      <c r="AK76" s="237" t="s">
        <v>456</v>
      </c>
      <c r="AL76" s="277">
        <v>13.05</v>
      </c>
      <c r="AM76" s="230" t="s">
        <v>1143</v>
      </c>
      <c r="AN76" s="237">
        <v>2.1599999999999999E-4</v>
      </c>
      <c r="AO76" s="154" t="s">
        <v>1141</v>
      </c>
      <c r="AP76" s="237">
        <v>25400</v>
      </c>
      <c r="AQ76" s="237" t="s">
        <v>1139</v>
      </c>
      <c r="AR76" s="229">
        <v>67.090999999999994</v>
      </c>
      <c r="AS76" s="230" t="s">
        <v>1139</v>
      </c>
      <c r="AT76" s="237">
        <v>71.2</v>
      </c>
      <c r="AU76" s="222" t="s">
        <v>1139</v>
      </c>
    </row>
    <row r="77" spans="1:47" ht="130">
      <c r="A77" s="221" t="s">
        <v>503</v>
      </c>
      <c r="B77" s="223" t="s">
        <v>225</v>
      </c>
      <c r="C77" s="223"/>
      <c r="D77" s="223"/>
      <c r="E77" s="223" t="str">
        <f t="shared" si="1"/>
        <v>Yes</v>
      </c>
      <c r="F77" s="222" t="s">
        <v>481</v>
      </c>
      <c r="G77" s="223" t="s">
        <v>472</v>
      </c>
      <c r="H77" s="237" t="s">
        <v>31</v>
      </c>
      <c r="I77" s="221" t="s">
        <v>31</v>
      </c>
      <c r="J77" s="222" t="s">
        <v>31</v>
      </c>
      <c r="K77" s="221" t="s">
        <v>31</v>
      </c>
      <c r="L77" s="237">
        <v>0.6</v>
      </c>
      <c r="M77" s="224" t="s">
        <v>1470</v>
      </c>
      <c r="N77" s="237">
        <v>5</v>
      </c>
      <c r="O77" s="221" t="s">
        <v>1412</v>
      </c>
      <c r="P77" s="154" t="s">
        <v>31</v>
      </c>
      <c r="Q77" s="224" t="s">
        <v>31</v>
      </c>
      <c r="R77" s="225"/>
      <c r="S77" s="225"/>
      <c r="T77" s="225"/>
      <c r="U77" s="225"/>
      <c r="V77" s="225"/>
      <c r="W77" s="225" t="s">
        <v>351</v>
      </c>
      <c r="X77" s="225"/>
      <c r="Y77" s="225" t="s">
        <v>351</v>
      </c>
      <c r="Z77" s="225"/>
      <c r="AA77" s="225"/>
      <c r="AB77" s="223">
        <v>0</v>
      </c>
      <c r="AC77" s="221" t="s">
        <v>1147</v>
      </c>
      <c r="AD77" s="223">
        <v>1</v>
      </c>
      <c r="AE77" s="232" t="s">
        <v>30</v>
      </c>
      <c r="AF77" s="223">
        <v>1</v>
      </c>
      <c r="AG77" s="226" t="s">
        <v>466</v>
      </c>
      <c r="AH77" s="237">
        <v>9.1444300000000006E-2</v>
      </c>
      <c r="AI77" s="237" t="s">
        <v>456</v>
      </c>
      <c r="AJ77" s="237">
        <v>1.0200000000000001E-5</v>
      </c>
      <c r="AK77" s="237" t="s">
        <v>456</v>
      </c>
      <c r="AL77" s="238">
        <v>4.51</v>
      </c>
      <c r="AM77" s="230" t="s">
        <v>934</v>
      </c>
      <c r="AN77" s="237">
        <v>5.6900000000000001E-5</v>
      </c>
      <c r="AO77" s="154" t="s">
        <v>936</v>
      </c>
      <c r="AP77" s="237">
        <v>223000</v>
      </c>
      <c r="AQ77" s="237" t="s">
        <v>934</v>
      </c>
      <c r="AR77" s="229">
        <v>72.11</v>
      </c>
      <c r="AS77" s="230" t="s">
        <v>934</v>
      </c>
      <c r="AT77" s="237">
        <v>90.6</v>
      </c>
      <c r="AU77" s="222" t="s">
        <v>926</v>
      </c>
    </row>
    <row r="78" spans="1:47" ht="72">
      <c r="A78" s="221" t="s">
        <v>1175</v>
      </c>
      <c r="B78" s="223" t="s">
        <v>1176</v>
      </c>
      <c r="C78" s="223"/>
      <c r="D78" s="223"/>
      <c r="E78" s="223" t="str">
        <f t="shared" si="1"/>
        <v>Yes</v>
      </c>
      <c r="F78" s="222" t="s">
        <v>1219</v>
      </c>
      <c r="G78" s="223" t="s">
        <v>472</v>
      </c>
      <c r="H78" s="237" t="s">
        <v>31</v>
      </c>
      <c r="I78" s="221" t="s">
        <v>31</v>
      </c>
      <c r="J78" s="222" t="s">
        <v>31</v>
      </c>
      <c r="K78" s="221" t="s">
        <v>31</v>
      </c>
      <c r="L78" s="237">
        <v>1.4</v>
      </c>
      <c r="M78" s="224" t="s">
        <v>1637</v>
      </c>
      <c r="N78" s="237">
        <v>0.7</v>
      </c>
      <c r="O78" s="221" t="s">
        <v>1521</v>
      </c>
      <c r="P78" s="154" t="s">
        <v>31</v>
      </c>
      <c r="Q78" s="224" t="s">
        <v>31</v>
      </c>
      <c r="R78" s="225" t="s">
        <v>351</v>
      </c>
      <c r="S78" s="225"/>
      <c r="T78" s="225"/>
      <c r="U78" s="225"/>
      <c r="V78" s="225"/>
      <c r="W78" s="225"/>
      <c r="X78" s="225" t="s">
        <v>351</v>
      </c>
      <c r="Y78" s="225"/>
      <c r="Z78" s="225"/>
      <c r="AA78" s="225"/>
      <c r="AB78" s="223">
        <v>0</v>
      </c>
      <c r="AC78" s="221" t="s">
        <v>1147</v>
      </c>
      <c r="AD78" s="223">
        <v>1</v>
      </c>
      <c r="AE78" s="232" t="s">
        <v>30</v>
      </c>
      <c r="AF78" s="223">
        <v>1</v>
      </c>
      <c r="AG78" s="226" t="s">
        <v>466</v>
      </c>
      <c r="AH78" s="237">
        <v>7.5044667464600007E-2</v>
      </c>
      <c r="AI78" s="237" t="s">
        <v>456</v>
      </c>
      <c r="AJ78" s="237">
        <v>9.2086849834600006E-6</v>
      </c>
      <c r="AK78" s="237" t="s">
        <v>456</v>
      </c>
      <c r="AL78" s="238">
        <v>9.14</v>
      </c>
      <c r="AM78" s="230" t="s">
        <v>1143</v>
      </c>
      <c r="AN78" s="237">
        <v>3.19E-4</v>
      </c>
      <c r="AO78" s="154" t="s">
        <v>1139</v>
      </c>
      <c r="AP78" s="237">
        <v>15000</v>
      </c>
      <c r="AQ78" s="237" t="s">
        <v>1139</v>
      </c>
      <c r="AR78" s="229">
        <v>100.12</v>
      </c>
      <c r="AS78" s="230" t="s">
        <v>1139</v>
      </c>
      <c r="AT78" s="237">
        <v>38.5</v>
      </c>
      <c r="AU78" s="222" t="s">
        <v>1139</v>
      </c>
    </row>
    <row r="79" spans="1:47" ht="82">
      <c r="A79" s="221" t="s">
        <v>918</v>
      </c>
      <c r="B79" s="223" t="s">
        <v>34</v>
      </c>
      <c r="C79" s="223"/>
      <c r="D79" s="223"/>
      <c r="E79" s="223" t="str">
        <f t="shared" si="1"/>
        <v>Yes</v>
      </c>
      <c r="F79" s="222" t="s">
        <v>481</v>
      </c>
      <c r="G79" s="223" t="s">
        <v>472</v>
      </c>
      <c r="H79" s="237" t="s">
        <v>31</v>
      </c>
      <c r="I79" s="221" t="s">
        <v>31</v>
      </c>
      <c r="J79" s="222" t="s">
        <v>31</v>
      </c>
      <c r="K79" s="221" t="s">
        <v>31</v>
      </c>
      <c r="L79" s="237">
        <v>0.08</v>
      </c>
      <c r="M79" s="224" t="s">
        <v>824</v>
      </c>
      <c r="N79" s="237">
        <v>3</v>
      </c>
      <c r="O79" s="221" t="s">
        <v>1383</v>
      </c>
      <c r="P79" s="154" t="s">
        <v>31</v>
      </c>
      <c r="Q79" s="224" t="s">
        <v>31</v>
      </c>
      <c r="R79" s="225"/>
      <c r="S79" s="225"/>
      <c r="T79" s="225"/>
      <c r="U79" s="225"/>
      <c r="V79" s="225" t="s">
        <v>351</v>
      </c>
      <c r="W79" s="225" t="s">
        <v>351</v>
      </c>
      <c r="X79" s="225"/>
      <c r="Y79" s="225" t="s">
        <v>351</v>
      </c>
      <c r="Z79" s="225"/>
      <c r="AA79" s="225"/>
      <c r="AB79" s="223">
        <v>0</v>
      </c>
      <c r="AC79" s="221" t="s">
        <v>1147</v>
      </c>
      <c r="AD79" s="223">
        <v>1</v>
      </c>
      <c r="AE79" s="232" t="s">
        <v>30</v>
      </c>
      <c r="AF79" s="223">
        <v>1</v>
      </c>
      <c r="AG79" s="226" t="s">
        <v>466</v>
      </c>
      <c r="AH79" s="237">
        <v>6.97797E-2</v>
      </c>
      <c r="AI79" s="237" t="s">
        <v>456</v>
      </c>
      <c r="AJ79" s="237">
        <v>8.3476999999999997E-6</v>
      </c>
      <c r="AK79" s="237" t="s">
        <v>456</v>
      </c>
      <c r="AL79" s="277">
        <v>12.6</v>
      </c>
      <c r="AM79" s="230" t="s">
        <v>934</v>
      </c>
      <c r="AN79" s="237">
        <v>1.3799999999999999E-4</v>
      </c>
      <c r="AO79" s="154" t="s">
        <v>927</v>
      </c>
      <c r="AP79" s="237">
        <v>19000</v>
      </c>
      <c r="AQ79" s="237" t="s">
        <v>934</v>
      </c>
      <c r="AR79" s="229">
        <v>100.16</v>
      </c>
      <c r="AS79" s="230" t="s">
        <v>934</v>
      </c>
      <c r="AT79" s="237">
        <v>19.86</v>
      </c>
      <c r="AU79" s="222" t="s">
        <v>926</v>
      </c>
    </row>
    <row r="80" spans="1:47" ht="62">
      <c r="A80" s="221" t="s">
        <v>1110</v>
      </c>
      <c r="B80" s="223" t="s">
        <v>1111</v>
      </c>
      <c r="C80" s="223"/>
      <c r="D80" s="223" t="s">
        <v>76</v>
      </c>
      <c r="E80" s="223" t="str">
        <f t="shared" si="1"/>
        <v>Yes</v>
      </c>
      <c r="F80" s="222" t="s">
        <v>480</v>
      </c>
      <c r="G80" s="223" t="s">
        <v>472</v>
      </c>
      <c r="H80" s="237">
        <v>1.8E-3</v>
      </c>
      <c r="I80" s="221" t="s">
        <v>1596</v>
      </c>
      <c r="J80" s="154">
        <v>2.6E-7</v>
      </c>
      <c r="K80" s="221" t="s">
        <v>1621</v>
      </c>
      <c r="L80" s="237">
        <v>0.14000000000000001</v>
      </c>
      <c r="M80" s="224" t="s">
        <v>1662</v>
      </c>
      <c r="N80" s="237">
        <v>3</v>
      </c>
      <c r="O80" s="221" t="s">
        <v>1384</v>
      </c>
      <c r="P80" s="154" t="s">
        <v>31</v>
      </c>
      <c r="Q80" s="224" t="s">
        <v>31</v>
      </c>
      <c r="R80" s="225"/>
      <c r="S80" s="225"/>
      <c r="T80" s="225"/>
      <c r="U80" s="225" t="s">
        <v>351</v>
      </c>
      <c r="V80" s="225" t="s">
        <v>351</v>
      </c>
      <c r="W80" s="225"/>
      <c r="X80" s="225"/>
      <c r="Y80" s="225"/>
      <c r="Z80" s="225"/>
      <c r="AA80" s="225"/>
      <c r="AB80" s="223">
        <v>0</v>
      </c>
      <c r="AC80" s="221" t="s">
        <v>1147</v>
      </c>
      <c r="AD80" s="223">
        <v>1</v>
      </c>
      <c r="AE80" s="232" t="s">
        <v>30</v>
      </c>
      <c r="AF80" s="223">
        <v>1</v>
      </c>
      <c r="AG80" s="226" t="s">
        <v>466</v>
      </c>
      <c r="AH80" s="237">
        <v>7.5267202926059998E-2</v>
      </c>
      <c r="AI80" s="237" t="s">
        <v>456</v>
      </c>
      <c r="AJ80" s="237">
        <v>8.5904153988199992E-6</v>
      </c>
      <c r="AK80" s="237" t="s">
        <v>456</v>
      </c>
      <c r="AL80" s="277">
        <v>11.56</v>
      </c>
      <c r="AM80" s="230" t="s">
        <v>1143</v>
      </c>
      <c r="AN80" s="237">
        <v>5.8699999999999996E-4</v>
      </c>
      <c r="AO80" s="154" t="s">
        <v>1139</v>
      </c>
      <c r="AP80" s="237">
        <v>51000</v>
      </c>
      <c r="AQ80" s="237" t="s">
        <v>1139</v>
      </c>
      <c r="AR80" s="229">
        <v>88.150999999999996</v>
      </c>
      <c r="AS80" s="230" t="s">
        <v>1139</v>
      </c>
      <c r="AT80" s="237">
        <v>250</v>
      </c>
      <c r="AU80" s="222" t="s">
        <v>1139</v>
      </c>
    </row>
    <row r="81" spans="1:47" ht="52">
      <c r="A81" s="281" t="s">
        <v>942</v>
      </c>
      <c r="B81" s="223" t="s">
        <v>36</v>
      </c>
      <c r="C81" s="223"/>
      <c r="D81" s="223"/>
      <c r="E81" s="223" t="str">
        <f t="shared" si="1"/>
        <v>Yes</v>
      </c>
      <c r="F81" s="222" t="s">
        <v>520</v>
      </c>
      <c r="G81" s="223" t="s">
        <v>472</v>
      </c>
      <c r="H81" s="237" t="s">
        <v>31</v>
      </c>
      <c r="I81" s="221" t="s">
        <v>31</v>
      </c>
      <c r="J81" s="237">
        <v>3.4E-5</v>
      </c>
      <c r="K81" s="221" t="s">
        <v>1597</v>
      </c>
      <c r="L81" s="237">
        <v>1.6E-2</v>
      </c>
      <c r="M81" s="224" t="s">
        <v>1425</v>
      </c>
      <c r="N81" s="237">
        <v>8.9999999999999993E-3</v>
      </c>
      <c r="O81" s="221" t="s">
        <v>1522</v>
      </c>
      <c r="P81" s="154" t="s">
        <v>31</v>
      </c>
      <c r="Q81" s="224" t="s">
        <v>31</v>
      </c>
      <c r="R81" s="225" t="s">
        <v>351</v>
      </c>
      <c r="S81" s="225" t="s">
        <v>351</v>
      </c>
      <c r="T81" s="225" t="s">
        <v>351</v>
      </c>
      <c r="U81" s="225"/>
      <c r="V81" s="225"/>
      <c r="W81" s="225"/>
      <c r="X81" s="225" t="s">
        <v>351</v>
      </c>
      <c r="Y81" s="225"/>
      <c r="Z81" s="225"/>
      <c r="AA81" s="225"/>
      <c r="AB81" s="223">
        <v>0.13</v>
      </c>
      <c r="AC81" s="221" t="s">
        <v>459</v>
      </c>
      <c r="AD81" s="223">
        <v>1</v>
      </c>
      <c r="AE81" s="232" t="s">
        <v>30</v>
      </c>
      <c r="AF81" s="223">
        <v>1</v>
      </c>
      <c r="AG81" s="226" t="s">
        <v>467</v>
      </c>
      <c r="AH81" s="237">
        <v>6.0499400000000002E-2</v>
      </c>
      <c r="AI81" s="237" t="s">
        <v>456</v>
      </c>
      <c r="AJ81" s="237">
        <v>8.3769999999999996E-6</v>
      </c>
      <c r="AK81" s="237" t="s">
        <v>456</v>
      </c>
      <c r="AL81" s="229">
        <v>1544</v>
      </c>
      <c r="AM81" s="230" t="s">
        <v>934</v>
      </c>
      <c r="AN81" s="237">
        <v>4.4000000000000002E-4</v>
      </c>
      <c r="AO81" s="154" t="s">
        <v>936</v>
      </c>
      <c r="AP81" s="237">
        <v>31</v>
      </c>
      <c r="AQ81" s="237" t="s">
        <v>934</v>
      </c>
      <c r="AR81" s="229">
        <v>128.18</v>
      </c>
      <c r="AS81" s="230" t="s">
        <v>934</v>
      </c>
      <c r="AT81" s="237">
        <v>8.5000000000000006E-2</v>
      </c>
      <c r="AU81" s="222" t="s">
        <v>926</v>
      </c>
    </row>
    <row r="82" spans="1:47" ht="100">
      <c r="A82" s="221" t="s">
        <v>937</v>
      </c>
      <c r="B82" s="223" t="s">
        <v>443</v>
      </c>
      <c r="C82" s="223"/>
      <c r="D82" s="223"/>
      <c r="E82" s="223" t="str">
        <f t="shared" si="1"/>
        <v>Yes</v>
      </c>
      <c r="F82" s="222" t="s">
        <v>481</v>
      </c>
      <c r="G82" s="223" t="s">
        <v>469</v>
      </c>
      <c r="H82" s="237" t="s">
        <v>31</v>
      </c>
      <c r="I82" s="221" t="s">
        <v>31</v>
      </c>
      <c r="J82" s="237" t="s">
        <v>31</v>
      </c>
      <c r="K82" s="221" t="s">
        <v>31</v>
      </c>
      <c r="L82" s="237">
        <v>0.1</v>
      </c>
      <c r="M82" s="224" t="s">
        <v>1090</v>
      </c>
      <c r="N82" s="237">
        <v>1</v>
      </c>
      <c r="O82" s="221" t="s">
        <v>1523</v>
      </c>
      <c r="P82" s="154" t="s">
        <v>31</v>
      </c>
      <c r="Q82" s="224" t="s">
        <v>31</v>
      </c>
      <c r="R82" s="225"/>
      <c r="S82" s="225"/>
      <c r="T82" s="225"/>
      <c r="U82" s="225" t="s">
        <v>351</v>
      </c>
      <c r="V82" s="225" t="s">
        <v>351</v>
      </c>
      <c r="W82" s="225" t="s">
        <v>351</v>
      </c>
      <c r="X82" s="225"/>
      <c r="Y82" s="225"/>
      <c r="Z82" s="225"/>
      <c r="AA82" s="225"/>
      <c r="AB82" s="223">
        <v>0</v>
      </c>
      <c r="AC82" s="221" t="s">
        <v>1147</v>
      </c>
      <c r="AD82" s="223">
        <v>1</v>
      </c>
      <c r="AE82" s="232" t="s">
        <v>30</v>
      </c>
      <c r="AF82" s="223">
        <v>1</v>
      </c>
      <c r="AG82" s="226" t="s">
        <v>466</v>
      </c>
      <c r="AH82" s="237">
        <v>6.0155800000000002E-2</v>
      </c>
      <c r="AI82" s="237" t="s">
        <v>456</v>
      </c>
      <c r="AJ82" s="237">
        <v>7.8310000000000001E-6</v>
      </c>
      <c r="AK82" s="237" t="s">
        <v>456</v>
      </c>
      <c r="AL82" s="277">
        <v>813.1</v>
      </c>
      <c r="AM82" s="230" t="s">
        <v>934</v>
      </c>
      <c r="AN82" s="237">
        <v>1.0500000000000001E-2</v>
      </c>
      <c r="AO82" s="154" t="s">
        <v>936</v>
      </c>
      <c r="AP82" s="237">
        <v>52.2</v>
      </c>
      <c r="AQ82" s="237" t="s">
        <v>934</v>
      </c>
      <c r="AR82" s="229">
        <v>120.2</v>
      </c>
      <c r="AS82" s="230" t="s">
        <v>934</v>
      </c>
      <c r="AT82" s="237">
        <v>3.42</v>
      </c>
      <c r="AU82" s="222" t="s">
        <v>926</v>
      </c>
    </row>
    <row r="83" spans="1:47" ht="85">
      <c r="A83" s="221" t="s">
        <v>47</v>
      </c>
      <c r="B83" s="223" t="s">
        <v>48</v>
      </c>
      <c r="C83" s="223"/>
      <c r="D83" s="223"/>
      <c r="E83" s="223" t="str">
        <f t="shared" si="1"/>
        <v>Yes</v>
      </c>
      <c r="F83" s="222" t="s">
        <v>517</v>
      </c>
      <c r="G83" s="223" t="s">
        <v>472</v>
      </c>
      <c r="H83" s="237" t="s">
        <v>31</v>
      </c>
      <c r="I83" s="221" t="s">
        <v>31</v>
      </c>
      <c r="J83" s="237" t="s">
        <v>31</v>
      </c>
      <c r="K83" s="221" t="s">
        <v>31</v>
      </c>
      <c r="L83" s="237">
        <v>0.2</v>
      </c>
      <c r="M83" s="224" t="s">
        <v>1471</v>
      </c>
      <c r="N83" s="237">
        <v>0.85</v>
      </c>
      <c r="O83" s="221" t="s">
        <v>1539</v>
      </c>
      <c r="P83" s="154" t="s">
        <v>31</v>
      </c>
      <c r="Q83" s="224" t="s">
        <v>31</v>
      </c>
      <c r="R83" s="225" t="s">
        <v>351</v>
      </c>
      <c r="S83" s="225" t="s">
        <v>351</v>
      </c>
      <c r="T83" s="225"/>
      <c r="U83" s="225"/>
      <c r="V83" s="225" t="s">
        <v>351</v>
      </c>
      <c r="W83" s="225"/>
      <c r="X83" s="225"/>
      <c r="Y83" s="225"/>
      <c r="Z83" s="225"/>
      <c r="AA83" s="225"/>
      <c r="AB83" s="223">
        <v>0</v>
      </c>
      <c r="AC83" s="221" t="s">
        <v>1147</v>
      </c>
      <c r="AD83" s="223">
        <v>1</v>
      </c>
      <c r="AE83" s="232" t="s">
        <v>30</v>
      </c>
      <c r="AF83" s="223">
        <v>1</v>
      </c>
      <c r="AG83" s="226" t="s">
        <v>466</v>
      </c>
      <c r="AH83" s="237">
        <v>7.1113999999999997E-2</v>
      </c>
      <c r="AI83" s="237" t="s">
        <v>456</v>
      </c>
      <c r="AJ83" s="237">
        <v>8.7838000000000005E-6</v>
      </c>
      <c r="AK83" s="237" t="s">
        <v>456</v>
      </c>
      <c r="AL83" s="277">
        <v>446.1</v>
      </c>
      <c r="AM83" s="230" t="s">
        <v>934</v>
      </c>
      <c r="AN83" s="237">
        <v>2.7499999999999998E-3</v>
      </c>
      <c r="AO83" s="154" t="s">
        <v>936</v>
      </c>
      <c r="AP83" s="237">
        <v>310</v>
      </c>
      <c r="AQ83" s="237" t="s">
        <v>934</v>
      </c>
      <c r="AR83" s="229">
        <v>104.15</v>
      </c>
      <c r="AS83" s="230" t="s">
        <v>934</v>
      </c>
      <c r="AT83" s="237">
        <v>6.4</v>
      </c>
      <c r="AU83" s="222" t="s">
        <v>926</v>
      </c>
    </row>
    <row r="84" spans="1:47" ht="122">
      <c r="A84" s="221" t="s">
        <v>399</v>
      </c>
      <c r="B84" s="223" t="s">
        <v>49</v>
      </c>
      <c r="C84" s="223"/>
      <c r="D84" s="223"/>
      <c r="E84" s="223" t="str">
        <f t="shared" si="1"/>
        <v>Yes</v>
      </c>
      <c r="F84" s="222" t="s">
        <v>521</v>
      </c>
      <c r="G84" s="223" t="s">
        <v>472</v>
      </c>
      <c r="H84" s="237">
        <v>2.5999999999999999E-2</v>
      </c>
      <c r="I84" s="221" t="s">
        <v>1070</v>
      </c>
      <c r="J84" s="237" t="s">
        <v>31</v>
      </c>
      <c r="K84" s="221" t="s">
        <v>31</v>
      </c>
      <c r="L84" s="237">
        <v>0.03</v>
      </c>
      <c r="M84" s="224" t="s">
        <v>1472</v>
      </c>
      <c r="N84" s="237" t="s">
        <v>31</v>
      </c>
      <c r="O84" s="221" t="s">
        <v>31</v>
      </c>
      <c r="P84" s="154" t="s">
        <v>31</v>
      </c>
      <c r="Q84" s="224" t="s">
        <v>31</v>
      </c>
      <c r="R84" s="225"/>
      <c r="S84" s="225"/>
      <c r="T84" s="225"/>
      <c r="U84" s="225" t="s">
        <v>351</v>
      </c>
      <c r="V84" s="225" t="s">
        <v>351</v>
      </c>
      <c r="W84" s="225"/>
      <c r="X84" s="225"/>
      <c r="Y84" s="225"/>
      <c r="Z84" s="225"/>
      <c r="AA84" s="225"/>
      <c r="AB84" s="223">
        <v>0</v>
      </c>
      <c r="AC84" s="221" t="s">
        <v>1147</v>
      </c>
      <c r="AD84" s="223">
        <v>1</v>
      </c>
      <c r="AE84" s="232" t="s">
        <v>30</v>
      </c>
      <c r="AF84" s="223">
        <v>1</v>
      </c>
      <c r="AG84" s="226" t="s">
        <v>466</v>
      </c>
      <c r="AH84" s="237">
        <v>4.8176099999999999E-2</v>
      </c>
      <c r="AI84" s="237" t="s">
        <v>456</v>
      </c>
      <c r="AJ84" s="237">
        <v>9.0976999999999993E-6</v>
      </c>
      <c r="AK84" s="237" t="s">
        <v>456</v>
      </c>
      <c r="AL84" s="238">
        <v>86.03</v>
      </c>
      <c r="AM84" s="230" t="s">
        <v>934</v>
      </c>
      <c r="AN84" s="237">
        <v>2.5000000000000001E-3</v>
      </c>
      <c r="AO84" s="154" t="s">
        <v>936</v>
      </c>
      <c r="AP84" s="237">
        <v>1070</v>
      </c>
      <c r="AQ84" s="237" t="s">
        <v>934</v>
      </c>
      <c r="AR84" s="229">
        <v>167.85</v>
      </c>
      <c r="AS84" s="230" t="s">
        <v>934</v>
      </c>
      <c r="AT84" s="237">
        <v>12</v>
      </c>
      <c r="AU84" s="222" t="s">
        <v>926</v>
      </c>
    </row>
    <row r="85" spans="1:47" ht="60">
      <c r="A85" s="221" t="s">
        <v>813</v>
      </c>
      <c r="B85" s="223" t="s">
        <v>183</v>
      </c>
      <c r="C85" s="223"/>
      <c r="D85" s="223"/>
      <c r="E85" s="223" t="str">
        <f t="shared" si="1"/>
        <v>Yes</v>
      </c>
      <c r="F85" s="222" t="s">
        <v>516</v>
      </c>
      <c r="G85" s="223" t="s">
        <v>472</v>
      </c>
      <c r="H85" s="237">
        <v>0.2</v>
      </c>
      <c r="I85" s="221" t="s">
        <v>1385</v>
      </c>
      <c r="J85" s="237" t="s">
        <v>31</v>
      </c>
      <c r="K85" s="221" t="s">
        <v>31</v>
      </c>
      <c r="L85" s="237">
        <v>0.02</v>
      </c>
      <c r="M85" s="224" t="s">
        <v>1413</v>
      </c>
      <c r="N85" s="237" t="s">
        <v>31</v>
      </c>
      <c r="O85" s="221" t="s">
        <v>31</v>
      </c>
      <c r="P85" s="154" t="s">
        <v>31</v>
      </c>
      <c r="Q85" s="224" t="s">
        <v>31</v>
      </c>
      <c r="R85" s="225"/>
      <c r="S85" s="225"/>
      <c r="T85" s="225"/>
      <c r="U85" s="225"/>
      <c r="V85" s="225" t="s">
        <v>351</v>
      </c>
      <c r="W85" s="225"/>
      <c r="X85" s="225"/>
      <c r="Y85" s="225"/>
      <c r="Z85" s="225"/>
      <c r="AA85" s="225"/>
      <c r="AB85" s="223">
        <v>0</v>
      </c>
      <c r="AC85" s="221" t="s">
        <v>1147</v>
      </c>
      <c r="AD85" s="223">
        <v>1</v>
      </c>
      <c r="AE85" s="232" t="s">
        <v>30</v>
      </c>
      <c r="AF85" s="223">
        <v>1</v>
      </c>
      <c r="AG85" s="226" t="s">
        <v>466</v>
      </c>
      <c r="AH85" s="154">
        <v>4.8920600000000002E-2</v>
      </c>
      <c r="AI85" s="237" t="s">
        <v>456</v>
      </c>
      <c r="AJ85" s="237">
        <v>9.2901999999999996E-6</v>
      </c>
      <c r="AK85" s="237" t="s">
        <v>456</v>
      </c>
      <c r="AL85" s="238">
        <v>94.94</v>
      </c>
      <c r="AM85" s="230" t="s">
        <v>934</v>
      </c>
      <c r="AN85" s="237">
        <v>3.6699999999999998E-4</v>
      </c>
      <c r="AO85" s="154" t="s">
        <v>936</v>
      </c>
      <c r="AP85" s="237">
        <v>2830</v>
      </c>
      <c r="AQ85" s="237" t="s">
        <v>934</v>
      </c>
      <c r="AR85" s="229">
        <v>167.85</v>
      </c>
      <c r="AS85" s="230" t="s">
        <v>934</v>
      </c>
      <c r="AT85" s="237">
        <v>4.62</v>
      </c>
      <c r="AU85" s="222" t="s">
        <v>926</v>
      </c>
    </row>
    <row r="86" spans="1:47" ht="70">
      <c r="A86" s="221" t="s">
        <v>490</v>
      </c>
      <c r="B86" s="223" t="s">
        <v>100</v>
      </c>
      <c r="C86" s="223"/>
      <c r="D86" s="223" t="s">
        <v>76</v>
      </c>
      <c r="E86" s="223" t="str">
        <f t="shared" si="1"/>
        <v>Yes</v>
      </c>
      <c r="F86" s="222" t="s">
        <v>516</v>
      </c>
      <c r="G86" s="223" t="s">
        <v>472</v>
      </c>
      <c r="H86" s="237">
        <v>2.4899999999999999E-2</v>
      </c>
      <c r="I86" s="221" t="s">
        <v>1313</v>
      </c>
      <c r="J86" s="237">
        <v>3.0000000000000001E-6</v>
      </c>
      <c r="K86" s="221" t="s">
        <v>1437</v>
      </c>
      <c r="L86" s="237">
        <v>2.5999999999999999E-3</v>
      </c>
      <c r="M86" s="224" t="s">
        <v>1567</v>
      </c>
      <c r="N86" s="237">
        <v>1.4999999999999999E-2</v>
      </c>
      <c r="O86" s="221" t="s">
        <v>1524</v>
      </c>
      <c r="P86" s="154" t="s">
        <v>31</v>
      </c>
      <c r="Q86" s="224" t="s">
        <v>31</v>
      </c>
      <c r="R86" s="225" t="s">
        <v>351</v>
      </c>
      <c r="S86" s="225"/>
      <c r="T86" s="225"/>
      <c r="U86" s="225"/>
      <c r="V86" s="225"/>
      <c r="W86" s="225"/>
      <c r="X86" s="225"/>
      <c r="Y86" s="225"/>
      <c r="Z86" s="225"/>
      <c r="AA86" s="225"/>
      <c r="AB86" s="223">
        <v>0</v>
      </c>
      <c r="AC86" s="221" t="s">
        <v>1147</v>
      </c>
      <c r="AD86" s="223">
        <v>1</v>
      </c>
      <c r="AE86" s="232" t="s">
        <v>30</v>
      </c>
      <c r="AF86" s="223">
        <v>1</v>
      </c>
      <c r="AG86" s="226" t="s">
        <v>466</v>
      </c>
      <c r="AH86" s="282">
        <v>5.0466400000000002E-2</v>
      </c>
      <c r="AI86" s="237" t="s">
        <v>456</v>
      </c>
      <c r="AJ86" s="237">
        <v>9.4551000000000003E-6</v>
      </c>
      <c r="AK86" s="237" t="s">
        <v>456</v>
      </c>
      <c r="AL86" s="238">
        <v>94.94</v>
      </c>
      <c r="AM86" s="230" t="s">
        <v>934</v>
      </c>
      <c r="AN86" s="237">
        <v>1.77E-2</v>
      </c>
      <c r="AO86" s="154" t="s">
        <v>936</v>
      </c>
      <c r="AP86" s="237">
        <v>206</v>
      </c>
      <c r="AQ86" s="237" t="s">
        <v>934</v>
      </c>
      <c r="AR86" s="229">
        <v>165.83</v>
      </c>
      <c r="AS86" s="230" t="s">
        <v>934</v>
      </c>
      <c r="AT86" s="237">
        <v>18.5</v>
      </c>
      <c r="AU86" s="222" t="s">
        <v>926</v>
      </c>
    </row>
    <row r="87" spans="1:47" ht="84">
      <c r="A87" s="221" t="s">
        <v>916</v>
      </c>
      <c r="B87" s="223" t="s">
        <v>102</v>
      </c>
      <c r="C87" s="223"/>
      <c r="D87" s="223"/>
      <c r="E87" s="223" t="str">
        <f t="shared" si="1"/>
        <v>Yes</v>
      </c>
      <c r="F87" s="222" t="s">
        <v>481</v>
      </c>
      <c r="G87" s="223" t="s">
        <v>472</v>
      </c>
      <c r="H87" s="237" t="s">
        <v>31</v>
      </c>
      <c r="I87" s="221" t="s">
        <v>31</v>
      </c>
      <c r="J87" s="237" t="s">
        <v>31</v>
      </c>
      <c r="K87" s="221" t="s">
        <v>31</v>
      </c>
      <c r="L87" s="237">
        <v>5.5E-2</v>
      </c>
      <c r="M87" s="224" t="s">
        <v>1414</v>
      </c>
      <c r="N87" s="237">
        <v>4</v>
      </c>
      <c r="O87" s="240" t="s">
        <v>1314</v>
      </c>
      <c r="P87" s="154" t="s">
        <v>31</v>
      </c>
      <c r="Q87" s="224" t="s">
        <v>31</v>
      </c>
      <c r="R87" s="225" t="s">
        <v>351</v>
      </c>
      <c r="S87" s="225"/>
      <c r="T87" s="225" t="s">
        <v>351</v>
      </c>
      <c r="U87" s="225" t="s">
        <v>351</v>
      </c>
      <c r="V87" s="225" t="s">
        <v>351</v>
      </c>
      <c r="W87" s="225"/>
      <c r="X87" s="225"/>
      <c r="Y87" s="225"/>
      <c r="Z87" s="225"/>
      <c r="AA87" s="225"/>
      <c r="AB87" s="223">
        <v>0</v>
      </c>
      <c r="AC87" s="221" t="s">
        <v>1147</v>
      </c>
      <c r="AD87" s="223">
        <v>1</v>
      </c>
      <c r="AE87" s="232" t="s">
        <v>30</v>
      </c>
      <c r="AF87" s="223">
        <v>1</v>
      </c>
      <c r="AG87" s="226" t="s">
        <v>466</v>
      </c>
      <c r="AH87" s="237">
        <v>7.7805299999999994E-2</v>
      </c>
      <c r="AI87" s="237" t="s">
        <v>456</v>
      </c>
      <c r="AJ87" s="237">
        <v>9.2044999999999997E-6</v>
      </c>
      <c r="AK87" s="237" t="s">
        <v>456</v>
      </c>
      <c r="AL87" s="277">
        <v>233.9</v>
      </c>
      <c r="AM87" s="230" t="s">
        <v>934</v>
      </c>
      <c r="AN87" s="237">
        <v>6.6400000000000001E-3</v>
      </c>
      <c r="AO87" s="154" t="s">
        <v>936</v>
      </c>
      <c r="AP87" s="237">
        <v>526</v>
      </c>
      <c r="AQ87" s="237" t="s">
        <v>934</v>
      </c>
      <c r="AR87" s="229">
        <v>92.14</v>
      </c>
      <c r="AS87" s="230" t="s">
        <v>934</v>
      </c>
      <c r="AT87" s="237">
        <v>28.4</v>
      </c>
      <c r="AU87" s="222" t="s">
        <v>926</v>
      </c>
    </row>
    <row r="88" spans="1:47" ht="62">
      <c r="A88" s="221" t="s">
        <v>376</v>
      </c>
      <c r="B88" s="223" t="s">
        <v>103</v>
      </c>
      <c r="C88" s="223"/>
      <c r="D88" s="223" t="s">
        <v>76</v>
      </c>
      <c r="E88" s="223" t="str">
        <f t="shared" si="1"/>
        <v>Yes</v>
      </c>
      <c r="F88" s="222" t="s">
        <v>477</v>
      </c>
      <c r="G88" s="223" t="s">
        <v>472</v>
      </c>
      <c r="H88" s="237">
        <v>2.9000000000000001E-2</v>
      </c>
      <c r="I88" s="221" t="s">
        <v>1430</v>
      </c>
      <c r="J88" s="237" t="s">
        <v>31</v>
      </c>
      <c r="K88" s="221" t="s">
        <v>31</v>
      </c>
      <c r="L88" s="237">
        <v>2.1000000000000001E-2</v>
      </c>
      <c r="M88" s="224" t="s">
        <v>1415</v>
      </c>
      <c r="N88" s="237">
        <v>2E-3</v>
      </c>
      <c r="O88" s="221" t="s">
        <v>825</v>
      </c>
      <c r="P88" s="154" t="s">
        <v>31</v>
      </c>
      <c r="Q88" s="224" t="s">
        <v>31</v>
      </c>
      <c r="R88" s="225"/>
      <c r="S88" s="225"/>
      <c r="T88" s="225"/>
      <c r="U88" s="225" t="s">
        <v>351</v>
      </c>
      <c r="V88" s="225" t="s">
        <v>351</v>
      </c>
      <c r="W88" s="225"/>
      <c r="X88" s="225"/>
      <c r="Y88" s="225"/>
      <c r="Z88" s="225"/>
      <c r="AA88" s="225"/>
      <c r="AB88" s="223">
        <v>0</v>
      </c>
      <c r="AC88" s="221" t="s">
        <v>1147</v>
      </c>
      <c r="AD88" s="223">
        <v>1</v>
      </c>
      <c r="AE88" s="232" t="s">
        <v>30</v>
      </c>
      <c r="AF88" s="223">
        <v>1</v>
      </c>
      <c r="AG88" s="226" t="s">
        <v>466</v>
      </c>
      <c r="AH88" s="237">
        <v>3.9599200000000001E-2</v>
      </c>
      <c r="AI88" s="237" t="s">
        <v>456</v>
      </c>
      <c r="AJ88" s="237">
        <v>8.4032999999999997E-6</v>
      </c>
      <c r="AK88" s="237" t="s">
        <v>456</v>
      </c>
      <c r="AL88" s="229">
        <v>1356</v>
      </c>
      <c r="AM88" s="230" t="s">
        <v>934</v>
      </c>
      <c r="AN88" s="237">
        <v>1.42E-3</v>
      </c>
      <c r="AO88" s="154" t="s">
        <v>936</v>
      </c>
      <c r="AP88" s="237">
        <v>49</v>
      </c>
      <c r="AQ88" s="237" t="s">
        <v>934</v>
      </c>
      <c r="AR88" s="229">
        <v>181.45</v>
      </c>
      <c r="AS88" s="230" t="s">
        <v>934</v>
      </c>
      <c r="AT88" s="237">
        <v>0.46</v>
      </c>
      <c r="AU88" s="222" t="s">
        <v>926</v>
      </c>
    </row>
    <row r="89" spans="1:47" ht="150">
      <c r="A89" s="221" t="s">
        <v>400</v>
      </c>
      <c r="B89" s="223" t="s">
        <v>85</v>
      </c>
      <c r="C89" s="223"/>
      <c r="D89" s="223"/>
      <c r="E89" s="223" t="str">
        <f t="shared" si="1"/>
        <v>Yes</v>
      </c>
      <c r="F89" s="222" t="s">
        <v>481</v>
      </c>
      <c r="G89" s="223" t="s">
        <v>472</v>
      </c>
      <c r="H89" s="237" t="s">
        <v>31</v>
      </c>
      <c r="I89" s="221" t="s">
        <v>31</v>
      </c>
      <c r="J89" s="237" t="s">
        <v>31</v>
      </c>
      <c r="K89" s="221" t="s">
        <v>31</v>
      </c>
      <c r="L89" s="237">
        <v>1</v>
      </c>
      <c r="M89" s="224" t="s">
        <v>1572</v>
      </c>
      <c r="N89" s="237">
        <v>5</v>
      </c>
      <c r="O89" s="221" t="s">
        <v>1525</v>
      </c>
      <c r="P89" s="154" t="s">
        <v>31</v>
      </c>
      <c r="Q89" s="224" t="s">
        <v>31</v>
      </c>
      <c r="R89" s="225"/>
      <c r="S89" s="225"/>
      <c r="T89" s="225"/>
      <c r="U89" s="225"/>
      <c r="V89" s="225" t="s">
        <v>351</v>
      </c>
      <c r="W89" s="225"/>
      <c r="X89" s="225"/>
      <c r="Y89" s="225"/>
      <c r="Z89" s="225"/>
      <c r="AA89" s="225"/>
      <c r="AB89" s="223">
        <v>0</v>
      </c>
      <c r="AC89" s="221" t="s">
        <v>1147</v>
      </c>
      <c r="AD89" s="223">
        <v>1</v>
      </c>
      <c r="AE89" s="232" t="s">
        <v>30</v>
      </c>
      <c r="AF89" s="223">
        <v>1</v>
      </c>
      <c r="AG89" s="226" t="s">
        <v>466</v>
      </c>
      <c r="AH89" s="237">
        <v>6.4817399999999997E-2</v>
      </c>
      <c r="AI89" s="237" t="s">
        <v>456</v>
      </c>
      <c r="AJ89" s="237">
        <v>9.5990000000000008E-6</v>
      </c>
      <c r="AK89" s="237" t="s">
        <v>456</v>
      </c>
      <c r="AL89" s="238">
        <v>43.89</v>
      </c>
      <c r="AM89" s="230" t="s">
        <v>934</v>
      </c>
      <c r="AN89" s="237">
        <v>1.72E-2</v>
      </c>
      <c r="AO89" s="154" t="s">
        <v>936</v>
      </c>
      <c r="AP89" s="237">
        <v>1290</v>
      </c>
      <c r="AQ89" s="237" t="s">
        <v>934</v>
      </c>
      <c r="AR89" s="229">
        <v>133.41</v>
      </c>
      <c r="AS89" s="230" t="s">
        <v>934</v>
      </c>
      <c r="AT89" s="237">
        <v>124</v>
      </c>
      <c r="AU89" s="222" t="s">
        <v>926</v>
      </c>
    </row>
    <row r="90" spans="1:47" ht="72">
      <c r="A90" s="221" t="s">
        <v>814</v>
      </c>
      <c r="B90" s="223" t="s">
        <v>86</v>
      </c>
      <c r="C90" s="223"/>
      <c r="D90" s="223"/>
      <c r="E90" s="223" t="str">
        <f t="shared" si="1"/>
        <v>Yes</v>
      </c>
      <c r="F90" s="222" t="s">
        <v>521</v>
      </c>
      <c r="G90" s="223" t="s">
        <v>472</v>
      </c>
      <c r="H90" s="237">
        <v>5.7000000000000002E-2</v>
      </c>
      <c r="I90" s="221" t="s">
        <v>826</v>
      </c>
      <c r="J90" s="237" t="s">
        <v>31</v>
      </c>
      <c r="K90" s="221" t="s">
        <v>31</v>
      </c>
      <c r="L90" s="237">
        <v>4.0000000000000001E-3</v>
      </c>
      <c r="M90" s="224" t="s">
        <v>1473</v>
      </c>
      <c r="N90" s="237">
        <v>2.0000000000000001E-4</v>
      </c>
      <c r="O90" s="221" t="s">
        <v>1526</v>
      </c>
      <c r="P90" s="154" t="s">
        <v>31</v>
      </c>
      <c r="Q90" s="224" t="s">
        <v>31</v>
      </c>
      <c r="R90" s="225"/>
      <c r="S90" s="225" t="s">
        <v>351</v>
      </c>
      <c r="T90" s="225"/>
      <c r="U90" s="225"/>
      <c r="V90" s="225" t="s">
        <v>351</v>
      </c>
      <c r="W90" s="225"/>
      <c r="X90" s="225" t="s">
        <v>351</v>
      </c>
      <c r="Y90" s="225"/>
      <c r="Z90" s="225"/>
      <c r="AA90" s="225"/>
      <c r="AB90" s="223">
        <v>0</v>
      </c>
      <c r="AC90" s="221" t="s">
        <v>1147</v>
      </c>
      <c r="AD90" s="223">
        <v>1</v>
      </c>
      <c r="AE90" s="232" t="s">
        <v>30</v>
      </c>
      <c r="AF90" s="223">
        <v>1</v>
      </c>
      <c r="AG90" s="226" t="s">
        <v>466</v>
      </c>
      <c r="AH90" s="237">
        <v>6.6890400000000003E-2</v>
      </c>
      <c r="AI90" s="237" t="s">
        <v>456</v>
      </c>
      <c r="AJ90" s="237">
        <v>1.0000000000000001E-5</v>
      </c>
      <c r="AK90" s="237" t="s">
        <v>456</v>
      </c>
      <c r="AL90" s="277">
        <v>60.7</v>
      </c>
      <c r="AM90" s="230" t="s">
        <v>934</v>
      </c>
      <c r="AN90" s="237">
        <v>8.2399999999999997E-4</v>
      </c>
      <c r="AO90" s="154" t="s">
        <v>936</v>
      </c>
      <c r="AP90" s="237">
        <v>4590</v>
      </c>
      <c r="AQ90" s="237" t="s">
        <v>934</v>
      </c>
      <c r="AR90" s="229">
        <v>133.41</v>
      </c>
      <c r="AS90" s="230" t="s">
        <v>934</v>
      </c>
      <c r="AT90" s="237">
        <v>23</v>
      </c>
      <c r="AU90" s="222" t="s">
        <v>926</v>
      </c>
    </row>
    <row r="91" spans="1:47" ht="124">
      <c r="A91" s="221" t="s">
        <v>87</v>
      </c>
      <c r="B91" s="223" t="s">
        <v>88</v>
      </c>
      <c r="C91" s="223"/>
      <c r="D91" s="223" t="s">
        <v>76</v>
      </c>
      <c r="E91" s="223" t="str">
        <f t="shared" si="1"/>
        <v>Yes</v>
      </c>
      <c r="F91" s="222" t="s">
        <v>522</v>
      </c>
      <c r="G91" s="223" t="s">
        <v>472</v>
      </c>
      <c r="H91" s="237">
        <v>0.05</v>
      </c>
      <c r="I91" s="645" t="s">
        <v>1568</v>
      </c>
      <c r="J91" s="237">
        <v>4.0999999999999997E-6</v>
      </c>
      <c r="K91" s="221" t="s">
        <v>1374</v>
      </c>
      <c r="L91" s="237">
        <v>1.7000000000000001E-4</v>
      </c>
      <c r="M91" s="224" t="s">
        <v>1544</v>
      </c>
      <c r="N91" s="237">
        <v>2E-3</v>
      </c>
      <c r="O91" s="221" t="s">
        <v>1527</v>
      </c>
      <c r="P91" s="154" t="s">
        <v>31</v>
      </c>
      <c r="Q91" s="224" t="s">
        <v>31</v>
      </c>
      <c r="R91" s="225"/>
      <c r="S91" s="225"/>
      <c r="T91" s="225" t="s">
        <v>351</v>
      </c>
      <c r="U91" s="225"/>
      <c r="V91" s="225"/>
      <c r="W91" s="225" t="s">
        <v>351</v>
      </c>
      <c r="X91" s="225"/>
      <c r="Y91" s="225"/>
      <c r="Z91" s="225"/>
      <c r="AA91" s="225"/>
      <c r="AB91" s="223">
        <v>0</v>
      </c>
      <c r="AC91" s="221" t="s">
        <v>1147</v>
      </c>
      <c r="AD91" s="223">
        <v>1</v>
      </c>
      <c r="AE91" s="232" t="s">
        <v>30</v>
      </c>
      <c r="AF91" s="223">
        <v>1</v>
      </c>
      <c r="AG91" s="226" t="s">
        <v>466</v>
      </c>
      <c r="AH91" s="237">
        <v>6.8661799999999995E-2</v>
      </c>
      <c r="AI91" s="237" t="s">
        <v>456</v>
      </c>
      <c r="AJ91" s="237">
        <v>1.0200000000000001E-5</v>
      </c>
      <c r="AK91" s="237" t="s">
        <v>456</v>
      </c>
      <c r="AL91" s="277">
        <v>60.7</v>
      </c>
      <c r="AM91" s="230" t="s">
        <v>934</v>
      </c>
      <c r="AN91" s="237">
        <v>9.8499999999999994E-3</v>
      </c>
      <c r="AO91" s="154" t="s">
        <v>936</v>
      </c>
      <c r="AP91" s="237">
        <v>1280</v>
      </c>
      <c r="AQ91" s="237" t="s">
        <v>934</v>
      </c>
      <c r="AR91" s="229">
        <v>131.38999999999999</v>
      </c>
      <c r="AS91" s="230" t="s">
        <v>934</v>
      </c>
      <c r="AT91" s="237">
        <v>69</v>
      </c>
      <c r="AU91" s="222" t="s">
        <v>926</v>
      </c>
    </row>
    <row r="92" spans="1:47" ht="92">
      <c r="A92" s="221" t="s">
        <v>683</v>
      </c>
      <c r="B92" s="223" t="s">
        <v>128</v>
      </c>
      <c r="C92" s="223"/>
      <c r="D92" s="223"/>
      <c r="E92" s="223" t="str">
        <f t="shared" si="1"/>
        <v>Yes</v>
      </c>
      <c r="F92" s="222" t="s">
        <v>517</v>
      </c>
      <c r="G92" s="223" t="s">
        <v>472</v>
      </c>
      <c r="H92" s="237" t="s">
        <v>31</v>
      </c>
      <c r="I92" s="221" t="s">
        <v>31</v>
      </c>
      <c r="J92" s="237" t="s">
        <v>31</v>
      </c>
      <c r="K92" s="221" t="s">
        <v>31</v>
      </c>
      <c r="L92" s="237">
        <v>0.3</v>
      </c>
      <c r="M92" s="224" t="s">
        <v>1474</v>
      </c>
      <c r="N92" s="237">
        <v>1</v>
      </c>
      <c r="O92" s="221" t="s">
        <v>1528</v>
      </c>
      <c r="P92" s="154" t="s">
        <v>31</v>
      </c>
      <c r="Q92" s="224" t="s">
        <v>31</v>
      </c>
      <c r="R92" s="225" t="s">
        <v>351</v>
      </c>
      <c r="S92" s="225"/>
      <c r="T92" s="225"/>
      <c r="U92" s="225"/>
      <c r="V92" s="225"/>
      <c r="W92" s="225"/>
      <c r="X92" s="225"/>
      <c r="Y92" s="225"/>
      <c r="Z92" s="225"/>
      <c r="AA92" s="225"/>
      <c r="AB92" s="223">
        <v>0</v>
      </c>
      <c r="AC92" s="221" t="s">
        <v>1147</v>
      </c>
      <c r="AD92" s="223">
        <v>1</v>
      </c>
      <c r="AE92" s="232" t="s">
        <v>30</v>
      </c>
      <c r="AF92" s="223">
        <v>1</v>
      </c>
      <c r="AG92" s="226" t="s">
        <v>466</v>
      </c>
      <c r="AH92" s="237">
        <v>6.5355999999999997E-2</v>
      </c>
      <c r="AI92" s="237" t="s">
        <v>456</v>
      </c>
      <c r="AJ92" s="237">
        <v>1.0000000000000001E-5</v>
      </c>
      <c r="AK92" s="237" t="s">
        <v>456</v>
      </c>
      <c r="AL92" s="238">
        <v>43.89</v>
      </c>
      <c r="AM92" s="230" t="s">
        <v>934</v>
      </c>
      <c r="AN92" s="237">
        <v>9.7000000000000003E-2</v>
      </c>
      <c r="AO92" s="154" t="s">
        <v>936</v>
      </c>
      <c r="AP92" s="237">
        <v>1100</v>
      </c>
      <c r="AQ92" s="237" t="s">
        <v>934</v>
      </c>
      <c r="AR92" s="229">
        <v>137.37</v>
      </c>
      <c r="AS92" s="230" t="s">
        <v>934</v>
      </c>
      <c r="AT92" s="237">
        <v>802.8</v>
      </c>
      <c r="AU92" s="222" t="s">
        <v>926</v>
      </c>
    </row>
    <row r="93" spans="1:47" ht="92">
      <c r="A93" s="221" t="s">
        <v>919</v>
      </c>
      <c r="B93" s="223" t="s">
        <v>175</v>
      </c>
      <c r="C93" s="223"/>
      <c r="D93" s="223"/>
      <c r="E93" s="223" t="str">
        <f t="shared" si="1"/>
        <v>Yes</v>
      </c>
      <c r="F93" s="222" t="s">
        <v>517</v>
      </c>
      <c r="G93" s="223" t="s">
        <v>472</v>
      </c>
      <c r="H93" s="237" t="s">
        <v>31</v>
      </c>
      <c r="I93" s="221" t="s">
        <v>31</v>
      </c>
      <c r="J93" s="237" t="s">
        <v>31</v>
      </c>
      <c r="K93" s="221" t="s">
        <v>31</v>
      </c>
      <c r="L93" s="237">
        <v>30</v>
      </c>
      <c r="M93" s="224" t="s">
        <v>1475</v>
      </c>
      <c r="N93" s="237">
        <v>5</v>
      </c>
      <c r="O93" s="221" t="s">
        <v>1529</v>
      </c>
      <c r="P93" s="154" t="s">
        <v>31</v>
      </c>
      <c r="Q93" s="224" t="s">
        <v>31</v>
      </c>
      <c r="R93" s="225" t="s">
        <v>351</v>
      </c>
      <c r="S93" s="225"/>
      <c r="T93" s="225"/>
      <c r="U93" s="225"/>
      <c r="V93" s="225"/>
      <c r="W93" s="225"/>
      <c r="X93" s="225"/>
      <c r="Y93" s="225"/>
      <c r="Z93" s="225"/>
      <c r="AA93" s="225"/>
      <c r="AB93" s="223">
        <v>0</v>
      </c>
      <c r="AC93" s="221" t="s">
        <v>1147</v>
      </c>
      <c r="AD93" s="223">
        <v>1</v>
      </c>
      <c r="AE93" s="232" t="s">
        <v>30</v>
      </c>
      <c r="AF93" s="223">
        <v>1</v>
      </c>
      <c r="AG93" s="226" t="s">
        <v>466</v>
      </c>
      <c r="AH93" s="237">
        <v>3.7565800000000003E-2</v>
      </c>
      <c r="AI93" s="237" t="s">
        <v>456</v>
      </c>
      <c r="AJ93" s="237">
        <v>8.5920000000000001E-6</v>
      </c>
      <c r="AK93" s="237" t="s">
        <v>456</v>
      </c>
      <c r="AL93" s="277">
        <v>196.8</v>
      </c>
      <c r="AM93" s="230" t="s">
        <v>934</v>
      </c>
      <c r="AN93" s="237">
        <v>0.52600000000000002</v>
      </c>
      <c r="AO93" s="154" t="s">
        <v>933</v>
      </c>
      <c r="AP93" s="237">
        <v>170</v>
      </c>
      <c r="AQ93" s="237" t="s">
        <v>934</v>
      </c>
      <c r="AR93" s="229">
        <v>187.38</v>
      </c>
      <c r="AS93" s="230" t="s">
        <v>934</v>
      </c>
      <c r="AT93" s="237">
        <v>362.5</v>
      </c>
      <c r="AU93" s="222" t="s">
        <v>926</v>
      </c>
    </row>
    <row r="94" spans="1:47" ht="62">
      <c r="A94" s="221" t="s">
        <v>1123</v>
      </c>
      <c r="B94" s="223" t="s">
        <v>1124</v>
      </c>
      <c r="C94" s="223"/>
      <c r="D94" s="223" t="s">
        <v>76</v>
      </c>
      <c r="E94" s="223" t="str">
        <f t="shared" si="1"/>
        <v>Yes</v>
      </c>
      <c r="F94" s="222" t="s">
        <v>1211</v>
      </c>
      <c r="G94" s="223" t="s">
        <v>472</v>
      </c>
      <c r="H94" s="237">
        <v>30</v>
      </c>
      <c r="I94" s="221" t="s">
        <v>1360</v>
      </c>
      <c r="J94" s="237" t="s">
        <v>31</v>
      </c>
      <c r="K94" s="221" t="s">
        <v>31</v>
      </c>
      <c r="L94" s="237">
        <v>2.5999999999999999E-3</v>
      </c>
      <c r="M94" s="224" t="s">
        <v>1663</v>
      </c>
      <c r="N94" s="237">
        <v>2.9999999999999997E-4</v>
      </c>
      <c r="O94" s="221" t="s">
        <v>1426</v>
      </c>
      <c r="P94" s="154" t="s">
        <v>31</v>
      </c>
      <c r="Q94" s="224" t="s">
        <v>31</v>
      </c>
      <c r="R94" s="225"/>
      <c r="S94" s="225"/>
      <c r="T94" s="225"/>
      <c r="U94" s="225" t="s">
        <v>351</v>
      </c>
      <c r="V94" s="225" t="s">
        <v>351</v>
      </c>
      <c r="W94" s="225"/>
      <c r="X94" s="225" t="s">
        <v>351</v>
      </c>
      <c r="Y94" s="225"/>
      <c r="Z94" s="225"/>
      <c r="AA94" s="225"/>
      <c r="AB94" s="223">
        <v>0</v>
      </c>
      <c r="AC94" s="221" t="s">
        <v>1147</v>
      </c>
      <c r="AD94" s="223">
        <v>1</v>
      </c>
      <c r="AE94" s="232" t="s">
        <v>30</v>
      </c>
      <c r="AF94" s="223">
        <v>1</v>
      </c>
      <c r="AG94" s="226" t="s">
        <v>466</v>
      </c>
      <c r="AH94" s="237">
        <v>5.7466054964980001E-2</v>
      </c>
      <c r="AI94" s="237" t="s">
        <v>456</v>
      </c>
      <c r="AJ94" s="237">
        <v>9.2410823201399999E-6</v>
      </c>
      <c r="AK94" s="237" t="s">
        <v>456</v>
      </c>
      <c r="AL94" s="277">
        <v>115.8</v>
      </c>
      <c r="AM94" s="230" t="s">
        <v>1143</v>
      </c>
      <c r="AN94" s="237">
        <v>3.4299999999999999E-4</v>
      </c>
      <c r="AO94" s="154" t="s">
        <v>1139</v>
      </c>
      <c r="AP94" s="237">
        <v>1750</v>
      </c>
      <c r="AQ94" s="237" t="s">
        <v>1139</v>
      </c>
      <c r="AR94" s="229">
        <v>147.43</v>
      </c>
      <c r="AS94" s="230" t="s">
        <v>1139</v>
      </c>
      <c r="AT94" s="237">
        <v>3.69</v>
      </c>
      <c r="AU94" s="222" t="s">
        <v>1139</v>
      </c>
    </row>
    <row r="95" spans="1:47" ht="62">
      <c r="A95" s="221" t="s">
        <v>1125</v>
      </c>
      <c r="B95" s="223" t="s">
        <v>1126</v>
      </c>
      <c r="C95" s="223"/>
      <c r="D95" s="223"/>
      <c r="E95" s="223" t="str">
        <f t="shared" si="1"/>
        <v>Yes</v>
      </c>
      <c r="F95" s="222" t="s">
        <v>481</v>
      </c>
      <c r="G95" s="223" t="s">
        <v>472</v>
      </c>
      <c r="H95" s="237" t="s">
        <v>31</v>
      </c>
      <c r="I95" s="221" t="s">
        <v>31</v>
      </c>
      <c r="J95" s="237" t="s">
        <v>31</v>
      </c>
      <c r="K95" s="221" t="s">
        <v>31</v>
      </c>
      <c r="L95" s="237">
        <v>1.2E-2</v>
      </c>
      <c r="M95" s="224" t="s">
        <v>1416</v>
      </c>
      <c r="N95" s="237">
        <v>0.06</v>
      </c>
      <c r="O95" s="221" t="s">
        <v>1622</v>
      </c>
      <c r="P95" s="154" t="s">
        <v>31</v>
      </c>
      <c r="Q95" s="224" t="s">
        <v>31</v>
      </c>
      <c r="R95" s="225" t="s">
        <v>351</v>
      </c>
      <c r="S95" s="225"/>
      <c r="T95" s="225"/>
      <c r="U95" s="225"/>
      <c r="V95" s="225"/>
      <c r="W95" s="225"/>
      <c r="X95" s="225"/>
      <c r="Y95" s="225"/>
      <c r="Z95" s="225"/>
      <c r="AA95" s="225"/>
      <c r="AB95" s="223">
        <v>0</v>
      </c>
      <c r="AC95" s="221" t="s">
        <v>1147</v>
      </c>
      <c r="AD95" s="223">
        <v>1</v>
      </c>
      <c r="AE95" s="232" t="s">
        <v>30</v>
      </c>
      <c r="AF95" s="223">
        <v>1</v>
      </c>
      <c r="AG95" s="226" t="s">
        <v>466</v>
      </c>
      <c r="AH95" s="237">
        <v>6.125353674148E-2</v>
      </c>
      <c r="AI95" s="237" t="s">
        <v>456</v>
      </c>
      <c r="AJ95" s="237">
        <v>8.0213629052599997E-6</v>
      </c>
      <c r="AK95" s="237" t="s">
        <v>456</v>
      </c>
      <c r="AL95" s="277">
        <v>626.9</v>
      </c>
      <c r="AM95" s="230" t="s">
        <v>1143</v>
      </c>
      <c r="AN95" s="237">
        <v>4.3600000000000002E-3</v>
      </c>
      <c r="AO95" s="154" t="s">
        <v>1139</v>
      </c>
      <c r="AP95" s="237">
        <v>75.2</v>
      </c>
      <c r="AQ95" s="237" t="s">
        <v>1139</v>
      </c>
      <c r="AR95" s="229">
        <v>120.2</v>
      </c>
      <c r="AS95" s="230" t="s">
        <v>1139</v>
      </c>
      <c r="AT95" s="237">
        <v>1.6886000000000001</v>
      </c>
      <c r="AU95" s="222" t="s">
        <v>1139</v>
      </c>
    </row>
    <row r="96" spans="1:47" ht="72">
      <c r="A96" s="221" t="s">
        <v>380</v>
      </c>
      <c r="B96" s="223" t="s">
        <v>209</v>
      </c>
      <c r="C96" s="223"/>
      <c r="D96" s="223"/>
      <c r="E96" s="223" t="str">
        <f t="shared" si="1"/>
        <v>Yes</v>
      </c>
      <c r="F96" s="222" t="s">
        <v>481</v>
      </c>
      <c r="G96" s="223" t="s">
        <v>472</v>
      </c>
      <c r="H96" s="237" t="s">
        <v>31</v>
      </c>
      <c r="I96" s="221" t="s">
        <v>31</v>
      </c>
      <c r="J96" s="237" t="s">
        <v>31</v>
      </c>
      <c r="K96" s="221" t="s">
        <v>31</v>
      </c>
      <c r="L96" s="237">
        <v>1.2E-2</v>
      </c>
      <c r="M96" s="224" t="s">
        <v>1417</v>
      </c>
      <c r="N96" s="237">
        <v>0.06</v>
      </c>
      <c r="O96" s="221" t="s">
        <v>1530</v>
      </c>
      <c r="P96" s="154" t="s">
        <v>31</v>
      </c>
      <c r="Q96" s="224" t="s">
        <v>31</v>
      </c>
      <c r="R96" s="225" t="s">
        <v>351</v>
      </c>
      <c r="S96" s="225"/>
      <c r="T96" s="225"/>
      <c r="U96" s="225"/>
      <c r="V96" s="225"/>
      <c r="W96" s="225"/>
      <c r="X96" s="225"/>
      <c r="Y96" s="225"/>
      <c r="Z96" s="225"/>
      <c r="AA96" s="225"/>
      <c r="AB96" s="223">
        <v>0</v>
      </c>
      <c r="AC96" s="221" t="s">
        <v>1147</v>
      </c>
      <c r="AD96" s="223">
        <v>1</v>
      </c>
      <c r="AE96" s="232" t="s">
        <v>30</v>
      </c>
      <c r="AF96" s="223">
        <v>1</v>
      </c>
      <c r="AG96" s="226" t="s">
        <v>466</v>
      </c>
      <c r="AH96" s="237">
        <v>6.0675399999999997E-2</v>
      </c>
      <c r="AI96" s="237" t="s">
        <v>456</v>
      </c>
      <c r="AJ96" s="237">
        <v>7.9209000000000007E-6</v>
      </c>
      <c r="AK96" s="237" t="s">
        <v>456</v>
      </c>
      <c r="AL96" s="277">
        <v>614.29999999999995</v>
      </c>
      <c r="AM96" s="230" t="s">
        <v>934</v>
      </c>
      <c r="AN96" s="237">
        <v>6.1599999999999997E-3</v>
      </c>
      <c r="AO96" s="154" t="s">
        <v>936</v>
      </c>
      <c r="AP96" s="237">
        <v>57</v>
      </c>
      <c r="AQ96" s="237" t="s">
        <v>934</v>
      </c>
      <c r="AR96" s="229">
        <v>120.2</v>
      </c>
      <c r="AS96" s="230" t="s">
        <v>934</v>
      </c>
      <c r="AT96" s="237">
        <v>2.1</v>
      </c>
      <c r="AU96" s="222" t="s">
        <v>926</v>
      </c>
    </row>
    <row r="97" spans="1:47" ht="72">
      <c r="A97" s="221" t="s">
        <v>381</v>
      </c>
      <c r="B97" s="223" t="s">
        <v>210</v>
      </c>
      <c r="C97" s="223"/>
      <c r="D97" s="223"/>
      <c r="E97" s="223" t="str">
        <f t="shared" si="1"/>
        <v>Yes</v>
      </c>
      <c r="F97" s="222" t="s">
        <v>481</v>
      </c>
      <c r="G97" s="223" t="s">
        <v>472</v>
      </c>
      <c r="H97" s="237" t="s">
        <v>31</v>
      </c>
      <c r="I97" s="221" t="s">
        <v>31</v>
      </c>
      <c r="J97" s="237" t="s">
        <v>31</v>
      </c>
      <c r="K97" s="221" t="s">
        <v>31</v>
      </c>
      <c r="L97" s="237">
        <v>1.2E-2</v>
      </c>
      <c r="M97" s="224" t="s">
        <v>1417</v>
      </c>
      <c r="N97" s="237">
        <v>0.06</v>
      </c>
      <c r="O97" s="221" t="s">
        <v>1530</v>
      </c>
      <c r="P97" s="154" t="s">
        <v>31</v>
      </c>
      <c r="Q97" s="224" t="s">
        <v>31</v>
      </c>
      <c r="R97" s="225" t="s">
        <v>351</v>
      </c>
      <c r="S97" s="225"/>
      <c r="T97" s="225"/>
      <c r="U97" s="225"/>
      <c r="V97" s="225"/>
      <c r="W97" s="225"/>
      <c r="X97" s="225"/>
      <c r="Y97" s="225"/>
      <c r="Z97" s="225"/>
      <c r="AA97" s="225"/>
      <c r="AB97" s="223">
        <v>0</v>
      </c>
      <c r="AC97" s="221" t="s">
        <v>1147</v>
      </c>
      <c r="AD97" s="223">
        <v>1</v>
      </c>
      <c r="AE97" s="232" t="s">
        <v>30</v>
      </c>
      <c r="AF97" s="223">
        <v>1</v>
      </c>
      <c r="AG97" s="226" t="s">
        <v>466</v>
      </c>
      <c r="AH97" s="237">
        <v>6.0225399999999998E-2</v>
      </c>
      <c r="AI97" s="237" t="s">
        <v>456</v>
      </c>
      <c r="AJ97" s="237">
        <v>7.7999999999999999E-6</v>
      </c>
      <c r="AK97" s="237" t="s">
        <v>456</v>
      </c>
      <c r="AL97" s="277">
        <v>602.1</v>
      </c>
      <c r="AM97" s="230" t="s">
        <v>934</v>
      </c>
      <c r="AN97" s="237">
        <v>8.77E-3</v>
      </c>
      <c r="AO97" s="154" t="s">
        <v>936</v>
      </c>
      <c r="AP97" s="237">
        <v>48.2</v>
      </c>
      <c r="AQ97" s="237" t="s">
        <v>934</v>
      </c>
      <c r="AR97" s="229">
        <v>120.2</v>
      </c>
      <c r="AS97" s="230" t="s">
        <v>934</v>
      </c>
      <c r="AT97" s="237">
        <v>2.48</v>
      </c>
      <c r="AU97" s="222" t="s">
        <v>926</v>
      </c>
    </row>
    <row r="98" spans="1:47" ht="160">
      <c r="A98" s="221" t="s">
        <v>951</v>
      </c>
      <c r="B98" s="223" t="s">
        <v>212</v>
      </c>
      <c r="C98" s="223"/>
      <c r="D98" s="629" t="s">
        <v>76</v>
      </c>
      <c r="E98" s="223" t="str">
        <f t="shared" si="1"/>
        <v>Yes</v>
      </c>
      <c r="F98" s="222" t="s">
        <v>523</v>
      </c>
      <c r="G98" s="223" t="s">
        <v>472</v>
      </c>
      <c r="H98" s="236">
        <v>0.72</v>
      </c>
      <c r="I98" s="234" t="s">
        <v>1553</v>
      </c>
      <c r="J98" s="237">
        <v>4.4000000000000002E-6</v>
      </c>
      <c r="K98" s="221" t="s">
        <v>1554</v>
      </c>
      <c r="L98" s="237">
        <v>3.0000000000000001E-3</v>
      </c>
      <c r="M98" s="224" t="s">
        <v>1418</v>
      </c>
      <c r="N98" s="237">
        <v>0.05</v>
      </c>
      <c r="O98" s="221" t="s">
        <v>1315</v>
      </c>
      <c r="P98" s="154" t="s">
        <v>31</v>
      </c>
      <c r="Q98" s="224" t="s">
        <v>31</v>
      </c>
      <c r="R98" s="225"/>
      <c r="S98" s="225"/>
      <c r="T98" s="225"/>
      <c r="U98" s="225"/>
      <c r="V98" s="225" t="s">
        <v>351</v>
      </c>
      <c r="W98" s="225"/>
      <c r="X98" s="225"/>
      <c r="Y98" s="225"/>
      <c r="Z98" s="225"/>
      <c r="AA98" s="225"/>
      <c r="AB98" s="223">
        <v>0</v>
      </c>
      <c r="AC98" s="221" t="s">
        <v>1147</v>
      </c>
      <c r="AD98" s="223">
        <v>1</v>
      </c>
      <c r="AE98" s="232" t="s">
        <v>30</v>
      </c>
      <c r="AF98" s="223">
        <v>1</v>
      </c>
      <c r="AG98" s="226" t="s">
        <v>466</v>
      </c>
      <c r="AH98" s="237">
        <v>0.1071189</v>
      </c>
      <c r="AI98" s="237" t="s">
        <v>456</v>
      </c>
      <c r="AJ98" s="237">
        <v>1.2E-5</v>
      </c>
      <c r="AK98" s="237" t="s">
        <v>456</v>
      </c>
      <c r="AL98" s="238">
        <v>21.73</v>
      </c>
      <c r="AM98" s="230" t="s">
        <v>934</v>
      </c>
      <c r="AN98" s="237">
        <v>2.7799999999999998E-2</v>
      </c>
      <c r="AO98" s="154" t="s">
        <v>936</v>
      </c>
      <c r="AP98" s="237">
        <v>8800</v>
      </c>
      <c r="AQ98" s="237" t="s">
        <v>934</v>
      </c>
      <c r="AR98" s="229">
        <v>62.5</v>
      </c>
      <c r="AS98" s="230" t="s">
        <v>934</v>
      </c>
      <c r="AT98" s="237">
        <v>2980</v>
      </c>
      <c r="AU98" s="222" t="s">
        <v>926</v>
      </c>
    </row>
    <row r="99" spans="1:47" ht="70">
      <c r="A99" s="221" t="s">
        <v>115</v>
      </c>
      <c r="B99" s="223" t="s">
        <v>203</v>
      </c>
      <c r="C99" s="223"/>
      <c r="D99" s="223"/>
      <c r="E99" s="223" t="str">
        <f t="shared" si="1"/>
        <v>Yes</v>
      </c>
      <c r="F99" s="222" t="s">
        <v>481</v>
      </c>
      <c r="G99" s="223" t="s">
        <v>472</v>
      </c>
      <c r="H99" s="237" t="s">
        <v>31</v>
      </c>
      <c r="I99" s="221" t="s">
        <v>31</v>
      </c>
      <c r="J99" s="237" t="s">
        <v>31</v>
      </c>
      <c r="K99" s="221" t="s">
        <v>31</v>
      </c>
      <c r="L99" s="237">
        <v>0.16</v>
      </c>
      <c r="M99" s="224" t="s">
        <v>1623</v>
      </c>
      <c r="N99" s="237">
        <v>0.1</v>
      </c>
      <c r="O99" s="221" t="s">
        <v>1419</v>
      </c>
      <c r="P99" s="154" t="s">
        <v>31</v>
      </c>
      <c r="Q99" s="224" t="s">
        <v>31</v>
      </c>
      <c r="R99" s="225" t="s">
        <v>351</v>
      </c>
      <c r="S99" s="225"/>
      <c r="T99" s="225"/>
      <c r="U99" s="225" t="s">
        <v>351</v>
      </c>
      <c r="V99" s="225"/>
      <c r="W99" s="225" t="s">
        <v>351</v>
      </c>
      <c r="X99" s="225"/>
      <c r="Y99" s="225"/>
      <c r="Z99" s="225"/>
      <c r="AA99" s="225"/>
      <c r="AB99" s="223">
        <v>0</v>
      </c>
      <c r="AC99" s="221" t="s">
        <v>1147</v>
      </c>
      <c r="AD99" s="223">
        <v>1</v>
      </c>
      <c r="AE99" s="232" t="s">
        <v>30</v>
      </c>
      <c r="AF99" s="223">
        <v>1</v>
      </c>
      <c r="AG99" s="226" t="s">
        <v>466</v>
      </c>
      <c r="AH99" s="237">
        <v>8.4739499999999995E-2</v>
      </c>
      <c r="AI99" s="237" t="s">
        <v>456</v>
      </c>
      <c r="AJ99" s="237">
        <v>9.9011000000000008E-6</v>
      </c>
      <c r="AK99" s="237" t="s">
        <v>456</v>
      </c>
      <c r="AL99" s="277">
        <v>382.9</v>
      </c>
      <c r="AM99" s="230" t="s">
        <v>934</v>
      </c>
      <c r="AN99" s="237">
        <v>6.6299999999999996E-3</v>
      </c>
      <c r="AO99" s="154" t="s">
        <v>936</v>
      </c>
      <c r="AP99" s="237">
        <v>106</v>
      </c>
      <c r="AQ99" s="237" t="s">
        <v>934</v>
      </c>
      <c r="AR99" s="229">
        <v>106.17</v>
      </c>
      <c r="AS99" s="230" t="s">
        <v>934</v>
      </c>
      <c r="AT99" s="237">
        <v>7.99</v>
      </c>
      <c r="AU99" s="222" t="s">
        <v>926</v>
      </c>
    </row>
    <row r="100" spans="1:47">
      <c r="A100" s="283" t="s">
        <v>379</v>
      </c>
      <c r="B100" s="284"/>
      <c r="C100" s="285"/>
      <c r="D100" s="285"/>
      <c r="E100" s="262"/>
      <c r="F100" s="264"/>
      <c r="G100" s="262"/>
      <c r="H100" s="286"/>
      <c r="I100" s="287"/>
      <c r="J100" s="286"/>
      <c r="K100" s="287"/>
      <c r="L100" s="288"/>
      <c r="M100" s="289"/>
      <c r="N100" s="286"/>
      <c r="O100" s="287"/>
      <c r="P100" s="290"/>
      <c r="Q100" s="289"/>
      <c r="R100" s="291"/>
      <c r="S100" s="291"/>
      <c r="T100" s="291"/>
      <c r="U100" s="291"/>
      <c r="V100" s="291"/>
      <c r="W100" s="291"/>
      <c r="X100" s="291"/>
      <c r="Y100" s="291"/>
      <c r="Z100" s="291"/>
      <c r="AA100" s="291"/>
      <c r="AB100" s="262"/>
      <c r="AC100" s="213"/>
      <c r="AD100" s="292"/>
      <c r="AE100" s="292"/>
      <c r="AF100" s="285"/>
      <c r="AG100" s="287"/>
      <c r="AH100" s="286"/>
      <c r="AI100" s="286"/>
      <c r="AJ100" s="286"/>
      <c r="AK100" s="286"/>
      <c r="AL100" s="293"/>
      <c r="AM100" s="286"/>
      <c r="AN100" s="286"/>
      <c r="AO100" s="288"/>
      <c r="AP100" s="286"/>
      <c r="AQ100" s="286"/>
      <c r="AR100" s="286"/>
      <c r="AS100" s="286"/>
      <c r="AT100" s="557"/>
      <c r="AU100" s="553"/>
    </row>
    <row r="101" spans="1:47" ht="70">
      <c r="A101" s="226" t="s">
        <v>1127</v>
      </c>
      <c r="B101" s="683" t="s">
        <v>1128</v>
      </c>
      <c r="C101" s="249"/>
      <c r="D101" s="249"/>
      <c r="E101" s="223" t="str">
        <f t="shared" ref="E101:E169" si="2">IF(OR(AN101&gt;0.00001,AT101&gt;1),"Yes","No")</f>
        <v>No</v>
      </c>
      <c r="F101" s="222" t="s">
        <v>1212</v>
      </c>
      <c r="G101" s="223" t="s">
        <v>472</v>
      </c>
      <c r="H101" s="250">
        <v>5.7000000000000002E-3</v>
      </c>
      <c r="I101" s="226" t="s">
        <v>1431</v>
      </c>
      <c r="J101" s="250">
        <v>1.5999999999999999E-6</v>
      </c>
      <c r="K101" s="226" t="s">
        <v>1638</v>
      </c>
      <c r="L101" s="251">
        <v>7.0000000000000001E-3</v>
      </c>
      <c r="M101" s="344" t="s">
        <v>1664</v>
      </c>
      <c r="N101" s="250">
        <v>1E-3</v>
      </c>
      <c r="O101" s="226" t="s">
        <v>1545</v>
      </c>
      <c r="P101" s="154" t="s">
        <v>31</v>
      </c>
      <c r="Q101" s="224" t="s">
        <v>31</v>
      </c>
      <c r="R101" s="252"/>
      <c r="S101" s="252" t="s">
        <v>351</v>
      </c>
      <c r="T101" s="252" t="s">
        <v>351</v>
      </c>
      <c r="U101" s="252"/>
      <c r="V101" s="252"/>
      <c r="W101" s="252"/>
      <c r="X101" s="252"/>
      <c r="Y101" s="252"/>
      <c r="Z101" s="252"/>
      <c r="AA101" s="252"/>
      <c r="AB101" s="223">
        <v>0.1</v>
      </c>
      <c r="AC101" s="221" t="s">
        <v>462</v>
      </c>
      <c r="AD101" s="253">
        <v>1</v>
      </c>
      <c r="AE101" s="253" t="s">
        <v>30</v>
      </c>
      <c r="AF101" s="249">
        <v>1</v>
      </c>
      <c r="AG101" s="226" t="s">
        <v>466</v>
      </c>
      <c r="AH101" s="250">
        <v>8.3012168301240002E-2</v>
      </c>
      <c r="AI101" s="250" t="s">
        <v>456</v>
      </c>
      <c r="AJ101" s="250">
        <v>1.0125461899999999E-5</v>
      </c>
      <c r="AK101" s="250" t="s">
        <v>456</v>
      </c>
      <c r="AL101" s="254">
        <v>70.23</v>
      </c>
      <c r="AM101" s="250" t="s">
        <v>1143</v>
      </c>
      <c r="AN101" s="250">
        <v>2.0200000000000001E-6</v>
      </c>
      <c r="AO101" s="251" t="s">
        <v>1139</v>
      </c>
      <c r="AP101" s="250">
        <v>36000</v>
      </c>
      <c r="AQ101" s="250" t="s">
        <v>1139</v>
      </c>
      <c r="AR101" s="250">
        <v>93.129000000000005</v>
      </c>
      <c r="AS101" s="250" t="s">
        <v>1139</v>
      </c>
      <c r="AT101" s="237">
        <v>0.66700000000000004</v>
      </c>
      <c r="AU101" s="232" t="s">
        <v>1139</v>
      </c>
    </row>
    <row r="102" spans="1:47" s="294" customFormat="1" ht="90">
      <c r="A102" s="677" t="s">
        <v>1098</v>
      </c>
      <c r="B102" s="223" t="s">
        <v>206</v>
      </c>
      <c r="C102" s="223"/>
      <c r="D102" s="223"/>
      <c r="E102" s="223" t="str">
        <f t="shared" si="2"/>
        <v>No</v>
      </c>
      <c r="F102" s="222" t="s">
        <v>477</v>
      </c>
      <c r="G102" s="223" t="s">
        <v>472</v>
      </c>
      <c r="H102" s="237" t="s">
        <v>31</v>
      </c>
      <c r="I102" s="221" t="s">
        <v>31</v>
      </c>
      <c r="J102" s="237" t="s">
        <v>31</v>
      </c>
      <c r="K102" s="221" t="s">
        <v>31</v>
      </c>
      <c r="L102" s="237">
        <v>4</v>
      </c>
      <c r="M102" s="224" t="s">
        <v>1476</v>
      </c>
      <c r="N102" s="237" t="s">
        <v>31</v>
      </c>
      <c r="O102" s="221" t="s">
        <v>31</v>
      </c>
      <c r="P102" s="154" t="s">
        <v>31</v>
      </c>
      <c r="Q102" s="224" t="s">
        <v>31</v>
      </c>
      <c r="R102" s="225"/>
      <c r="S102" s="225"/>
      <c r="T102" s="225"/>
      <c r="U102" s="225"/>
      <c r="V102" s="225"/>
      <c r="W102" s="225"/>
      <c r="X102" s="225"/>
      <c r="Y102" s="225"/>
      <c r="Z102" s="225"/>
      <c r="AA102" s="225"/>
      <c r="AB102" s="223">
        <v>0.1</v>
      </c>
      <c r="AC102" s="221" t="s">
        <v>462</v>
      </c>
      <c r="AD102" s="223">
        <v>1</v>
      </c>
      <c r="AE102" s="232" t="s">
        <v>30</v>
      </c>
      <c r="AF102" s="223">
        <v>1</v>
      </c>
      <c r="AG102" s="226" t="s">
        <v>466</v>
      </c>
      <c r="AH102" s="237">
        <v>7.0193900000000004E-2</v>
      </c>
      <c r="AI102" s="237" t="s">
        <v>456</v>
      </c>
      <c r="AJ102" s="237">
        <v>9.7867999999999992E-6</v>
      </c>
      <c r="AK102" s="237" t="s">
        <v>456</v>
      </c>
      <c r="AL102" s="238">
        <v>16.55</v>
      </c>
      <c r="AM102" s="230" t="s">
        <v>934</v>
      </c>
      <c r="AN102" s="237">
        <v>3.8099999999999997E-8</v>
      </c>
      <c r="AO102" s="154" t="s">
        <v>933</v>
      </c>
      <c r="AP102" s="237">
        <v>3400</v>
      </c>
      <c r="AQ102" s="237" t="s">
        <v>934</v>
      </c>
      <c r="AR102" s="229">
        <v>122.12</v>
      </c>
      <c r="AS102" s="230" t="s">
        <v>934</v>
      </c>
      <c r="AT102" s="237">
        <v>6.9999999999999999E-4</v>
      </c>
      <c r="AU102" s="222" t="s">
        <v>926</v>
      </c>
    </row>
    <row r="103" spans="1:47" s="294" customFormat="1" ht="60">
      <c r="A103" s="221" t="s">
        <v>207</v>
      </c>
      <c r="B103" s="223" t="s">
        <v>434</v>
      </c>
      <c r="C103" s="223"/>
      <c r="D103" s="223"/>
      <c r="E103" s="223" t="str">
        <f t="shared" si="2"/>
        <v>No</v>
      </c>
      <c r="F103" s="222" t="s">
        <v>481</v>
      </c>
      <c r="G103" s="223" t="s">
        <v>469</v>
      </c>
      <c r="H103" s="237" t="s">
        <v>31</v>
      </c>
      <c r="I103" s="221" t="s">
        <v>31</v>
      </c>
      <c r="J103" s="237" t="s">
        <v>31</v>
      </c>
      <c r="K103" s="221" t="s">
        <v>31</v>
      </c>
      <c r="L103" s="237">
        <v>0.1</v>
      </c>
      <c r="M103" s="224" t="s">
        <v>1386</v>
      </c>
      <c r="N103" s="237" t="s">
        <v>31</v>
      </c>
      <c r="O103" s="221" t="s">
        <v>31</v>
      </c>
      <c r="P103" s="154" t="s">
        <v>31</v>
      </c>
      <c r="Q103" s="224" t="s">
        <v>31</v>
      </c>
      <c r="R103" s="225"/>
      <c r="S103" s="225"/>
      <c r="T103" s="225"/>
      <c r="U103" s="225"/>
      <c r="V103" s="225"/>
      <c r="W103" s="225"/>
      <c r="X103" s="225"/>
      <c r="Y103" s="225"/>
      <c r="Z103" s="225"/>
      <c r="AA103" s="225"/>
      <c r="AB103" s="223">
        <v>0.1</v>
      </c>
      <c r="AC103" s="221" t="s">
        <v>462</v>
      </c>
      <c r="AD103" s="223">
        <v>1</v>
      </c>
      <c r="AE103" s="232" t="s">
        <v>30</v>
      </c>
      <c r="AF103" s="223">
        <v>1</v>
      </c>
      <c r="AG103" s="226" t="s">
        <v>466</v>
      </c>
      <c r="AH103" s="154">
        <v>7.3118600000000006E-2</v>
      </c>
      <c r="AI103" s="237" t="s">
        <v>456</v>
      </c>
      <c r="AJ103" s="154">
        <v>9.3664999999999992E-6</v>
      </c>
      <c r="AK103" s="237" t="s">
        <v>456</v>
      </c>
      <c r="AL103" s="227">
        <v>21.46</v>
      </c>
      <c r="AM103" s="230" t="s">
        <v>934</v>
      </c>
      <c r="AN103" s="154">
        <v>3.3700000000000001E-7</v>
      </c>
      <c r="AO103" s="154" t="s">
        <v>936</v>
      </c>
      <c r="AP103" s="154">
        <v>42900</v>
      </c>
      <c r="AQ103" s="237" t="s">
        <v>934</v>
      </c>
      <c r="AR103" s="229">
        <v>108.14</v>
      </c>
      <c r="AS103" s="230" t="s">
        <v>934</v>
      </c>
      <c r="AT103" s="237">
        <v>9.4E-2</v>
      </c>
      <c r="AU103" s="222" t="s">
        <v>926</v>
      </c>
    </row>
    <row r="104" spans="1:47" s="294" customFormat="1" ht="60">
      <c r="A104" s="221" t="s">
        <v>1187</v>
      </c>
      <c r="B104" s="223" t="s">
        <v>1188</v>
      </c>
      <c r="C104" s="223"/>
      <c r="D104" s="223"/>
      <c r="E104" s="223" t="str">
        <f t="shared" si="2"/>
        <v>No</v>
      </c>
      <c r="F104" s="222" t="s">
        <v>477</v>
      </c>
      <c r="G104" s="223" t="s">
        <v>472</v>
      </c>
      <c r="H104" s="237" t="s">
        <v>31</v>
      </c>
      <c r="I104" s="221" t="s">
        <v>31</v>
      </c>
      <c r="J104" s="237" t="s">
        <v>31</v>
      </c>
      <c r="K104" s="221" t="s">
        <v>31</v>
      </c>
      <c r="L104" s="237">
        <v>3.0000000000000001E-3</v>
      </c>
      <c r="M104" s="224" t="s">
        <v>1665</v>
      </c>
      <c r="N104" s="237" t="s">
        <v>31</v>
      </c>
      <c r="O104" s="221" t="s">
        <v>31</v>
      </c>
      <c r="P104" s="154" t="s">
        <v>31</v>
      </c>
      <c r="Q104" s="224" t="s">
        <v>31</v>
      </c>
      <c r="R104" s="225"/>
      <c r="S104" s="225"/>
      <c r="T104" s="225"/>
      <c r="U104" s="225"/>
      <c r="V104" s="225" t="s">
        <v>351</v>
      </c>
      <c r="W104" s="225"/>
      <c r="X104" s="225"/>
      <c r="Y104" s="225"/>
      <c r="Z104" s="225"/>
      <c r="AA104" s="225"/>
      <c r="AB104" s="223">
        <v>0.1</v>
      </c>
      <c r="AC104" s="221" t="s">
        <v>462</v>
      </c>
      <c r="AD104" s="223">
        <v>1</v>
      </c>
      <c r="AE104" s="232" t="s">
        <v>30</v>
      </c>
      <c r="AF104" s="223">
        <v>1</v>
      </c>
      <c r="AG104" s="226" t="s">
        <v>466</v>
      </c>
      <c r="AH104" s="154">
        <v>6.1186544897129998E-2</v>
      </c>
      <c r="AI104" s="237" t="s">
        <v>456</v>
      </c>
      <c r="AJ104" s="154">
        <v>7.1491647195600003E-6</v>
      </c>
      <c r="AK104" s="237" t="s">
        <v>456</v>
      </c>
      <c r="AL104" s="227">
        <v>14.38</v>
      </c>
      <c r="AM104" s="230" t="s">
        <v>1143</v>
      </c>
      <c r="AN104" s="154">
        <v>3.8500000000000004E-6</v>
      </c>
      <c r="AO104" s="154" t="s">
        <v>934</v>
      </c>
      <c r="AP104" s="154">
        <v>7800</v>
      </c>
      <c r="AQ104" s="237" t="s">
        <v>1139</v>
      </c>
      <c r="AR104" s="229">
        <v>173.04</v>
      </c>
      <c r="AS104" s="230" t="s">
        <v>1139</v>
      </c>
      <c r="AT104" s="237">
        <v>0.13200000000000001</v>
      </c>
      <c r="AU104" s="222" t="s">
        <v>934</v>
      </c>
    </row>
    <row r="105" spans="1:47" ht="70">
      <c r="A105" s="221" t="s">
        <v>483</v>
      </c>
      <c r="B105" s="223" t="s">
        <v>65</v>
      </c>
      <c r="C105" s="223"/>
      <c r="D105" s="223"/>
      <c r="E105" s="223" t="str">
        <f t="shared" si="2"/>
        <v>Yes</v>
      </c>
      <c r="F105" s="222" t="s">
        <v>524</v>
      </c>
      <c r="G105" s="223" t="s">
        <v>472</v>
      </c>
      <c r="H105" s="237">
        <v>1.1000000000000001</v>
      </c>
      <c r="I105" s="221" t="s">
        <v>1316</v>
      </c>
      <c r="J105" s="237">
        <v>3.3E-4</v>
      </c>
      <c r="K105" s="221" t="s">
        <v>1071</v>
      </c>
      <c r="L105" s="237" t="s">
        <v>31</v>
      </c>
      <c r="M105" s="224" t="s">
        <v>31</v>
      </c>
      <c r="N105" s="237" t="s">
        <v>31</v>
      </c>
      <c r="O105" s="221" t="s">
        <v>31</v>
      </c>
      <c r="P105" s="154" t="s">
        <v>31</v>
      </c>
      <c r="Q105" s="224" t="s">
        <v>31</v>
      </c>
      <c r="R105" s="225"/>
      <c r="S105" s="225"/>
      <c r="T105" s="225"/>
      <c r="U105" s="225"/>
      <c r="V105" s="225"/>
      <c r="W105" s="225"/>
      <c r="X105" s="225"/>
      <c r="Y105" s="225"/>
      <c r="Z105" s="225"/>
      <c r="AA105" s="225"/>
      <c r="AB105" s="223">
        <v>0</v>
      </c>
      <c r="AC105" s="221" t="s">
        <v>1147</v>
      </c>
      <c r="AD105" s="223">
        <v>1</v>
      </c>
      <c r="AE105" s="232" t="s">
        <v>30</v>
      </c>
      <c r="AF105" s="223">
        <v>1</v>
      </c>
      <c r="AG105" s="226" t="s">
        <v>466</v>
      </c>
      <c r="AH105" s="237">
        <v>5.6719199999999997E-2</v>
      </c>
      <c r="AI105" s="237" t="s">
        <v>456</v>
      </c>
      <c r="AJ105" s="237">
        <v>8.7069999999999998E-6</v>
      </c>
      <c r="AK105" s="237" t="s">
        <v>456</v>
      </c>
      <c r="AL105" s="238">
        <v>32.21</v>
      </c>
      <c r="AM105" s="230" t="s">
        <v>934</v>
      </c>
      <c r="AN105" s="237">
        <v>1.7E-5</v>
      </c>
      <c r="AO105" s="154" t="s">
        <v>933</v>
      </c>
      <c r="AP105" s="237">
        <v>17200</v>
      </c>
      <c r="AQ105" s="237" t="s">
        <v>934</v>
      </c>
      <c r="AR105" s="229">
        <v>143.01</v>
      </c>
      <c r="AS105" s="230" t="s">
        <v>934</v>
      </c>
      <c r="AT105" s="237">
        <v>1.55</v>
      </c>
      <c r="AU105" s="222" t="s">
        <v>926</v>
      </c>
    </row>
    <row r="106" spans="1:47" ht="70">
      <c r="A106" s="221" t="s">
        <v>1164</v>
      </c>
      <c r="B106" s="223" t="s">
        <v>1165</v>
      </c>
      <c r="C106" s="223"/>
      <c r="D106" s="223"/>
      <c r="E106" s="223" t="str">
        <f t="shared" si="2"/>
        <v>Yes</v>
      </c>
      <c r="F106" s="222" t="s">
        <v>517</v>
      </c>
      <c r="G106" s="223" t="s">
        <v>472</v>
      </c>
      <c r="H106" s="237" t="s">
        <v>31</v>
      </c>
      <c r="I106" s="221" t="s">
        <v>31</v>
      </c>
      <c r="J106" s="237" t="s">
        <v>31</v>
      </c>
      <c r="K106" s="221" t="s">
        <v>31</v>
      </c>
      <c r="L106" s="237">
        <v>0.04</v>
      </c>
      <c r="M106" s="224" t="s">
        <v>1666</v>
      </c>
      <c r="N106" s="237" t="s">
        <v>31</v>
      </c>
      <c r="O106" s="221" t="s">
        <v>31</v>
      </c>
      <c r="P106" s="154" t="s">
        <v>31</v>
      </c>
      <c r="Q106" s="224" t="s">
        <v>31</v>
      </c>
      <c r="R106" s="225"/>
      <c r="S106" s="225" t="s">
        <v>351</v>
      </c>
      <c r="T106" s="225"/>
      <c r="U106" s="225"/>
      <c r="V106" s="225"/>
      <c r="W106" s="225"/>
      <c r="X106" s="225"/>
      <c r="Y106" s="225"/>
      <c r="Z106" s="225"/>
      <c r="AA106" s="225"/>
      <c r="AB106" s="223">
        <v>0</v>
      </c>
      <c r="AC106" s="221" t="s">
        <v>1147</v>
      </c>
      <c r="AD106" s="223">
        <v>1</v>
      </c>
      <c r="AE106" s="232" t="s">
        <v>30</v>
      </c>
      <c r="AF106" s="223">
        <v>1</v>
      </c>
      <c r="AG106" s="226" t="s">
        <v>466</v>
      </c>
      <c r="AH106" s="237">
        <v>3.9889131750200001E-2</v>
      </c>
      <c r="AI106" s="237" t="s">
        <v>456</v>
      </c>
      <c r="AJ106" s="237">
        <v>7.3605923470999996E-6</v>
      </c>
      <c r="AK106" s="237" t="s">
        <v>456</v>
      </c>
      <c r="AL106" s="238">
        <v>82.92</v>
      </c>
      <c r="AM106" s="230" t="s">
        <v>1143</v>
      </c>
      <c r="AN106" s="237">
        <v>7.4200000000000001E-5</v>
      </c>
      <c r="AO106" s="154" t="s">
        <v>934</v>
      </c>
      <c r="AP106" s="237">
        <v>1700</v>
      </c>
      <c r="AQ106" s="237" t="s">
        <v>1139</v>
      </c>
      <c r="AR106" s="229">
        <v>171.07</v>
      </c>
      <c r="AS106" s="230" t="s">
        <v>1139</v>
      </c>
      <c r="AT106" s="237">
        <v>0.56000000000000005</v>
      </c>
      <c r="AU106" s="222" t="s">
        <v>1139</v>
      </c>
    </row>
    <row r="107" spans="1:47" ht="63.65" customHeight="1">
      <c r="A107" s="221" t="s">
        <v>509</v>
      </c>
      <c r="B107" s="223" t="s">
        <v>66</v>
      </c>
      <c r="C107" s="223"/>
      <c r="D107" s="223"/>
      <c r="E107" s="223" t="str">
        <f t="shared" si="2"/>
        <v>Yes</v>
      </c>
      <c r="F107" s="222" t="s">
        <v>524</v>
      </c>
      <c r="G107" s="223" t="s">
        <v>472</v>
      </c>
      <c r="H107" s="237">
        <v>7.9000000000000008E-3</v>
      </c>
      <c r="I107" s="221" t="s">
        <v>1072</v>
      </c>
      <c r="J107" s="237">
        <v>1.1000000000000001E-6</v>
      </c>
      <c r="K107" s="221" t="s">
        <v>1073</v>
      </c>
      <c r="L107" s="237">
        <v>0.02</v>
      </c>
      <c r="M107" s="224" t="s">
        <v>1703</v>
      </c>
      <c r="N107" s="237" t="s">
        <v>31</v>
      </c>
      <c r="O107" s="221" t="s">
        <v>31</v>
      </c>
      <c r="P107" s="154" t="s">
        <v>31</v>
      </c>
      <c r="Q107" s="224" t="s">
        <v>31</v>
      </c>
      <c r="R107" s="245"/>
      <c r="S107" s="245"/>
      <c r="T107" s="245"/>
      <c r="U107" s="245"/>
      <c r="V107" s="245" t="s">
        <v>351</v>
      </c>
      <c r="W107" s="245"/>
      <c r="X107" s="245"/>
      <c r="Y107" s="245"/>
      <c r="Z107" s="245"/>
      <c r="AA107" s="245"/>
      <c r="AB107" s="223">
        <v>0</v>
      </c>
      <c r="AC107" s="221" t="s">
        <v>1147</v>
      </c>
      <c r="AD107" s="223">
        <v>1</v>
      </c>
      <c r="AE107" s="232" t="s">
        <v>30</v>
      </c>
      <c r="AF107" s="223">
        <v>1</v>
      </c>
      <c r="AG107" s="226" t="s">
        <v>466</v>
      </c>
      <c r="AH107" s="154">
        <v>3.5732399999999997E-2</v>
      </c>
      <c r="AI107" s="237" t="s">
        <v>456</v>
      </c>
      <c r="AJ107" s="154">
        <v>1.04E-5</v>
      </c>
      <c r="AK107" s="237" t="s">
        <v>456</v>
      </c>
      <c r="AL107" s="227">
        <v>31.82</v>
      </c>
      <c r="AM107" s="230" t="s">
        <v>934</v>
      </c>
      <c r="AN107" s="154">
        <v>5.3499999999999999E-4</v>
      </c>
      <c r="AO107" s="154" t="s">
        <v>936</v>
      </c>
      <c r="AP107" s="237">
        <v>3100</v>
      </c>
      <c r="AQ107" s="237" t="s">
        <v>934</v>
      </c>
      <c r="AR107" s="229">
        <v>252.73</v>
      </c>
      <c r="AS107" s="230" t="s">
        <v>934</v>
      </c>
      <c r="AT107" s="237">
        <v>5.4</v>
      </c>
      <c r="AU107" s="222" t="s">
        <v>926</v>
      </c>
    </row>
    <row r="108" spans="1:47" ht="70">
      <c r="A108" s="221" t="s">
        <v>684</v>
      </c>
      <c r="B108" s="223" t="s">
        <v>41</v>
      </c>
      <c r="C108" s="223"/>
      <c r="D108" s="223"/>
      <c r="E108" s="223" t="str">
        <f t="shared" si="2"/>
        <v>No</v>
      </c>
      <c r="F108" s="222" t="s">
        <v>520</v>
      </c>
      <c r="G108" s="223" t="s">
        <v>472</v>
      </c>
      <c r="H108" s="237" t="s">
        <v>31</v>
      </c>
      <c r="I108" s="221" t="s">
        <v>819</v>
      </c>
      <c r="J108" s="237" t="s">
        <v>31</v>
      </c>
      <c r="K108" s="221" t="s">
        <v>31</v>
      </c>
      <c r="L108" s="237">
        <v>0.15</v>
      </c>
      <c r="M108" s="224" t="s">
        <v>1420</v>
      </c>
      <c r="N108" s="237" t="s">
        <v>31</v>
      </c>
      <c r="O108" s="221" t="s">
        <v>31</v>
      </c>
      <c r="P108" s="154" t="s">
        <v>31</v>
      </c>
      <c r="Q108" s="224" t="s">
        <v>31</v>
      </c>
      <c r="R108" s="225"/>
      <c r="S108" s="225"/>
      <c r="T108" s="225"/>
      <c r="U108" s="225"/>
      <c r="V108" s="225"/>
      <c r="W108" s="225" t="s">
        <v>351</v>
      </c>
      <c r="X108" s="225"/>
      <c r="Y108" s="225"/>
      <c r="Z108" s="225"/>
      <c r="AA108" s="225" t="s">
        <v>351</v>
      </c>
      <c r="AB108" s="223">
        <v>0.1</v>
      </c>
      <c r="AC108" s="221" t="s">
        <v>462</v>
      </c>
      <c r="AD108" s="223">
        <v>1</v>
      </c>
      <c r="AE108" s="232" t="s">
        <v>30</v>
      </c>
      <c r="AF108" s="223">
        <v>1</v>
      </c>
      <c r="AG108" s="226" t="s">
        <v>466</v>
      </c>
      <c r="AH108" s="237">
        <v>2.08319E-2</v>
      </c>
      <c r="AI108" s="237" t="s">
        <v>456</v>
      </c>
      <c r="AJ108" s="237">
        <v>5.1733000000000001E-6</v>
      </c>
      <c r="AK108" s="237" t="s">
        <v>456</v>
      </c>
      <c r="AL108" s="229">
        <v>7155</v>
      </c>
      <c r="AM108" s="230" t="s">
        <v>934</v>
      </c>
      <c r="AN108" s="237">
        <v>1.26E-6</v>
      </c>
      <c r="AO108" s="154" t="s">
        <v>933</v>
      </c>
      <c r="AP108" s="237">
        <v>2.69</v>
      </c>
      <c r="AQ108" s="237" t="s">
        <v>934</v>
      </c>
      <c r="AR108" s="229">
        <v>312.37</v>
      </c>
      <c r="AS108" s="230" t="s">
        <v>934</v>
      </c>
      <c r="AT108" s="237">
        <v>8.2500000000000006E-6</v>
      </c>
      <c r="AU108" s="222" t="s">
        <v>926</v>
      </c>
    </row>
    <row r="109" spans="1:47" ht="74">
      <c r="A109" s="221" t="s">
        <v>1129</v>
      </c>
      <c r="B109" s="637" t="s">
        <v>1130</v>
      </c>
      <c r="C109" s="223"/>
      <c r="D109" s="223"/>
      <c r="E109" s="223" t="str">
        <f t="shared" si="2"/>
        <v>No</v>
      </c>
      <c r="F109" s="222" t="s">
        <v>517</v>
      </c>
      <c r="G109" s="223" t="s">
        <v>472</v>
      </c>
      <c r="H109" s="237" t="s">
        <v>31</v>
      </c>
      <c r="I109" s="221" t="s">
        <v>31</v>
      </c>
      <c r="J109" s="237" t="s">
        <v>31</v>
      </c>
      <c r="K109" s="221" t="s">
        <v>31</v>
      </c>
      <c r="L109" s="237">
        <v>0.5</v>
      </c>
      <c r="M109" s="224" t="s">
        <v>1640</v>
      </c>
      <c r="N109" s="237">
        <v>2.2000000000000001E-3</v>
      </c>
      <c r="O109" s="221" t="s">
        <v>1639</v>
      </c>
      <c r="P109" s="154" t="s">
        <v>31</v>
      </c>
      <c r="Q109" s="224" t="s">
        <v>31</v>
      </c>
      <c r="R109" s="225"/>
      <c r="S109" s="225"/>
      <c r="T109" s="225"/>
      <c r="U109" s="225"/>
      <c r="V109" s="225"/>
      <c r="W109" s="225" t="s">
        <v>351</v>
      </c>
      <c r="X109" s="225" t="s">
        <v>351</v>
      </c>
      <c r="Y109" s="225"/>
      <c r="Z109" s="225"/>
      <c r="AA109" s="225"/>
      <c r="AB109" s="223">
        <v>0.1</v>
      </c>
      <c r="AC109" s="221" t="s">
        <v>462</v>
      </c>
      <c r="AD109" s="223">
        <v>1</v>
      </c>
      <c r="AE109" s="232" t="s">
        <v>30</v>
      </c>
      <c r="AF109" s="223">
        <v>1</v>
      </c>
      <c r="AG109" s="226" t="s">
        <v>466</v>
      </c>
      <c r="AH109" s="237">
        <v>6.9242219371059996E-2</v>
      </c>
      <c r="AI109" s="237" t="s">
        <v>456</v>
      </c>
      <c r="AJ109" s="237">
        <v>8.9994529619099996E-6</v>
      </c>
      <c r="AK109" s="237" t="s">
        <v>456</v>
      </c>
      <c r="AL109" s="229">
        <v>24.5</v>
      </c>
      <c r="AM109" s="230" t="s">
        <v>1143</v>
      </c>
      <c r="AN109" s="237">
        <v>2.5300000000000002E-8</v>
      </c>
      <c r="AO109" s="154" t="s">
        <v>1141</v>
      </c>
      <c r="AP109" s="237">
        <v>772000</v>
      </c>
      <c r="AQ109" s="237" t="s">
        <v>1139</v>
      </c>
      <c r="AR109" s="229">
        <v>113.16</v>
      </c>
      <c r="AS109" s="230" t="s">
        <v>1139</v>
      </c>
      <c r="AT109" s="237">
        <v>1.6000000000000001E-3</v>
      </c>
      <c r="AU109" s="222" t="s">
        <v>1140</v>
      </c>
    </row>
    <row r="110" spans="1:47" ht="72">
      <c r="A110" s="221" t="s">
        <v>1233</v>
      </c>
      <c r="B110" s="637" t="s">
        <v>1232</v>
      </c>
      <c r="C110" s="223"/>
      <c r="D110" s="223"/>
      <c r="E110" s="223" t="str">
        <f t="shared" si="2"/>
        <v>No</v>
      </c>
      <c r="F110" s="222" t="s">
        <v>1236</v>
      </c>
      <c r="G110" s="223" t="s">
        <v>469</v>
      </c>
      <c r="H110" s="237">
        <v>0.2</v>
      </c>
      <c r="I110" s="221" t="s">
        <v>1432</v>
      </c>
      <c r="J110" s="237" t="s">
        <v>31</v>
      </c>
      <c r="K110" s="221" t="s">
        <v>31</v>
      </c>
      <c r="L110" s="237">
        <v>5.0000000000000001E-4</v>
      </c>
      <c r="M110" s="224" t="s">
        <v>1641</v>
      </c>
      <c r="N110" s="237" t="s">
        <v>31</v>
      </c>
      <c r="O110" s="221" t="s">
        <v>31</v>
      </c>
      <c r="P110" s="154" t="s">
        <v>31</v>
      </c>
      <c r="Q110" s="224" t="s">
        <v>31</v>
      </c>
      <c r="R110" s="225"/>
      <c r="S110" s="225" t="s">
        <v>351</v>
      </c>
      <c r="T110" s="225"/>
      <c r="U110" s="225"/>
      <c r="V110" s="225"/>
      <c r="W110" s="225"/>
      <c r="X110" s="225"/>
      <c r="Y110" s="225"/>
      <c r="Z110" s="225"/>
      <c r="AA110" s="225"/>
      <c r="AB110" s="223">
        <v>0.1</v>
      </c>
      <c r="AC110" s="221" t="s">
        <v>462</v>
      </c>
      <c r="AD110" s="223">
        <v>1</v>
      </c>
      <c r="AE110" s="232" t="s">
        <v>30</v>
      </c>
      <c r="AF110" s="223">
        <v>1</v>
      </c>
      <c r="AG110" s="226" t="s">
        <v>466</v>
      </c>
      <c r="AH110" s="237">
        <v>7.0384718250269998E-2</v>
      </c>
      <c r="AI110" s="237" t="s">
        <v>456</v>
      </c>
      <c r="AJ110" s="237">
        <v>1.0252787949999999E-5</v>
      </c>
      <c r="AK110" s="237" t="s">
        <v>456</v>
      </c>
      <c r="AL110" s="229">
        <v>112.7</v>
      </c>
      <c r="AM110" s="230" t="s">
        <v>1143</v>
      </c>
      <c r="AN110" s="237">
        <v>1.1599999999999999E-6</v>
      </c>
      <c r="AO110" s="154" t="s">
        <v>1139</v>
      </c>
      <c r="AP110" s="237">
        <v>3900</v>
      </c>
      <c r="AQ110" s="237" t="s">
        <v>1139</v>
      </c>
      <c r="AR110" s="229">
        <v>127.57</v>
      </c>
      <c r="AS110" s="230" t="s">
        <v>934</v>
      </c>
      <c r="AT110" s="237">
        <v>2.7E-2</v>
      </c>
      <c r="AU110" s="222" t="s">
        <v>1139</v>
      </c>
    </row>
    <row r="111" spans="1:47" ht="70">
      <c r="A111" s="221" t="s">
        <v>1131</v>
      </c>
      <c r="B111" s="637" t="s">
        <v>1132</v>
      </c>
      <c r="C111" s="223"/>
      <c r="D111" s="223"/>
      <c r="E111" s="223" t="str">
        <f t="shared" si="2"/>
        <v>Yes</v>
      </c>
      <c r="F111" s="222" t="s">
        <v>517</v>
      </c>
      <c r="G111" s="223" t="s">
        <v>472</v>
      </c>
      <c r="H111" s="237" t="s">
        <v>31</v>
      </c>
      <c r="I111" s="221" t="s">
        <v>31</v>
      </c>
      <c r="J111" s="237" t="s">
        <v>31</v>
      </c>
      <c r="K111" s="221" t="s">
        <v>31</v>
      </c>
      <c r="L111" s="237">
        <v>5.0000000000000001E-3</v>
      </c>
      <c r="M111" s="224" t="s">
        <v>1667</v>
      </c>
      <c r="N111" s="237" t="s">
        <v>31</v>
      </c>
      <c r="O111" s="221" t="s">
        <v>31</v>
      </c>
      <c r="P111" s="154" t="s">
        <v>31</v>
      </c>
      <c r="Q111" s="224" t="s">
        <v>31</v>
      </c>
      <c r="R111" s="225"/>
      <c r="S111" s="225"/>
      <c r="T111" s="225"/>
      <c r="U111" s="225"/>
      <c r="V111" s="225"/>
      <c r="W111" s="225" t="s">
        <v>351</v>
      </c>
      <c r="X111" s="225"/>
      <c r="Y111" s="225"/>
      <c r="Z111" s="225"/>
      <c r="AA111" s="225"/>
      <c r="AB111" s="223">
        <v>0</v>
      </c>
      <c r="AC111" s="221" t="s">
        <v>1147</v>
      </c>
      <c r="AD111" s="223">
        <v>1</v>
      </c>
      <c r="AE111" s="232" t="s">
        <v>30</v>
      </c>
      <c r="AF111" s="223">
        <v>1</v>
      </c>
      <c r="AG111" s="226" t="s">
        <v>466</v>
      </c>
      <c r="AH111" s="237">
        <v>6.6117503717829998E-2</v>
      </c>
      <c r="AI111" s="237" t="s">
        <v>456</v>
      </c>
      <c r="AJ111" s="237">
        <v>9.4783507706700002E-6</v>
      </c>
      <c r="AK111" s="237" t="s">
        <v>456</v>
      </c>
      <c r="AL111" s="229">
        <v>388</v>
      </c>
      <c r="AM111" s="230" t="s">
        <v>1145</v>
      </c>
      <c r="AN111" s="237">
        <v>1.1199999999999999E-5</v>
      </c>
      <c r="AO111" s="154" t="s">
        <v>1139</v>
      </c>
      <c r="AP111" s="237">
        <v>28500</v>
      </c>
      <c r="AQ111" s="237" t="s">
        <v>1139</v>
      </c>
      <c r="AR111" s="229">
        <v>128.56</v>
      </c>
      <c r="AS111" s="230" t="s">
        <v>1139</v>
      </c>
      <c r="AT111" s="237">
        <v>2.5299999999999998</v>
      </c>
      <c r="AU111" s="222" t="s">
        <v>1139</v>
      </c>
    </row>
    <row r="112" spans="1:47" ht="60">
      <c r="A112" s="635" t="s">
        <v>1031</v>
      </c>
      <c r="B112" s="637" t="s">
        <v>43</v>
      </c>
      <c r="C112" s="223"/>
      <c r="D112" s="223"/>
      <c r="E112" s="223" t="str">
        <f t="shared" si="2"/>
        <v>Yes</v>
      </c>
      <c r="F112" s="222" t="s">
        <v>525</v>
      </c>
      <c r="G112" s="223" t="s">
        <v>472</v>
      </c>
      <c r="H112" s="237" t="s">
        <v>31</v>
      </c>
      <c r="I112" s="221" t="s">
        <v>31</v>
      </c>
      <c r="J112" s="237" t="s">
        <v>31</v>
      </c>
      <c r="K112" s="221" t="s">
        <v>31</v>
      </c>
      <c r="L112" s="237">
        <v>1E-3</v>
      </c>
      <c r="M112" s="224" t="s">
        <v>1546</v>
      </c>
      <c r="N112" s="237" t="s">
        <v>31</v>
      </c>
      <c r="O112" s="221" t="s">
        <v>31</v>
      </c>
      <c r="P112" s="154" t="s">
        <v>31</v>
      </c>
      <c r="Q112" s="224" t="s">
        <v>31</v>
      </c>
      <c r="R112" s="225"/>
      <c r="S112" s="225"/>
      <c r="T112" s="225"/>
      <c r="U112" s="225"/>
      <c r="V112" s="225"/>
      <c r="W112" s="225"/>
      <c r="X112" s="225"/>
      <c r="Y112" s="225"/>
      <c r="Z112" s="225"/>
      <c r="AA112" s="225"/>
      <c r="AB112" s="223">
        <v>0</v>
      </c>
      <c r="AC112" s="221" t="s">
        <v>1147</v>
      </c>
      <c r="AD112" s="223">
        <v>1</v>
      </c>
      <c r="AE112" s="232" t="s">
        <v>30</v>
      </c>
      <c r="AF112" s="223">
        <v>1</v>
      </c>
      <c r="AG112" s="226" t="s">
        <v>465</v>
      </c>
      <c r="AH112" s="237">
        <v>4.1049700000000001E-2</v>
      </c>
      <c r="AI112" s="237" t="s">
        <v>456</v>
      </c>
      <c r="AJ112" s="237">
        <v>7.3772999999999997E-6</v>
      </c>
      <c r="AK112" s="237" t="s">
        <v>456</v>
      </c>
      <c r="AL112" s="229">
        <v>9161</v>
      </c>
      <c r="AM112" s="230" t="s">
        <v>934</v>
      </c>
      <c r="AN112" s="237">
        <v>2.13E-4</v>
      </c>
      <c r="AO112" s="154" t="s">
        <v>933</v>
      </c>
      <c r="AP112" s="237">
        <v>3.1</v>
      </c>
      <c r="AQ112" s="237" t="s">
        <v>934</v>
      </c>
      <c r="AR112" s="229">
        <v>168.2</v>
      </c>
      <c r="AS112" s="230" t="s">
        <v>934</v>
      </c>
      <c r="AT112" s="237">
        <v>2.48E-3</v>
      </c>
      <c r="AU112" s="222" t="s">
        <v>926</v>
      </c>
    </row>
    <row r="113" spans="1:47" ht="72">
      <c r="A113" s="635" t="s">
        <v>1021</v>
      </c>
      <c r="B113" s="223" t="s">
        <v>44</v>
      </c>
      <c r="C113" s="223"/>
      <c r="D113" s="223"/>
      <c r="E113" s="223" t="str">
        <f t="shared" si="2"/>
        <v>Yes</v>
      </c>
      <c r="F113" s="222" t="s">
        <v>517</v>
      </c>
      <c r="G113" s="223" t="s">
        <v>472</v>
      </c>
      <c r="H113" s="237" t="s">
        <v>31</v>
      </c>
      <c r="I113" s="221" t="s">
        <v>31</v>
      </c>
      <c r="J113" s="237" t="s">
        <v>31</v>
      </c>
      <c r="K113" s="221" t="s">
        <v>31</v>
      </c>
      <c r="L113" s="237">
        <v>0.01</v>
      </c>
      <c r="M113" s="224" t="s">
        <v>1477</v>
      </c>
      <c r="N113" s="237" t="s">
        <v>31</v>
      </c>
      <c r="O113" s="221" t="s">
        <v>31</v>
      </c>
      <c r="P113" s="154" t="s">
        <v>31</v>
      </c>
      <c r="Q113" s="224" t="s">
        <v>31</v>
      </c>
      <c r="R113" s="225"/>
      <c r="S113" s="225"/>
      <c r="T113" s="225"/>
      <c r="U113" s="225"/>
      <c r="V113" s="225" t="s">
        <v>351</v>
      </c>
      <c r="W113" s="225"/>
      <c r="X113" s="225"/>
      <c r="Y113" s="225"/>
      <c r="Z113" s="225"/>
      <c r="AA113" s="225"/>
      <c r="AB113" s="223">
        <v>0</v>
      </c>
      <c r="AC113" s="221" t="s">
        <v>1147</v>
      </c>
      <c r="AD113" s="223">
        <v>1</v>
      </c>
      <c r="AE113" s="232" t="s">
        <v>30</v>
      </c>
      <c r="AF113" s="223">
        <v>1</v>
      </c>
      <c r="AG113" s="226" t="s">
        <v>466</v>
      </c>
      <c r="AH113" s="237">
        <v>3.32755E-2</v>
      </c>
      <c r="AI113" s="237" t="s">
        <v>456</v>
      </c>
      <c r="AJ113" s="237">
        <v>9.3369000000000003E-6</v>
      </c>
      <c r="AK113" s="237" t="s">
        <v>456</v>
      </c>
      <c r="AL113" s="277">
        <v>375.3</v>
      </c>
      <c r="AM113" s="230" t="s">
        <v>934</v>
      </c>
      <c r="AN113" s="237">
        <v>8.9300000000000002E-4</v>
      </c>
      <c r="AO113" s="154" t="s">
        <v>933</v>
      </c>
      <c r="AP113" s="237">
        <v>20</v>
      </c>
      <c r="AQ113" s="237" t="s">
        <v>934</v>
      </c>
      <c r="AR113" s="229">
        <v>235.91</v>
      </c>
      <c r="AS113" s="230" t="s">
        <v>934</v>
      </c>
      <c r="AT113" s="237">
        <v>5.7500000000000002E-2</v>
      </c>
      <c r="AU113" s="222" t="s">
        <v>926</v>
      </c>
    </row>
    <row r="114" spans="1:47" ht="80">
      <c r="A114" s="221" t="s">
        <v>941</v>
      </c>
      <c r="B114" s="223" t="s">
        <v>68</v>
      </c>
      <c r="C114" s="223"/>
      <c r="D114" s="223"/>
      <c r="E114" s="223" t="str">
        <f t="shared" si="2"/>
        <v>Yes</v>
      </c>
      <c r="F114" s="222" t="s">
        <v>520</v>
      </c>
      <c r="G114" s="223" t="s">
        <v>472</v>
      </c>
      <c r="H114" s="237">
        <v>8.4000000000000005E-2</v>
      </c>
      <c r="I114" s="221" t="s">
        <v>827</v>
      </c>
      <c r="J114" s="237" t="s">
        <v>31</v>
      </c>
      <c r="K114" s="221" t="s">
        <v>31</v>
      </c>
      <c r="L114" s="237">
        <v>3.0000000000000001E-3</v>
      </c>
      <c r="M114" s="224" t="s">
        <v>1540</v>
      </c>
      <c r="N114" s="237" t="s">
        <v>31</v>
      </c>
      <c r="O114" s="221" t="s">
        <v>31</v>
      </c>
      <c r="P114" s="154" t="s">
        <v>31</v>
      </c>
      <c r="Q114" s="224" t="s">
        <v>31</v>
      </c>
      <c r="R114" s="225"/>
      <c r="S114" s="225"/>
      <c r="T114" s="225"/>
      <c r="U114" s="225"/>
      <c r="V114" s="225" t="s">
        <v>351</v>
      </c>
      <c r="W114" s="225"/>
      <c r="X114" s="225"/>
      <c r="Y114" s="225"/>
      <c r="Z114" s="225"/>
      <c r="AA114" s="225" t="s">
        <v>351</v>
      </c>
      <c r="AB114" s="223">
        <v>0</v>
      </c>
      <c r="AC114" s="221" t="s">
        <v>1147</v>
      </c>
      <c r="AD114" s="223">
        <v>1</v>
      </c>
      <c r="AE114" s="232" t="s">
        <v>30</v>
      </c>
      <c r="AF114" s="223">
        <v>1</v>
      </c>
      <c r="AG114" s="226" t="s">
        <v>466</v>
      </c>
      <c r="AH114" s="237">
        <v>3.6635599999999997E-2</v>
      </c>
      <c r="AI114" s="237" t="s">
        <v>456</v>
      </c>
      <c r="AJ114" s="237">
        <v>1.06E-5</v>
      </c>
      <c r="AK114" s="237" t="s">
        <v>456</v>
      </c>
      <c r="AL114" s="238">
        <v>31.82</v>
      </c>
      <c r="AM114" s="230" t="s">
        <v>934</v>
      </c>
      <c r="AN114" s="237">
        <v>7.8299999999999995E-4</v>
      </c>
      <c r="AO114" s="154" t="s">
        <v>936</v>
      </c>
      <c r="AP114" s="237">
        <v>2700</v>
      </c>
      <c r="AQ114" s="237" t="s">
        <v>934</v>
      </c>
      <c r="AR114" s="229">
        <v>208.28</v>
      </c>
      <c r="AS114" s="230" t="s">
        <v>934</v>
      </c>
      <c r="AT114" s="237">
        <v>5.54</v>
      </c>
      <c r="AU114" s="222" t="s">
        <v>926</v>
      </c>
    </row>
    <row r="115" spans="1:47" ht="90">
      <c r="A115" s="295" t="s">
        <v>487</v>
      </c>
      <c r="B115" s="223" t="s">
        <v>156</v>
      </c>
      <c r="C115" s="223"/>
      <c r="D115" s="223"/>
      <c r="E115" s="223" t="str">
        <f t="shared" si="2"/>
        <v>No</v>
      </c>
      <c r="F115" s="222" t="s">
        <v>525</v>
      </c>
      <c r="G115" s="223" t="s">
        <v>472</v>
      </c>
      <c r="H115" s="237" t="s">
        <v>31</v>
      </c>
      <c r="I115" s="221" t="s">
        <v>31</v>
      </c>
      <c r="J115" s="237" t="s">
        <v>31</v>
      </c>
      <c r="K115" s="221" t="s">
        <v>31</v>
      </c>
      <c r="L115" s="237">
        <v>2.3E-2</v>
      </c>
      <c r="M115" s="224" t="s">
        <v>1421</v>
      </c>
      <c r="N115" s="237" t="s">
        <v>31</v>
      </c>
      <c r="O115" s="221" t="s">
        <v>31</v>
      </c>
      <c r="P115" s="154" t="s">
        <v>31</v>
      </c>
      <c r="Q115" s="224" t="s">
        <v>31</v>
      </c>
      <c r="R115" s="225"/>
      <c r="S115" s="225"/>
      <c r="T115" s="225"/>
      <c r="U115" s="225"/>
      <c r="V115" s="225"/>
      <c r="W115" s="225" t="s">
        <v>351</v>
      </c>
      <c r="X115" s="225"/>
      <c r="Y115" s="225"/>
      <c r="Z115" s="225"/>
      <c r="AA115" s="225"/>
      <c r="AB115" s="223">
        <v>0.1</v>
      </c>
      <c r="AC115" s="221" t="s">
        <v>462</v>
      </c>
      <c r="AD115" s="223">
        <v>1</v>
      </c>
      <c r="AE115" s="232" t="s">
        <v>30</v>
      </c>
      <c r="AF115" s="223">
        <v>1</v>
      </c>
      <c r="AG115" s="226" t="s">
        <v>466</v>
      </c>
      <c r="AH115" s="237">
        <v>2.1436199999999999E-2</v>
      </c>
      <c r="AI115" s="237" t="s">
        <v>456</v>
      </c>
      <c r="AJ115" s="237">
        <v>5.3255000000000001E-6</v>
      </c>
      <c r="AK115" s="237" t="s">
        <v>456</v>
      </c>
      <c r="AL115" s="229">
        <v>1157</v>
      </c>
      <c r="AM115" s="230" t="s">
        <v>934</v>
      </c>
      <c r="AN115" s="237">
        <v>1.81E-6</v>
      </c>
      <c r="AO115" s="154" t="s">
        <v>936</v>
      </c>
      <c r="AP115" s="237">
        <v>11.2</v>
      </c>
      <c r="AQ115" s="237" t="s">
        <v>934</v>
      </c>
      <c r="AR115" s="229">
        <v>278.35000000000002</v>
      </c>
      <c r="AS115" s="230" t="s">
        <v>934</v>
      </c>
      <c r="AT115" s="237">
        <v>2.0100000000000001E-5</v>
      </c>
      <c r="AU115" s="222" t="s">
        <v>926</v>
      </c>
    </row>
    <row r="116" spans="1:47" ht="60">
      <c r="A116" s="221" t="s">
        <v>402</v>
      </c>
      <c r="B116" s="223" t="s">
        <v>157</v>
      </c>
      <c r="C116" s="223"/>
      <c r="D116" s="223"/>
      <c r="E116" s="223" t="str">
        <f t="shared" si="2"/>
        <v>Yes</v>
      </c>
      <c r="F116" s="222" t="s">
        <v>525</v>
      </c>
      <c r="G116" s="223" t="s">
        <v>472</v>
      </c>
      <c r="H116" s="237" t="s">
        <v>31</v>
      </c>
      <c r="I116" s="221" t="s">
        <v>31</v>
      </c>
      <c r="J116" s="237" t="s">
        <v>31</v>
      </c>
      <c r="K116" s="221" t="s">
        <v>31</v>
      </c>
      <c r="L116" s="237">
        <v>0.3</v>
      </c>
      <c r="M116" s="224" t="s">
        <v>1575</v>
      </c>
      <c r="N116" s="237">
        <v>0.2</v>
      </c>
      <c r="O116" s="221" t="s">
        <v>510</v>
      </c>
      <c r="P116" s="154" t="s">
        <v>31</v>
      </c>
      <c r="Q116" s="224" t="s">
        <v>31</v>
      </c>
      <c r="R116" s="225"/>
      <c r="S116" s="225"/>
      <c r="T116" s="225"/>
      <c r="U116" s="225"/>
      <c r="V116" s="225"/>
      <c r="W116" s="225"/>
      <c r="X116" s="225"/>
      <c r="Y116" s="225"/>
      <c r="Z116" s="225"/>
      <c r="AA116" s="225"/>
      <c r="AB116" s="223">
        <v>0</v>
      </c>
      <c r="AC116" s="221" t="s">
        <v>1147</v>
      </c>
      <c r="AD116" s="223">
        <v>1</v>
      </c>
      <c r="AE116" s="232" t="s">
        <v>30</v>
      </c>
      <c r="AF116" s="223">
        <v>1</v>
      </c>
      <c r="AG116" s="226" t="s">
        <v>466</v>
      </c>
      <c r="AH116" s="237">
        <v>5.6170299999999999E-2</v>
      </c>
      <c r="AI116" s="237" t="s">
        <v>456</v>
      </c>
      <c r="AJ116" s="237">
        <v>8.8999999999999995E-6</v>
      </c>
      <c r="AK116" s="237" t="s">
        <v>456</v>
      </c>
      <c r="AL116" s="277">
        <v>382.9</v>
      </c>
      <c r="AM116" s="230" t="s">
        <v>934</v>
      </c>
      <c r="AN116" s="237">
        <v>1.92E-3</v>
      </c>
      <c r="AO116" s="154" t="s">
        <v>936</v>
      </c>
      <c r="AP116" s="237">
        <v>156</v>
      </c>
      <c r="AQ116" s="237" t="s">
        <v>934</v>
      </c>
      <c r="AR116" s="229">
        <v>147</v>
      </c>
      <c r="AS116" s="230" t="s">
        <v>934</v>
      </c>
      <c r="AT116" s="237">
        <v>1.36</v>
      </c>
      <c r="AU116" s="222" t="s">
        <v>926</v>
      </c>
    </row>
    <row r="117" spans="1:47" ht="30">
      <c r="A117" s="221" t="s">
        <v>403</v>
      </c>
      <c r="B117" s="223" t="s">
        <v>198</v>
      </c>
      <c r="C117" s="223"/>
      <c r="D117" s="223"/>
      <c r="E117" s="223" t="str">
        <f t="shared" si="2"/>
        <v>Yes</v>
      </c>
      <c r="F117" s="222" t="s">
        <v>525</v>
      </c>
      <c r="G117" s="223" t="s">
        <v>472</v>
      </c>
      <c r="H117" s="237" t="s">
        <v>31</v>
      </c>
      <c r="I117" s="221" t="s">
        <v>31</v>
      </c>
      <c r="J117" s="237" t="s">
        <v>31</v>
      </c>
      <c r="K117" s="221" t="s">
        <v>31</v>
      </c>
      <c r="L117" s="237" t="s">
        <v>31</v>
      </c>
      <c r="M117" s="224" t="s">
        <v>31</v>
      </c>
      <c r="N117" s="237" t="s">
        <v>31</v>
      </c>
      <c r="O117" s="221" t="s">
        <v>31</v>
      </c>
      <c r="P117" s="154" t="s">
        <v>31</v>
      </c>
      <c r="Q117" s="224" t="s">
        <v>31</v>
      </c>
      <c r="R117" s="225"/>
      <c r="S117" s="225"/>
      <c r="T117" s="225"/>
      <c r="U117" s="225"/>
      <c r="V117" s="225"/>
      <c r="W117" s="225"/>
      <c r="X117" s="225"/>
      <c r="Y117" s="225"/>
      <c r="Z117" s="225"/>
      <c r="AA117" s="225"/>
      <c r="AB117" s="223">
        <v>0</v>
      </c>
      <c r="AC117" s="221" t="s">
        <v>1147</v>
      </c>
      <c r="AD117" s="223">
        <v>1</v>
      </c>
      <c r="AE117" s="232" t="s">
        <v>30</v>
      </c>
      <c r="AF117" s="223">
        <v>1</v>
      </c>
      <c r="AG117" s="226" t="s">
        <v>466</v>
      </c>
      <c r="AH117" s="237">
        <v>6.9199999999999998E-2</v>
      </c>
      <c r="AI117" s="237" t="s">
        <v>456</v>
      </c>
      <c r="AJ117" s="237">
        <v>7.8599999999999993E-6</v>
      </c>
      <c r="AK117" s="237" t="s">
        <v>456</v>
      </c>
      <c r="AL117" s="277">
        <v>375.3</v>
      </c>
      <c r="AM117" s="230" t="s">
        <v>934</v>
      </c>
      <c r="AN117" s="237">
        <v>3.8800000000000002E-3</v>
      </c>
      <c r="AO117" s="154" t="s">
        <v>934</v>
      </c>
      <c r="AP117" s="237">
        <v>125</v>
      </c>
      <c r="AQ117" s="237" t="s">
        <v>934</v>
      </c>
      <c r="AR117" s="229">
        <v>147</v>
      </c>
      <c r="AS117" s="230" t="s">
        <v>934</v>
      </c>
      <c r="AT117" s="237">
        <v>1.35</v>
      </c>
      <c r="AU117" s="222" t="s">
        <v>934</v>
      </c>
    </row>
    <row r="118" spans="1:47" ht="132">
      <c r="A118" s="281" t="s">
        <v>943</v>
      </c>
      <c r="B118" s="223" t="s">
        <v>199</v>
      </c>
      <c r="C118" s="223"/>
      <c r="D118" s="223"/>
      <c r="E118" s="223" t="str">
        <f t="shared" si="2"/>
        <v>Yes</v>
      </c>
      <c r="F118" s="222" t="s">
        <v>517</v>
      </c>
      <c r="G118" s="223" t="s">
        <v>472</v>
      </c>
      <c r="H118" s="237">
        <v>5.4000000000000003E-3</v>
      </c>
      <c r="I118" s="221" t="s">
        <v>1598</v>
      </c>
      <c r="J118" s="237">
        <v>1.1E-5</v>
      </c>
      <c r="K118" s="221" t="s">
        <v>1642</v>
      </c>
      <c r="L118" s="237">
        <v>3.2000000000000001E-2</v>
      </c>
      <c r="M118" s="224" t="s">
        <v>1569</v>
      </c>
      <c r="N118" s="237">
        <v>0.06</v>
      </c>
      <c r="O118" s="221" t="s">
        <v>1531</v>
      </c>
      <c r="P118" s="154" t="s">
        <v>31</v>
      </c>
      <c r="Q118" s="224" t="s">
        <v>31</v>
      </c>
      <c r="R118" s="225" t="s">
        <v>351</v>
      </c>
      <c r="S118" s="225" t="s">
        <v>351</v>
      </c>
      <c r="T118" s="225" t="s">
        <v>351</v>
      </c>
      <c r="U118" s="225" t="s">
        <v>351</v>
      </c>
      <c r="V118" s="225" t="s">
        <v>351</v>
      </c>
      <c r="W118" s="225" t="s">
        <v>351</v>
      </c>
      <c r="X118" s="225" t="s">
        <v>351</v>
      </c>
      <c r="Y118" s="225"/>
      <c r="Z118" s="225"/>
      <c r="AA118" s="225" t="s">
        <v>351</v>
      </c>
      <c r="AB118" s="223">
        <v>0</v>
      </c>
      <c r="AC118" s="221" t="s">
        <v>1147</v>
      </c>
      <c r="AD118" s="223">
        <v>1</v>
      </c>
      <c r="AE118" s="232" t="s">
        <v>30</v>
      </c>
      <c r="AF118" s="223">
        <v>1</v>
      </c>
      <c r="AG118" s="226" t="s">
        <v>466</v>
      </c>
      <c r="AH118" s="237">
        <v>5.5042899999999999E-2</v>
      </c>
      <c r="AI118" s="237" t="s">
        <v>456</v>
      </c>
      <c r="AJ118" s="237">
        <v>8.6796999999999992E-6</v>
      </c>
      <c r="AK118" s="237" t="s">
        <v>456</v>
      </c>
      <c r="AL118" s="277">
        <v>375.3</v>
      </c>
      <c r="AM118" s="230" t="s">
        <v>934</v>
      </c>
      <c r="AN118" s="237">
        <v>2.4099999999999998E-3</v>
      </c>
      <c r="AO118" s="154" t="s">
        <v>936</v>
      </c>
      <c r="AP118" s="237">
        <v>81.3</v>
      </c>
      <c r="AQ118" s="237" t="s">
        <v>934</v>
      </c>
      <c r="AR118" s="229">
        <v>147</v>
      </c>
      <c r="AS118" s="230" t="s">
        <v>934</v>
      </c>
      <c r="AT118" s="237">
        <v>1.74</v>
      </c>
      <c r="AU118" s="222" t="s">
        <v>926</v>
      </c>
    </row>
    <row r="119" spans="1:47" ht="62">
      <c r="A119" s="677" t="s">
        <v>405</v>
      </c>
      <c r="B119" s="223" t="s">
        <v>200</v>
      </c>
      <c r="C119" s="223"/>
      <c r="D119" s="223"/>
      <c r="E119" s="223" t="str">
        <f t="shared" si="2"/>
        <v>No</v>
      </c>
      <c r="F119" s="222" t="s">
        <v>524</v>
      </c>
      <c r="G119" s="223" t="s">
        <v>472</v>
      </c>
      <c r="H119" s="237">
        <v>0.45</v>
      </c>
      <c r="I119" s="221" t="s">
        <v>1074</v>
      </c>
      <c r="J119" s="237">
        <v>3.4000000000000002E-4</v>
      </c>
      <c r="K119" s="221" t="s">
        <v>1643</v>
      </c>
      <c r="L119" s="237" t="s">
        <v>31</v>
      </c>
      <c r="M119" s="224" t="s">
        <v>31</v>
      </c>
      <c r="N119" s="237" t="s">
        <v>31</v>
      </c>
      <c r="O119" s="221" t="s">
        <v>31</v>
      </c>
      <c r="P119" s="154" t="s">
        <v>31</v>
      </c>
      <c r="Q119" s="224" t="s">
        <v>31</v>
      </c>
      <c r="R119" s="225"/>
      <c r="S119" s="225"/>
      <c r="T119" s="225"/>
      <c r="U119" s="225"/>
      <c r="V119" s="225"/>
      <c r="W119" s="225"/>
      <c r="X119" s="225"/>
      <c r="Y119" s="225"/>
      <c r="Z119" s="225"/>
      <c r="AA119" s="225"/>
      <c r="AB119" s="223">
        <v>0.1</v>
      </c>
      <c r="AC119" s="221" t="s">
        <v>462</v>
      </c>
      <c r="AD119" s="223">
        <v>1</v>
      </c>
      <c r="AE119" s="232" t="s">
        <v>30</v>
      </c>
      <c r="AF119" s="223">
        <v>1</v>
      </c>
      <c r="AG119" s="226" t="s">
        <v>466</v>
      </c>
      <c r="AH119" s="237">
        <v>4.7481500000000003E-2</v>
      </c>
      <c r="AI119" s="237" t="s">
        <v>456</v>
      </c>
      <c r="AJ119" s="237">
        <v>5.5477999999999996E-6</v>
      </c>
      <c r="AK119" s="237" t="s">
        <v>456</v>
      </c>
      <c r="AL119" s="229">
        <v>3190</v>
      </c>
      <c r="AM119" s="230" t="s">
        <v>934</v>
      </c>
      <c r="AN119" s="237">
        <v>2.84E-11</v>
      </c>
      <c r="AO119" s="154" t="s">
        <v>938</v>
      </c>
      <c r="AP119" s="237">
        <v>3.1</v>
      </c>
      <c r="AQ119" s="237" t="s">
        <v>934</v>
      </c>
      <c r="AR119" s="229">
        <v>253.13</v>
      </c>
      <c r="AS119" s="230" t="s">
        <v>934</v>
      </c>
      <c r="AT119" s="237">
        <v>2.5600000000000002E-7</v>
      </c>
      <c r="AU119" s="222" t="s">
        <v>926</v>
      </c>
    </row>
    <row r="120" spans="1:47" ht="102">
      <c r="A120" s="677" t="s">
        <v>406</v>
      </c>
      <c r="B120" s="223" t="s">
        <v>201</v>
      </c>
      <c r="C120" s="223"/>
      <c r="D120" s="223"/>
      <c r="E120" s="223" t="str">
        <f t="shared" si="2"/>
        <v>No</v>
      </c>
      <c r="F120" s="222" t="s">
        <v>517</v>
      </c>
      <c r="G120" s="223" t="s">
        <v>472</v>
      </c>
      <c r="H120" s="237" t="s">
        <v>31</v>
      </c>
      <c r="I120" s="221" t="s">
        <v>31</v>
      </c>
      <c r="J120" s="237" t="s">
        <v>31</v>
      </c>
      <c r="K120" s="221" t="s">
        <v>31</v>
      </c>
      <c r="L120" s="237">
        <v>3.0000000000000001E-3</v>
      </c>
      <c r="M120" s="224" t="s">
        <v>1478</v>
      </c>
      <c r="N120" s="237" t="s">
        <v>31</v>
      </c>
      <c r="O120" s="221" t="s">
        <v>31</v>
      </c>
      <c r="P120" s="154" t="s">
        <v>31</v>
      </c>
      <c r="Q120" s="224" t="s">
        <v>31</v>
      </c>
      <c r="R120" s="225"/>
      <c r="S120" s="225"/>
      <c r="T120" s="225" t="s">
        <v>351</v>
      </c>
      <c r="U120" s="225"/>
      <c r="V120" s="225"/>
      <c r="W120" s="225"/>
      <c r="X120" s="225"/>
      <c r="Y120" s="225"/>
      <c r="Z120" s="225"/>
      <c r="AA120" s="225"/>
      <c r="AB120" s="223">
        <v>0.1</v>
      </c>
      <c r="AC120" s="221" t="s">
        <v>462</v>
      </c>
      <c r="AD120" s="223">
        <v>1</v>
      </c>
      <c r="AE120" s="232" t="s">
        <v>30</v>
      </c>
      <c r="AF120" s="223">
        <v>1</v>
      </c>
      <c r="AG120" s="226" t="s">
        <v>466</v>
      </c>
      <c r="AH120" s="237">
        <v>4.8576800000000003E-2</v>
      </c>
      <c r="AI120" s="237" t="s">
        <v>456</v>
      </c>
      <c r="AJ120" s="237">
        <v>8.6787000000000004E-6</v>
      </c>
      <c r="AK120" s="237" t="s">
        <v>456</v>
      </c>
      <c r="AL120" s="277">
        <v>491.8</v>
      </c>
      <c r="AM120" s="230" t="s">
        <v>934</v>
      </c>
      <c r="AN120" s="237">
        <v>4.2899999999999996E-6</v>
      </c>
      <c r="AO120" s="154" t="s">
        <v>936</v>
      </c>
      <c r="AP120" s="237">
        <v>4500</v>
      </c>
      <c r="AQ120" s="237" t="s">
        <v>934</v>
      </c>
      <c r="AR120" s="229">
        <v>163</v>
      </c>
      <c r="AS120" s="230" t="s">
        <v>934</v>
      </c>
      <c r="AT120" s="237">
        <v>0.09</v>
      </c>
      <c r="AU120" s="222" t="s">
        <v>926</v>
      </c>
    </row>
    <row r="121" spans="1:47" ht="70">
      <c r="A121" s="677" t="s">
        <v>1154</v>
      </c>
      <c r="B121" s="223" t="s">
        <v>1155</v>
      </c>
      <c r="C121" s="223"/>
      <c r="D121" s="223"/>
      <c r="E121" s="223" t="str">
        <f t="shared" si="2"/>
        <v>No</v>
      </c>
      <c r="F121" s="222" t="s">
        <v>477</v>
      </c>
      <c r="G121" s="223" t="s">
        <v>472</v>
      </c>
      <c r="H121" s="237" t="s">
        <v>31</v>
      </c>
      <c r="I121" s="221" t="s">
        <v>31</v>
      </c>
      <c r="J121" s="237" t="s">
        <v>31</v>
      </c>
      <c r="K121" s="221" t="s">
        <v>31</v>
      </c>
      <c r="L121" s="237">
        <v>0.8</v>
      </c>
      <c r="M121" s="224" t="s">
        <v>1668</v>
      </c>
      <c r="N121" s="237" t="s">
        <v>31</v>
      </c>
      <c r="O121" s="221" t="s">
        <v>31</v>
      </c>
      <c r="P121" s="154" t="s">
        <v>31</v>
      </c>
      <c r="Q121" s="224" t="s">
        <v>31</v>
      </c>
      <c r="R121" s="225"/>
      <c r="S121" s="225"/>
      <c r="T121" s="225"/>
      <c r="U121" s="225"/>
      <c r="V121" s="225"/>
      <c r="W121" s="225"/>
      <c r="X121" s="225"/>
      <c r="Y121" s="225"/>
      <c r="Z121" s="225"/>
      <c r="AA121" s="225"/>
      <c r="AB121" s="223">
        <v>0.1</v>
      </c>
      <c r="AC121" s="221" t="s">
        <v>462</v>
      </c>
      <c r="AD121" s="223">
        <v>1</v>
      </c>
      <c r="AE121" s="232" t="s">
        <v>30</v>
      </c>
      <c r="AF121" s="223">
        <v>1</v>
      </c>
      <c r="AG121" s="226" t="s">
        <v>466</v>
      </c>
      <c r="AH121" s="237">
        <v>2.6074058665390001E-2</v>
      </c>
      <c r="AI121" s="237" t="s">
        <v>456</v>
      </c>
      <c r="AJ121" s="237">
        <v>6.7227174593399998E-6</v>
      </c>
      <c r="AK121" s="237" t="s">
        <v>456</v>
      </c>
      <c r="AL121" s="277">
        <v>104.9</v>
      </c>
      <c r="AM121" s="230" t="s">
        <v>1143</v>
      </c>
      <c r="AN121" s="237">
        <v>2.0100000000000001E-7</v>
      </c>
      <c r="AO121" s="154" t="s">
        <v>1139</v>
      </c>
      <c r="AP121" s="237">
        <v>1080</v>
      </c>
      <c r="AQ121" s="237" t="s">
        <v>1139</v>
      </c>
      <c r="AR121" s="229">
        <v>222.24</v>
      </c>
      <c r="AS121" s="230" t="s">
        <v>1139</v>
      </c>
      <c r="AT121" s="237">
        <v>2.0999999999999999E-3</v>
      </c>
      <c r="AU121" s="222" t="s">
        <v>1139</v>
      </c>
    </row>
    <row r="122" spans="1:47" ht="70">
      <c r="A122" s="677" t="s">
        <v>1133</v>
      </c>
      <c r="B122" s="223" t="s">
        <v>1134</v>
      </c>
      <c r="C122" s="223"/>
      <c r="D122" s="223"/>
      <c r="E122" s="223" t="str">
        <f t="shared" si="2"/>
        <v>No</v>
      </c>
      <c r="F122" s="222" t="s">
        <v>477</v>
      </c>
      <c r="G122" s="223" t="s">
        <v>472</v>
      </c>
      <c r="H122" s="237" t="s">
        <v>31</v>
      </c>
      <c r="I122" s="221" t="s">
        <v>31</v>
      </c>
      <c r="J122" s="237" t="s">
        <v>31</v>
      </c>
      <c r="K122" s="221" t="s">
        <v>31</v>
      </c>
      <c r="L122" s="237">
        <v>1E-4</v>
      </c>
      <c r="M122" s="224" t="s">
        <v>1669</v>
      </c>
      <c r="N122" s="237" t="s">
        <v>31</v>
      </c>
      <c r="O122" s="221" t="s">
        <v>31</v>
      </c>
      <c r="P122" s="154" t="s">
        <v>31</v>
      </c>
      <c r="Q122" s="224" t="s">
        <v>31</v>
      </c>
      <c r="R122" s="225"/>
      <c r="S122" s="225"/>
      <c r="T122" s="225" t="s">
        <v>351</v>
      </c>
      <c r="U122" s="225"/>
      <c r="V122" s="225"/>
      <c r="W122" s="225"/>
      <c r="X122" s="225"/>
      <c r="Y122" s="225"/>
      <c r="Z122" s="225"/>
      <c r="AA122" s="225"/>
      <c r="AB122" s="223">
        <v>0.1</v>
      </c>
      <c r="AC122" s="221" t="s">
        <v>462</v>
      </c>
      <c r="AD122" s="223">
        <v>1</v>
      </c>
      <c r="AE122" s="232" t="s">
        <v>30</v>
      </c>
      <c r="AF122" s="223">
        <v>1</v>
      </c>
      <c r="AG122" s="226" t="s">
        <v>466</v>
      </c>
      <c r="AH122" s="237">
        <v>4.4717623491670001E-2</v>
      </c>
      <c r="AI122" s="237" t="s">
        <v>456</v>
      </c>
      <c r="AJ122" s="237">
        <v>8.25384068503E-6</v>
      </c>
      <c r="AK122" s="237" t="s">
        <v>456</v>
      </c>
      <c r="AL122" s="277">
        <v>358.8</v>
      </c>
      <c r="AM122" s="230" t="s">
        <v>1143</v>
      </c>
      <c r="AN122" s="237">
        <v>5.3300000000000001E-8</v>
      </c>
      <c r="AO122" s="154" t="s">
        <v>934</v>
      </c>
      <c r="AP122" s="237">
        <v>133</v>
      </c>
      <c r="AQ122" s="237" t="s">
        <v>1139</v>
      </c>
      <c r="AR122" s="229">
        <v>168.11</v>
      </c>
      <c r="AS122" s="230" t="s">
        <v>1139</v>
      </c>
      <c r="AT122" s="237">
        <v>4.5500000000000001E-5</v>
      </c>
      <c r="AU122" s="222" t="s">
        <v>1140</v>
      </c>
    </row>
    <row r="123" spans="1:47" ht="70">
      <c r="A123" s="677" t="s">
        <v>1135</v>
      </c>
      <c r="B123" s="223" t="s">
        <v>1136</v>
      </c>
      <c r="C123" s="223"/>
      <c r="D123" s="223"/>
      <c r="E123" s="223" t="str">
        <f t="shared" si="2"/>
        <v>No</v>
      </c>
      <c r="F123" s="222" t="s">
        <v>1213</v>
      </c>
      <c r="G123" s="223" t="s">
        <v>469</v>
      </c>
      <c r="H123" s="237" t="s">
        <v>31</v>
      </c>
      <c r="I123" s="221" t="s">
        <v>31</v>
      </c>
      <c r="J123" s="237" t="s">
        <v>31</v>
      </c>
      <c r="K123" s="221" t="s">
        <v>31</v>
      </c>
      <c r="L123" s="237">
        <v>1E-4</v>
      </c>
      <c r="M123" s="224" t="s">
        <v>1669</v>
      </c>
      <c r="N123" s="237" t="s">
        <v>31</v>
      </c>
      <c r="O123" s="221" t="s">
        <v>31</v>
      </c>
      <c r="P123" s="154" t="s">
        <v>31</v>
      </c>
      <c r="Q123" s="224" t="s">
        <v>31</v>
      </c>
      <c r="R123" s="225"/>
      <c r="S123" s="225"/>
      <c r="T123" s="225" t="s">
        <v>351</v>
      </c>
      <c r="U123" s="225"/>
      <c r="V123" s="225"/>
      <c r="W123" s="225"/>
      <c r="X123" s="225"/>
      <c r="Y123" s="225"/>
      <c r="Z123" s="225"/>
      <c r="AA123" s="225"/>
      <c r="AB123" s="223">
        <v>0.1</v>
      </c>
      <c r="AC123" s="221" t="s">
        <v>462</v>
      </c>
      <c r="AD123" s="223">
        <v>1</v>
      </c>
      <c r="AE123" s="232" t="s">
        <v>30</v>
      </c>
      <c r="AF123" s="223">
        <v>1</v>
      </c>
      <c r="AG123" s="226" t="s">
        <v>466</v>
      </c>
      <c r="AH123" s="237">
        <v>4.9166764288999999E-2</v>
      </c>
      <c r="AI123" s="237" t="s">
        <v>456</v>
      </c>
      <c r="AJ123" s="237">
        <v>9.3848570503199993E-6</v>
      </c>
      <c r="AK123" s="237" t="s">
        <v>456</v>
      </c>
      <c r="AL123" s="277">
        <v>351.6</v>
      </c>
      <c r="AM123" s="230" t="s">
        <v>1143</v>
      </c>
      <c r="AN123" s="237">
        <v>3.7E-7</v>
      </c>
      <c r="AO123" s="237" t="s">
        <v>1146</v>
      </c>
      <c r="AP123" s="237">
        <v>69</v>
      </c>
      <c r="AQ123" s="237" t="s">
        <v>1139</v>
      </c>
      <c r="AR123" s="229">
        <v>168.11</v>
      </c>
      <c r="AS123" s="230" t="s">
        <v>1139</v>
      </c>
      <c r="AT123" s="237">
        <v>2.6100000000000001E-5</v>
      </c>
      <c r="AU123" s="222" t="s">
        <v>1139</v>
      </c>
    </row>
    <row r="124" spans="1:47" ht="60">
      <c r="A124" s="677" t="s">
        <v>1194</v>
      </c>
      <c r="B124" s="223" t="s">
        <v>1156</v>
      </c>
      <c r="C124" s="223"/>
      <c r="D124" s="223"/>
      <c r="E124" s="223" t="str">
        <f t="shared" si="2"/>
        <v>No</v>
      </c>
      <c r="F124" s="222" t="s">
        <v>517</v>
      </c>
      <c r="G124" s="223" t="s">
        <v>472</v>
      </c>
      <c r="H124" s="237" t="s">
        <v>31</v>
      </c>
      <c r="I124" s="221" t="s">
        <v>31</v>
      </c>
      <c r="J124" s="237" t="s">
        <v>31</v>
      </c>
      <c r="K124" s="221" t="s">
        <v>31</v>
      </c>
      <c r="L124" s="237">
        <v>2E-3</v>
      </c>
      <c r="M124" s="224" t="s">
        <v>1670</v>
      </c>
      <c r="N124" s="237" t="s">
        <v>31</v>
      </c>
      <c r="O124" s="221" t="s">
        <v>31</v>
      </c>
      <c r="P124" s="154" t="s">
        <v>31</v>
      </c>
      <c r="Q124" s="224" t="s">
        <v>31</v>
      </c>
      <c r="R124" s="225"/>
      <c r="S124" s="225"/>
      <c r="T124" s="225"/>
      <c r="U124" s="225"/>
      <c r="V124" s="225"/>
      <c r="W124" s="225"/>
      <c r="X124" s="225"/>
      <c r="Y124" s="225"/>
      <c r="Z124" s="225"/>
      <c r="AA124" s="225"/>
      <c r="AB124" s="223">
        <v>0.1</v>
      </c>
      <c r="AC124" s="221" t="s">
        <v>462</v>
      </c>
      <c r="AD124" s="223">
        <v>1</v>
      </c>
      <c r="AE124" s="232" t="s">
        <v>30</v>
      </c>
      <c r="AF124" s="223">
        <v>1</v>
      </c>
      <c r="AG124" s="226" t="s">
        <v>466</v>
      </c>
      <c r="AH124" s="237">
        <v>5.9131202749660002E-2</v>
      </c>
      <c r="AI124" s="237" t="s">
        <v>456</v>
      </c>
      <c r="AJ124" s="237">
        <v>6.9090142160100002E-6</v>
      </c>
      <c r="AK124" s="237" t="s">
        <v>456</v>
      </c>
      <c r="AL124" s="277">
        <v>460.8</v>
      </c>
      <c r="AM124" s="230" t="s">
        <v>1143</v>
      </c>
      <c r="AN124" s="237">
        <v>8.6000000000000002E-8</v>
      </c>
      <c r="AO124" s="237" t="s">
        <v>1139</v>
      </c>
      <c r="AP124" s="237">
        <v>2790</v>
      </c>
      <c r="AQ124" s="237" t="s">
        <v>1139</v>
      </c>
      <c r="AR124" s="229">
        <v>184.11</v>
      </c>
      <c r="AS124" s="230" t="s">
        <v>1139</v>
      </c>
      <c r="AT124" s="237">
        <v>3.8999999999999999E-4</v>
      </c>
      <c r="AU124" s="222" t="s">
        <v>1139</v>
      </c>
    </row>
    <row r="125" spans="1:47" ht="84.75" customHeight="1">
      <c r="A125" s="221" t="s">
        <v>217</v>
      </c>
      <c r="B125" s="223" t="s">
        <v>218</v>
      </c>
      <c r="C125" s="223"/>
      <c r="D125" s="223"/>
      <c r="E125" s="223" t="str">
        <f t="shared" si="2"/>
        <v>No</v>
      </c>
      <c r="F125" s="222" t="s">
        <v>517</v>
      </c>
      <c r="G125" s="223" t="s">
        <v>472</v>
      </c>
      <c r="H125" s="237" t="s">
        <v>31</v>
      </c>
      <c r="I125" s="221" t="s">
        <v>31</v>
      </c>
      <c r="J125" s="237" t="s">
        <v>31</v>
      </c>
      <c r="K125" s="221" t="s">
        <v>31</v>
      </c>
      <c r="L125" s="237">
        <v>2.5000000000000001E-2</v>
      </c>
      <c r="M125" s="224" t="s">
        <v>1479</v>
      </c>
      <c r="N125" s="237" t="s">
        <v>31</v>
      </c>
      <c r="O125" s="221" t="s">
        <v>31</v>
      </c>
      <c r="P125" s="154" t="s">
        <v>31</v>
      </c>
      <c r="Q125" s="224" t="s">
        <v>31</v>
      </c>
      <c r="R125" s="225"/>
      <c r="S125" s="225"/>
      <c r="T125" s="225"/>
      <c r="U125" s="225" t="s">
        <v>351</v>
      </c>
      <c r="V125" s="225" t="s">
        <v>351</v>
      </c>
      <c r="W125" s="225"/>
      <c r="X125" s="225"/>
      <c r="Y125" s="225"/>
      <c r="Z125" s="225"/>
      <c r="AA125" s="225"/>
      <c r="AB125" s="223">
        <v>0.1</v>
      </c>
      <c r="AC125" s="221" t="s">
        <v>462</v>
      </c>
      <c r="AD125" s="223">
        <v>1</v>
      </c>
      <c r="AE125" s="232" t="s">
        <v>30</v>
      </c>
      <c r="AF125" s="223">
        <v>1</v>
      </c>
      <c r="AG125" s="226" t="s">
        <v>466</v>
      </c>
      <c r="AH125" s="237">
        <v>4.1705600000000002E-2</v>
      </c>
      <c r="AI125" s="237" t="s">
        <v>456</v>
      </c>
      <c r="AJ125" s="237">
        <v>7.6279999999999996E-6</v>
      </c>
      <c r="AK125" s="237" t="s">
        <v>456</v>
      </c>
      <c r="AL125" s="277">
        <v>825.8</v>
      </c>
      <c r="AM125" s="230" t="s">
        <v>934</v>
      </c>
      <c r="AN125" s="237">
        <v>2.6900000000000001E-6</v>
      </c>
      <c r="AO125" s="154" t="s">
        <v>933</v>
      </c>
      <c r="AP125" s="237">
        <v>53</v>
      </c>
      <c r="AQ125" s="237" t="s">
        <v>934</v>
      </c>
      <c r="AR125" s="229">
        <v>169.23</v>
      </c>
      <c r="AS125" s="230" t="s">
        <v>934</v>
      </c>
      <c r="AT125" s="237">
        <v>6.7000000000000002E-4</v>
      </c>
      <c r="AU125" s="222" t="s">
        <v>926</v>
      </c>
    </row>
    <row r="126" spans="1:47" ht="60">
      <c r="A126" s="221" t="s">
        <v>833</v>
      </c>
      <c r="B126" s="223" t="s">
        <v>221</v>
      </c>
      <c r="C126" s="223"/>
      <c r="D126" s="223"/>
      <c r="E126" s="223" t="str">
        <f t="shared" si="2"/>
        <v>No</v>
      </c>
      <c r="F126" s="222" t="s">
        <v>524</v>
      </c>
      <c r="G126" s="223" t="s">
        <v>472</v>
      </c>
      <c r="H126" s="237">
        <v>1.4E-2</v>
      </c>
      <c r="I126" s="221" t="s">
        <v>1361</v>
      </c>
      <c r="J126" s="237">
        <v>2.3999999999999999E-6</v>
      </c>
      <c r="K126" s="221" t="s">
        <v>1599</v>
      </c>
      <c r="L126" s="237">
        <v>2.9000000000000001E-2</v>
      </c>
      <c r="M126" s="224" t="s">
        <v>1394</v>
      </c>
      <c r="N126" s="237" t="s">
        <v>31</v>
      </c>
      <c r="O126" s="221" t="s">
        <v>31</v>
      </c>
      <c r="P126" s="154" t="s">
        <v>31</v>
      </c>
      <c r="Q126" s="224" t="s">
        <v>31</v>
      </c>
      <c r="R126" s="225"/>
      <c r="S126" s="225"/>
      <c r="T126" s="225"/>
      <c r="U126" s="225"/>
      <c r="V126" s="225"/>
      <c r="W126" s="225" t="s">
        <v>351</v>
      </c>
      <c r="X126" s="225"/>
      <c r="Y126" s="225"/>
      <c r="Z126" s="225"/>
      <c r="AA126" s="225"/>
      <c r="AB126" s="223">
        <v>0.1</v>
      </c>
      <c r="AC126" s="221" t="s">
        <v>462</v>
      </c>
      <c r="AD126" s="223">
        <v>1</v>
      </c>
      <c r="AE126" s="232" t="s">
        <v>30</v>
      </c>
      <c r="AF126" s="223">
        <v>1</v>
      </c>
      <c r="AG126" s="226" t="s">
        <v>466</v>
      </c>
      <c r="AH126" s="237">
        <v>3.5000000000000003E-2</v>
      </c>
      <c r="AI126" s="237" t="s">
        <v>456</v>
      </c>
      <c r="AJ126" s="237">
        <v>3.6600000000000001E-6</v>
      </c>
      <c r="AK126" s="237" t="s">
        <v>456</v>
      </c>
      <c r="AL126" s="229">
        <v>119600</v>
      </c>
      <c r="AM126" s="230" t="s">
        <v>934</v>
      </c>
      <c r="AN126" s="237">
        <v>2.7000000000000001E-7</v>
      </c>
      <c r="AO126" s="154" t="s">
        <v>933</v>
      </c>
      <c r="AP126" s="237">
        <v>0.27</v>
      </c>
      <c r="AQ126" s="237" t="s">
        <v>934</v>
      </c>
      <c r="AR126" s="229">
        <v>390.57</v>
      </c>
      <c r="AS126" s="230" t="s">
        <v>934</v>
      </c>
      <c r="AT126" s="237">
        <v>1.42E-7</v>
      </c>
      <c r="AU126" s="222" t="s">
        <v>926</v>
      </c>
    </row>
    <row r="127" spans="1:47" ht="110">
      <c r="A127" s="221" t="s">
        <v>407</v>
      </c>
      <c r="B127" s="223" t="s">
        <v>174</v>
      </c>
      <c r="C127" s="223"/>
      <c r="D127" s="223"/>
      <c r="E127" s="223" t="str">
        <f t="shared" si="2"/>
        <v>No</v>
      </c>
      <c r="F127" s="222" t="s">
        <v>517</v>
      </c>
      <c r="G127" s="223" t="s">
        <v>472</v>
      </c>
      <c r="H127" s="237" t="s">
        <v>31</v>
      </c>
      <c r="I127" s="221" t="s">
        <v>31</v>
      </c>
      <c r="J127" s="237" t="s">
        <v>31</v>
      </c>
      <c r="K127" s="221" t="s">
        <v>31</v>
      </c>
      <c r="L127" s="237">
        <v>0.02</v>
      </c>
      <c r="M127" s="224" t="s">
        <v>1702</v>
      </c>
      <c r="N127" s="237" t="s">
        <v>31</v>
      </c>
      <c r="O127" s="221" t="s">
        <v>31</v>
      </c>
      <c r="P127" s="154" t="s">
        <v>31</v>
      </c>
      <c r="Q127" s="224" t="s">
        <v>31</v>
      </c>
      <c r="R127" s="225" t="s">
        <v>351</v>
      </c>
      <c r="S127" s="225" t="s">
        <v>351</v>
      </c>
      <c r="T127" s="225"/>
      <c r="U127" s="225"/>
      <c r="V127" s="225"/>
      <c r="W127" s="225"/>
      <c r="X127" s="225"/>
      <c r="Y127" s="225"/>
      <c r="Z127" s="225"/>
      <c r="AA127" s="225"/>
      <c r="AB127" s="223">
        <v>0.1</v>
      </c>
      <c r="AC127" s="221" t="s">
        <v>462</v>
      </c>
      <c r="AD127" s="223">
        <v>1</v>
      </c>
      <c r="AE127" s="232" t="s">
        <v>30</v>
      </c>
      <c r="AF127" s="223">
        <v>1</v>
      </c>
      <c r="AG127" s="226" t="s">
        <v>466</v>
      </c>
      <c r="AH127" s="237">
        <v>6.2245099999999998E-2</v>
      </c>
      <c r="AI127" s="237" t="s">
        <v>456</v>
      </c>
      <c r="AJ127" s="237">
        <v>8.3140000000000004E-6</v>
      </c>
      <c r="AK127" s="237" t="s">
        <v>456</v>
      </c>
      <c r="AL127" s="277">
        <v>491.8</v>
      </c>
      <c r="AM127" s="230" t="s">
        <v>934</v>
      </c>
      <c r="AN127" s="237">
        <v>9.5099999999999998E-7</v>
      </c>
      <c r="AO127" s="154" t="s">
        <v>936</v>
      </c>
      <c r="AP127" s="237">
        <v>7870</v>
      </c>
      <c r="AQ127" s="237" t="s">
        <v>934</v>
      </c>
      <c r="AR127" s="229">
        <v>122.17</v>
      </c>
      <c r="AS127" s="230" t="s">
        <v>934</v>
      </c>
      <c r="AT127" s="237">
        <v>0.10199999999999999</v>
      </c>
      <c r="AU127" s="222" t="s">
        <v>926</v>
      </c>
    </row>
    <row r="128" spans="1:47" ht="60">
      <c r="A128" s="221" t="s">
        <v>564</v>
      </c>
      <c r="B128" s="223" t="s">
        <v>220</v>
      </c>
      <c r="C128" s="223"/>
      <c r="D128" s="223"/>
      <c r="E128" s="223" t="str">
        <f t="shared" si="2"/>
        <v>No</v>
      </c>
      <c r="F128" s="222" t="s">
        <v>1317</v>
      </c>
      <c r="G128" s="223" t="s">
        <v>469</v>
      </c>
      <c r="H128" s="237" t="s">
        <v>31</v>
      </c>
      <c r="I128" s="221" t="s">
        <v>31</v>
      </c>
      <c r="J128" s="237" t="s">
        <v>31</v>
      </c>
      <c r="K128" s="221" t="s">
        <v>31</v>
      </c>
      <c r="L128" s="237">
        <v>0.01</v>
      </c>
      <c r="M128" s="221" t="s">
        <v>1480</v>
      </c>
      <c r="N128" s="237" t="s">
        <v>31</v>
      </c>
      <c r="O128" s="221" t="s">
        <v>31</v>
      </c>
      <c r="P128" s="154" t="s">
        <v>31</v>
      </c>
      <c r="Q128" s="224" t="s">
        <v>31</v>
      </c>
      <c r="R128" s="225"/>
      <c r="S128" s="225"/>
      <c r="T128" s="225"/>
      <c r="U128" s="225"/>
      <c r="V128" s="225" t="s">
        <v>351</v>
      </c>
      <c r="W128" s="225"/>
      <c r="X128" s="225"/>
      <c r="Y128" s="225"/>
      <c r="Z128" s="225"/>
      <c r="AA128" s="225"/>
      <c r="AB128" s="223">
        <v>0.1</v>
      </c>
      <c r="AC128" s="221" t="s">
        <v>462</v>
      </c>
      <c r="AD128" s="223">
        <v>1</v>
      </c>
      <c r="AE128" s="232" t="s">
        <v>30</v>
      </c>
      <c r="AF128" s="223">
        <v>1</v>
      </c>
      <c r="AG128" s="226" t="s">
        <v>466</v>
      </c>
      <c r="AH128" s="237">
        <v>3.5559399999999998E-2</v>
      </c>
      <c r="AI128" s="154" t="s">
        <v>456</v>
      </c>
      <c r="AJ128" s="237">
        <v>4.1540000000000004E-6</v>
      </c>
      <c r="AK128" s="154" t="s">
        <v>456</v>
      </c>
      <c r="AL128" s="229">
        <v>140800</v>
      </c>
      <c r="AM128" s="230" t="s">
        <v>934</v>
      </c>
      <c r="AN128" s="237">
        <v>2.57E-6</v>
      </c>
      <c r="AO128" s="154" t="s">
        <v>933</v>
      </c>
      <c r="AP128" s="237">
        <v>0.02</v>
      </c>
      <c r="AQ128" s="237" t="s">
        <v>934</v>
      </c>
      <c r="AR128" s="229">
        <v>390.57</v>
      </c>
      <c r="AS128" s="230" t="s">
        <v>934</v>
      </c>
      <c r="AT128" s="237">
        <v>9.9999999999999995E-8</v>
      </c>
      <c r="AU128" s="222" t="s">
        <v>926</v>
      </c>
    </row>
    <row r="129" spans="1:47" ht="90">
      <c r="A129" s="221" t="s">
        <v>385</v>
      </c>
      <c r="B129" s="223" t="s">
        <v>163</v>
      </c>
      <c r="C129" s="223"/>
      <c r="D129" s="223" t="s">
        <v>76</v>
      </c>
      <c r="E129" s="223" t="str">
        <f t="shared" si="2"/>
        <v>Yes</v>
      </c>
      <c r="F129" s="222" t="s">
        <v>526</v>
      </c>
      <c r="G129" s="223" t="s">
        <v>472</v>
      </c>
      <c r="H129" s="237">
        <v>0.1</v>
      </c>
      <c r="I129" s="221" t="s">
        <v>1362</v>
      </c>
      <c r="J129" s="237">
        <v>5.0000000000000004E-6</v>
      </c>
      <c r="K129" s="221" t="s">
        <v>1375</v>
      </c>
      <c r="L129" s="237">
        <v>2.5000000000000001E-2</v>
      </c>
      <c r="M129" s="224" t="s">
        <v>1481</v>
      </c>
      <c r="N129" s="237">
        <v>0.03</v>
      </c>
      <c r="O129" s="221" t="s">
        <v>1532</v>
      </c>
      <c r="P129" s="154" t="s">
        <v>31</v>
      </c>
      <c r="Q129" s="224" t="s">
        <v>31</v>
      </c>
      <c r="R129" s="225"/>
      <c r="S129" s="225"/>
      <c r="T129" s="225"/>
      <c r="U129" s="225" t="s">
        <v>351</v>
      </c>
      <c r="V129" s="225" t="s">
        <v>351</v>
      </c>
      <c r="W129" s="225"/>
      <c r="X129" s="225" t="s">
        <v>351</v>
      </c>
      <c r="Y129" s="225"/>
      <c r="Z129" s="225"/>
      <c r="AA129" s="225"/>
      <c r="AB129" s="223">
        <v>0</v>
      </c>
      <c r="AC129" s="221" t="s">
        <v>1147</v>
      </c>
      <c r="AD129" s="223">
        <v>1</v>
      </c>
      <c r="AE129" s="232" t="s">
        <v>30</v>
      </c>
      <c r="AF129" s="223">
        <v>1</v>
      </c>
      <c r="AG129" s="226" t="s">
        <v>466</v>
      </c>
      <c r="AH129" s="237">
        <v>8.7371500000000005E-2</v>
      </c>
      <c r="AI129" s="237" t="s">
        <v>456</v>
      </c>
      <c r="AJ129" s="237">
        <v>1.0499999999999999E-5</v>
      </c>
      <c r="AK129" s="237" t="s">
        <v>456</v>
      </c>
      <c r="AL129" s="276">
        <v>2.633</v>
      </c>
      <c r="AM129" s="230" t="s">
        <v>934</v>
      </c>
      <c r="AN129" s="237">
        <v>4.7999999999999998E-6</v>
      </c>
      <c r="AO129" s="154" t="s">
        <v>936</v>
      </c>
      <c r="AP129" s="237">
        <v>1000000</v>
      </c>
      <c r="AQ129" s="237" t="s">
        <v>934</v>
      </c>
      <c r="AR129" s="229">
        <v>88.11</v>
      </c>
      <c r="AS129" s="230" t="s">
        <v>934</v>
      </c>
      <c r="AT129" s="237">
        <v>38.090000000000003</v>
      </c>
      <c r="AU129" s="222" t="s">
        <v>926</v>
      </c>
    </row>
    <row r="130" spans="1:47" ht="80">
      <c r="A130" s="221" t="s">
        <v>8</v>
      </c>
      <c r="B130" s="223" t="s">
        <v>9</v>
      </c>
      <c r="C130" s="223"/>
      <c r="D130" s="223"/>
      <c r="E130" s="223" t="str">
        <f t="shared" si="2"/>
        <v>No</v>
      </c>
      <c r="F130" s="222" t="s">
        <v>517</v>
      </c>
      <c r="G130" s="223" t="s">
        <v>472</v>
      </c>
      <c r="H130" s="237" t="s">
        <v>31</v>
      </c>
      <c r="I130" s="221" t="s">
        <v>31</v>
      </c>
      <c r="J130" s="237" t="s">
        <v>31</v>
      </c>
      <c r="K130" s="221" t="s">
        <v>31</v>
      </c>
      <c r="L130" s="237">
        <v>0.33</v>
      </c>
      <c r="M130" s="224" t="s">
        <v>1482</v>
      </c>
      <c r="N130" s="237">
        <v>0.4</v>
      </c>
      <c r="O130" s="221" t="s">
        <v>1600</v>
      </c>
      <c r="P130" s="154" t="s">
        <v>31</v>
      </c>
      <c r="Q130" s="224" t="s">
        <v>31</v>
      </c>
      <c r="R130" s="225"/>
      <c r="S130" s="225"/>
      <c r="T130" s="225"/>
      <c r="U130" s="225" t="s">
        <v>351</v>
      </c>
      <c r="V130" s="225"/>
      <c r="W130" s="225" t="s">
        <v>351</v>
      </c>
      <c r="X130" s="225" t="s">
        <v>351</v>
      </c>
      <c r="Y130" s="225"/>
      <c r="Z130" s="225"/>
      <c r="AA130" s="225"/>
      <c r="AB130" s="223">
        <v>0.1</v>
      </c>
      <c r="AC130" s="221" t="s">
        <v>462</v>
      </c>
      <c r="AD130" s="223">
        <v>1</v>
      </c>
      <c r="AE130" s="232" t="s">
        <v>30</v>
      </c>
      <c r="AF130" s="223">
        <v>1</v>
      </c>
      <c r="AG130" s="226" t="s">
        <v>466</v>
      </c>
      <c r="AH130" s="237">
        <v>0.11692370000000001</v>
      </c>
      <c r="AI130" s="237" t="s">
        <v>456</v>
      </c>
      <c r="AJ130" s="237">
        <v>1.36E-5</v>
      </c>
      <c r="AK130" s="237" t="s">
        <v>456</v>
      </c>
      <c r="AL130" s="229">
        <v>1</v>
      </c>
      <c r="AM130" s="230" t="s">
        <v>934</v>
      </c>
      <c r="AN130" s="237">
        <v>5.9999999999999995E-8</v>
      </c>
      <c r="AO130" s="154" t="s">
        <v>936</v>
      </c>
      <c r="AP130" s="237">
        <v>1000000</v>
      </c>
      <c r="AQ130" s="237" t="s">
        <v>934</v>
      </c>
      <c r="AR130" s="229">
        <v>62.07</v>
      </c>
      <c r="AS130" s="230" t="s">
        <v>934</v>
      </c>
      <c r="AT130" s="237">
        <v>9.1999999999999998E-2</v>
      </c>
      <c r="AU130" s="222" t="s">
        <v>926</v>
      </c>
    </row>
    <row r="131" spans="1:47" ht="100">
      <c r="A131" s="221" t="s">
        <v>164</v>
      </c>
      <c r="B131" s="223" t="s">
        <v>165</v>
      </c>
      <c r="C131" s="721"/>
      <c r="D131" s="723"/>
      <c r="E131" s="223" t="str">
        <f t="shared" si="2"/>
        <v>Yes</v>
      </c>
      <c r="F131" s="222" t="s">
        <v>1318</v>
      </c>
      <c r="G131" s="223" t="s">
        <v>472</v>
      </c>
      <c r="H131" s="237" t="s">
        <v>31</v>
      </c>
      <c r="I131" s="221" t="s">
        <v>31</v>
      </c>
      <c r="J131" s="237" t="s">
        <v>31</v>
      </c>
      <c r="K131" s="221" t="s">
        <v>1717</v>
      </c>
      <c r="L131" s="237">
        <v>0.2</v>
      </c>
      <c r="M131" s="224" t="s">
        <v>1701</v>
      </c>
      <c r="N131" s="237">
        <v>7.0000000000000001E-3</v>
      </c>
      <c r="O131" s="221" t="s">
        <v>1718</v>
      </c>
      <c r="P131" s="154" t="s">
        <v>31</v>
      </c>
      <c r="Q131" s="224" t="s">
        <v>31</v>
      </c>
      <c r="R131" s="225"/>
      <c r="S131" s="225"/>
      <c r="T131" s="225"/>
      <c r="U131" s="225"/>
      <c r="V131" s="225" t="s">
        <v>351</v>
      </c>
      <c r="W131" s="225"/>
      <c r="X131" s="225" t="s">
        <v>351</v>
      </c>
      <c r="Y131" s="225"/>
      <c r="Z131" s="225"/>
      <c r="AA131" s="225"/>
      <c r="AB131" s="223">
        <v>0</v>
      </c>
      <c r="AC131" s="221" t="s">
        <v>1147</v>
      </c>
      <c r="AD131" s="223">
        <v>1</v>
      </c>
      <c r="AE131" s="232" t="s">
        <v>30</v>
      </c>
      <c r="AF131" s="223">
        <v>1</v>
      </c>
      <c r="AG131" s="226" t="s">
        <v>466</v>
      </c>
      <c r="AH131" s="237">
        <v>0.16707250000000001</v>
      </c>
      <c r="AI131" s="237" t="s">
        <v>456</v>
      </c>
      <c r="AJ131" s="237">
        <v>1.7399999999999999E-5</v>
      </c>
      <c r="AK131" s="237" t="s">
        <v>456</v>
      </c>
      <c r="AL131" s="229">
        <v>1</v>
      </c>
      <c r="AM131" s="230" t="s">
        <v>934</v>
      </c>
      <c r="AN131" s="237">
        <v>3.3700000000000001E-7</v>
      </c>
      <c r="AO131" s="154" t="s">
        <v>936</v>
      </c>
      <c r="AP131" s="237">
        <v>400000</v>
      </c>
      <c r="AQ131" s="237" t="s">
        <v>934</v>
      </c>
      <c r="AR131" s="229">
        <v>30.03</v>
      </c>
      <c r="AS131" s="230" t="s">
        <v>934</v>
      </c>
      <c r="AT131" s="237">
        <v>3890</v>
      </c>
      <c r="AU131" s="222" t="s">
        <v>926</v>
      </c>
    </row>
    <row r="132" spans="1:47" ht="60">
      <c r="A132" s="221" t="s">
        <v>89</v>
      </c>
      <c r="B132" s="223" t="s">
        <v>90</v>
      </c>
      <c r="C132" s="223"/>
      <c r="D132" s="223"/>
      <c r="E132" s="223" t="str">
        <f t="shared" si="2"/>
        <v>Yes</v>
      </c>
      <c r="F132" s="222" t="s">
        <v>517</v>
      </c>
      <c r="G132" s="223" t="s">
        <v>472</v>
      </c>
      <c r="H132" s="237" t="s">
        <v>31</v>
      </c>
      <c r="I132" s="221" t="s">
        <v>31</v>
      </c>
      <c r="J132" s="237" t="s">
        <v>31</v>
      </c>
      <c r="K132" s="221" t="s">
        <v>31</v>
      </c>
      <c r="L132" s="237">
        <v>3.0000000000000001E-3</v>
      </c>
      <c r="M132" s="224" t="s">
        <v>1357</v>
      </c>
      <c r="N132" s="237" t="s">
        <v>31</v>
      </c>
      <c r="O132" s="221" t="s">
        <v>31</v>
      </c>
      <c r="P132" s="154" t="s">
        <v>31</v>
      </c>
      <c r="Q132" s="224" t="s">
        <v>31</v>
      </c>
      <c r="R132" s="225"/>
      <c r="S132" s="225"/>
      <c r="T132" s="225"/>
      <c r="U132" s="225"/>
      <c r="V132" s="225" t="s">
        <v>351</v>
      </c>
      <c r="W132" s="225"/>
      <c r="X132" s="225"/>
      <c r="Y132" s="225"/>
      <c r="Z132" s="225"/>
      <c r="AA132" s="225"/>
      <c r="AB132" s="223">
        <v>0</v>
      </c>
      <c r="AC132" s="221" t="s">
        <v>1147</v>
      </c>
      <c r="AD132" s="223">
        <v>1</v>
      </c>
      <c r="AE132" s="232" t="s">
        <v>30</v>
      </c>
      <c r="AF132" s="223">
        <v>1</v>
      </c>
      <c r="AG132" s="226" t="s">
        <v>466</v>
      </c>
      <c r="AH132" s="237">
        <v>8.5318199999999997E-2</v>
      </c>
      <c r="AI132" s="237" t="s">
        <v>456</v>
      </c>
      <c r="AJ132" s="237">
        <v>1.0699999999999999E-5</v>
      </c>
      <c r="AK132" s="237" t="s">
        <v>456</v>
      </c>
      <c r="AL132" s="276">
        <v>6.0830000000000002</v>
      </c>
      <c r="AM132" s="230" t="s">
        <v>934</v>
      </c>
      <c r="AN132" s="237">
        <v>3.7699999999999999E-6</v>
      </c>
      <c r="AO132" s="154" t="s">
        <v>936</v>
      </c>
      <c r="AP132" s="237">
        <v>74100</v>
      </c>
      <c r="AQ132" s="237" t="s">
        <v>934</v>
      </c>
      <c r="AR132" s="229">
        <v>96.09</v>
      </c>
      <c r="AS132" s="230" t="s">
        <v>934</v>
      </c>
      <c r="AT132" s="237">
        <v>2.21</v>
      </c>
      <c r="AU132" s="222" t="s">
        <v>926</v>
      </c>
    </row>
    <row r="133" spans="1:47" ht="72">
      <c r="A133" s="635" t="s">
        <v>1022</v>
      </c>
      <c r="B133" s="223" t="s">
        <v>23</v>
      </c>
      <c r="C133" s="223"/>
      <c r="D133" s="223"/>
      <c r="E133" s="223" t="str">
        <f t="shared" si="2"/>
        <v>Yes</v>
      </c>
      <c r="F133" s="222" t="s">
        <v>524</v>
      </c>
      <c r="G133" s="223" t="s">
        <v>472</v>
      </c>
      <c r="H133" s="237">
        <v>1.6</v>
      </c>
      <c r="I133" s="221" t="s">
        <v>1075</v>
      </c>
      <c r="J133" s="237">
        <v>4.6000000000000001E-4</v>
      </c>
      <c r="K133" s="221" t="s">
        <v>1076</v>
      </c>
      <c r="L133" s="237">
        <v>1.0000000000000001E-5</v>
      </c>
      <c r="M133" s="224" t="s">
        <v>1671</v>
      </c>
      <c r="N133" s="237" t="s">
        <v>31</v>
      </c>
      <c r="O133" s="221" t="s">
        <v>31</v>
      </c>
      <c r="P133" s="154" t="s">
        <v>31</v>
      </c>
      <c r="Q133" s="224" t="s">
        <v>31</v>
      </c>
      <c r="R133" s="225"/>
      <c r="S133" s="225"/>
      <c r="T133" s="225"/>
      <c r="U133" s="225"/>
      <c r="V133" s="225"/>
      <c r="W133" s="225" t="s">
        <v>351</v>
      </c>
      <c r="X133" s="225"/>
      <c r="Y133" s="225"/>
      <c r="Z133" s="225"/>
      <c r="AA133" s="225"/>
      <c r="AB133" s="223">
        <v>0</v>
      </c>
      <c r="AC133" s="221" t="s">
        <v>1147</v>
      </c>
      <c r="AD133" s="223">
        <v>1</v>
      </c>
      <c r="AE133" s="232" t="s">
        <v>30</v>
      </c>
      <c r="AF133" s="223">
        <v>1</v>
      </c>
      <c r="AG133" s="226" t="s">
        <v>466</v>
      </c>
      <c r="AH133" s="237">
        <v>2.89745E-2</v>
      </c>
      <c r="AI133" s="237" t="s">
        <v>456</v>
      </c>
      <c r="AJ133" s="237">
        <v>7.8497000000000004E-6</v>
      </c>
      <c r="AK133" s="237" t="s">
        <v>456</v>
      </c>
      <c r="AL133" s="229">
        <v>6195</v>
      </c>
      <c r="AM133" s="230" t="s">
        <v>934</v>
      </c>
      <c r="AN133" s="237">
        <v>1.6999999999999999E-3</v>
      </c>
      <c r="AO133" s="154" t="s">
        <v>936</v>
      </c>
      <c r="AP133" s="237">
        <v>6.1999999999999998E-3</v>
      </c>
      <c r="AQ133" s="237" t="s">
        <v>934</v>
      </c>
      <c r="AR133" s="229">
        <v>284.77999999999997</v>
      </c>
      <c r="AS133" s="230" t="s">
        <v>934</v>
      </c>
      <c r="AT133" s="237">
        <v>1.8E-5</v>
      </c>
      <c r="AU133" s="222" t="s">
        <v>926</v>
      </c>
    </row>
    <row r="134" spans="1:47" ht="60">
      <c r="A134" s="221" t="s">
        <v>70</v>
      </c>
      <c r="B134" s="223" t="s">
        <v>96</v>
      </c>
      <c r="C134" s="223"/>
      <c r="D134" s="223"/>
      <c r="E134" s="223" t="str">
        <f t="shared" si="2"/>
        <v>Yes</v>
      </c>
      <c r="F134" s="222" t="s">
        <v>520</v>
      </c>
      <c r="G134" s="223" t="s">
        <v>472</v>
      </c>
      <c r="H134" s="237">
        <v>7.8E-2</v>
      </c>
      <c r="I134" s="221" t="s">
        <v>1319</v>
      </c>
      <c r="J134" s="237" t="s">
        <v>31</v>
      </c>
      <c r="K134" s="221" t="s">
        <v>31</v>
      </c>
      <c r="L134" s="237">
        <v>1E-3</v>
      </c>
      <c r="M134" s="224" t="s">
        <v>1387</v>
      </c>
      <c r="N134" s="237" t="s">
        <v>31</v>
      </c>
      <c r="O134" s="221" t="s">
        <v>31</v>
      </c>
      <c r="P134" s="154" t="s">
        <v>31</v>
      </c>
      <c r="Q134" s="224" t="s">
        <v>31</v>
      </c>
      <c r="R134" s="225"/>
      <c r="S134" s="225"/>
      <c r="T134" s="225"/>
      <c r="U134" s="225" t="s">
        <v>351</v>
      </c>
      <c r="V134" s="225"/>
      <c r="W134" s="225"/>
      <c r="X134" s="225"/>
      <c r="Y134" s="225"/>
      <c r="Z134" s="225"/>
      <c r="AA134" s="225"/>
      <c r="AB134" s="223">
        <v>0</v>
      </c>
      <c r="AC134" s="221" t="s">
        <v>1147</v>
      </c>
      <c r="AD134" s="223">
        <v>1</v>
      </c>
      <c r="AE134" s="232" t="s">
        <v>30</v>
      </c>
      <c r="AF134" s="223">
        <v>1</v>
      </c>
      <c r="AG134" s="226" t="s">
        <v>466</v>
      </c>
      <c r="AH134" s="237">
        <v>2.6744500000000001E-2</v>
      </c>
      <c r="AI134" s="237" t="s">
        <v>456</v>
      </c>
      <c r="AJ134" s="237">
        <v>7.0264000000000002E-6</v>
      </c>
      <c r="AK134" s="237" t="s">
        <v>456</v>
      </c>
      <c r="AL134" s="277">
        <v>845.2</v>
      </c>
      <c r="AM134" s="230" t="s">
        <v>934</v>
      </c>
      <c r="AN134" s="237">
        <v>1.03E-2</v>
      </c>
      <c r="AO134" s="154" t="s">
        <v>936</v>
      </c>
      <c r="AP134" s="237">
        <v>3.2</v>
      </c>
      <c r="AQ134" s="237" t="s">
        <v>934</v>
      </c>
      <c r="AR134" s="229">
        <v>260.76</v>
      </c>
      <c r="AS134" s="230" t="s">
        <v>934</v>
      </c>
      <c r="AT134" s="237">
        <v>0.22</v>
      </c>
      <c r="AU134" s="222" t="s">
        <v>926</v>
      </c>
    </row>
    <row r="135" spans="1:47" ht="62">
      <c r="A135" s="221" t="s">
        <v>1320</v>
      </c>
      <c r="B135" s="223" t="s">
        <v>25</v>
      </c>
      <c r="C135" s="223"/>
      <c r="D135" s="223"/>
      <c r="E135" s="223" t="str">
        <f t="shared" si="2"/>
        <v>Yes</v>
      </c>
      <c r="F135" s="222" t="s">
        <v>527</v>
      </c>
      <c r="G135" s="223" t="s">
        <v>472</v>
      </c>
      <c r="H135" s="237" t="s">
        <v>31</v>
      </c>
      <c r="I135" s="221" t="s">
        <v>31</v>
      </c>
      <c r="J135" s="237" t="s">
        <v>31</v>
      </c>
      <c r="K135" s="221" t="s">
        <v>31</v>
      </c>
      <c r="L135" s="237">
        <v>6.0000000000000001E-3</v>
      </c>
      <c r="M135" s="224" t="s">
        <v>1483</v>
      </c>
      <c r="N135" s="237">
        <v>2.0000000000000001E-4</v>
      </c>
      <c r="O135" s="221" t="s">
        <v>1533</v>
      </c>
      <c r="P135" s="154" t="s">
        <v>31</v>
      </c>
      <c r="Q135" s="224" t="s">
        <v>31</v>
      </c>
      <c r="R135" s="225"/>
      <c r="S135" s="225"/>
      <c r="T135" s="225"/>
      <c r="U135" s="225"/>
      <c r="V135" s="225"/>
      <c r="W135" s="225"/>
      <c r="X135" s="225" t="s">
        <v>351</v>
      </c>
      <c r="Y135" s="225"/>
      <c r="Z135" s="225"/>
      <c r="AA135" s="225"/>
      <c r="AB135" s="223">
        <v>0</v>
      </c>
      <c r="AC135" s="221" t="s">
        <v>1147</v>
      </c>
      <c r="AD135" s="223">
        <v>1</v>
      </c>
      <c r="AE135" s="232" t="s">
        <v>30</v>
      </c>
      <c r="AF135" s="223">
        <v>1</v>
      </c>
      <c r="AG135" s="226" t="s">
        <v>466</v>
      </c>
      <c r="AH135" s="237">
        <v>2.7238200000000001E-2</v>
      </c>
      <c r="AI135" s="237" t="s">
        <v>456</v>
      </c>
      <c r="AJ135" s="237">
        <v>7.2169999999999997E-6</v>
      </c>
      <c r="AK135" s="237" t="s">
        <v>456</v>
      </c>
      <c r="AL135" s="229">
        <v>1404</v>
      </c>
      <c r="AM135" s="230" t="s">
        <v>934</v>
      </c>
      <c r="AN135" s="237">
        <v>2.7E-2</v>
      </c>
      <c r="AO135" s="154" t="s">
        <v>936</v>
      </c>
      <c r="AP135" s="237">
        <v>1.8</v>
      </c>
      <c r="AQ135" s="237" t="s">
        <v>934</v>
      </c>
      <c r="AR135" s="229">
        <v>272.77</v>
      </c>
      <c r="AS135" s="230" t="s">
        <v>934</v>
      </c>
      <c r="AT135" s="237">
        <v>0.06</v>
      </c>
      <c r="AU135" s="222" t="s">
        <v>926</v>
      </c>
    </row>
    <row r="136" spans="1:47" ht="62">
      <c r="A136" s="221" t="s">
        <v>1224</v>
      </c>
      <c r="B136" s="223" t="s">
        <v>1170</v>
      </c>
      <c r="C136" s="223"/>
      <c r="D136" s="223"/>
      <c r="E136" s="223" t="str">
        <f t="shared" si="2"/>
        <v>Yes</v>
      </c>
      <c r="F136" s="222" t="s">
        <v>1216</v>
      </c>
      <c r="G136" s="223" t="s">
        <v>472</v>
      </c>
      <c r="H136" s="237">
        <v>0.04</v>
      </c>
      <c r="I136" s="221" t="s">
        <v>1363</v>
      </c>
      <c r="J136" s="237">
        <v>1.1E-5</v>
      </c>
      <c r="K136" s="221" t="s">
        <v>1601</v>
      </c>
      <c r="L136" s="237">
        <v>6.9999999999999999E-4</v>
      </c>
      <c r="M136" s="224" t="s">
        <v>1672</v>
      </c>
      <c r="N136" s="237">
        <v>0.03</v>
      </c>
      <c r="O136" s="221" t="s">
        <v>1388</v>
      </c>
      <c r="P136" s="154" t="s">
        <v>31</v>
      </c>
      <c r="Q136" s="224" t="s">
        <v>31</v>
      </c>
      <c r="R136" s="225" t="s">
        <v>351</v>
      </c>
      <c r="S136" s="225"/>
      <c r="T136" s="225"/>
      <c r="U136" s="225" t="s">
        <v>351</v>
      </c>
      <c r="V136" s="225"/>
      <c r="W136" s="225"/>
      <c r="X136" s="225"/>
      <c r="Y136" s="225"/>
      <c r="Z136" s="225"/>
      <c r="AA136" s="225"/>
      <c r="AB136" s="223">
        <v>0</v>
      </c>
      <c r="AC136" s="221" t="s">
        <v>1147</v>
      </c>
      <c r="AD136" s="223">
        <v>1</v>
      </c>
      <c r="AE136" s="232" t="s">
        <v>30</v>
      </c>
      <c r="AF136" s="223">
        <v>1</v>
      </c>
      <c r="AG136" s="226" t="s">
        <v>466</v>
      </c>
      <c r="AH136" s="237">
        <v>3.2093777507060002E-2</v>
      </c>
      <c r="AI136" s="237" t="s">
        <v>456</v>
      </c>
      <c r="AJ136" s="237">
        <v>8.89039803366E-6</v>
      </c>
      <c r="AK136" s="237" t="s">
        <v>456</v>
      </c>
      <c r="AL136" s="229">
        <v>196.8</v>
      </c>
      <c r="AM136" s="230" t="s">
        <v>1143</v>
      </c>
      <c r="AN136" s="237">
        <v>3.8899999999999998E-3</v>
      </c>
      <c r="AO136" s="154" t="s">
        <v>1139</v>
      </c>
      <c r="AP136" s="237">
        <v>50</v>
      </c>
      <c r="AQ136" s="237" t="s">
        <v>1139</v>
      </c>
      <c r="AR136" s="229">
        <v>236.74</v>
      </c>
      <c r="AS136" s="230" t="s">
        <v>1139</v>
      </c>
      <c r="AT136" s="237">
        <v>0.21</v>
      </c>
      <c r="AU136" s="222" t="s">
        <v>1139</v>
      </c>
    </row>
    <row r="137" spans="1:47" ht="60">
      <c r="A137" s="221" t="s">
        <v>1189</v>
      </c>
      <c r="B137" s="223" t="s">
        <v>1190</v>
      </c>
      <c r="C137" s="223"/>
      <c r="D137" s="223"/>
      <c r="E137" s="223" t="str">
        <f t="shared" si="2"/>
        <v>No</v>
      </c>
      <c r="F137" s="222" t="s">
        <v>1220</v>
      </c>
      <c r="G137" s="223" t="s">
        <v>469</v>
      </c>
      <c r="H137" s="237" t="s">
        <v>31</v>
      </c>
      <c r="I137" s="221" t="s">
        <v>31</v>
      </c>
      <c r="J137" s="237" t="s">
        <v>31</v>
      </c>
      <c r="K137" s="221" t="s">
        <v>31</v>
      </c>
      <c r="L137" s="237">
        <v>4.0000000000000002E-4</v>
      </c>
      <c r="M137" s="224" t="s">
        <v>1673</v>
      </c>
      <c r="N137" s="237" t="s">
        <v>31</v>
      </c>
      <c r="O137" s="221" t="s">
        <v>31</v>
      </c>
      <c r="P137" s="154" t="s">
        <v>31</v>
      </c>
      <c r="Q137" s="224" t="s">
        <v>31</v>
      </c>
      <c r="R137" s="225"/>
      <c r="S137" s="225"/>
      <c r="T137" s="225"/>
      <c r="U137" s="225"/>
      <c r="V137" s="225"/>
      <c r="W137" s="225"/>
      <c r="X137" s="225" t="s">
        <v>351</v>
      </c>
      <c r="Y137" s="225"/>
      <c r="Z137" s="225"/>
      <c r="AA137" s="225"/>
      <c r="AB137" s="223">
        <v>0.1</v>
      </c>
      <c r="AC137" s="221" t="s">
        <v>462</v>
      </c>
      <c r="AD137" s="223">
        <v>1</v>
      </c>
      <c r="AE137" s="232" t="s">
        <v>30</v>
      </c>
      <c r="AF137" s="223">
        <v>1</v>
      </c>
      <c r="AG137" s="226" t="s">
        <v>466</v>
      </c>
      <c r="AH137" s="237">
        <v>3.483682704827E-2</v>
      </c>
      <c r="AI137" s="237" t="s">
        <v>456</v>
      </c>
      <c r="AJ137" s="237">
        <v>6.8702304219299998E-6</v>
      </c>
      <c r="AK137" s="237" t="s">
        <v>456</v>
      </c>
      <c r="AL137" s="229">
        <v>10</v>
      </c>
      <c r="AM137" s="230" t="s">
        <v>1143</v>
      </c>
      <c r="AN137" s="237">
        <v>7.1299999999999997E-12</v>
      </c>
      <c r="AO137" s="154" t="s">
        <v>1141</v>
      </c>
      <c r="AP137" s="237">
        <v>1000000</v>
      </c>
      <c r="AQ137" s="237" t="s">
        <v>1139</v>
      </c>
      <c r="AR137" s="229">
        <v>179.2</v>
      </c>
      <c r="AS137" s="230" t="s">
        <v>1139</v>
      </c>
      <c r="AT137" s="237">
        <v>4.5999999999999999E-2</v>
      </c>
      <c r="AU137" s="222" t="s">
        <v>1139</v>
      </c>
    </row>
    <row r="138" spans="1:47" ht="100">
      <c r="A138" s="221" t="s">
        <v>235</v>
      </c>
      <c r="B138" s="223" t="s">
        <v>236</v>
      </c>
      <c r="C138" s="223"/>
      <c r="D138" s="223"/>
      <c r="E138" s="223" t="str">
        <f t="shared" si="2"/>
        <v>No</v>
      </c>
      <c r="F138" s="222" t="s">
        <v>520</v>
      </c>
      <c r="G138" s="223" t="s">
        <v>472</v>
      </c>
      <c r="H138" s="237">
        <v>9.5E-4</v>
      </c>
      <c r="I138" s="221" t="s">
        <v>1077</v>
      </c>
      <c r="J138" s="237" t="s">
        <v>31</v>
      </c>
      <c r="K138" s="221" t="s">
        <v>31</v>
      </c>
      <c r="L138" s="237">
        <v>0.2</v>
      </c>
      <c r="M138" s="224" t="s">
        <v>1700</v>
      </c>
      <c r="N138" s="237">
        <v>2</v>
      </c>
      <c r="O138" s="221" t="s">
        <v>1602</v>
      </c>
      <c r="P138" s="154" t="s">
        <v>31</v>
      </c>
      <c r="Q138" s="224" t="s">
        <v>31</v>
      </c>
      <c r="R138" s="225"/>
      <c r="S138" s="225"/>
      <c r="T138" s="225"/>
      <c r="U138" s="225" t="s">
        <v>351</v>
      </c>
      <c r="V138" s="225" t="s">
        <v>351</v>
      </c>
      <c r="W138" s="225" t="s">
        <v>351</v>
      </c>
      <c r="X138" s="225"/>
      <c r="Y138" s="225"/>
      <c r="Z138" s="225"/>
      <c r="AA138" s="225"/>
      <c r="AB138" s="223">
        <v>0.1</v>
      </c>
      <c r="AC138" s="221" t="s">
        <v>462</v>
      </c>
      <c r="AD138" s="249">
        <v>1</v>
      </c>
      <c r="AE138" s="253" t="s">
        <v>30</v>
      </c>
      <c r="AF138" s="223">
        <v>1</v>
      </c>
      <c r="AG138" s="226" t="s">
        <v>466</v>
      </c>
      <c r="AH138" s="237">
        <v>5.2504799999999997E-2</v>
      </c>
      <c r="AI138" s="237" t="s">
        <v>456</v>
      </c>
      <c r="AJ138" s="237">
        <v>7.5295999999999999E-6</v>
      </c>
      <c r="AK138" s="237" t="s">
        <v>456</v>
      </c>
      <c r="AL138" s="238">
        <v>65.150000000000006</v>
      </c>
      <c r="AM138" s="230" t="s">
        <v>934</v>
      </c>
      <c r="AN138" s="237">
        <v>6.64E-6</v>
      </c>
      <c r="AO138" s="154" t="s">
        <v>933</v>
      </c>
      <c r="AP138" s="237">
        <v>12000</v>
      </c>
      <c r="AQ138" s="237" t="s">
        <v>934</v>
      </c>
      <c r="AR138" s="229">
        <v>138.21</v>
      </c>
      <c r="AS138" s="230" t="s">
        <v>934</v>
      </c>
      <c r="AT138" s="237">
        <v>0.438</v>
      </c>
      <c r="AU138" s="222" t="s">
        <v>926</v>
      </c>
    </row>
    <row r="139" spans="1:47" ht="74">
      <c r="A139" s="221" t="s">
        <v>1171</v>
      </c>
      <c r="B139" s="223" t="s">
        <v>1172</v>
      </c>
      <c r="C139" s="223"/>
      <c r="D139" s="223"/>
      <c r="E139" s="223" t="str">
        <f t="shared" si="2"/>
        <v>No</v>
      </c>
      <c r="F139" s="222" t="s">
        <v>517</v>
      </c>
      <c r="G139" s="223" t="s">
        <v>472</v>
      </c>
      <c r="H139" s="237" t="s">
        <v>31</v>
      </c>
      <c r="I139" s="221" t="s">
        <v>31</v>
      </c>
      <c r="J139" s="237" t="s">
        <v>31</v>
      </c>
      <c r="K139" s="221" t="s">
        <v>31</v>
      </c>
      <c r="L139" s="237">
        <v>0.1</v>
      </c>
      <c r="M139" s="224" t="s">
        <v>1645</v>
      </c>
      <c r="N139" s="237">
        <v>6.9999999999999999E-4</v>
      </c>
      <c r="O139" s="221" t="s">
        <v>1644</v>
      </c>
      <c r="P139" s="154" t="s">
        <v>31</v>
      </c>
      <c r="Q139" s="224" t="s">
        <v>31</v>
      </c>
      <c r="R139" s="225"/>
      <c r="S139" s="225"/>
      <c r="T139" s="225"/>
      <c r="U139" s="225" t="s">
        <v>351</v>
      </c>
      <c r="V139" s="225"/>
      <c r="W139" s="225"/>
      <c r="X139" s="225" t="s">
        <v>351</v>
      </c>
      <c r="Y139" s="225"/>
      <c r="Z139" s="225"/>
      <c r="AA139" s="225"/>
      <c r="AB139" s="223">
        <v>0.1</v>
      </c>
      <c r="AC139" s="221" t="s">
        <v>462</v>
      </c>
      <c r="AD139" s="249">
        <v>1</v>
      </c>
      <c r="AE139" s="253" t="s">
        <v>30</v>
      </c>
      <c r="AF139" s="223">
        <v>1</v>
      </c>
      <c r="AG139" s="226" t="s">
        <v>466</v>
      </c>
      <c r="AH139" s="237">
        <v>8.8395484906870006E-2</v>
      </c>
      <c r="AI139" s="237" t="s">
        <v>456</v>
      </c>
      <c r="AJ139" s="237">
        <v>1.141659289E-5</v>
      </c>
      <c r="AK139" s="237" t="s">
        <v>456</v>
      </c>
      <c r="AL139" s="238">
        <v>1</v>
      </c>
      <c r="AM139" s="230" t="s">
        <v>1143</v>
      </c>
      <c r="AN139" s="237">
        <v>3.9299999999999996E-6</v>
      </c>
      <c r="AO139" s="154" t="s">
        <v>1141</v>
      </c>
      <c r="AP139" s="237">
        <v>163000</v>
      </c>
      <c r="AQ139" s="237" t="s">
        <v>1197</v>
      </c>
      <c r="AR139" s="229">
        <v>98.058999999999997</v>
      </c>
      <c r="AS139" s="230" t="s">
        <v>1139</v>
      </c>
      <c r="AT139" s="237">
        <v>0.25</v>
      </c>
      <c r="AU139" s="222" t="s">
        <v>934</v>
      </c>
    </row>
    <row r="140" spans="1:47" ht="70">
      <c r="A140" s="221" t="s">
        <v>1191</v>
      </c>
      <c r="B140" s="223" t="s">
        <v>1192</v>
      </c>
      <c r="C140" s="223"/>
      <c r="D140" s="223"/>
      <c r="E140" s="223" t="str">
        <f t="shared" si="2"/>
        <v>No</v>
      </c>
      <c r="F140" s="222" t="s">
        <v>1218</v>
      </c>
      <c r="G140" s="223" t="s">
        <v>469</v>
      </c>
      <c r="H140" s="237" t="s">
        <v>31</v>
      </c>
      <c r="I140" s="221" t="s">
        <v>31</v>
      </c>
      <c r="J140" s="237" t="s">
        <v>31</v>
      </c>
      <c r="K140" s="221" t="s">
        <v>31</v>
      </c>
      <c r="L140" s="237">
        <v>1E-4</v>
      </c>
      <c r="M140" s="224" t="s">
        <v>1646</v>
      </c>
      <c r="N140" s="237" t="s">
        <v>31</v>
      </c>
      <c r="O140" s="221" t="s">
        <v>31</v>
      </c>
      <c r="P140" s="154" t="s">
        <v>31</v>
      </c>
      <c r="Q140" s="224" t="s">
        <v>31</v>
      </c>
      <c r="R140" s="225"/>
      <c r="S140" s="225"/>
      <c r="T140" s="225"/>
      <c r="U140" s="225"/>
      <c r="V140" s="225" t="s">
        <v>351</v>
      </c>
      <c r="W140" s="225"/>
      <c r="X140" s="225"/>
      <c r="Y140" s="225"/>
      <c r="Z140" s="225"/>
      <c r="AA140" s="225"/>
      <c r="AB140" s="223">
        <v>0.1</v>
      </c>
      <c r="AC140" s="221" t="s">
        <v>462</v>
      </c>
      <c r="AD140" s="249">
        <v>1</v>
      </c>
      <c r="AE140" s="253" t="s">
        <v>30</v>
      </c>
      <c r="AF140" s="223">
        <v>1</v>
      </c>
      <c r="AG140" s="226" t="s">
        <v>466</v>
      </c>
      <c r="AH140" s="237">
        <v>0.11506942062846</v>
      </c>
      <c r="AI140" s="237" t="s">
        <v>456</v>
      </c>
      <c r="AJ140" s="237">
        <v>1.3640926019999999E-5</v>
      </c>
      <c r="AK140" s="237" t="s">
        <v>456</v>
      </c>
      <c r="AL140" s="238">
        <v>3.3340000000000001</v>
      </c>
      <c r="AM140" s="230" t="s">
        <v>1143</v>
      </c>
      <c r="AN140" s="237">
        <v>1.27E-8</v>
      </c>
      <c r="AO140" s="154" t="s">
        <v>1141</v>
      </c>
      <c r="AP140" s="237">
        <v>133000</v>
      </c>
      <c r="AQ140" s="237" t="s">
        <v>1139</v>
      </c>
      <c r="AR140" s="229">
        <v>66.063000000000002</v>
      </c>
      <c r="AS140" s="230" t="s">
        <v>1139</v>
      </c>
      <c r="AT140" s="237">
        <v>0.2</v>
      </c>
      <c r="AU140" s="222" t="s">
        <v>934</v>
      </c>
    </row>
    <row r="141" spans="1:47" ht="90">
      <c r="A141" s="221" t="s">
        <v>222</v>
      </c>
      <c r="B141" s="223" t="s">
        <v>223</v>
      </c>
      <c r="C141" s="223"/>
      <c r="D141" s="223"/>
      <c r="E141" s="223" t="str">
        <f t="shared" si="2"/>
        <v>Yes</v>
      </c>
      <c r="F141" s="222" t="s">
        <v>517</v>
      </c>
      <c r="G141" s="223" t="s">
        <v>472</v>
      </c>
      <c r="H141" s="237" t="s">
        <v>31</v>
      </c>
      <c r="I141" s="221" t="s">
        <v>31</v>
      </c>
      <c r="J141" s="237" t="s">
        <v>31</v>
      </c>
      <c r="K141" s="221" t="s">
        <v>31</v>
      </c>
      <c r="L141" s="237">
        <v>2</v>
      </c>
      <c r="M141" s="224" t="s">
        <v>1389</v>
      </c>
      <c r="N141" s="237">
        <v>20</v>
      </c>
      <c r="O141" s="221" t="s">
        <v>1534</v>
      </c>
      <c r="P141" s="154" t="s">
        <v>31</v>
      </c>
      <c r="Q141" s="224" t="s">
        <v>31</v>
      </c>
      <c r="R141" s="225" t="s">
        <v>351</v>
      </c>
      <c r="S141" s="225"/>
      <c r="T141" s="225"/>
      <c r="U141" s="225"/>
      <c r="V141" s="225"/>
      <c r="W141" s="225" t="s">
        <v>351</v>
      </c>
      <c r="X141" s="225"/>
      <c r="Y141" s="225"/>
      <c r="Z141" s="225"/>
      <c r="AA141" s="225"/>
      <c r="AB141" s="223">
        <v>0</v>
      </c>
      <c r="AC141" s="221" t="s">
        <v>1147</v>
      </c>
      <c r="AD141" s="223">
        <v>1</v>
      </c>
      <c r="AE141" s="232" t="s">
        <v>30</v>
      </c>
      <c r="AF141" s="223">
        <v>1</v>
      </c>
      <c r="AG141" s="226" t="s">
        <v>466</v>
      </c>
      <c r="AH141" s="237">
        <v>0.15828059999999999</v>
      </c>
      <c r="AI141" s="237" t="s">
        <v>456</v>
      </c>
      <c r="AJ141" s="237">
        <v>1.6500000000000001E-5</v>
      </c>
      <c r="AK141" s="237" t="s">
        <v>456</v>
      </c>
      <c r="AL141" s="229">
        <v>1</v>
      </c>
      <c r="AM141" s="230" t="s">
        <v>934</v>
      </c>
      <c r="AN141" s="237">
        <v>4.5499999999999996E-6</v>
      </c>
      <c r="AO141" s="154" t="s">
        <v>936</v>
      </c>
      <c r="AP141" s="237">
        <v>1000000</v>
      </c>
      <c r="AQ141" s="237" t="s">
        <v>934</v>
      </c>
      <c r="AR141" s="229">
        <v>32.04</v>
      </c>
      <c r="AS141" s="230" t="s">
        <v>934</v>
      </c>
      <c r="AT141" s="237">
        <v>127</v>
      </c>
      <c r="AU141" s="222" t="s">
        <v>926</v>
      </c>
    </row>
    <row r="142" spans="1:47" ht="70">
      <c r="A142" s="221" t="s">
        <v>1185</v>
      </c>
      <c r="B142" s="223" t="s">
        <v>1186</v>
      </c>
      <c r="C142" s="223"/>
      <c r="D142" s="223" t="s">
        <v>76</v>
      </c>
      <c r="E142" s="223" t="str">
        <f t="shared" si="2"/>
        <v>No</v>
      </c>
      <c r="F142" s="222" t="s">
        <v>1221</v>
      </c>
      <c r="G142" s="223" t="s">
        <v>469</v>
      </c>
      <c r="H142" s="237">
        <v>0.1</v>
      </c>
      <c r="I142" s="221" t="s">
        <v>1433</v>
      </c>
      <c r="J142" s="237">
        <v>4.2999999999999999E-4</v>
      </c>
      <c r="K142" s="221" t="s">
        <v>1708</v>
      </c>
      <c r="L142" s="237">
        <v>2E-3</v>
      </c>
      <c r="M142" s="224" t="s">
        <v>1674</v>
      </c>
      <c r="N142" s="237" t="s">
        <v>31</v>
      </c>
      <c r="O142" s="221" t="s">
        <v>31</v>
      </c>
      <c r="P142" s="154" t="s">
        <v>31</v>
      </c>
      <c r="Q142" s="224" t="s">
        <v>31</v>
      </c>
      <c r="R142" s="225"/>
      <c r="S142" s="225"/>
      <c r="T142" s="225"/>
      <c r="U142" s="225"/>
      <c r="V142" s="225" t="s">
        <v>351</v>
      </c>
      <c r="W142" s="225"/>
      <c r="X142" s="225"/>
      <c r="Y142" s="225"/>
      <c r="Z142" s="225"/>
      <c r="AA142" s="225"/>
      <c r="AB142" s="223">
        <v>0.1</v>
      </c>
      <c r="AC142" s="221" t="s">
        <v>462</v>
      </c>
      <c r="AD142" s="223">
        <v>1</v>
      </c>
      <c r="AE142" s="232" t="s">
        <v>30</v>
      </c>
      <c r="AF142" s="223">
        <v>1</v>
      </c>
      <c r="AG142" s="226" t="s">
        <v>466</v>
      </c>
      <c r="AH142" s="237">
        <v>4.580427123828E-2</v>
      </c>
      <c r="AI142" s="237" t="s">
        <v>456</v>
      </c>
      <c r="AJ142" s="237">
        <v>5.35186748153E-6</v>
      </c>
      <c r="AK142" s="237" t="s">
        <v>456</v>
      </c>
      <c r="AL142" s="229">
        <v>5698</v>
      </c>
      <c r="AM142" s="230" t="s">
        <v>1143</v>
      </c>
      <c r="AN142" s="237">
        <v>3.2899999999999998E-11</v>
      </c>
      <c r="AO142" s="154" t="s">
        <v>1141</v>
      </c>
      <c r="AP142" s="237">
        <v>13.9</v>
      </c>
      <c r="AQ142" s="237" t="s">
        <v>1139</v>
      </c>
      <c r="AR142" s="229">
        <v>267.16000000000003</v>
      </c>
      <c r="AS142" s="230" t="s">
        <v>1139</v>
      </c>
      <c r="AT142" s="237">
        <v>3.9299999999999996E-6</v>
      </c>
      <c r="AU142" s="222" t="s">
        <v>934</v>
      </c>
    </row>
    <row r="143" spans="1:47" ht="102.65" customHeight="1">
      <c r="A143" s="677" t="s">
        <v>386</v>
      </c>
      <c r="B143" s="223" t="s">
        <v>224</v>
      </c>
      <c r="C143" s="223"/>
      <c r="D143" s="223"/>
      <c r="E143" s="223" t="str">
        <f t="shared" si="2"/>
        <v>No</v>
      </c>
      <c r="F143" s="222" t="s">
        <v>520</v>
      </c>
      <c r="G143" s="223" t="s">
        <v>472</v>
      </c>
      <c r="H143" s="237" t="s">
        <v>31</v>
      </c>
      <c r="I143" s="221" t="s">
        <v>31</v>
      </c>
      <c r="J143" s="237" t="s">
        <v>31</v>
      </c>
      <c r="K143" s="221" t="s">
        <v>31</v>
      </c>
      <c r="L143" s="237">
        <v>0.05</v>
      </c>
      <c r="M143" s="224" t="s">
        <v>1698</v>
      </c>
      <c r="N143" s="237">
        <v>0.6</v>
      </c>
      <c r="O143" s="221" t="s">
        <v>1603</v>
      </c>
      <c r="P143" s="154" t="s">
        <v>31</v>
      </c>
      <c r="Q143" s="224" t="s">
        <v>31</v>
      </c>
      <c r="R143" s="225" t="s">
        <v>351</v>
      </c>
      <c r="S143" s="225"/>
      <c r="T143" s="225"/>
      <c r="U143" s="225"/>
      <c r="V143" s="225"/>
      <c r="W143" s="225"/>
      <c r="X143" s="225"/>
      <c r="Y143" s="225"/>
      <c r="Z143" s="225"/>
      <c r="AA143" s="225"/>
      <c r="AB143" s="223">
        <v>0.1</v>
      </c>
      <c r="AC143" s="221" t="s">
        <v>462</v>
      </c>
      <c r="AD143" s="223">
        <v>1</v>
      </c>
      <c r="AE143" s="232" t="s">
        <v>30</v>
      </c>
      <c r="AF143" s="223">
        <v>1</v>
      </c>
      <c r="AG143" s="226" t="s">
        <v>466</v>
      </c>
      <c r="AH143" s="237">
        <v>7.2834999999999997E-2</v>
      </c>
      <c r="AI143" s="237" t="s">
        <v>456</v>
      </c>
      <c r="AJ143" s="237">
        <v>9.3168000000000003E-6</v>
      </c>
      <c r="AK143" s="237" t="s">
        <v>456</v>
      </c>
      <c r="AL143" s="277">
        <v>306.5</v>
      </c>
      <c r="AM143" s="230" t="s">
        <v>934</v>
      </c>
      <c r="AN143" s="237">
        <v>1.1999999999999999E-6</v>
      </c>
      <c r="AO143" s="154" t="s">
        <v>936</v>
      </c>
      <c r="AP143" s="237">
        <v>25900</v>
      </c>
      <c r="AQ143" s="237" t="s">
        <v>934</v>
      </c>
      <c r="AR143" s="229">
        <v>108.14</v>
      </c>
      <c r="AS143" s="230" t="s">
        <v>934</v>
      </c>
      <c r="AT143" s="237">
        <v>0.29899999999999999</v>
      </c>
      <c r="AU143" s="222" t="s">
        <v>932</v>
      </c>
    </row>
    <row r="144" spans="1:47" ht="100">
      <c r="A144" s="221" t="s">
        <v>387</v>
      </c>
      <c r="B144" s="223" t="s">
        <v>138</v>
      </c>
      <c r="C144" s="223"/>
      <c r="D144" s="223"/>
      <c r="E144" s="223" t="str">
        <f t="shared" si="2"/>
        <v>No</v>
      </c>
      <c r="F144" s="222" t="s">
        <v>520</v>
      </c>
      <c r="G144" s="223" t="s">
        <v>472</v>
      </c>
      <c r="H144" s="237" t="s">
        <v>31</v>
      </c>
      <c r="I144" s="221" t="s">
        <v>31</v>
      </c>
      <c r="J144" s="237" t="s">
        <v>31</v>
      </c>
      <c r="K144" s="221" t="s">
        <v>31</v>
      </c>
      <c r="L144" s="237">
        <v>0.05</v>
      </c>
      <c r="M144" s="224" t="s">
        <v>1699</v>
      </c>
      <c r="N144" s="237">
        <v>0.6</v>
      </c>
      <c r="O144" s="221" t="s">
        <v>1603</v>
      </c>
      <c r="P144" s="154" t="s">
        <v>31</v>
      </c>
      <c r="Q144" s="224" t="s">
        <v>31</v>
      </c>
      <c r="R144" s="225" t="s">
        <v>351</v>
      </c>
      <c r="S144" s="225"/>
      <c r="T144" s="225"/>
      <c r="U144" s="225"/>
      <c r="V144" s="225"/>
      <c r="W144" s="225"/>
      <c r="X144" s="225"/>
      <c r="Y144" s="225"/>
      <c r="Z144" s="225"/>
      <c r="AA144" s="225"/>
      <c r="AB144" s="223">
        <v>0.1</v>
      </c>
      <c r="AC144" s="221" t="s">
        <v>462</v>
      </c>
      <c r="AD144" s="223">
        <v>1</v>
      </c>
      <c r="AE144" s="232" t="s">
        <v>30</v>
      </c>
      <c r="AF144" s="223">
        <v>1</v>
      </c>
      <c r="AG144" s="226" t="s">
        <v>466</v>
      </c>
      <c r="AH144" s="237">
        <v>7.2872099999999995E-2</v>
      </c>
      <c r="AI144" s="237" t="s">
        <v>456</v>
      </c>
      <c r="AJ144" s="237">
        <v>9.3232000000000008E-6</v>
      </c>
      <c r="AK144" s="237" t="s">
        <v>456</v>
      </c>
      <c r="AL144" s="277">
        <v>300.39999999999998</v>
      </c>
      <c r="AM144" s="230" t="s">
        <v>934</v>
      </c>
      <c r="AN144" s="237">
        <v>8.5600000000000004E-7</v>
      </c>
      <c r="AO144" s="154" t="s">
        <v>936</v>
      </c>
      <c r="AP144" s="237">
        <v>22700</v>
      </c>
      <c r="AQ144" s="237" t="s">
        <v>934</v>
      </c>
      <c r="AR144" s="229">
        <v>108.14</v>
      </c>
      <c r="AS144" s="230" t="s">
        <v>934</v>
      </c>
      <c r="AT144" s="237">
        <v>0.11</v>
      </c>
      <c r="AU144" s="222" t="s">
        <v>926</v>
      </c>
    </row>
    <row r="145" spans="1:49" ht="82">
      <c r="A145" s="221" t="s">
        <v>388</v>
      </c>
      <c r="B145" s="223" t="s">
        <v>139</v>
      </c>
      <c r="C145" s="223"/>
      <c r="D145" s="223"/>
      <c r="E145" s="223" t="str">
        <f t="shared" si="2"/>
        <v>No</v>
      </c>
      <c r="F145" s="222" t="s">
        <v>520</v>
      </c>
      <c r="G145" s="223" t="s">
        <v>472</v>
      </c>
      <c r="H145" s="237" t="s">
        <v>31</v>
      </c>
      <c r="I145" s="221" t="s">
        <v>31</v>
      </c>
      <c r="J145" s="237" t="s">
        <v>31</v>
      </c>
      <c r="K145" s="221" t="s">
        <v>31</v>
      </c>
      <c r="L145" s="237">
        <v>0.02</v>
      </c>
      <c r="M145" s="224" t="s">
        <v>1697</v>
      </c>
      <c r="N145" s="237">
        <v>0.6</v>
      </c>
      <c r="O145" s="221" t="s">
        <v>1603</v>
      </c>
      <c r="P145" s="154" t="s">
        <v>31</v>
      </c>
      <c r="Q145" s="224" t="s">
        <v>31</v>
      </c>
      <c r="R145" s="225" t="s">
        <v>351</v>
      </c>
      <c r="S145" s="225"/>
      <c r="T145" s="225"/>
      <c r="U145" s="225"/>
      <c r="V145" s="225"/>
      <c r="W145" s="225" t="s">
        <v>351</v>
      </c>
      <c r="X145" s="225"/>
      <c r="Y145" s="225"/>
      <c r="Z145" s="225"/>
      <c r="AA145" s="225"/>
      <c r="AB145" s="223">
        <v>0.1</v>
      </c>
      <c r="AC145" s="221" t="s">
        <v>462</v>
      </c>
      <c r="AD145" s="223">
        <v>1</v>
      </c>
      <c r="AE145" s="232" t="s">
        <v>30</v>
      </c>
      <c r="AF145" s="223">
        <v>1</v>
      </c>
      <c r="AG145" s="226" t="s">
        <v>466</v>
      </c>
      <c r="AH145" s="237">
        <v>7.2393799999999994E-2</v>
      </c>
      <c r="AI145" s="237" t="s">
        <v>456</v>
      </c>
      <c r="AJ145" s="237">
        <v>9.2397000000000007E-6</v>
      </c>
      <c r="AK145" s="237" t="s">
        <v>456</v>
      </c>
      <c r="AL145" s="277">
        <v>300.39999999999998</v>
      </c>
      <c r="AM145" s="230" t="s">
        <v>934</v>
      </c>
      <c r="AN145" s="237">
        <v>9.9999999999999995E-7</v>
      </c>
      <c r="AO145" s="154" t="s">
        <v>936</v>
      </c>
      <c r="AP145" s="237">
        <v>21500</v>
      </c>
      <c r="AQ145" s="237" t="s">
        <v>934</v>
      </c>
      <c r="AR145" s="229">
        <v>108.14</v>
      </c>
      <c r="AS145" s="230" t="s">
        <v>934</v>
      </c>
      <c r="AT145" s="237">
        <v>0.11</v>
      </c>
      <c r="AU145" s="222" t="s">
        <v>926</v>
      </c>
    </row>
    <row r="146" spans="1:49" ht="72">
      <c r="A146" s="221" t="s">
        <v>1107</v>
      </c>
      <c r="B146" s="223" t="s">
        <v>1108</v>
      </c>
      <c r="C146" s="223"/>
      <c r="D146" s="223"/>
      <c r="E146" s="223" t="str">
        <f t="shared" si="2"/>
        <v>Yes</v>
      </c>
      <c r="F146" s="222" t="s">
        <v>1214</v>
      </c>
      <c r="G146" s="223" t="s">
        <v>472</v>
      </c>
      <c r="H146" s="237" t="s">
        <v>31</v>
      </c>
      <c r="I146" s="221" t="s">
        <v>31</v>
      </c>
      <c r="J146" s="237">
        <v>4.0000000000000003E-5</v>
      </c>
      <c r="K146" s="221" t="s">
        <v>1376</v>
      </c>
      <c r="L146" s="237">
        <v>2E-3</v>
      </c>
      <c r="M146" s="224" t="s">
        <v>1675</v>
      </c>
      <c r="N146" s="237">
        <v>8.9999999999999993E-3</v>
      </c>
      <c r="O146" s="221" t="s">
        <v>1535</v>
      </c>
      <c r="P146" s="154" t="s">
        <v>31</v>
      </c>
      <c r="Q146" s="224" t="s">
        <v>31</v>
      </c>
      <c r="R146" s="225" t="s">
        <v>351</v>
      </c>
      <c r="S146" s="225" t="s">
        <v>351</v>
      </c>
      <c r="T146" s="225"/>
      <c r="U146" s="225"/>
      <c r="V146" s="225"/>
      <c r="W146" s="225"/>
      <c r="X146" s="225" t="s">
        <v>351</v>
      </c>
      <c r="Y146" s="225"/>
      <c r="Z146" s="225"/>
      <c r="AA146" s="225"/>
      <c r="AB146" s="223">
        <v>0</v>
      </c>
      <c r="AC146" s="221" t="s">
        <v>1147</v>
      </c>
      <c r="AD146" s="223">
        <v>1</v>
      </c>
      <c r="AE146" s="232" t="s">
        <v>30</v>
      </c>
      <c r="AF146" s="223">
        <v>1</v>
      </c>
      <c r="AG146" s="226" t="s">
        <v>466</v>
      </c>
      <c r="AH146" s="237">
        <v>6.8054005688140004E-2</v>
      </c>
      <c r="AI146" s="237" t="s">
        <v>456</v>
      </c>
      <c r="AJ146" s="237">
        <v>9.4494543019000005E-6</v>
      </c>
      <c r="AK146" s="237" t="s">
        <v>456</v>
      </c>
      <c r="AL146" s="277">
        <v>226.4</v>
      </c>
      <c r="AM146" s="230" t="s">
        <v>1143</v>
      </c>
      <c r="AN146" s="237">
        <v>2.4000000000000001E-5</v>
      </c>
      <c r="AO146" s="154" t="s">
        <v>1139</v>
      </c>
      <c r="AP146" s="237">
        <v>2090</v>
      </c>
      <c r="AQ146" s="237" t="s">
        <v>1139</v>
      </c>
      <c r="AR146" s="229">
        <v>123.11</v>
      </c>
      <c r="AS146" s="230" t="s">
        <v>1139</v>
      </c>
      <c r="AT146" s="237">
        <v>0.245</v>
      </c>
      <c r="AU146" s="222" t="s">
        <v>1139</v>
      </c>
    </row>
    <row r="147" spans="1:49" ht="20">
      <c r="A147" s="221" t="s">
        <v>511</v>
      </c>
      <c r="B147" s="223" t="s">
        <v>140</v>
      </c>
      <c r="C147" s="223"/>
      <c r="D147" s="223"/>
      <c r="E147" s="223" t="str">
        <f t="shared" si="2"/>
        <v>No</v>
      </c>
      <c r="F147" s="222" t="s">
        <v>517</v>
      </c>
      <c r="G147" s="223" t="s">
        <v>472</v>
      </c>
      <c r="H147" s="237" t="s">
        <v>31</v>
      </c>
      <c r="I147" s="221" t="s">
        <v>31</v>
      </c>
      <c r="J147" s="237" t="s">
        <v>31</v>
      </c>
      <c r="K147" s="221" t="s">
        <v>31</v>
      </c>
      <c r="L147" s="237">
        <v>8.0000000000000002E-3</v>
      </c>
      <c r="M147" s="224" t="s">
        <v>1696</v>
      </c>
      <c r="N147" s="237" t="s">
        <v>31</v>
      </c>
      <c r="O147" s="221" t="s">
        <v>31</v>
      </c>
      <c r="P147" s="154" t="s">
        <v>31</v>
      </c>
      <c r="Q147" s="224" t="s">
        <v>31</v>
      </c>
      <c r="R147" s="225"/>
      <c r="S147" s="225"/>
      <c r="T147" s="225"/>
      <c r="U147" s="225"/>
      <c r="V147" s="225"/>
      <c r="W147" s="225"/>
      <c r="X147" s="225"/>
      <c r="Y147" s="225"/>
      <c r="Z147" s="225"/>
      <c r="AA147" s="225"/>
      <c r="AB147" s="223">
        <v>0.1</v>
      </c>
      <c r="AC147" s="221" t="s">
        <v>462</v>
      </c>
      <c r="AD147" s="223">
        <v>1</v>
      </c>
      <c r="AE147" s="232" t="s">
        <v>30</v>
      </c>
      <c r="AF147" s="223">
        <v>1</v>
      </c>
      <c r="AG147" s="226" t="s">
        <v>466</v>
      </c>
      <c r="AH147" s="237"/>
      <c r="AI147" s="154" t="s">
        <v>457</v>
      </c>
      <c r="AJ147" s="237"/>
      <c r="AK147" s="154" t="s">
        <v>457</v>
      </c>
      <c r="AL147" s="277">
        <v>290.8</v>
      </c>
      <c r="AM147" s="230" t="s">
        <v>934</v>
      </c>
      <c r="AN147" s="237">
        <v>5.4800000000000001E-9</v>
      </c>
      <c r="AO147" s="154" t="s">
        <v>934</v>
      </c>
      <c r="AP147" s="237">
        <v>11600</v>
      </c>
      <c r="AQ147" s="237" t="s">
        <v>934</v>
      </c>
      <c r="AR147" s="229">
        <v>139.11000000000001</v>
      </c>
      <c r="AS147" s="230" t="s">
        <v>934</v>
      </c>
      <c r="AT147" s="237">
        <v>2.9E-4</v>
      </c>
      <c r="AU147" s="222" t="s">
        <v>934</v>
      </c>
    </row>
    <row r="148" spans="1:49" ht="60">
      <c r="A148" s="221" t="s">
        <v>428</v>
      </c>
      <c r="B148" s="223" t="s">
        <v>60</v>
      </c>
      <c r="C148" s="223"/>
      <c r="D148" s="223"/>
      <c r="E148" s="223" t="str">
        <f t="shared" si="2"/>
        <v>No</v>
      </c>
      <c r="F148" s="222" t="s">
        <v>524</v>
      </c>
      <c r="G148" s="223" t="s">
        <v>472</v>
      </c>
      <c r="H148" s="237">
        <v>7</v>
      </c>
      <c r="I148" s="221" t="s">
        <v>1321</v>
      </c>
      <c r="J148" s="237">
        <v>2E-3</v>
      </c>
      <c r="K148" s="221" t="s">
        <v>1604</v>
      </c>
      <c r="L148" s="237" t="s">
        <v>31</v>
      </c>
      <c r="M148" s="224" t="s">
        <v>31</v>
      </c>
      <c r="N148" s="237" t="s">
        <v>31</v>
      </c>
      <c r="O148" s="221" t="s">
        <v>31</v>
      </c>
      <c r="P148" s="154" t="s">
        <v>31</v>
      </c>
      <c r="Q148" s="224" t="s">
        <v>31</v>
      </c>
      <c r="R148" s="225"/>
      <c r="S148" s="225"/>
      <c r="T148" s="225"/>
      <c r="U148" s="225"/>
      <c r="V148" s="225"/>
      <c r="W148" s="225"/>
      <c r="X148" s="225"/>
      <c r="Y148" s="225"/>
      <c r="Z148" s="225"/>
      <c r="AA148" s="225"/>
      <c r="AB148" s="223">
        <v>0.1</v>
      </c>
      <c r="AC148" s="221" t="s">
        <v>462</v>
      </c>
      <c r="AD148" s="223">
        <v>1</v>
      </c>
      <c r="AE148" s="232" t="s">
        <v>30</v>
      </c>
      <c r="AF148" s="223">
        <v>1</v>
      </c>
      <c r="AG148" s="226" t="s">
        <v>466</v>
      </c>
      <c r="AH148" s="237">
        <v>5.6439900000000001E-2</v>
      </c>
      <c r="AI148" s="237" t="s">
        <v>456</v>
      </c>
      <c r="AJ148" s="237">
        <v>7.7579999999999992E-6</v>
      </c>
      <c r="AK148" s="237" t="s">
        <v>456</v>
      </c>
      <c r="AL148" s="277">
        <v>275.39999999999998</v>
      </c>
      <c r="AM148" s="230" t="s">
        <v>934</v>
      </c>
      <c r="AN148" s="237">
        <v>5.3800000000000002E-6</v>
      </c>
      <c r="AO148" s="154" t="s">
        <v>936</v>
      </c>
      <c r="AP148" s="237">
        <v>13000</v>
      </c>
      <c r="AQ148" s="237" t="s">
        <v>934</v>
      </c>
      <c r="AR148" s="229">
        <v>130.19</v>
      </c>
      <c r="AS148" s="230" t="s">
        <v>934</v>
      </c>
      <c r="AT148" s="237">
        <v>8.5999999999999993E-2</v>
      </c>
      <c r="AU148" s="222" t="s">
        <v>926</v>
      </c>
    </row>
    <row r="149" spans="1:49" ht="40">
      <c r="A149" s="221" t="s">
        <v>1137</v>
      </c>
      <c r="B149" s="223" t="s">
        <v>1138</v>
      </c>
      <c r="C149" s="223"/>
      <c r="D149" s="223" t="s">
        <v>76</v>
      </c>
      <c r="E149" s="223" t="str">
        <f t="shared" si="2"/>
        <v>No</v>
      </c>
      <c r="F149" s="222" t="s">
        <v>524</v>
      </c>
      <c r="G149" s="223" t="s">
        <v>472</v>
      </c>
      <c r="H149" s="237">
        <v>150</v>
      </c>
      <c r="I149" s="221" t="s">
        <v>1364</v>
      </c>
      <c r="J149" s="237">
        <v>4.2999999999999997E-2</v>
      </c>
      <c r="K149" s="221" t="s">
        <v>1364</v>
      </c>
      <c r="L149" s="237" t="s">
        <v>31</v>
      </c>
      <c r="M149" s="224" t="s">
        <v>31</v>
      </c>
      <c r="N149" s="237" t="s">
        <v>31</v>
      </c>
      <c r="O149" s="221" t="s">
        <v>31</v>
      </c>
      <c r="P149" s="154" t="s">
        <v>31</v>
      </c>
      <c r="Q149" s="224" t="s">
        <v>31</v>
      </c>
      <c r="R149" s="225"/>
      <c r="S149" s="225"/>
      <c r="T149" s="225"/>
      <c r="U149" s="225"/>
      <c r="V149" s="225"/>
      <c r="W149" s="225"/>
      <c r="X149" s="225"/>
      <c r="Y149" s="225"/>
      <c r="Z149" s="225"/>
      <c r="AA149" s="225"/>
      <c r="AB149" s="223">
        <v>0.1</v>
      </c>
      <c r="AC149" s="221" t="s">
        <v>462</v>
      </c>
      <c r="AD149" s="223">
        <v>1</v>
      </c>
      <c r="AE149" s="232" t="s">
        <v>30</v>
      </c>
      <c r="AF149" s="223">
        <v>1</v>
      </c>
      <c r="AG149" s="226" t="s">
        <v>466</v>
      </c>
      <c r="AH149" s="237">
        <v>7.3841021349120003E-2</v>
      </c>
      <c r="AI149" s="237" t="s">
        <v>456</v>
      </c>
      <c r="AJ149" s="237">
        <v>9.1251522530999997E-6</v>
      </c>
      <c r="AK149" s="237" t="s">
        <v>456</v>
      </c>
      <c r="AL149" s="277">
        <v>82.92</v>
      </c>
      <c r="AM149" s="230" t="s">
        <v>1143</v>
      </c>
      <c r="AN149" s="237">
        <v>3.63E-6</v>
      </c>
      <c r="AO149" s="154" t="s">
        <v>1139</v>
      </c>
      <c r="AP149" s="237">
        <v>106000</v>
      </c>
      <c r="AQ149" s="237" t="s">
        <v>1139</v>
      </c>
      <c r="AR149" s="229">
        <v>102.14</v>
      </c>
      <c r="AS149" s="230" t="s">
        <v>1139</v>
      </c>
      <c r="AT149" s="237">
        <v>0.86</v>
      </c>
      <c r="AU149" s="222" t="s">
        <v>1139</v>
      </c>
    </row>
    <row r="150" spans="1:49" ht="70">
      <c r="A150" s="221" t="s">
        <v>1157</v>
      </c>
      <c r="B150" s="223" t="s">
        <v>1158</v>
      </c>
      <c r="C150" s="223"/>
      <c r="D150" s="223" t="s">
        <v>76</v>
      </c>
      <c r="E150" s="223" t="str">
        <f t="shared" si="2"/>
        <v>Yes</v>
      </c>
      <c r="F150" s="222" t="s">
        <v>524</v>
      </c>
      <c r="G150" s="223" t="s">
        <v>472</v>
      </c>
      <c r="H150" s="237">
        <v>21</v>
      </c>
      <c r="I150" s="221" t="s">
        <v>1365</v>
      </c>
      <c r="J150" s="237">
        <v>1.4E-2</v>
      </c>
      <c r="K150" s="221" t="s">
        <v>1364</v>
      </c>
      <c r="L150" s="237">
        <v>7.9999999999999996E-6</v>
      </c>
      <c r="M150" s="224" t="s">
        <v>1676</v>
      </c>
      <c r="N150" s="237">
        <v>4.0000000000000003E-5</v>
      </c>
      <c r="O150" s="221" t="s">
        <v>1395</v>
      </c>
      <c r="P150" s="154" t="s">
        <v>31</v>
      </c>
      <c r="Q150" s="224" t="s">
        <v>31</v>
      </c>
      <c r="R150" s="225"/>
      <c r="S150" s="225"/>
      <c r="T150" s="225"/>
      <c r="U150" s="225"/>
      <c r="V150" s="225"/>
      <c r="W150" s="225" t="s">
        <v>351</v>
      </c>
      <c r="X150" s="225"/>
      <c r="Y150" s="225"/>
      <c r="Z150" s="225"/>
      <c r="AA150" s="225"/>
      <c r="AB150" s="223">
        <v>0</v>
      </c>
      <c r="AC150" s="221" t="s">
        <v>1147</v>
      </c>
      <c r="AD150" s="223">
        <v>1</v>
      </c>
      <c r="AE150" s="232" t="s">
        <v>30</v>
      </c>
      <c r="AF150" s="223">
        <v>1</v>
      </c>
      <c r="AG150" s="226" t="s">
        <v>466</v>
      </c>
      <c r="AH150" s="237">
        <v>9.8767426778219994E-2</v>
      </c>
      <c r="AI150" s="237" t="s">
        <v>456</v>
      </c>
      <c r="AJ150" s="237">
        <v>1.1499750310000001E-5</v>
      </c>
      <c r="AK150" s="237" t="s">
        <v>456</v>
      </c>
      <c r="AL150" s="277">
        <v>22.79</v>
      </c>
      <c r="AM150" s="230" t="s">
        <v>1143</v>
      </c>
      <c r="AN150" s="237">
        <v>1.08E-6</v>
      </c>
      <c r="AO150" s="154" t="s">
        <v>1139</v>
      </c>
      <c r="AP150" s="237">
        <v>1000000</v>
      </c>
      <c r="AQ150" s="237" t="s">
        <v>1139</v>
      </c>
      <c r="AR150" s="229">
        <v>74.082999999999998</v>
      </c>
      <c r="AS150" s="230" t="s">
        <v>1139</v>
      </c>
      <c r="AT150" s="237">
        <v>2.7</v>
      </c>
      <c r="AU150" s="222" t="s">
        <v>1139</v>
      </c>
    </row>
    <row r="151" spans="1:49" ht="60">
      <c r="A151" s="677" t="s">
        <v>1148</v>
      </c>
      <c r="B151" s="223" t="s">
        <v>142</v>
      </c>
      <c r="C151" s="223"/>
      <c r="D151" s="223"/>
      <c r="E151" s="223" t="str">
        <f t="shared" si="2"/>
        <v>No</v>
      </c>
      <c r="F151" s="222" t="s">
        <v>524</v>
      </c>
      <c r="G151" s="223" t="s">
        <v>472</v>
      </c>
      <c r="H151" s="237">
        <v>4.8999999999999998E-3</v>
      </c>
      <c r="I151" s="221" t="s">
        <v>1078</v>
      </c>
      <c r="J151" s="237">
        <v>2.6000000000000001E-6</v>
      </c>
      <c r="K151" s="221" t="s">
        <v>1605</v>
      </c>
      <c r="L151" s="237" t="s">
        <v>31</v>
      </c>
      <c r="M151" s="224" t="s">
        <v>31</v>
      </c>
      <c r="N151" s="237" t="s">
        <v>31</v>
      </c>
      <c r="O151" s="221" t="s">
        <v>31</v>
      </c>
      <c r="P151" s="154" t="s">
        <v>31</v>
      </c>
      <c r="Q151" s="224" t="s">
        <v>31</v>
      </c>
      <c r="R151" s="225"/>
      <c r="S151" s="225"/>
      <c r="T151" s="225"/>
      <c r="U151" s="225"/>
      <c r="V151" s="225"/>
      <c r="W151" s="225"/>
      <c r="X151" s="225"/>
      <c r="Y151" s="225"/>
      <c r="Z151" s="225"/>
      <c r="AA151" s="225"/>
      <c r="AB151" s="223">
        <v>0.1</v>
      </c>
      <c r="AC151" s="221" t="s">
        <v>462</v>
      </c>
      <c r="AD151" s="223">
        <v>1</v>
      </c>
      <c r="AE151" s="232" t="s">
        <v>30</v>
      </c>
      <c r="AF151" s="223">
        <v>1</v>
      </c>
      <c r="AG151" s="226" t="s">
        <v>466</v>
      </c>
      <c r="AH151" s="237">
        <v>5.5886600000000002E-2</v>
      </c>
      <c r="AI151" s="237" t="s">
        <v>456</v>
      </c>
      <c r="AJ151" s="237">
        <v>6.5298999999999999E-6</v>
      </c>
      <c r="AK151" s="237" t="s">
        <v>456</v>
      </c>
      <c r="AL151" s="229">
        <v>2632</v>
      </c>
      <c r="AM151" s="230" t="s">
        <v>934</v>
      </c>
      <c r="AN151" s="237">
        <v>1.2100000000000001E-6</v>
      </c>
      <c r="AO151" s="154" t="s">
        <v>938</v>
      </c>
      <c r="AP151" s="237">
        <v>35</v>
      </c>
      <c r="AQ151" s="237" t="s">
        <v>934</v>
      </c>
      <c r="AR151" s="229">
        <v>198.23</v>
      </c>
      <c r="AS151" s="230" t="s">
        <v>934</v>
      </c>
      <c r="AT151" s="237">
        <v>6.97E-5</v>
      </c>
      <c r="AU151" s="222" t="s">
        <v>1142</v>
      </c>
    </row>
    <row r="152" spans="1:49" ht="60">
      <c r="A152" s="677" t="s">
        <v>1226</v>
      </c>
      <c r="B152" s="223" t="s">
        <v>1178</v>
      </c>
      <c r="C152" s="223"/>
      <c r="D152" s="223"/>
      <c r="E152" s="223" t="str">
        <f t="shared" si="2"/>
        <v>Yes</v>
      </c>
      <c r="F152" s="222" t="s">
        <v>477</v>
      </c>
      <c r="G152" s="223" t="s">
        <v>472</v>
      </c>
      <c r="H152" s="237" t="s">
        <v>31</v>
      </c>
      <c r="I152" s="221" t="s">
        <v>31</v>
      </c>
      <c r="J152" s="237" t="s">
        <v>31</v>
      </c>
      <c r="K152" s="221" t="s">
        <v>31</v>
      </c>
      <c r="L152" s="237">
        <v>8.0000000000000004E-4</v>
      </c>
      <c r="M152" s="224" t="s">
        <v>1677</v>
      </c>
      <c r="N152" s="237" t="s">
        <v>31</v>
      </c>
      <c r="O152" s="221" t="s">
        <v>31</v>
      </c>
      <c r="P152" s="154" t="s">
        <v>31</v>
      </c>
      <c r="Q152" s="224" t="s">
        <v>31</v>
      </c>
      <c r="R152" s="225"/>
      <c r="S152" s="225"/>
      <c r="T152" s="225"/>
      <c r="U152" s="225" t="s">
        <v>351</v>
      </c>
      <c r="V152" s="225" t="s">
        <v>351</v>
      </c>
      <c r="W152" s="225"/>
      <c r="X152" s="225"/>
      <c r="Y152" s="225"/>
      <c r="Z152" s="225"/>
      <c r="AA152" s="225"/>
      <c r="AB152" s="223">
        <v>0</v>
      </c>
      <c r="AC152" s="221" t="s">
        <v>1147</v>
      </c>
      <c r="AD152" s="223">
        <v>1</v>
      </c>
      <c r="AE152" s="232" t="s">
        <v>30</v>
      </c>
      <c r="AF152" s="223">
        <v>1</v>
      </c>
      <c r="AG152" s="226" t="s">
        <v>466</v>
      </c>
      <c r="AH152" s="237">
        <v>2.9433217290019999E-2</v>
      </c>
      <c r="AI152" s="237" t="s">
        <v>456</v>
      </c>
      <c r="AJ152" s="237">
        <v>7.9473371280199994E-6</v>
      </c>
      <c r="AK152" s="237" t="s">
        <v>456</v>
      </c>
      <c r="AL152" s="229">
        <v>3708</v>
      </c>
      <c r="AM152" s="230" t="s">
        <v>1143</v>
      </c>
      <c r="AN152" s="237">
        <v>7.0299999999999996E-4</v>
      </c>
      <c r="AO152" s="154" t="s">
        <v>1139</v>
      </c>
      <c r="AP152" s="237">
        <v>0.83099999999999996</v>
      </c>
      <c r="AQ152" s="237" t="s">
        <v>1139</v>
      </c>
      <c r="AR152" s="229">
        <v>250.34</v>
      </c>
      <c r="AS152" s="230" t="s">
        <v>1139</v>
      </c>
      <c r="AT152" s="237">
        <v>2E-3</v>
      </c>
      <c r="AU152" s="222" t="s">
        <v>1139</v>
      </c>
    </row>
    <row r="153" spans="1:49" ht="80">
      <c r="A153" s="677" t="s">
        <v>742</v>
      </c>
      <c r="B153" s="223" t="s">
        <v>238</v>
      </c>
      <c r="C153" s="223"/>
      <c r="D153" s="223"/>
      <c r="E153" s="223" t="str">
        <f t="shared" si="2"/>
        <v>No</v>
      </c>
      <c r="F153" s="222" t="s">
        <v>528</v>
      </c>
      <c r="G153" s="223" t="s">
        <v>472</v>
      </c>
      <c r="H153" s="237">
        <v>0.4</v>
      </c>
      <c r="I153" s="221" t="s">
        <v>1366</v>
      </c>
      <c r="J153" s="237">
        <v>5.1000000000000003E-6</v>
      </c>
      <c r="K153" s="221" t="s">
        <v>1606</v>
      </c>
      <c r="L153" s="237">
        <v>3.0999999999999999E-3</v>
      </c>
      <c r="M153" s="224" t="s">
        <v>1570</v>
      </c>
      <c r="N153" s="237" t="s">
        <v>31</v>
      </c>
      <c r="O153" s="221" t="s">
        <v>31</v>
      </c>
      <c r="P153" s="154">
        <v>4.0000000000000001E-3</v>
      </c>
      <c r="Q153" s="224" t="s">
        <v>1571</v>
      </c>
      <c r="R153" s="225"/>
      <c r="S153" s="225"/>
      <c r="T153" s="225" t="s">
        <v>351</v>
      </c>
      <c r="U153" s="225"/>
      <c r="V153" s="225" t="s">
        <v>351</v>
      </c>
      <c r="W153" s="225" t="s">
        <v>351</v>
      </c>
      <c r="X153" s="225"/>
      <c r="Y153" s="225"/>
      <c r="Z153" s="225"/>
      <c r="AA153" s="225" t="s">
        <v>351</v>
      </c>
      <c r="AB153" s="223">
        <v>0.25</v>
      </c>
      <c r="AC153" s="221" t="s">
        <v>458</v>
      </c>
      <c r="AD153" s="223">
        <v>1</v>
      </c>
      <c r="AE153" s="232" t="s">
        <v>30</v>
      </c>
      <c r="AF153" s="223">
        <v>1</v>
      </c>
      <c r="AG153" s="226" t="s">
        <v>466</v>
      </c>
      <c r="AH153" s="237">
        <v>2.9519699999999999E-2</v>
      </c>
      <c r="AI153" s="237" t="s">
        <v>456</v>
      </c>
      <c r="AJ153" s="237">
        <v>8.0121000000000008E-6</v>
      </c>
      <c r="AK153" s="237" t="s">
        <v>456</v>
      </c>
      <c r="AL153" s="229">
        <v>4959</v>
      </c>
      <c r="AM153" s="230" t="s">
        <v>934</v>
      </c>
      <c r="AN153" s="237">
        <v>2.4500000000000001E-8</v>
      </c>
      <c r="AO153" s="154" t="s">
        <v>936</v>
      </c>
      <c r="AP153" s="237">
        <v>14</v>
      </c>
      <c r="AQ153" s="237" t="s">
        <v>934</v>
      </c>
      <c r="AR153" s="229">
        <v>266.33999999999997</v>
      </c>
      <c r="AS153" s="230" t="s">
        <v>934</v>
      </c>
      <c r="AT153" s="237">
        <v>1.1E-4</v>
      </c>
      <c r="AU153" s="222" t="s">
        <v>926</v>
      </c>
    </row>
    <row r="154" spans="1:49" ht="62">
      <c r="A154" s="153" t="s">
        <v>1251</v>
      </c>
      <c r="B154" s="222" t="s">
        <v>1257</v>
      </c>
      <c r="C154" s="223"/>
      <c r="D154" s="223"/>
      <c r="E154" s="223" t="str">
        <f t="shared" si="2"/>
        <v>No</v>
      </c>
      <c r="F154" s="222" t="s">
        <v>529</v>
      </c>
      <c r="G154" s="223" t="s">
        <v>530</v>
      </c>
      <c r="H154" s="237" t="s">
        <v>31</v>
      </c>
      <c r="I154" s="221" t="s">
        <v>31</v>
      </c>
      <c r="J154" s="237" t="s">
        <v>31</v>
      </c>
      <c r="K154" s="221" t="s">
        <v>31</v>
      </c>
      <c r="L154" s="237">
        <v>8.3999999999999995E-5</v>
      </c>
      <c r="M154" s="224" t="s">
        <v>1422</v>
      </c>
      <c r="N154" s="237">
        <v>2.9999999999999997E-4</v>
      </c>
      <c r="O154" s="221" t="s">
        <v>1678</v>
      </c>
      <c r="P154" s="154" t="s">
        <v>31</v>
      </c>
      <c r="Q154" s="224" t="s">
        <v>31</v>
      </c>
      <c r="R154" s="225"/>
      <c r="S154" s="225"/>
      <c r="T154" s="225"/>
      <c r="U154" s="225"/>
      <c r="V154" s="225"/>
      <c r="W154" s="225"/>
      <c r="X154" s="225"/>
      <c r="Y154" s="225"/>
      <c r="Z154" s="225"/>
      <c r="AA154" s="225" t="s">
        <v>351</v>
      </c>
      <c r="AB154" s="223">
        <v>0.1</v>
      </c>
      <c r="AC154" s="221" t="s">
        <v>462</v>
      </c>
      <c r="AD154" s="223">
        <v>1</v>
      </c>
      <c r="AE154" s="232" t="s">
        <v>30</v>
      </c>
      <c r="AF154" s="223">
        <v>1</v>
      </c>
      <c r="AG154" s="226" t="s">
        <v>466</v>
      </c>
      <c r="AH154" s="237">
        <v>2.6954105014919998E-2</v>
      </c>
      <c r="AI154" s="237" t="s">
        <v>456</v>
      </c>
      <c r="AJ154" s="237">
        <v>7.16033521365E-6</v>
      </c>
      <c r="AK154" s="237" t="s">
        <v>456</v>
      </c>
      <c r="AL154" s="646">
        <v>61.66</v>
      </c>
      <c r="AM154" s="647" t="s">
        <v>1150</v>
      </c>
      <c r="AN154" s="237">
        <v>2.9500000000000002E-10</v>
      </c>
      <c r="AO154" s="647" t="s">
        <v>1002</v>
      </c>
      <c r="AP154" s="237">
        <v>52600</v>
      </c>
      <c r="AQ154" s="647" t="s">
        <v>1243</v>
      </c>
      <c r="AR154" s="229">
        <v>300.10000000000002</v>
      </c>
      <c r="AS154" s="647" t="s">
        <v>1242</v>
      </c>
      <c r="AT154" s="237">
        <v>0.05</v>
      </c>
      <c r="AU154" s="647" t="s">
        <v>1241</v>
      </c>
    </row>
    <row r="155" spans="1:49" ht="70">
      <c r="A155" s="221" t="s">
        <v>1252</v>
      </c>
      <c r="B155" s="222" t="s">
        <v>1258</v>
      </c>
      <c r="C155" s="223"/>
      <c r="D155" s="223"/>
      <c r="E155" s="223" t="str">
        <f t="shared" si="2"/>
        <v>Yes</v>
      </c>
      <c r="F155" s="222" t="s">
        <v>529</v>
      </c>
      <c r="G155" s="223" t="s">
        <v>530</v>
      </c>
      <c r="H155" s="237" t="s">
        <v>31</v>
      </c>
      <c r="I155" s="221" t="s">
        <v>31</v>
      </c>
      <c r="J155" s="237" t="s">
        <v>31</v>
      </c>
      <c r="K155" s="221" t="s">
        <v>31</v>
      </c>
      <c r="L155" s="237">
        <v>2.8999999999999998E-3</v>
      </c>
      <c r="M155" s="224" t="s">
        <v>1729</v>
      </c>
      <c r="N155" s="237">
        <v>0.01</v>
      </c>
      <c r="O155" s="221" t="s">
        <v>1679</v>
      </c>
      <c r="P155" s="154" t="s">
        <v>31</v>
      </c>
      <c r="Q155" s="224" t="s">
        <v>31</v>
      </c>
      <c r="R155" s="225"/>
      <c r="S155" s="225" t="s">
        <v>351</v>
      </c>
      <c r="T155" s="225"/>
      <c r="U155" s="225"/>
      <c r="V155" s="225" t="s">
        <v>351</v>
      </c>
      <c r="W155" s="225" t="s">
        <v>351</v>
      </c>
      <c r="X155" s="225"/>
      <c r="Y155" s="225"/>
      <c r="Z155" s="225"/>
      <c r="AA155" s="225" t="s">
        <v>351</v>
      </c>
      <c r="AB155" s="223">
        <v>0.1</v>
      </c>
      <c r="AC155" s="221" t="s">
        <v>462</v>
      </c>
      <c r="AD155" s="223">
        <v>1</v>
      </c>
      <c r="AE155" s="232" t="s">
        <v>30</v>
      </c>
      <c r="AF155" s="223">
        <v>1</v>
      </c>
      <c r="AG155" s="226" t="s">
        <v>466</v>
      </c>
      <c r="AH155" s="237">
        <v>2.9623616552034097E-2</v>
      </c>
      <c r="AI155" s="237" t="s">
        <v>456</v>
      </c>
      <c r="AJ155" s="237">
        <v>8.0569228931668501E-6</v>
      </c>
      <c r="AK155" s="237" t="s">
        <v>456</v>
      </c>
      <c r="AL155" s="646">
        <v>75.86</v>
      </c>
      <c r="AM155" s="647" t="s">
        <v>1150</v>
      </c>
      <c r="AN155" s="237">
        <v>5.0099999999999998E-5</v>
      </c>
      <c r="AO155" s="647" t="s">
        <v>1002</v>
      </c>
      <c r="AP155" s="237">
        <v>447.3</v>
      </c>
      <c r="AQ155" s="647" t="s">
        <v>1149</v>
      </c>
      <c r="AR155" s="229">
        <v>214.04</v>
      </c>
      <c r="AS155" s="647" t="s">
        <v>1242</v>
      </c>
      <c r="AT155" s="237">
        <v>6.37</v>
      </c>
      <c r="AU155" s="647" t="s">
        <v>1139</v>
      </c>
    </row>
    <row r="156" spans="1:49" ht="70">
      <c r="A156" s="221" t="s">
        <v>1253</v>
      </c>
      <c r="B156" s="222" t="s">
        <v>1262</v>
      </c>
      <c r="C156" s="223"/>
      <c r="D156" s="223"/>
      <c r="E156" s="223" t="str">
        <f t="shared" si="2"/>
        <v>No</v>
      </c>
      <c r="F156" s="720" t="s">
        <v>1216</v>
      </c>
      <c r="G156" s="223" t="s">
        <v>1250</v>
      </c>
      <c r="H156" s="732">
        <v>13</v>
      </c>
      <c r="I156" s="731" t="s">
        <v>1731</v>
      </c>
      <c r="J156" s="237" t="s">
        <v>31</v>
      </c>
      <c r="K156" s="221" t="s">
        <v>31</v>
      </c>
      <c r="L156" s="732">
        <v>9.9999999999999995E-7</v>
      </c>
      <c r="M156" s="733" t="s">
        <v>1730</v>
      </c>
      <c r="N156" s="237">
        <v>1.1E-5</v>
      </c>
      <c r="O156" s="221" t="s">
        <v>1680</v>
      </c>
      <c r="P156" s="154" t="s">
        <v>31</v>
      </c>
      <c r="Q156" s="224" t="s">
        <v>31</v>
      </c>
      <c r="R156" s="346"/>
      <c r="S156" s="346"/>
      <c r="T156" s="346" t="s">
        <v>351</v>
      </c>
      <c r="U156" s="346" t="s">
        <v>351</v>
      </c>
      <c r="V156" s="346" t="s">
        <v>351</v>
      </c>
      <c r="W156" s="346" t="s">
        <v>351</v>
      </c>
      <c r="X156" s="346"/>
      <c r="Y156" s="346"/>
      <c r="Z156" s="346"/>
      <c r="AA156" s="346" t="s">
        <v>351</v>
      </c>
      <c r="AB156" s="223">
        <v>0.1</v>
      </c>
      <c r="AC156" s="221" t="s">
        <v>462</v>
      </c>
      <c r="AD156" s="223">
        <v>1</v>
      </c>
      <c r="AE156" s="232" t="s">
        <v>30</v>
      </c>
      <c r="AF156" s="223">
        <v>1</v>
      </c>
      <c r="AG156" s="226" t="s">
        <v>466</v>
      </c>
      <c r="AH156" s="237">
        <v>2.0758682758029803E-2</v>
      </c>
      <c r="AI156" s="237" t="s">
        <v>456</v>
      </c>
      <c r="AJ156" s="237">
        <v>5.2566943002495656E-6</v>
      </c>
      <c r="AK156" s="237" t="s">
        <v>456</v>
      </c>
      <c r="AL156" s="646">
        <v>630.96</v>
      </c>
      <c r="AM156" s="647" t="s">
        <v>1150</v>
      </c>
      <c r="AN156" s="237">
        <v>4.34E-7</v>
      </c>
      <c r="AO156" s="647" t="s">
        <v>1244</v>
      </c>
      <c r="AP156" s="237">
        <v>680</v>
      </c>
      <c r="AQ156" s="647" t="s">
        <v>1243</v>
      </c>
      <c r="AR156" s="229">
        <v>500.13</v>
      </c>
      <c r="AS156" s="647" t="s">
        <v>1242</v>
      </c>
      <c r="AT156" s="237">
        <v>6.5300000000000004E-4</v>
      </c>
      <c r="AU156" s="647" t="s">
        <v>1244</v>
      </c>
    </row>
    <row r="157" spans="1:49" ht="80">
      <c r="A157" s="221" t="s">
        <v>1254</v>
      </c>
      <c r="B157" s="222" t="s">
        <v>1261</v>
      </c>
      <c r="C157" s="223"/>
      <c r="D157" s="223"/>
      <c r="E157" s="223" t="str">
        <f t="shared" si="2"/>
        <v>No</v>
      </c>
      <c r="F157" s="720" t="s">
        <v>1216</v>
      </c>
      <c r="G157" s="223" t="s">
        <v>1250</v>
      </c>
      <c r="H157" s="732">
        <v>12600</v>
      </c>
      <c r="I157" s="731" t="s">
        <v>1732</v>
      </c>
      <c r="J157" s="237" t="s">
        <v>31</v>
      </c>
      <c r="K157" s="221" t="s">
        <v>31</v>
      </c>
      <c r="L157" s="732">
        <v>2.6E-7</v>
      </c>
      <c r="M157" s="733" t="s">
        <v>1733</v>
      </c>
      <c r="N157" s="237">
        <v>6.3E-5</v>
      </c>
      <c r="O157" s="221" t="s">
        <v>1573</v>
      </c>
      <c r="P157" s="154" t="s">
        <v>31</v>
      </c>
      <c r="Q157" s="224" t="s">
        <v>31</v>
      </c>
      <c r="R157" s="346"/>
      <c r="S157" s="346"/>
      <c r="T157" s="346" t="s">
        <v>351</v>
      </c>
      <c r="U157" s="346" t="s">
        <v>351</v>
      </c>
      <c r="V157" s="346" t="s">
        <v>351</v>
      </c>
      <c r="W157" s="346" t="s">
        <v>351</v>
      </c>
      <c r="X157" s="346"/>
      <c r="Y157" s="346"/>
      <c r="Z157" s="346"/>
      <c r="AA157" s="346"/>
      <c r="AB157" s="223">
        <v>0.1</v>
      </c>
      <c r="AC157" s="221" t="s">
        <v>462</v>
      </c>
      <c r="AD157" s="223">
        <v>1</v>
      </c>
      <c r="AE157" s="232" t="s">
        <v>30</v>
      </c>
      <c r="AF157" s="223">
        <v>1</v>
      </c>
      <c r="AG157" s="226" t="s">
        <v>466</v>
      </c>
      <c r="AH157" s="237">
        <v>2.2051367013226311E-2</v>
      </c>
      <c r="AI157" s="237" t="s">
        <v>456</v>
      </c>
      <c r="AJ157" s="237">
        <v>5.8101991007475587E-6</v>
      </c>
      <c r="AK157" s="237" t="s">
        <v>456</v>
      </c>
      <c r="AL157" s="646">
        <v>77.62</v>
      </c>
      <c r="AM157" s="647" t="s">
        <v>1150</v>
      </c>
      <c r="AN157" s="237">
        <v>1.9200000000000001E-10</v>
      </c>
      <c r="AO157" s="647" t="s">
        <v>1002</v>
      </c>
      <c r="AP157" s="237">
        <v>9500</v>
      </c>
      <c r="AQ157" s="647" t="s">
        <v>1243</v>
      </c>
      <c r="AR157" s="229">
        <v>414.07</v>
      </c>
      <c r="AS157" s="647" t="s">
        <v>1242</v>
      </c>
      <c r="AT157" s="237">
        <v>0.03</v>
      </c>
      <c r="AU157" s="647" t="s">
        <v>1245</v>
      </c>
    </row>
    <row r="158" spans="1:49" ht="70">
      <c r="A158" s="221" t="s">
        <v>1255</v>
      </c>
      <c r="B158" s="222" t="s">
        <v>1259</v>
      </c>
      <c r="C158" s="223"/>
      <c r="D158" s="223"/>
      <c r="E158" s="223" t="str">
        <f t="shared" si="2"/>
        <v>No</v>
      </c>
      <c r="F158" s="222" t="s">
        <v>529</v>
      </c>
      <c r="G158" s="223" t="s">
        <v>1250</v>
      </c>
      <c r="H158" s="237" t="s">
        <v>31</v>
      </c>
      <c r="I158" s="221" t="s">
        <v>31</v>
      </c>
      <c r="J158" s="237" t="s">
        <v>31</v>
      </c>
      <c r="K158" s="221" t="s">
        <v>31</v>
      </c>
      <c r="L158" s="237">
        <v>9.7000000000000003E-6</v>
      </c>
      <c r="M158" s="224" t="s">
        <v>1740</v>
      </c>
      <c r="N158" s="237">
        <v>3.4E-5</v>
      </c>
      <c r="O158" s="221" t="s">
        <v>1693</v>
      </c>
      <c r="P158" s="154" t="s">
        <v>31</v>
      </c>
      <c r="Q158" s="224" t="s">
        <v>31</v>
      </c>
      <c r="R158" s="225"/>
      <c r="S158" s="225"/>
      <c r="T158" s="225" t="s">
        <v>351</v>
      </c>
      <c r="U158" s="225"/>
      <c r="V158" s="225" t="s">
        <v>351</v>
      </c>
      <c r="W158" s="225" t="s">
        <v>351</v>
      </c>
      <c r="X158" s="225"/>
      <c r="Y158" s="225"/>
      <c r="Z158" s="225"/>
      <c r="AA158" s="225" t="s">
        <v>351</v>
      </c>
      <c r="AB158" s="223">
        <v>0.1</v>
      </c>
      <c r="AC158" s="221" t="s">
        <v>462</v>
      </c>
      <c r="AD158" s="223">
        <v>1</v>
      </c>
      <c r="AE158" s="232" t="s">
        <v>30</v>
      </c>
      <c r="AF158" s="223">
        <v>1</v>
      </c>
      <c r="AG158" s="226" t="s">
        <v>466</v>
      </c>
      <c r="AH158" s="237">
        <v>2.3257085063075483E-2</v>
      </c>
      <c r="AI158" s="237" t="s">
        <v>456</v>
      </c>
      <c r="AJ158" s="237">
        <v>6.0097280765228675E-6</v>
      </c>
      <c r="AK158" s="237" t="s">
        <v>456</v>
      </c>
      <c r="AL158" s="646">
        <v>112.2</v>
      </c>
      <c r="AM158" s="647" t="s">
        <v>1150</v>
      </c>
      <c r="AN158" s="237">
        <v>1.94E-10</v>
      </c>
      <c r="AO158" s="647" t="s">
        <v>1002</v>
      </c>
      <c r="AP158" s="237">
        <v>243.27</v>
      </c>
      <c r="AQ158" s="647" t="s">
        <v>1151</v>
      </c>
      <c r="AR158" s="229">
        <v>400.11</v>
      </c>
      <c r="AS158" s="647" t="s">
        <v>1242</v>
      </c>
      <c r="AT158" s="237">
        <v>8.0999999999999997E-9</v>
      </c>
      <c r="AU158" s="647" t="s">
        <v>1003</v>
      </c>
    </row>
    <row r="159" spans="1:49" ht="70">
      <c r="A159" s="221" t="s">
        <v>1256</v>
      </c>
      <c r="B159" s="222" t="s">
        <v>1260</v>
      </c>
      <c r="C159" s="223"/>
      <c r="D159" s="223"/>
      <c r="E159" s="223" t="str">
        <f t="shared" si="2"/>
        <v>No</v>
      </c>
      <c r="F159" s="222" t="s">
        <v>529</v>
      </c>
      <c r="G159" s="223" t="s">
        <v>1250</v>
      </c>
      <c r="H159" s="237" t="s">
        <v>31</v>
      </c>
      <c r="I159" s="221" t="s">
        <v>31</v>
      </c>
      <c r="J159" s="237" t="s">
        <v>31</v>
      </c>
      <c r="K159" s="221" t="s">
        <v>31</v>
      </c>
      <c r="L159" s="237">
        <v>1.4999999999999999E-4</v>
      </c>
      <c r="M159" s="224" t="s">
        <v>1682</v>
      </c>
      <c r="N159" s="237">
        <v>5.0000000000000001E-4</v>
      </c>
      <c r="O159" s="221" t="s">
        <v>1681</v>
      </c>
      <c r="P159" s="154" t="s">
        <v>31</v>
      </c>
      <c r="Q159" s="224" t="s">
        <v>31</v>
      </c>
      <c r="R159" s="225"/>
      <c r="S159" s="225"/>
      <c r="T159" s="225"/>
      <c r="U159" s="225"/>
      <c r="V159" s="225" t="s">
        <v>351</v>
      </c>
      <c r="W159" s="225"/>
      <c r="X159" s="225" t="s">
        <v>351</v>
      </c>
      <c r="Y159" s="225"/>
      <c r="Z159" s="225"/>
      <c r="AA159" s="225"/>
      <c r="AB159" s="223">
        <v>0.1</v>
      </c>
      <c r="AC159" s="221" t="s">
        <v>462</v>
      </c>
      <c r="AD159" s="223">
        <v>1</v>
      </c>
      <c r="AE159" s="232" t="s">
        <v>30</v>
      </c>
      <c r="AF159" s="223">
        <v>1</v>
      </c>
      <c r="AG159" s="226" t="s">
        <v>466</v>
      </c>
      <c r="AH159" s="237">
        <v>2.5270840186512687E-2</v>
      </c>
      <c r="AI159" s="237" t="s">
        <v>456</v>
      </c>
      <c r="AJ159" s="237">
        <v>6.6033304698209624E-6</v>
      </c>
      <c r="AK159" s="237" t="s">
        <v>456</v>
      </c>
      <c r="AL159" s="646">
        <v>20.420000000000002</v>
      </c>
      <c r="AM159" s="647" t="s">
        <v>1150</v>
      </c>
      <c r="AN159" s="237">
        <v>2.3500000000000002E-10</v>
      </c>
      <c r="AO159" s="647" t="s">
        <v>1002</v>
      </c>
      <c r="AP159" s="237">
        <v>29.5</v>
      </c>
      <c r="AQ159" s="647" t="s">
        <v>1208</v>
      </c>
      <c r="AR159" s="229">
        <v>314.10000000000002</v>
      </c>
      <c r="AS159" s="647" t="s">
        <v>1242</v>
      </c>
      <c r="AT159" s="237">
        <v>0.33</v>
      </c>
      <c r="AU159" s="647" t="s">
        <v>1244</v>
      </c>
      <c r="AW159" s="681"/>
    </row>
    <row r="160" spans="1:49" s="725" customFormat="1" ht="74">
      <c r="A160" s="221" t="s">
        <v>1323</v>
      </c>
      <c r="B160" s="222" t="s">
        <v>1324</v>
      </c>
      <c r="C160" s="223"/>
      <c r="D160" s="223"/>
      <c r="E160" s="223" t="s">
        <v>1326</v>
      </c>
      <c r="F160" s="222" t="s">
        <v>1325</v>
      </c>
      <c r="G160" s="223" t="s">
        <v>472</v>
      </c>
      <c r="H160" s="237" t="s">
        <v>31</v>
      </c>
      <c r="I160" s="221" t="s">
        <v>31</v>
      </c>
      <c r="J160" s="237" t="s">
        <v>31</v>
      </c>
      <c r="K160" s="221" t="s">
        <v>31</v>
      </c>
      <c r="L160" s="237">
        <v>2.0000000000000001E-9</v>
      </c>
      <c r="M160" s="224" t="s">
        <v>1695</v>
      </c>
      <c r="N160" s="237" t="s">
        <v>31</v>
      </c>
      <c r="O160" s="221" t="s">
        <v>31</v>
      </c>
      <c r="P160" s="154" t="s">
        <v>31</v>
      </c>
      <c r="Q160" s="224" t="s">
        <v>31</v>
      </c>
      <c r="R160" s="225"/>
      <c r="S160" s="225"/>
      <c r="T160" s="225" t="s">
        <v>351</v>
      </c>
      <c r="U160" s="225"/>
      <c r="V160" s="225"/>
      <c r="W160" s="225" t="s">
        <v>351</v>
      </c>
      <c r="X160" s="225"/>
      <c r="Y160" s="225"/>
      <c r="Z160" s="225"/>
      <c r="AA160" s="225"/>
      <c r="AB160" s="223">
        <v>0.1</v>
      </c>
      <c r="AC160" s="221" t="s">
        <v>462</v>
      </c>
      <c r="AD160" s="223">
        <v>1</v>
      </c>
      <c r="AE160" s="232" t="s">
        <v>30</v>
      </c>
      <c r="AF160" s="223">
        <v>1</v>
      </c>
      <c r="AG160" s="226" t="s">
        <v>466</v>
      </c>
      <c r="AH160" s="237">
        <v>1.9734960432579999E-2</v>
      </c>
      <c r="AI160" s="154" t="s">
        <v>456</v>
      </c>
      <c r="AJ160" s="237">
        <v>4.9429170447400003E-6</v>
      </c>
      <c r="AK160" s="154" t="s">
        <v>456</v>
      </c>
      <c r="AL160" s="646">
        <v>912</v>
      </c>
      <c r="AM160" s="647" t="s">
        <v>1150</v>
      </c>
      <c r="AN160" s="237">
        <v>1.51E-10</v>
      </c>
      <c r="AO160" s="647" t="s">
        <v>1002</v>
      </c>
      <c r="AP160" s="237">
        <v>2700</v>
      </c>
      <c r="AQ160" s="647" t="s">
        <v>1329</v>
      </c>
      <c r="AR160" s="229">
        <v>514</v>
      </c>
      <c r="AS160" s="647" t="s">
        <v>1242</v>
      </c>
      <c r="AT160" s="237">
        <v>1.5299999999999999E-3</v>
      </c>
      <c r="AU160" s="647" t="s">
        <v>1330</v>
      </c>
      <c r="AW160" s="726"/>
    </row>
    <row r="161" spans="1:49" s="725" customFormat="1" ht="53">
      <c r="A161" s="221" t="s">
        <v>1734</v>
      </c>
      <c r="B161" s="222" t="s">
        <v>1735</v>
      </c>
      <c r="C161" s="223"/>
      <c r="D161" s="223"/>
      <c r="E161" s="223" t="s">
        <v>1326</v>
      </c>
      <c r="F161" s="222" t="s">
        <v>529</v>
      </c>
      <c r="G161" s="223" t="s">
        <v>500</v>
      </c>
      <c r="H161" s="237" t="s">
        <v>31</v>
      </c>
      <c r="I161" s="221" t="s">
        <v>31</v>
      </c>
      <c r="J161" s="237" t="s">
        <v>31</v>
      </c>
      <c r="K161" s="221" t="s">
        <v>31</v>
      </c>
      <c r="L161" s="237">
        <v>3.0000000000000001E-6</v>
      </c>
      <c r="M161" s="224" t="s">
        <v>1736</v>
      </c>
      <c r="N161" s="237" t="s">
        <v>31</v>
      </c>
      <c r="O161" s="221" t="s">
        <v>31</v>
      </c>
      <c r="P161" s="154" t="s">
        <v>31</v>
      </c>
      <c r="Q161" s="224" t="s">
        <v>31</v>
      </c>
      <c r="R161" s="225"/>
      <c r="S161" s="225"/>
      <c r="T161" s="225"/>
      <c r="U161" s="225"/>
      <c r="V161" s="225" t="s">
        <v>351</v>
      </c>
      <c r="W161" s="225" t="s">
        <v>351</v>
      </c>
      <c r="X161" s="225"/>
      <c r="Y161" s="225"/>
      <c r="Z161" s="225"/>
      <c r="AA161" s="225"/>
      <c r="AB161" s="223">
        <v>0.1</v>
      </c>
      <c r="AC161" s="221" t="s">
        <v>462</v>
      </c>
      <c r="AD161" s="223">
        <v>1</v>
      </c>
      <c r="AE161" s="232" t="s">
        <v>30</v>
      </c>
      <c r="AF161" s="223">
        <v>1</v>
      </c>
      <c r="AG161" s="226" t="s">
        <v>466</v>
      </c>
      <c r="AH161" s="237">
        <v>1.5900000000000001E-2</v>
      </c>
      <c r="AI161" s="154" t="s">
        <v>456</v>
      </c>
      <c r="AJ161" s="237">
        <v>3.8099999999999999E-6</v>
      </c>
      <c r="AK161" s="154" t="s">
        <v>456</v>
      </c>
      <c r="AL161" s="646">
        <v>245</v>
      </c>
      <c r="AM161" s="647" t="s">
        <v>1737</v>
      </c>
      <c r="AN161" s="237">
        <v>1.1700000000000001E-9</v>
      </c>
      <c r="AO161" s="647" t="s">
        <v>1002</v>
      </c>
      <c r="AP161" s="237">
        <v>1.2994000000000001</v>
      </c>
      <c r="AQ161" s="647" t="s">
        <v>1738</v>
      </c>
      <c r="AR161" s="229">
        <v>464.07799999999997</v>
      </c>
      <c r="AS161" s="647" t="s">
        <v>1739</v>
      </c>
      <c r="AT161" s="237">
        <v>1.7999999999999999E-2</v>
      </c>
      <c r="AU161" s="647" t="s">
        <v>1003</v>
      </c>
      <c r="AW161" s="726"/>
    </row>
    <row r="162" spans="1:49" ht="53.5">
      <c r="A162" s="221" t="s">
        <v>1301</v>
      </c>
      <c r="B162" s="222" t="s">
        <v>1270</v>
      </c>
      <c r="C162" s="223"/>
      <c r="D162" s="223"/>
      <c r="E162" s="223" t="str">
        <f t="shared" si="2"/>
        <v>Yes</v>
      </c>
      <c r="F162" s="222" t="s">
        <v>1271</v>
      </c>
      <c r="G162" s="223" t="s">
        <v>1322</v>
      </c>
      <c r="H162" s="237" t="s">
        <v>31</v>
      </c>
      <c r="I162" s="221" t="s">
        <v>31</v>
      </c>
      <c r="J162" s="237" t="s">
        <v>31</v>
      </c>
      <c r="K162" s="221" t="s">
        <v>31</v>
      </c>
      <c r="L162" s="237">
        <v>3.0000000000000001E-6</v>
      </c>
      <c r="M162" s="224" t="s">
        <v>1683</v>
      </c>
      <c r="N162" s="237" t="s">
        <v>31</v>
      </c>
      <c r="O162" s="221" t="s">
        <v>31</v>
      </c>
      <c r="P162" s="154" t="s">
        <v>31</v>
      </c>
      <c r="Q162" s="224" t="s">
        <v>31</v>
      </c>
      <c r="R162" s="225"/>
      <c r="S162" s="225"/>
      <c r="T162" s="225"/>
      <c r="U162" s="225"/>
      <c r="V162" s="225" t="s">
        <v>351</v>
      </c>
      <c r="W162" s="225"/>
      <c r="X162" s="225"/>
      <c r="Y162" s="225"/>
      <c r="Z162" s="225"/>
      <c r="AA162" s="225"/>
      <c r="AB162" s="223">
        <v>0.1</v>
      </c>
      <c r="AC162" s="221" t="s">
        <v>462</v>
      </c>
      <c r="AD162" s="223">
        <v>1</v>
      </c>
      <c r="AE162" s="232" t="s">
        <v>30</v>
      </c>
      <c r="AF162" s="223">
        <v>1</v>
      </c>
      <c r="AG162" s="226" t="s">
        <v>466</v>
      </c>
      <c r="AH162" s="237">
        <v>2.5046410152652292E-2</v>
      </c>
      <c r="AI162" s="237" t="s">
        <v>456</v>
      </c>
      <c r="AJ162" s="237">
        <v>6.5454402622138476E-6</v>
      </c>
      <c r="AK162" s="237" t="s">
        <v>456</v>
      </c>
      <c r="AL162" s="646">
        <v>12</v>
      </c>
      <c r="AM162" s="647" t="s">
        <v>1243</v>
      </c>
      <c r="AN162" s="237">
        <v>2.2200000000000001E-10</v>
      </c>
      <c r="AO162" s="647" t="s">
        <v>1002</v>
      </c>
      <c r="AP162" s="237">
        <v>756000</v>
      </c>
      <c r="AQ162" s="647" t="s">
        <v>1243</v>
      </c>
      <c r="AR162" s="229">
        <v>330.06</v>
      </c>
      <c r="AS162" s="647" t="s">
        <v>1242</v>
      </c>
      <c r="AT162" s="237">
        <v>2.2949999999999999</v>
      </c>
      <c r="AU162" s="647" t="s">
        <v>1244</v>
      </c>
      <c r="AW162" s="681"/>
    </row>
    <row r="163" spans="1:49" ht="70">
      <c r="A163" s="677" t="s">
        <v>987</v>
      </c>
      <c r="B163" s="223" t="s">
        <v>240</v>
      </c>
      <c r="C163" s="223"/>
      <c r="D163" s="223"/>
      <c r="E163" s="223" t="str">
        <f t="shared" si="2"/>
        <v>No</v>
      </c>
      <c r="F163" s="222" t="s">
        <v>525</v>
      </c>
      <c r="G163" s="223" t="s">
        <v>472</v>
      </c>
      <c r="H163" s="237" t="s">
        <v>31</v>
      </c>
      <c r="I163" s="221" t="s">
        <v>31</v>
      </c>
      <c r="J163" s="237" t="s">
        <v>31</v>
      </c>
      <c r="K163" s="221" t="s">
        <v>31</v>
      </c>
      <c r="L163" s="237">
        <v>0.3</v>
      </c>
      <c r="M163" s="224" t="s">
        <v>1484</v>
      </c>
      <c r="N163" s="237">
        <v>0.2</v>
      </c>
      <c r="O163" s="221" t="s">
        <v>1607</v>
      </c>
      <c r="P163" s="154">
        <v>1</v>
      </c>
      <c r="Q163" s="224" t="s">
        <v>1557</v>
      </c>
      <c r="R163" s="225" t="s">
        <v>351</v>
      </c>
      <c r="S163" s="225"/>
      <c r="T163" s="225"/>
      <c r="U163" s="225"/>
      <c r="V163" s="225" t="s">
        <v>351</v>
      </c>
      <c r="W163" s="225" t="s">
        <v>351</v>
      </c>
      <c r="X163" s="225"/>
      <c r="Y163" s="225"/>
      <c r="Z163" s="225"/>
      <c r="AA163" s="225"/>
      <c r="AB163" s="223">
        <v>0.1</v>
      </c>
      <c r="AC163" s="221" t="s">
        <v>462</v>
      </c>
      <c r="AD163" s="223">
        <v>1</v>
      </c>
      <c r="AE163" s="232" t="s">
        <v>30</v>
      </c>
      <c r="AF163" s="223">
        <v>1</v>
      </c>
      <c r="AG163" s="226" t="s">
        <v>466</v>
      </c>
      <c r="AH163" s="237">
        <v>8.3401299999999998E-2</v>
      </c>
      <c r="AI163" s="237" t="s">
        <v>456</v>
      </c>
      <c r="AJ163" s="237">
        <v>1.03E-5</v>
      </c>
      <c r="AK163" s="237" t="s">
        <v>456</v>
      </c>
      <c r="AL163" s="277">
        <v>187.2</v>
      </c>
      <c r="AM163" s="230" t="s">
        <v>934</v>
      </c>
      <c r="AN163" s="237">
        <v>3.3299999999999998E-7</v>
      </c>
      <c r="AO163" s="154" t="s">
        <v>936</v>
      </c>
      <c r="AP163" s="237">
        <v>82800</v>
      </c>
      <c r="AQ163" s="237" t="s">
        <v>934</v>
      </c>
      <c r="AR163" s="229">
        <v>94.11</v>
      </c>
      <c r="AS163" s="230" t="s">
        <v>934</v>
      </c>
      <c r="AT163" s="237">
        <v>0.35</v>
      </c>
      <c r="AU163" s="222" t="s">
        <v>926</v>
      </c>
    </row>
    <row r="164" spans="1:49" ht="62">
      <c r="A164" s="677" t="s">
        <v>1179</v>
      </c>
      <c r="B164" s="637" t="s">
        <v>1180</v>
      </c>
      <c r="C164" s="223"/>
      <c r="D164" s="223"/>
      <c r="E164" s="223" t="str">
        <f t="shared" si="2"/>
        <v>No</v>
      </c>
      <c r="F164" s="222" t="s">
        <v>517</v>
      </c>
      <c r="G164" s="223" t="s">
        <v>472</v>
      </c>
      <c r="H164" s="237" t="s">
        <v>31</v>
      </c>
      <c r="I164" s="221" t="s">
        <v>31</v>
      </c>
      <c r="J164" s="237" t="s">
        <v>31</v>
      </c>
      <c r="K164" s="221" t="s">
        <v>31</v>
      </c>
      <c r="L164" s="237">
        <v>2</v>
      </c>
      <c r="M164" s="224" t="s">
        <v>1684</v>
      </c>
      <c r="N164" s="237">
        <v>0.02</v>
      </c>
      <c r="O164" s="221" t="s">
        <v>1647</v>
      </c>
      <c r="P164" s="154" t="s">
        <v>31</v>
      </c>
      <c r="Q164" s="224" t="s">
        <v>31</v>
      </c>
      <c r="R164" s="225"/>
      <c r="S164" s="225"/>
      <c r="T164" s="225"/>
      <c r="U164" s="225" t="s">
        <v>351</v>
      </c>
      <c r="V164" s="225"/>
      <c r="W164" s="225"/>
      <c r="X164" s="225" t="s">
        <v>351</v>
      </c>
      <c r="Y164" s="225"/>
      <c r="Z164" s="225"/>
      <c r="AA164" s="225"/>
      <c r="AB164" s="223">
        <v>0.1</v>
      </c>
      <c r="AC164" s="221" t="s">
        <v>462</v>
      </c>
      <c r="AD164" s="223">
        <v>1</v>
      </c>
      <c r="AE164" s="232" t="s">
        <v>30</v>
      </c>
      <c r="AF164" s="223">
        <v>1</v>
      </c>
      <c r="AG164" s="226" t="s">
        <v>466</v>
      </c>
      <c r="AH164" s="237">
        <v>5.9479502944019998E-2</v>
      </c>
      <c r="AI164" s="237" t="s">
        <v>456</v>
      </c>
      <c r="AJ164" s="237">
        <v>9.7545439936800008E-6</v>
      </c>
      <c r="AK164" s="237" t="s">
        <v>456</v>
      </c>
      <c r="AL164" s="277">
        <v>10</v>
      </c>
      <c r="AM164" s="230" t="s">
        <v>1143</v>
      </c>
      <c r="AN164" s="237">
        <v>6.3500000000000002E-6</v>
      </c>
      <c r="AO164" s="154" t="s">
        <v>1141</v>
      </c>
      <c r="AP164" s="237">
        <v>6200</v>
      </c>
      <c r="AQ164" s="237" t="s">
        <v>1139</v>
      </c>
      <c r="AR164" s="229">
        <v>148.12</v>
      </c>
      <c r="AS164" s="230" t="s">
        <v>1139</v>
      </c>
      <c r="AT164" s="237">
        <v>5.1699999999999999E-4</v>
      </c>
      <c r="AU164" s="222" t="s">
        <v>934</v>
      </c>
    </row>
    <row r="165" spans="1:49" ht="60">
      <c r="A165" s="677" t="s">
        <v>1181</v>
      </c>
      <c r="B165" s="637" t="s">
        <v>1182</v>
      </c>
      <c r="C165" s="223"/>
      <c r="D165" s="223"/>
      <c r="E165" s="223" t="str">
        <f t="shared" si="2"/>
        <v>Yes</v>
      </c>
      <c r="F165" s="222" t="s">
        <v>517</v>
      </c>
      <c r="G165" s="223" t="s">
        <v>472</v>
      </c>
      <c r="H165" s="237" t="s">
        <v>31</v>
      </c>
      <c r="I165" s="221" t="s">
        <v>31</v>
      </c>
      <c r="J165" s="237" t="s">
        <v>31</v>
      </c>
      <c r="K165" s="221" t="s">
        <v>31</v>
      </c>
      <c r="L165" s="237">
        <v>2E-3</v>
      </c>
      <c r="M165" s="224" t="s">
        <v>1685</v>
      </c>
      <c r="N165" s="237" t="s">
        <v>31</v>
      </c>
      <c r="O165" s="221" t="s">
        <v>31</v>
      </c>
      <c r="P165" s="154" t="s">
        <v>31</v>
      </c>
      <c r="Q165" s="224" t="s">
        <v>31</v>
      </c>
      <c r="R165" s="225"/>
      <c r="S165" s="225"/>
      <c r="T165" s="225"/>
      <c r="U165" s="225" t="s">
        <v>351</v>
      </c>
      <c r="V165" s="225" t="s">
        <v>351</v>
      </c>
      <c r="W165" s="225"/>
      <c r="X165" s="225"/>
      <c r="Y165" s="225"/>
      <c r="Z165" s="225"/>
      <c r="AA165" s="225"/>
      <c r="AB165" s="223">
        <v>0</v>
      </c>
      <c r="AC165" s="221" t="s">
        <v>1147</v>
      </c>
      <c r="AD165" s="223">
        <v>1</v>
      </c>
      <c r="AE165" s="232" t="s">
        <v>30</v>
      </c>
      <c r="AF165" s="223">
        <v>1</v>
      </c>
      <c r="AG165" s="226" t="s">
        <v>466</v>
      </c>
      <c r="AH165" s="237">
        <v>0.11738742930309</v>
      </c>
      <c r="AI165" s="237" t="s">
        <v>456</v>
      </c>
      <c r="AJ165" s="237">
        <v>1.31246188E-5</v>
      </c>
      <c r="AK165" s="237" t="s">
        <v>456</v>
      </c>
      <c r="AL165" s="277">
        <v>1.9039999999999999</v>
      </c>
      <c r="AM165" s="230" t="s">
        <v>1143</v>
      </c>
      <c r="AN165" s="237">
        <v>5.8800000000000002E-7</v>
      </c>
      <c r="AO165" s="154" t="s">
        <v>1141</v>
      </c>
      <c r="AP165" s="237">
        <v>1000000</v>
      </c>
      <c r="AQ165" s="237" t="s">
        <v>1139</v>
      </c>
      <c r="AR165" s="229">
        <v>56.064999999999998</v>
      </c>
      <c r="AS165" s="230" t="s">
        <v>1139</v>
      </c>
      <c r="AT165" s="237">
        <v>15.6</v>
      </c>
      <c r="AU165" s="222" t="s">
        <v>1139</v>
      </c>
    </row>
    <row r="166" spans="1:49" ht="72">
      <c r="A166" s="677" t="s">
        <v>1227</v>
      </c>
      <c r="B166" s="637" t="s">
        <v>1160</v>
      </c>
      <c r="C166" s="223"/>
      <c r="D166" s="223"/>
      <c r="E166" s="223" t="str">
        <f t="shared" si="2"/>
        <v>Yes</v>
      </c>
      <c r="F166" s="222" t="s">
        <v>517</v>
      </c>
      <c r="G166" s="223" t="s">
        <v>472</v>
      </c>
      <c r="H166" s="237" t="s">
        <v>31</v>
      </c>
      <c r="I166" s="221" t="s">
        <v>31</v>
      </c>
      <c r="J166" s="237" t="s">
        <v>31</v>
      </c>
      <c r="K166" s="221" t="s">
        <v>31</v>
      </c>
      <c r="L166" s="237">
        <v>3.0000000000000001E-5</v>
      </c>
      <c r="M166" s="224" t="s">
        <v>1686</v>
      </c>
      <c r="N166" s="237" t="s">
        <v>31</v>
      </c>
      <c r="O166" s="221" t="s">
        <v>31</v>
      </c>
      <c r="P166" s="154" t="s">
        <v>31</v>
      </c>
      <c r="Q166" s="224" t="s">
        <v>31</v>
      </c>
      <c r="R166" s="225"/>
      <c r="S166" s="225"/>
      <c r="T166" s="225"/>
      <c r="U166" s="225"/>
      <c r="V166" s="225"/>
      <c r="W166" s="225"/>
      <c r="X166" s="225"/>
      <c r="Y166" s="225"/>
      <c r="Z166" s="225"/>
      <c r="AA166" s="225" t="s">
        <v>351</v>
      </c>
      <c r="AB166" s="223">
        <v>0</v>
      </c>
      <c r="AC166" s="221" t="s">
        <v>1147</v>
      </c>
      <c r="AD166" s="223">
        <v>1</v>
      </c>
      <c r="AE166" s="232" t="s">
        <v>30</v>
      </c>
      <c r="AF166" s="223">
        <v>1</v>
      </c>
      <c r="AG166" s="226" t="s">
        <v>466</v>
      </c>
      <c r="AH166" s="237">
        <v>3.1895837522179997E-2</v>
      </c>
      <c r="AI166" s="237" t="s">
        <v>456</v>
      </c>
      <c r="AJ166" s="237">
        <v>8.7530554873799994E-6</v>
      </c>
      <c r="AK166" s="237" t="s">
        <v>456</v>
      </c>
      <c r="AL166" s="277">
        <v>2220</v>
      </c>
      <c r="AM166" s="230" t="s">
        <v>1143</v>
      </c>
      <c r="AN166" s="237">
        <v>1E-3</v>
      </c>
      <c r="AO166" s="154" t="s">
        <v>1139</v>
      </c>
      <c r="AP166" s="237">
        <v>0.59499999999999997</v>
      </c>
      <c r="AQ166" s="237" t="s">
        <v>1139</v>
      </c>
      <c r="AR166" s="229">
        <v>215.89</v>
      </c>
      <c r="AS166" s="230" t="s">
        <v>1139</v>
      </c>
      <c r="AT166" s="237">
        <v>5.4000000000000003E-3</v>
      </c>
      <c r="AU166" s="222" t="s">
        <v>934</v>
      </c>
    </row>
    <row r="167" spans="1:49" ht="60">
      <c r="A167" s="677" t="s">
        <v>408</v>
      </c>
      <c r="B167" s="637" t="s">
        <v>61</v>
      </c>
      <c r="C167" s="223"/>
      <c r="D167" s="223"/>
      <c r="E167" s="223" t="str">
        <f t="shared" si="2"/>
        <v>No</v>
      </c>
      <c r="F167" s="222" t="s">
        <v>517</v>
      </c>
      <c r="G167" s="223" t="s">
        <v>472</v>
      </c>
      <c r="H167" s="237" t="s">
        <v>31</v>
      </c>
      <c r="I167" s="221" t="s">
        <v>31</v>
      </c>
      <c r="J167" s="237" t="s">
        <v>31</v>
      </c>
      <c r="K167" s="221" t="s">
        <v>31</v>
      </c>
      <c r="L167" s="237">
        <v>0.03</v>
      </c>
      <c r="M167" s="224" t="s">
        <v>1694</v>
      </c>
      <c r="N167" s="237" t="s">
        <v>31</v>
      </c>
      <c r="O167" s="221" t="s">
        <v>31</v>
      </c>
      <c r="P167" s="154" t="s">
        <v>31</v>
      </c>
      <c r="Q167" s="224" t="s">
        <v>31</v>
      </c>
      <c r="R167" s="225"/>
      <c r="S167" s="225"/>
      <c r="T167" s="225"/>
      <c r="U167" s="225"/>
      <c r="V167" s="225" t="s">
        <v>351</v>
      </c>
      <c r="W167" s="225"/>
      <c r="X167" s="225"/>
      <c r="Y167" s="225"/>
      <c r="Z167" s="225"/>
      <c r="AA167" s="225"/>
      <c r="AB167" s="223">
        <v>0.1</v>
      </c>
      <c r="AC167" s="221" t="s">
        <v>462</v>
      </c>
      <c r="AD167" s="223">
        <v>1</v>
      </c>
      <c r="AE167" s="232" t="s">
        <v>30</v>
      </c>
      <c r="AF167" s="223">
        <v>1</v>
      </c>
      <c r="AG167" s="226" t="s">
        <v>466</v>
      </c>
      <c r="AH167" s="237">
        <v>5.0338300000000002E-2</v>
      </c>
      <c r="AI167" s="237" t="s">
        <v>456</v>
      </c>
      <c r="AJ167" s="237">
        <v>5.8815999999999997E-6</v>
      </c>
      <c r="AK167" s="237" t="s">
        <v>456</v>
      </c>
      <c r="AL167" s="229">
        <v>2969</v>
      </c>
      <c r="AM167" s="230" t="s">
        <v>934</v>
      </c>
      <c r="AN167" s="237">
        <v>8.8400000000000001E-6</v>
      </c>
      <c r="AO167" s="154" t="s">
        <v>933</v>
      </c>
      <c r="AP167" s="237">
        <v>23</v>
      </c>
      <c r="AQ167" s="237" t="s">
        <v>934</v>
      </c>
      <c r="AR167" s="229">
        <v>231.89</v>
      </c>
      <c r="AS167" s="230" t="s">
        <v>934</v>
      </c>
      <c r="AT167" s="237">
        <v>6.6600000000000003E-4</v>
      </c>
      <c r="AU167" s="222" t="s">
        <v>926</v>
      </c>
    </row>
    <row r="168" spans="1:49" ht="62">
      <c r="A168" s="677" t="s">
        <v>419</v>
      </c>
      <c r="B168" s="223" t="s">
        <v>62</v>
      </c>
      <c r="C168" s="223"/>
      <c r="D168" s="223"/>
      <c r="E168" s="223" t="str">
        <f t="shared" si="2"/>
        <v>No</v>
      </c>
      <c r="F168" s="222" t="s">
        <v>517</v>
      </c>
      <c r="G168" s="223" t="s">
        <v>472</v>
      </c>
      <c r="H168" s="237" t="s">
        <v>31</v>
      </c>
      <c r="I168" s="221" t="s">
        <v>31</v>
      </c>
      <c r="J168" s="237" t="s">
        <v>31</v>
      </c>
      <c r="K168" s="221" t="s">
        <v>31</v>
      </c>
      <c r="L168" s="237">
        <v>0.1</v>
      </c>
      <c r="M168" s="224" t="s">
        <v>1485</v>
      </c>
      <c r="N168" s="237" t="s">
        <v>31</v>
      </c>
      <c r="O168" s="221" t="s">
        <v>31</v>
      </c>
      <c r="P168" s="154" t="s">
        <v>31</v>
      </c>
      <c r="Q168" s="224" t="s">
        <v>31</v>
      </c>
      <c r="R168" s="225"/>
      <c r="S168" s="225"/>
      <c r="T168" s="225"/>
      <c r="U168" s="225" t="s">
        <v>351</v>
      </c>
      <c r="V168" s="225" t="s">
        <v>351</v>
      </c>
      <c r="W168" s="225"/>
      <c r="X168" s="225"/>
      <c r="Y168" s="225"/>
      <c r="Z168" s="225"/>
      <c r="AA168" s="225"/>
      <c r="AB168" s="223">
        <v>0.1</v>
      </c>
      <c r="AC168" s="221" t="s">
        <v>462</v>
      </c>
      <c r="AD168" s="223">
        <v>1</v>
      </c>
      <c r="AE168" s="232" t="s">
        <v>30</v>
      </c>
      <c r="AF168" s="223">
        <v>1</v>
      </c>
      <c r="AG168" s="226" t="s">
        <v>466</v>
      </c>
      <c r="AH168" s="237">
        <v>3.1393799999999999E-2</v>
      </c>
      <c r="AI168" s="237" t="s">
        <v>456</v>
      </c>
      <c r="AJ168" s="237">
        <v>8.0893000000000006E-6</v>
      </c>
      <c r="AK168" s="237" t="s">
        <v>456</v>
      </c>
      <c r="AL168" s="229">
        <v>1777</v>
      </c>
      <c r="AM168" s="230" t="s">
        <v>934</v>
      </c>
      <c r="AN168" s="237">
        <v>1.6199999999999999E-6</v>
      </c>
      <c r="AO168" s="154" t="s">
        <v>933</v>
      </c>
      <c r="AP168" s="237">
        <v>1200</v>
      </c>
      <c r="AQ168" s="237" t="s">
        <v>934</v>
      </c>
      <c r="AR168" s="229">
        <v>197.45</v>
      </c>
      <c r="AS168" s="230" t="s">
        <v>934</v>
      </c>
      <c r="AT168" s="237">
        <v>7.4999999999999997E-3</v>
      </c>
      <c r="AU168" s="154" t="s">
        <v>933</v>
      </c>
    </row>
    <row r="169" spans="1:49" ht="60">
      <c r="A169" s="677" t="s">
        <v>420</v>
      </c>
      <c r="B169" s="223" t="s">
        <v>82</v>
      </c>
      <c r="C169" s="223"/>
      <c r="D169" s="223"/>
      <c r="E169" s="223" t="str">
        <f t="shared" si="2"/>
        <v>No</v>
      </c>
      <c r="F169" s="222" t="s">
        <v>524</v>
      </c>
      <c r="G169" s="223" t="s">
        <v>472</v>
      </c>
      <c r="H169" s="237">
        <v>1.0999999999999999E-2</v>
      </c>
      <c r="I169" s="221" t="s">
        <v>1332</v>
      </c>
      <c r="J169" s="237">
        <v>3.1E-6</v>
      </c>
      <c r="K169" s="221" t="s">
        <v>1331</v>
      </c>
      <c r="L169" s="237">
        <v>1E-3</v>
      </c>
      <c r="M169" s="224" t="s">
        <v>1547</v>
      </c>
      <c r="N169" s="237" t="s">
        <v>31</v>
      </c>
      <c r="O169" s="221" t="s">
        <v>31</v>
      </c>
      <c r="P169" s="154" t="s">
        <v>31</v>
      </c>
      <c r="Q169" s="224" t="s">
        <v>31</v>
      </c>
      <c r="R169" s="225"/>
      <c r="S169" s="225"/>
      <c r="T169" s="225"/>
      <c r="U169" s="225"/>
      <c r="V169" s="225"/>
      <c r="W169" s="225" t="s">
        <v>351</v>
      </c>
      <c r="X169" s="225"/>
      <c r="Y169" s="225"/>
      <c r="Z169" s="225"/>
      <c r="AA169" s="225"/>
      <c r="AB169" s="223">
        <v>0.1</v>
      </c>
      <c r="AC169" s="221" t="s">
        <v>462</v>
      </c>
      <c r="AD169" s="223">
        <v>1</v>
      </c>
      <c r="AE169" s="232" t="s">
        <v>30</v>
      </c>
      <c r="AF169" s="223">
        <v>1</v>
      </c>
      <c r="AG169" s="226" t="s">
        <v>466</v>
      </c>
      <c r="AH169" s="237">
        <v>3.13948E-2</v>
      </c>
      <c r="AI169" s="237" t="s">
        <v>456</v>
      </c>
      <c r="AJ169" s="237">
        <v>8.0895999999999996E-6</v>
      </c>
      <c r="AK169" s="237" t="s">
        <v>456</v>
      </c>
      <c r="AL169" s="229">
        <v>1777</v>
      </c>
      <c r="AM169" s="230" t="s">
        <v>934</v>
      </c>
      <c r="AN169" s="237">
        <v>2.6000000000000001E-6</v>
      </c>
      <c r="AO169" s="154" t="s">
        <v>933</v>
      </c>
      <c r="AP169" s="237">
        <v>800</v>
      </c>
      <c r="AQ169" s="237" t="s">
        <v>934</v>
      </c>
      <c r="AR169" s="229">
        <v>197.45</v>
      </c>
      <c r="AS169" s="230" t="s">
        <v>934</v>
      </c>
      <c r="AT169" s="237">
        <v>8.0000000000000002E-3</v>
      </c>
      <c r="AU169" s="154" t="s">
        <v>933</v>
      </c>
    </row>
    <row r="170" spans="1:49">
      <c r="A170" s="259" t="s">
        <v>968</v>
      </c>
      <c r="B170" s="260"/>
      <c r="C170" s="262"/>
      <c r="D170" s="262"/>
      <c r="E170" s="262"/>
      <c r="F170" s="264"/>
      <c r="G170" s="262"/>
      <c r="H170" s="275"/>
      <c r="I170" s="213"/>
      <c r="J170" s="275"/>
      <c r="K170" s="213"/>
      <c r="L170" s="275"/>
      <c r="M170" s="296"/>
      <c r="N170" s="275"/>
      <c r="O170" s="213"/>
      <c r="P170" s="297"/>
      <c r="Q170" s="296"/>
      <c r="R170" s="217"/>
      <c r="S170" s="217"/>
      <c r="T170" s="217"/>
      <c r="U170" s="217"/>
      <c r="V170" s="217"/>
      <c r="W170" s="217"/>
      <c r="X170" s="217"/>
      <c r="Y170" s="217"/>
      <c r="Z170" s="217"/>
      <c r="AA170" s="217"/>
      <c r="AB170" s="262"/>
      <c r="AC170" s="213"/>
      <c r="AD170" s="262"/>
      <c r="AE170" s="298"/>
      <c r="AF170" s="262"/>
      <c r="AG170" s="213"/>
      <c r="AH170" s="275"/>
      <c r="AI170" s="275"/>
      <c r="AJ170" s="275"/>
      <c r="AK170" s="275"/>
      <c r="AL170" s="299"/>
      <c r="AM170" s="275"/>
      <c r="AN170" s="275"/>
      <c r="AO170" s="334"/>
      <c r="AP170" s="275"/>
      <c r="AQ170" s="275"/>
      <c r="AR170" s="353"/>
      <c r="AS170" s="354"/>
      <c r="AT170" s="310"/>
      <c r="AU170" s="553"/>
    </row>
    <row r="171" spans="1:49" s="239" customFormat="1" ht="80">
      <c r="A171" s="281" t="s">
        <v>944</v>
      </c>
      <c r="B171" s="223" t="s">
        <v>80</v>
      </c>
      <c r="C171" s="223"/>
      <c r="D171" s="223"/>
      <c r="E171" s="223" t="str">
        <f t="shared" ref="E171:E181" si="3">IF(OR(AN171&gt;0.00001,AT171&gt;1),"Yes","No")</f>
        <v>Yes</v>
      </c>
      <c r="F171" s="222" t="s">
        <v>517</v>
      </c>
      <c r="G171" s="223" t="s">
        <v>472</v>
      </c>
      <c r="H171" s="237" t="s">
        <v>31</v>
      </c>
      <c r="I171" s="221" t="s">
        <v>31</v>
      </c>
      <c r="J171" s="237" t="s">
        <v>31</v>
      </c>
      <c r="K171" s="221" t="s">
        <v>31</v>
      </c>
      <c r="L171" s="237">
        <v>2.1000000000000001E-2</v>
      </c>
      <c r="M171" s="224" t="s">
        <v>1390</v>
      </c>
      <c r="N171" s="237" t="s">
        <v>31</v>
      </c>
      <c r="O171" s="221" t="s">
        <v>31</v>
      </c>
      <c r="P171" s="154" t="s">
        <v>31</v>
      </c>
      <c r="Q171" s="224" t="s">
        <v>31</v>
      </c>
      <c r="R171" s="225"/>
      <c r="S171" s="225"/>
      <c r="T171" s="225"/>
      <c r="U171" s="225" t="s">
        <v>351</v>
      </c>
      <c r="V171" s="225" t="s">
        <v>351</v>
      </c>
      <c r="W171" s="225"/>
      <c r="X171" s="225"/>
      <c r="Y171" s="225"/>
      <c r="Z171" s="225"/>
      <c r="AA171" s="225"/>
      <c r="AB171" s="223">
        <v>0.13</v>
      </c>
      <c r="AC171" s="221" t="s">
        <v>459</v>
      </c>
      <c r="AD171" s="223">
        <v>1</v>
      </c>
      <c r="AE171" s="221" t="s">
        <v>30</v>
      </c>
      <c r="AF171" s="223">
        <v>1</v>
      </c>
      <c r="AG171" s="226" t="s">
        <v>467</v>
      </c>
      <c r="AH171" s="237">
        <v>5.0614300000000001E-2</v>
      </c>
      <c r="AI171" s="237" t="s">
        <v>456</v>
      </c>
      <c r="AJ171" s="237">
        <v>8.3299999999999999E-6</v>
      </c>
      <c r="AK171" s="237" t="s">
        <v>456</v>
      </c>
      <c r="AL171" s="229">
        <v>5027</v>
      </c>
      <c r="AM171" s="230" t="s">
        <v>934</v>
      </c>
      <c r="AN171" s="237">
        <v>1.84E-4</v>
      </c>
      <c r="AO171" s="154" t="s">
        <v>936</v>
      </c>
      <c r="AP171" s="237">
        <v>3.9</v>
      </c>
      <c r="AQ171" s="237" t="s">
        <v>934</v>
      </c>
      <c r="AR171" s="229">
        <v>154.21</v>
      </c>
      <c r="AS171" s="230" t="s">
        <v>934</v>
      </c>
      <c r="AT171" s="237">
        <v>2.15E-3</v>
      </c>
      <c r="AU171" s="222" t="s">
        <v>926</v>
      </c>
    </row>
    <row r="172" spans="1:49" ht="60">
      <c r="A172" s="281" t="s">
        <v>945</v>
      </c>
      <c r="B172" s="223" t="s">
        <v>81</v>
      </c>
      <c r="C172" s="223"/>
      <c r="D172" s="223"/>
      <c r="E172" s="223" t="str">
        <f t="shared" si="3"/>
        <v>Yes</v>
      </c>
      <c r="F172" s="222" t="s">
        <v>525</v>
      </c>
      <c r="G172" s="223" t="s">
        <v>472</v>
      </c>
      <c r="H172" s="237" t="s">
        <v>31</v>
      </c>
      <c r="I172" s="221" t="s">
        <v>31</v>
      </c>
      <c r="J172" s="237" t="s">
        <v>31</v>
      </c>
      <c r="K172" s="221" t="s">
        <v>31</v>
      </c>
      <c r="L172" s="237">
        <v>0.13</v>
      </c>
      <c r="M172" s="224" t="s">
        <v>1687</v>
      </c>
      <c r="N172" s="237" t="s">
        <v>31</v>
      </c>
      <c r="O172" s="221" t="s">
        <v>31</v>
      </c>
      <c r="P172" s="154" t="s">
        <v>31</v>
      </c>
      <c r="Q172" s="224" t="s">
        <v>31</v>
      </c>
      <c r="R172" s="225"/>
      <c r="S172" s="225"/>
      <c r="T172" s="225"/>
      <c r="U172" s="225"/>
      <c r="V172" s="225"/>
      <c r="W172" s="225"/>
      <c r="X172" s="225"/>
      <c r="Y172" s="225"/>
      <c r="Z172" s="225"/>
      <c r="AA172" s="225"/>
      <c r="AB172" s="223">
        <v>0.13</v>
      </c>
      <c r="AC172" s="221" t="s">
        <v>459</v>
      </c>
      <c r="AD172" s="223">
        <v>1</v>
      </c>
      <c r="AE172" s="221" t="s">
        <v>30</v>
      </c>
      <c r="AF172" s="223">
        <v>1</v>
      </c>
      <c r="AG172" s="226" t="s">
        <v>467</v>
      </c>
      <c r="AH172" s="237">
        <v>3.89732E-2</v>
      </c>
      <c r="AI172" s="237" t="s">
        <v>456</v>
      </c>
      <c r="AJ172" s="237">
        <v>7.8522999999999993E-6</v>
      </c>
      <c r="AK172" s="237" t="s">
        <v>456</v>
      </c>
      <c r="AL172" s="229">
        <v>16360</v>
      </c>
      <c r="AM172" s="230" t="s">
        <v>934</v>
      </c>
      <c r="AN172" s="237">
        <v>5.5600000000000003E-5</v>
      </c>
      <c r="AO172" s="154" t="s">
        <v>936</v>
      </c>
      <c r="AP172" s="237">
        <v>4.3400000000000001E-2</v>
      </c>
      <c r="AQ172" s="237" t="s">
        <v>934</v>
      </c>
      <c r="AR172" s="229">
        <v>178.24</v>
      </c>
      <c r="AS172" s="230" t="s">
        <v>934</v>
      </c>
      <c r="AT172" s="237">
        <v>6.5300000000000002E-6</v>
      </c>
      <c r="AU172" s="222" t="s">
        <v>926</v>
      </c>
    </row>
    <row r="173" spans="1:49" s="294" customFormat="1" ht="62">
      <c r="A173" s="221" t="s">
        <v>670</v>
      </c>
      <c r="B173" s="223" t="s">
        <v>99</v>
      </c>
      <c r="C173" s="223"/>
      <c r="D173" s="223" t="s">
        <v>76</v>
      </c>
      <c r="E173" s="223" t="str">
        <f t="shared" si="3"/>
        <v>No</v>
      </c>
      <c r="F173" s="222" t="s">
        <v>1079</v>
      </c>
      <c r="G173" s="223" t="s">
        <v>472</v>
      </c>
      <c r="H173" s="237">
        <v>1</v>
      </c>
      <c r="I173" s="221" t="s">
        <v>1367</v>
      </c>
      <c r="J173" s="154">
        <v>5.9999999999999995E-4</v>
      </c>
      <c r="K173" s="221" t="s">
        <v>1377</v>
      </c>
      <c r="L173" s="237">
        <v>3.1E-4</v>
      </c>
      <c r="M173" s="224" t="s">
        <v>1486</v>
      </c>
      <c r="N173" s="237">
        <v>1.9999999999999999E-6</v>
      </c>
      <c r="O173" s="221" t="s">
        <v>1423</v>
      </c>
      <c r="P173" s="154" t="s">
        <v>31</v>
      </c>
      <c r="Q173" s="224" t="s">
        <v>31</v>
      </c>
      <c r="R173" s="225" t="s">
        <v>351</v>
      </c>
      <c r="S173" s="225"/>
      <c r="T173" s="225"/>
      <c r="U173" s="225"/>
      <c r="V173" s="225"/>
      <c r="W173" s="225" t="s">
        <v>351</v>
      </c>
      <c r="X173" s="225"/>
      <c r="Y173" s="225"/>
      <c r="Z173" s="225"/>
      <c r="AA173" s="225"/>
      <c r="AB173" s="223">
        <v>0.13</v>
      </c>
      <c r="AC173" s="221" t="s">
        <v>459</v>
      </c>
      <c r="AD173" s="223">
        <v>1</v>
      </c>
      <c r="AE173" s="221" t="s">
        <v>30</v>
      </c>
      <c r="AF173" s="223">
        <v>1</v>
      </c>
      <c r="AG173" s="226" t="s">
        <v>467</v>
      </c>
      <c r="AH173" s="237">
        <v>4.7583100000000003E-2</v>
      </c>
      <c r="AI173" s="237" t="s">
        <v>456</v>
      </c>
      <c r="AJ173" s="237">
        <v>5.5597000000000003E-6</v>
      </c>
      <c r="AK173" s="237" t="s">
        <v>456</v>
      </c>
      <c r="AL173" s="229">
        <v>587400</v>
      </c>
      <c r="AM173" s="230" t="s">
        <v>934</v>
      </c>
      <c r="AN173" s="237">
        <v>4.5699999999999998E-7</v>
      </c>
      <c r="AO173" s="154" t="s">
        <v>936</v>
      </c>
      <c r="AP173" s="237">
        <v>1.6199999999999999E-3</v>
      </c>
      <c r="AQ173" s="237" t="s">
        <v>934</v>
      </c>
      <c r="AR173" s="229">
        <v>252.32</v>
      </c>
      <c r="AS173" s="230" t="s">
        <v>934</v>
      </c>
      <c r="AT173" s="237">
        <v>5.4899999999999999E-9</v>
      </c>
      <c r="AU173" s="222" t="s">
        <v>926</v>
      </c>
    </row>
    <row r="174" spans="1:49" s="294" customFormat="1" ht="80">
      <c r="A174" s="221" t="s">
        <v>1222</v>
      </c>
      <c r="B174" s="223" t="s">
        <v>1163</v>
      </c>
      <c r="C174" s="223"/>
      <c r="D174" s="223"/>
      <c r="E174" s="223" t="str">
        <f t="shared" si="3"/>
        <v>Yes</v>
      </c>
      <c r="F174" s="222" t="s">
        <v>517</v>
      </c>
      <c r="G174" s="223" t="s">
        <v>472</v>
      </c>
      <c r="H174" s="237" t="s">
        <v>31</v>
      </c>
      <c r="I174" s="221" t="s">
        <v>31</v>
      </c>
      <c r="J174" s="154" t="s">
        <v>31</v>
      </c>
      <c r="K174" s="221" t="s">
        <v>31</v>
      </c>
      <c r="L174" s="237">
        <v>0.08</v>
      </c>
      <c r="M174" s="224" t="s">
        <v>1688</v>
      </c>
      <c r="N174" s="237" t="s">
        <v>31</v>
      </c>
      <c r="O174" s="221" t="s">
        <v>31</v>
      </c>
      <c r="P174" s="154" t="s">
        <v>31</v>
      </c>
      <c r="Q174" s="224" t="s">
        <v>31</v>
      </c>
      <c r="R174" s="225"/>
      <c r="S174" s="225"/>
      <c r="T174" s="225"/>
      <c r="U174" s="225"/>
      <c r="V174" s="225" t="s">
        <v>351</v>
      </c>
      <c r="W174" s="225"/>
      <c r="X174" s="225" t="s">
        <v>351</v>
      </c>
      <c r="Y174" s="225"/>
      <c r="Z174" s="225"/>
      <c r="AA174" s="225"/>
      <c r="AB174" s="223">
        <v>0.13</v>
      </c>
      <c r="AC174" s="221" t="s">
        <v>459</v>
      </c>
      <c r="AD174" s="223">
        <v>1</v>
      </c>
      <c r="AE174" s="221" t="s">
        <v>30</v>
      </c>
      <c r="AF174" s="223">
        <v>1</v>
      </c>
      <c r="AG174" s="226" t="s">
        <v>466</v>
      </c>
      <c r="AH174" s="237">
        <v>4.4691406733480002E-2</v>
      </c>
      <c r="AI174" s="237" t="s">
        <v>456</v>
      </c>
      <c r="AJ174" s="237">
        <v>7.7300811363000005E-6</v>
      </c>
      <c r="AK174" s="237" t="s">
        <v>456</v>
      </c>
      <c r="AL174" s="229">
        <v>2478</v>
      </c>
      <c r="AM174" s="230" t="s">
        <v>1143</v>
      </c>
      <c r="AN174" s="237">
        <v>3.2000000000000003E-4</v>
      </c>
      <c r="AO174" s="154" t="s">
        <v>1139</v>
      </c>
      <c r="AP174" s="237">
        <v>11.7</v>
      </c>
      <c r="AQ174" s="237" t="s">
        <v>1139</v>
      </c>
      <c r="AR174" s="229">
        <v>162.62</v>
      </c>
      <c r="AS174" s="230" t="s">
        <v>1139</v>
      </c>
      <c r="AT174" s="237">
        <v>1.2200000000000001E-2</v>
      </c>
      <c r="AU174" s="222" t="s">
        <v>934</v>
      </c>
    </row>
    <row r="175" spans="1:49" ht="80">
      <c r="A175" s="677" t="s">
        <v>1099</v>
      </c>
      <c r="B175" s="223" t="s">
        <v>37</v>
      </c>
      <c r="C175" s="223"/>
      <c r="D175" s="223"/>
      <c r="E175" s="223" t="str">
        <f t="shared" si="3"/>
        <v>No</v>
      </c>
      <c r="F175" s="222" t="s">
        <v>525</v>
      </c>
      <c r="G175" s="223" t="s">
        <v>472</v>
      </c>
      <c r="H175" s="237" t="s">
        <v>31</v>
      </c>
      <c r="I175" s="221" t="s">
        <v>31</v>
      </c>
      <c r="J175" s="237" t="s">
        <v>31</v>
      </c>
      <c r="K175" s="221" t="s">
        <v>31</v>
      </c>
      <c r="L175" s="237">
        <v>1.6E-2</v>
      </c>
      <c r="M175" s="224" t="s">
        <v>1689</v>
      </c>
      <c r="N175" s="237" t="s">
        <v>31</v>
      </c>
      <c r="O175" s="221" t="s">
        <v>31</v>
      </c>
      <c r="P175" s="154" t="s">
        <v>31</v>
      </c>
      <c r="Q175" s="224" t="s">
        <v>31</v>
      </c>
      <c r="R175" s="225"/>
      <c r="S175" s="225"/>
      <c r="T175" s="225"/>
      <c r="U175" s="225" t="s">
        <v>351</v>
      </c>
      <c r="V175" s="225" t="s">
        <v>351</v>
      </c>
      <c r="W175" s="225"/>
      <c r="X175" s="225"/>
      <c r="Y175" s="225"/>
      <c r="Z175" s="225"/>
      <c r="AA175" s="225"/>
      <c r="AB175" s="223">
        <v>0.13</v>
      </c>
      <c r="AC175" s="221" t="s">
        <v>459</v>
      </c>
      <c r="AD175" s="223">
        <v>1</v>
      </c>
      <c r="AE175" s="221" t="s">
        <v>30</v>
      </c>
      <c r="AF175" s="223">
        <v>1</v>
      </c>
      <c r="AG175" s="226" t="s">
        <v>467</v>
      </c>
      <c r="AH175" s="237">
        <v>2.7595700000000001E-2</v>
      </c>
      <c r="AI175" s="237" t="s">
        <v>456</v>
      </c>
      <c r="AJ175" s="237">
        <v>7.1826999999999999E-6</v>
      </c>
      <c r="AK175" s="237" t="s">
        <v>456</v>
      </c>
      <c r="AL175" s="229">
        <v>55450</v>
      </c>
      <c r="AM175" s="230" t="s">
        <v>934</v>
      </c>
      <c r="AN175" s="237">
        <v>8.8599999999999999E-6</v>
      </c>
      <c r="AO175" s="154" t="s">
        <v>936</v>
      </c>
      <c r="AP175" s="237">
        <v>0.26</v>
      </c>
      <c r="AQ175" s="237" t="s">
        <v>934</v>
      </c>
      <c r="AR175" s="229">
        <v>202.26</v>
      </c>
      <c r="AS175" s="230" t="s">
        <v>934</v>
      </c>
      <c r="AT175" s="237">
        <v>9.2199999999999998E-6</v>
      </c>
      <c r="AU175" s="222" t="s">
        <v>926</v>
      </c>
    </row>
    <row r="176" spans="1:49" ht="70">
      <c r="A176" s="221" t="s">
        <v>946</v>
      </c>
      <c r="B176" s="223" t="s">
        <v>121</v>
      </c>
      <c r="C176" s="223"/>
      <c r="D176" s="223"/>
      <c r="E176" s="223" t="str">
        <f t="shared" si="3"/>
        <v>Yes</v>
      </c>
      <c r="F176" s="222" t="s">
        <v>525</v>
      </c>
      <c r="G176" s="223" t="s">
        <v>472</v>
      </c>
      <c r="H176" s="237" t="s">
        <v>31</v>
      </c>
      <c r="I176" s="221" t="s">
        <v>31</v>
      </c>
      <c r="J176" s="237" t="s">
        <v>31</v>
      </c>
      <c r="K176" s="221" t="s">
        <v>31</v>
      </c>
      <c r="L176" s="237">
        <v>1.7999999999999999E-2</v>
      </c>
      <c r="M176" s="224" t="s">
        <v>1649</v>
      </c>
      <c r="N176" s="237" t="s">
        <v>31</v>
      </c>
      <c r="O176" s="221" t="s">
        <v>31</v>
      </c>
      <c r="P176" s="154" t="s">
        <v>31</v>
      </c>
      <c r="Q176" s="224" t="s">
        <v>31</v>
      </c>
      <c r="R176" s="225"/>
      <c r="S176" s="225" t="s">
        <v>351</v>
      </c>
      <c r="T176" s="225" t="s">
        <v>351</v>
      </c>
      <c r="U176" s="225"/>
      <c r="V176" s="225"/>
      <c r="W176" s="225"/>
      <c r="X176" s="225"/>
      <c r="Y176" s="225"/>
      <c r="Z176" s="225"/>
      <c r="AA176" s="225"/>
      <c r="AB176" s="223">
        <v>0.13</v>
      </c>
      <c r="AC176" s="221" t="s">
        <v>459</v>
      </c>
      <c r="AD176" s="223">
        <v>1</v>
      </c>
      <c r="AE176" s="221" t="s">
        <v>30</v>
      </c>
      <c r="AF176" s="223">
        <v>1</v>
      </c>
      <c r="AG176" s="226" t="s">
        <v>467</v>
      </c>
      <c r="AH176" s="237">
        <v>4.3974300000000001E-2</v>
      </c>
      <c r="AI176" s="237" t="s">
        <v>456</v>
      </c>
      <c r="AJ176" s="237">
        <v>7.8890000000000002E-6</v>
      </c>
      <c r="AK176" s="237" t="s">
        <v>456</v>
      </c>
      <c r="AL176" s="229">
        <v>9160</v>
      </c>
      <c r="AM176" s="230" t="s">
        <v>934</v>
      </c>
      <c r="AN176" s="237">
        <v>9.6199999999999994E-5</v>
      </c>
      <c r="AO176" s="154" t="s">
        <v>936</v>
      </c>
      <c r="AP176" s="237">
        <v>1.69</v>
      </c>
      <c r="AQ176" s="237" t="s">
        <v>934</v>
      </c>
      <c r="AR176" s="229">
        <v>166.22</v>
      </c>
      <c r="AS176" s="230" t="s">
        <v>934</v>
      </c>
      <c r="AT176" s="237">
        <v>5.9999999999999995E-4</v>
      </c>
      <c r="AU176" s="222" t="s">
        <v>926</v>
      </c>
    </row>
    <row r="177" spans="1:47" ht="62">
      <c r="A177" s="221" t="s">
        <v>1115</v>
      </c>
      <c r="B177" s="637" t="s">
        <v>1109</v>
      </c>
      <c r="C177" s="223"/>
      <c r="D177" s="223"/>
      <c r="E177" s="223" t="str">
        <f t="shared" si="3"/>
        <v>Yes</v>
      </c>
      <c r="F177" s="222" t="s">
        <v>1333</v>
      </c>
      <c r="G177" s="223" t="s">
        <v>469</v>
      </c>
      <c r="H177" s="237">
        <v>5.0999999999999997E-2</v>
      </c>
      <c r="I177" s="221" t="s">
        <v>1617</v>
      </c>
      <c r="J177" s="237" t="s">
        <v>31</v>
      </c>
      <c r="K177" s="221" t="s">
        <v>31</v>
      </c>
      <c r="L177" s="237">
        <v>0.01</v>
      </c>
      <c r="M177" s="224" t="s">
        <v>1650</v>
      </c>
      <c r="N177" s="237">
        <v>3.0000000000000001E-6</v>
      </c>
      <c r="O177" s="221" t="s">
        <v>1536</v>
      </c>
      <c r="P177" s="154" t="s">
        <v>31</v>
      </c>
      <c r="Q177" s="224" t="s">
        <v>31</v>
      </c>
      <c r="R177" s="225"/>
      <c r="S177" s="225"/>
      <c r="T177" s="225"/>
      <c r="U177" s="225"/>
      <c r="V177" s="225"/>
      <c r="W177" s="225"/>
      <c r="X177" s="225" t="s">
        <v>351</v>
      </c>
      <c r="Y177" s="225"/>
      <c r="Z177" s="225"/>
      <c r="AA177" s="225"/>
      <c r="AB177" s="223">
        <v>0.13</v>
      </c>
      <c r="AC177" s="221" t="s">
        <v>459</v>
      </c>
      <c r="AD177" s="223">
        <v>1</v>
      </c>
      <c r="AE177" s="221" t="s">
        <v>30</v>
      </c>
      <c r="AF177" s="223">
        <v>1</v>
      </c>
      <c r="AG177" s="226" t="s">
        <v>466</v>
      </c>
      <c r="AH177" s="237">
        <v>5.2770484233419998E-2</v>
      </c>
      <c r="AI177" s="237" t="s">
        <v>456</v>
      </c>
      <c r="AJ177" s="237">
        <v>7.8477146847200006E-6</v>
      </c>
      <c r="AK177" s="237" t="s">
        <v>456</v>
      </c>
      <c r="AL177" s="229">
        <v>2528</v>
      </c>
      <c r="AM177" s="230" t="s">
        <v>1143</v>
      </c>
      <c r="AN177" s="237">
        <v>5.1400000000000003E-4</v>
      </c>
      <c r="AO177" s="154" t="s">
        <v>1139</v>
      </c>
      <c r="AP177" s="237">
        <v>25.8</v>
      </c>
      <c r="AQ177" s="237" t="s">
        <v>1139</v>
      </c>
      <c r="AR177" s="229">
        <v>142.19999999999999</v>
      </c>
      <c r="AS177" s="230" t="s">
        <v>1139</v>
      </c>
      <c r="AT177" s="237">
        <v>6.7000000000000004E-2</v>
      </c>
      <c r="AU177" s="222" t="s">
        <v>1139</v>
      </c>
    </row>
    <row r="178" spans="1:47" ht="60">
      <c r="A178" s="635" t="s">
        <v>1032</v>
      </c>
      <c r="B178" s="637" t="s">
        <v>35</v>
      </c>
      <c r="C178" s="223"/>
      <c r="D178" s="223"/>
      <c r="E178" s="223" t="str">
        <f t="shared" si="3"/>
        <v>Yes</v>
      </c>
      <c r="F178" s="222" t="s">
        <v>481</v>
      </c>
      <c r="G178" s="223" t="s">
        <v>472</v>
      </c>
      <c r="H178" s="237" t="s">
        <v>31</v>
      </c>
      <c r="I178" s="221" t="s">
        <v>31</v>
      </c>
      <c r="J178" s="222" t="s">
        <v>31</v>
      </c>
      <c r="K178" s="221" t="s">
        <v>31</v>
      </c>
      <c r="L178" s="237">
        <v>1.8E-3</v>
      </c>
      <c r="M178" s="224" t="s">
        <v>1558</v>
      </c>
      <c r="N178" s="237" t="s">
        <v>31</v>
      </c>
      <c r="O178" s="221" t="s">
        <v>31</v>
      </c>
      <c r="P178" s="154" t="s">
        <v>31</v>
      </c>
      <c r="Q178" s="224" t="s">
        <v>31</v>
      </c>
      <c r="R178" s="225"/>
      <c r="S178" s="225"/>
      <c r="T178" s="225"/>
      <c r="U178" s="225"/>
      <c r="V178" s="225"/>
      <c r="W178" s="225"/>
      <c r="X178" s="225" t="s">
        <v>351</v>
      </c>
      <c r="Y178" s="225"/>
      <c r="Z178" s="225"/>
      <c r="AA178" s="225"/>
      <c r="AB178" s="223">
        <v>0.13</v>
      </c>
      <c r="AC178" s="221" t="s">
        <v>459</v>
      </c>
      <c r="AD178" s="223">
        <v>1</v>
      </c>
      <c r="AE178" s="232" t="s">
        <v>30</v>
      </c>
      <c r="AF178" s="223">
        <v>1</v>
      </c>
      <c r="AG178" s="226" t="s">
        <v>467</v>
      </c>
      <c r="AH178" s="237">
        <v>5.2431899999999997E-2</v>
      </c>
      <c r="AI178" s="237" t="s">
        <v>456</v>
      </c>
      <c r="AJ178" s="237">
        <v>7.7811000000000008E-6</v>
      </c>
      <c r="AK178" s="237" t="s">
        <v>456</v>
      </c>
      <c r="AL178" s="229">
        <v>2478</v>
      </c>
      <c r="AM178" s="230" t="s">
        <v>934</v>
      </c>
      <c r="AN178" s="237">
        <v>5.1800000000000001E-4</v>
      </c>
      <c r="AO178" s="154" t="s">
        <v>936</v>
      </c>
      <c r="AP178" s="237">
        <v>24.6</v>
      </c>
      <c r="AQ178" s="237" t="s">
        <v>934</v>
      </c>
      <c r="AR178" s="229">
        <v>142.19999999999999</v>
      </c>
      <c r="AS178" s="230" t="s">
        <v>934</v>
      </c>
      <c r="AT178" s="237">
        <v>5.5E-2</v>
      </c>
      <c r="AU178" s="222" t="s">
        <v>926</v>
      </c>
    </row>
    <row r="179" spans="1:47" ht="62">
      <c r="A179" s="677" t="s">
        <v>1304</v>
      </c>
      <c r="B179" s="637" t="s">
        <v>1305</v>
      </c>
      <c r="C179" s="223"/>
      <c r="D179" s="223"/>
      <c r="E179" s="223" t="str">
        <f t="shared" si="3"/>
        <v>No</v>
      </c>
      <c r="F179" s="222" t="s">
        <v>481</v>
      </c>
      <c r="G179" s="223" t="s">
        <v>469</v>
      </c>
      <c r="H179" s="237" t="s">
        <v>31</v>
      </c>
      <c r="I179" s="221" t="s">
        <v>31</v>
      </c>
      <c r="J179" s="222" t="s">
        <v>31</v>
      </c>
      <c r="K179" s="221" t="s">
        <v>31</v>
      </c>
      <c r="L179" s="237">
        <v>9.0000000000000006E-5</v>
      </c>
      <c r="M179" s="224" t="s">
        <v>1651</v>
      </c>
      <c r="N179" s="237">
        <v>1.9999999999999999E-6</v>
      </c>
      <c r="O179" s="224" t="s">
        <v>1648</v>
      </c>
      <c r="P179" s="154" t="s">
        <v>31</v>
      </c>
      <c r="Q179" s="224" t="s">
        <v>31</v>
      </c>
      <c r="R179" s="225" t="s">
        <v>351</v>
      </c>
      <c r="S179" s="225"/>
      <c r="T179" s="225"/>
      <c r="U179" s="225"/>
      <c r="V179" s="225"/>
      <c r="W179" s="225" t="s">
        <v>351</v>
      </c>
      <c r="X179" s="225"/>
      <c r="Y179" s="225"/>
      <c r="Z179" s="225"/>
      <c r="AA179" s="225"/>
      <c r="AB179" s="223">
        <v>0.13</v>
      </c>
      <c r="AC179" s="221" t="s">
        <v>459</v>
      </c>
      <c r="AD179" s="223">
        <v>1</v>
      </c>
      <c r="AE179" s="232" t="s">
        <v>30</v>
      </c>
      <c r="AF179" s="223">
        <v>1</v>
      </c>
      <c r="AG179" s="226" t="s">
        <v>467</v>
      </c>
      <c r="AH179" s="237">
        <v>2.546764068066E-2</v>
      </c>
      <c r="AI179" s="237" t="s">
        <v>456</v>
      </c>
      <c r="AJ179" s="237">
        <v>6.5811384461399996E-6</v>
      </c>
      <c r="AK179" s="237" t="s">
        <v>456</v>
      </c>
      <c r="AL179" s="229">
        <v>599400</v>
      </c>
      <c r="AM179" s="230" t="s">
        <v>934</v>
      </c>
      <c r="AN179" s="237">
        <v>3.6500000000000002E-6</v>
      </c>
      <c r="AO179" s="154" t="s">
        <v>934</v>
      </c>
      <c r="AP179" s="237">
        <v>4.0000000000000002E-4</v>
      </c>
      <c r="AQ179" s="237" t="s">
        <v>1139</v>
      </c>
      <c r="AR179" s="229">
        <v>252.32</v>
      </c>
      <c r="AS179" s="230" t="s">
        <v>934</v>
      </c>
      <c r="AT179" s="237">
        <v>5.2499999999999999E-9</v>
      </c>
      <c r="AU179" s="222" t="s">
        <v>1139</v>
      </c>
    </row>
    <row r="180" spans="1:47" ht="60">
      <c r="A180" s="635" t="s">
        <v>1023</v>
      </c>
      <c r="B180" s="223" t="s">
        <v>237</v>
      </c>
      <c r="C180" s="223"/>
      <c r="D180" s="223"/>
      <c r="E180" s="223" t="str">
        <f t="shared" si="3"/>
        <v>Yes</v>
      </c>
      <c r="F180" s="222" t="s">
        <v>525</v>
      </c>
      <c r="G180" s="223" t="s">
        <v>472</v>
      </c>
      <c r="H180" s="237" t="s">
        <v>31</v>
      </c>
      <c r="I180" s="221" t="s">
        <v>31</v>
      </c>
      <c r="J180" s="237" t="s">
        <v>31</v>
      </c>
      <c r="K180" s="221" t="s">
        <v>31</v>
      </c>
      <c r="L180" s="237">
        <v>0.01</v>
      </c>
      <c r="M180" s="224" t="s">
        <v>1487</v>
      </c>
      <c r="N180" s="237" t="s">
        <v>31</v>
      </c>
      <c r="O180" s="221" t="s">
        <v>31</v>
      </c>
      <c r="P180" s="154" t="s">
        <v>31</v>
      </c>
      <c r="Q180" s="224" t="s">
        <v>31</v>
      </c>
      <c r="R180" s="225"/>
      <c r="S180" s="225"/>
      <c r="T180" s="225"/>
      <c r="U180" s="225" t="s">
        <v>351</v>
      </c>
      <c r="V180" s="225"/>
      <c r="W180" s="225"/>
      <c r="X180" s="225"/>
      <c r="Y180" s="225"/>
      <c r="Z180" s="225"/>
      <c r="AA180" s="225"/>
      <c r="AB180" s="223">
        <v>0.13</v>
      </c>
      <c r="AC180" s="221" t="s">
        <v>459</v>
      </c>
      <c r="AD180" s="223">
        <v>1</v>
      </c>
      <c r="AE180" s="221" t="s">
        <v>30</v>
      </c>
      <c r="AF180" s="223">
        <v>1</v>
      </c>
      <c r="AG180" s="226" t="s">
        <v>467</v>
      </c>
      <c r="AH180" s="237">
        <v>2.7787300000000001E-2</v>
      </c>
      <c r="AI180" s="237" t="s">
        <v>456</v>
      </c>
      <c r="AJ180" s="237">
        <v>7.2478999999999997E-6</v>
      </c>
      <c r="AK180" s="237" t="s">
        <v>456</v>
      </c>
      <c r="AL180" s="229">
        <v>54340</v>
      </c>
      <c r="AM180" s="230" t="s">
        <v>934</v>
      </c>
      <c r="AN180" s="237">
        <v>1.19E-5</v>
      </c>
      <c r="AO180" s="154" t="s">
        <v>936</v>
      </c>
      <c r="AP180" s="237">
        <v>0.13500000000000001</v>
      </c>
      <c r="AQ180" s="237" t="s">
        <v>934</v>
      </c>
      <c r="AR180" s="229">
        <v>202.26</v>
      </c>
      <c r="AS180" s="230" t="s">
        <v>934</v>
      </c>
      <c r="AT180" s="237">
        <v>4.5000000000000001E-6</v>
      </c>
      <c r="AU180" s="222" t="s">
        <v>926</v>
      </c>
    </row>
    <row r="181" spans="1:47" ht="75" customHeight="1">
      <c r="A181" s="221" t="s">
        <v>178</v>
      </c>
      <c r="B181" s="223" t="s">
        <v>231</v>
      </c>
      <c r="C181" s="223"/>
      <c r="D181" s="223"/>
      <c r="E181" s="223" t="str">
        <f t="shared" si="3"/>
        <v>No</v>
      </c>
      <c r="F181" s="222" t="s">
        <v>524</v>
      </c>
      <c r="G181" s="223" t="s">
        <v>472</v>
      </c>
      <c r="H181" s="237">
        <v>3</v>
      </c>
      <c r="I181" s="221" t="s">
        <v>1334</v>
      </c>
      <c r="J181" s="237" t="s">
        <v>31</v>
      </c>
      <c r="K181" s="221" t="s">
        <v>31</v>
      </c>
      <c r="L181" s="237">
        <v>7.9000000000000001E-4</v>
      </c>
      <c r="M181" s="224" t="s">
        <v>1690</v>
      </c>
      <c r="N181" s="237" t="s">
        <v>31</v>
      </c>
      <c r="O181" s="221" t="s">
        <v>31</v>
      </c>
      <c r="P181" s="154" t="s">
        <v>31</v>
      </c>
      <c r="Q181" s="224" t="s">
        <v>31</v>
      </c>
      <c r="R181" s="225"/>
      <c r="S181" s="225" t="s">
        <v>351</v>
      </c>
      <c r="T181" s="225" t="s">
        <v>351</v>
      </c>
      <c r="U181" s="225" t="s">
        <v>351</v>
      </c>
      <c r="V181" s="225" t="s">
        <v>351</v>
      </c>
      <c r="W181" s="225"/>
      <c r="X181" s="225" t="s">
        <v>351</v>
      </c>
      <c r="Y181" s="225"/>
      <c r="Z181" s="225"/>
      <c r="AA181" s="225"/>
      <c r="AB181" s="223">
        <v>0.13</v>
      </c>
      <c r="AC181" s="221" t="s">
        <v>459</v>
      </c>
      <c r="AD181" s="223">
        <v>1</v>
      </c>
      <c r="AE181" s="221" t="s">
        <v>30</v>
      </c>
      <c r="AF181" s="223">
        <v>1</v>
      </c>
      <c r="AG181" s="226" t="s">
        <v>467</v>
      </c>
      <c r="AH181" s="237">
        <v>6.1800399999999998E-2</v>
      </c>
      <c r="AI181" s="237" t="s">
        <v>456</v>
      </c>
      <c r="AJ181" s="237">
        <v>8.6873000000000007E-6</v>
      </c>
      <c r="AK181" s="237" t="s">
        <v>456</v>
      </c>
      <c r="AL181" s="229">
        <v>1544</v>
      </c>
      <c r="AM181" s="230" t="s">
        <v>934</v>
      </c>
      <c r="AN181" s="237">
        <v>1.6700000000000001E-6</v>
      </c>
      <c r="AO181" s="154" t="s">
        <v>933</v>
      </c>
      <c r="AP181" s="237">
        <v>6110</v>
      </c>
      <c r="AQ181" s="237" t="s">
        <v>934</v>
      </c>
      <c r="AR181" s="229">
        <v>129.16</v>
      </c>
      <c r="AS181" s="230" t="s">
        <v>934</v>
      </c>
      <c r="AT181" s="237">
        <v>0.06</v>
      </c>
      <c r="AU181" s="222" t="s">
        <v>926</v>
      </c>
    </row>
    <row r="182" spans="1:47">
      <c r="A182" s="259" t="s">
        <v>389</v>
      </c>
      <c r="B182" s="260"/>
      <c r="C182" s="262"/>
      <c r="D182" s="262"/>
      <c r="E182" s="262"/>
      <c r="F182" s="264"/>
      <c r="G182" s="262"/>
      <c r="H182" s="275"/>
      <c r="I182" s="213"/>
      <c r="J182" s="275"/>
      <c r="K182" s="213"/>
      <c r="L182" s="275"/>
      <c r="M182" s="296"/>
      <c r="N182" s="275"/>
      <c r="O182" s="213"/>
      <c r="P182" s="297"/>
      <c r="Q182" s="296"/>
      <c r="R182" s="217"/>
      <c r="S182" s="217"/>
      <c r="T182" s="217"/>
      <c r="U182" s="217"/>
      <c r="V182" s="217"/>
      <c r="W182" s="217"/>
      <c r="X182" s="217"/>
      <c r="Y182" s="217"/>
      <c r="Z182" s="217"/>
      <c r="AA182" s="217"/>
      <c r="AB182" s="262"/>
      <c r="AC182" s="213"/>
      <c r="AD182" s="262"/>
      <c r="AE182" s="298"/>
      <c r="AF182" s="262"/>
      <c r="AG182" s="213"/>
      <c r="AH182" s="275"/>
      <c r="AI182" s="275"/>
      <c r="AJ182" s="275"/>
      <c r="AK182" s="275"/>
      <c r="AL182" s="299"/>
      <c r="AM182" s="275"/>
      <c r="AN182" s="275"/>
      <c r="AO182" s="334"/>
      <c r="AP182" s="275"/>
      <c r="AQ182" s="275"/>
      <c r="AR182" s="353"/>
      <c r="AS182" s="354"/>
      <c r="AT182" s="310"/>
      <c r="AU182" s="554"/>
    </row>
    <row r="183" spans="1:47" ht="60">
      <c r="A183" s="221" t="s">
        <v>232</v>
      </c>
      <c r="B183" s="223" t="s">
        <v>233</v>
      </c>
      <c r="C183" s="223"/>
      <c r="D183" s="223"/>
      <c r="E183" s="223" t="str">
        <f>IF(OR(AN183&gt;0.00001,AT183&gt;1),"Yes","No")</f>
        <v>Yes</v>
      </c>
      <c r="F183" s="222" t="s">
        <v>524</v>
      </c>
      <c r="G183" s="223" t="s">
        <v>472</v>
      </c>
      <c r="H183" s="237">
        <v>2</v>
      </c>
      <c r="I183" s="221" t="s">
        <v>1335</v>
      </c>
      <c r="J183" s="237">
        <v>5.6999999999999998E-4</v>
      </c>
      <c r="K183" s="221" t="s">
        <v>1336</v>
      </c>
      <c r="L183" s="237">
        <v>5.0000000000000002E-5</v>
      </c>
      <c r="M183" s="224" t="s">
        <v>512</v>
      </c>
      <c r="N183" s="237" t="s">
        <v>31</v>
      </c>
      <c r="O183" s="221" t="s">
        <v>31</v>
      </c>
      <c r="P183" s="154" t="s">
        <v>31</v>
      </c>
      <c r="Q183" s="224" t="s">
        <v>31</v>
      </c>
      <c r="R183" s="225"/>
      <c r="S183" s="225"/>
      <c r="T183" s="225"/>
      <c r="U183" s="225"/>
      <c r="V183" s="225"/>
      <c r="W183" s="225" t="s">
        <v>351</v>
      </c>
      <c r="X183" s="225"/>
      <c r="Y183" s="225"/>
      <c r="Z183" s="225"/>
      <c r="AA183" s="225"/>
      <c r="AB183" s="223">
        <v>0.14000000000000001</v>
      </c>
      <c r="AC183" s="221" t="s">
        <v>460</v>
      </c>
      <c r="AD183" s="223">
        <v>1</v>
      </c>
      <c r="AE183" s="232" t="s">
        <v>30</v>
      </c>
      <c r="AF183" s="223">
        <v>1</v>
      </c>
      <c r="AG183" s="226" t="s">
        <v>468</v>
      </c>
      <c r="AH183" s="237">
        <v>4.3169300000000001E-2</v>
      </c>
      <c r="AI183" s="237" t="s">
        <v>456</v>
      </c>
      <c r="AJ183" s="237">
        <v>5.0440000000000003E-6</v>
      </c>
      <c r="AK183" s="237" t="s">
        <v>456</v>
      </c>
      <c r="AL183" s="229">
        <v>78100</v>
      </c>
      <c r="AM183" s="230" t="s">
        <v>934</v>
      </c>
      <c r="AN183" s="237">
        <v>4.15E-4</v>
      </c>
      <c r="AO183" s="154" t="s">
        <v>936</v>
      </c>
      <c r="AP183" s="237">
        <v>0.7</v>
      </c>
      <c r="AQ183" s="237" t="s">
        <v>934</v>
      </c>
      <c r="AR183" s="229">
        <v>291.99</v>
      </c>
      <c r="AS183" s="230" t="s">
        <v>934</v>
      </c>
      <c r="AT183" s="237">
        <v>4.9399999999999997E-4</v>
      </c>
      <c r="AU183" s="222" t="s">
        <v>926</v>
      </c>
    </row>
    <row r="184" spans="1:47">
      <c r="A184" s="259" t="s">
        <v>893</v>
      </c>
      <c r="B184" s="260"/>
      <c r="C184" s="262"/>
      <c r="D184" s="262"/>
      <c r="E184" s="262"/>
      <c r="F184" s="264"/>
      <c r="G184" s="262"/>
      <c r="H184" s="275"/>
      <c r="I184" s="213"/>
      <c r="J184" s="275"/>
      <c r="K184" s="213"/>
      <c r="L184" s="275"/>
      <c r="M184" s="296"/>
      <c r="N184" s="275"/>
      <c r="O184" s="213"/>
      <c r="P184" s="297"/>
      <c r="Q184" s="296"/>
      <c r="R184" s="217"/>
      <c r="S184" s="217"/>
      <c r="T184" s="217"/>
      <c r="U184" s="217"/>
      <c r="V184" s="217"/>
      <c r="W184" s="217"/>
      <c r="X184" s="217"/>
      <c r="Y184" s="217"/>
      <c r="Z184" s="217"/>
      <c r="AA184" s="217"/>
      <c r="AB184" s="262"/>
      <c r="AC184" s="213"/>
      <c r="AD184" s="262"/>
      <c r="AE184" s="298"/>
      <c r="AF184" s="262"/>
      <c r="AG184" s="213"/>
      <c r="AH184" s="275"/>
      <c r="AI184" s="275"/>
      <c r="AJ184" s="275"/>
      <c r="AK184" s="275"/>
      <c r="AL184" s="299"/>
      <c r="AM184" s="275"/>
      <c r="AN184" s="275"/>
      <c r="AO184" s="334"/>
      <c r="AP184" s="275"/>
      <c r="AQ184" s="275"/>
      <c r="AR184" s="353"/>
      <c r="AS184" s="354"/>
      <c r="AT184" s="310"/>
      <c r="AU184" s="553"/>
    </row>
    <row r="185" spans="1:47" s="239" customFormat="1" ht="62">
      <c r="A185" s="635" t="s">
        <v>1024</v>
      </c>
      <c r="B185" s="223" t="s">
        <v>46</v>
      </c>
      <c r="C185" s="223"/>
      <c r="D185" s="223"/>
      <c r="E185" s="223" t="str">
        <f t="shared" ref="E185:E203" si="4">IF(OR(AN185&gt;0.00001,AT185&gt;1),"Yes","No")</f>
        <v>Yes</v>
      </c>
      <c r="F185" s="222" t="s">
        <v>524</v>
      </c>
      <c r="G185" s="223" t="s">
        <v>472</v>
      </c>
      <c r="H185" s="237">
        <v>17</v>
      </c>
      <c r="I185" s="221" t="s">
        <v>1337</v>
      </c>
      <c r="J185" s="237">
        <v>4.8999999999999998E-3</v>
      </c>
      <c r="K185" s="221" t="s">
        <v>1338</v>
      </c>
      <c r="L185" s="237">
        <v>3.0000000000000001E-5</v>
      </c>
      <c r="M185" s="224" t="s">
        <v>1488</v>
      </c>
      <c r="N185" s="237" t="s">
        <v>31</v>
      </c>
      <c r="O185" s="221" t="s">
        <v>31</v>
      </c>
      <c r="P185" s="154" t="s">
        <v>31</v>
      </c>
      <c r="Q185" s="224" t="s">
        <v>31</v>
      </c>
      <c r="R185" s="225"/>
      <c r="S185" s="225"/>
      <c r="T185" s="225"/>
      <c r="U185" s="225"/>
      <c r="V185" s="225" t="s">
        <v>351</v>
      </c>
      <c r="W185" s="225"/>
      <c r="X185" s="225"/>
      <c r="Y185" s="225"/>
      <c r="Z185" s="225"/>
      <c r="AA185" s="225"/>
      <c r="AB185" s="223">
        <v>0</v>
      </c>
      <c r="AC185" s="221" t="s">
        <v>1147</v>
      </c>
      <c r="AD185" s="223">
        <v>1</v>
      </c>
      <c r="AE185" s="232" t="s">
        <v>30</v>
      </c>
      <c r="AF185" s="223">
        <v>1</v>
      </c>
      <c r="AG185" s="226" t="s">
        <v>466</v>
      </c>
      <c r="AH185" s="237">
        <v>3.7206799999999998E-2</v>
      </c>
      <c r="AI185" s="237" t="s">
        <v>456</v>
      </c>
      <c r="AJ185" s="237">
        <v>4.3472999999999999E-6</v>
      </c>
      <c r="AK185" s="237" t="s">
        <v>456</v>
      </c>
      <c r="AL185" s="229">
        <v>82020</v>
      </c>
      <c r="AM185" s="230" t="s">
        <v>934</v>
      </c>
      <c r="AN185" s="237">
        <v>4.3999999999999999E-5</v>
      </c>
      <c r="AO185" s="154" t="s">
        <v>936</v>
      </c>
      <c r="AP185" s="237">
        <v>1.7000000000000001E-2</v>
      </c>
      <c r="AQ185" s="237" t="s">
        <v>934</v>
      </c>
      <c r="AR185" s="229">
        <v>364.92</v>
      </c>
      <c r="AS185" s="230" t="s">
        <v>934</v>
      </c>
      <c r="AT185" s="237">
        <v>1.2E-4</v>
      </c>
      <c r="AU185" s="222" t="s">
        <v>926</v>
      </c>
    </row>
    <row r="186" spans="1:47" ht="40" customHeight="1">
      <c r="A186" s="677" t="s">
        <v>1100</v>
      </c>
      <c r="B186" s="223" t="s">
        <v>192</v>
      </c>
      <c r="C186" s="223"/>
      <c r="D186" s="223"/>
      <c r="E186" s="223" t="str">
        <f t="shared" si="4"/>
        <v>No</v>
      </c>
      <c r="F186" s="222" t="s">
        <v>481</v>
      </c>
      <c r="G186" s="223" t="s">
        <v>469</v>
      </c>
      <c r="H186" s="237">
        <v>0.02</v>
      </c>
      <c r="I186" s="221" t="s">
        <v>1434</v>
      </c>
      <c r="J186" s="237" t="s">
        <v>31</v>
      </c>
      <c r="K186" s="221" t="s">
        <v>31</v>
      </c>
      <c r="L186" s="237" t="s">
        <v>31</v>
      </c>
      <c r="M186" s="224" t="s">
        <v>31</v>
      </c>
      <c r="N186" s="237" t="s">
        <v>31</v>
      </c>
      <c r="O186" s="221" t="s">
        <v>31</v>
      </c>
      <c r="P186" s="154" t="s">
        <v>31</v>
      </c>
      <c r="Q186" s="224" t="s">
        <v>31</v>
      </c>
      <c r="R186" s="225"/>
      <c r="S186" s="225"/>
      <c r="T186" s="225"/>
      <c r="U186" s="225"/>
      <c r="V186" s="225"/>
      <c r="W186" s="225"/>
      <c r="X186" s="225"/>
      <c r="Y186" s="225"/>
      <c r="Z186" s="225"/>
      <c r="AA186" s="225"/>
      <c r="AB186" s="223">
        <v>0.1</v>
      </c>
      <c r="AC186" s="221" t="s">
        <v>463</v>
      </c>
      <c r="AD186" s="223">
        <v>1</v>
      </c>
      <c r="AE186" s="232" t="s">
        <v>30</v>
      </c>
      <c r="AF186" s="223">
        <v>1</v>
      </c>
      <c r="AG186" s="226" t="s">
        <v>466</v>
      </c>
      <c r="AH186" s="237">
        <v>3.9E-2</v>
      </c>
      <c r="AI186" s="154" t="s">
        <v>269</v>
      </c>
      <c r="AJ186" s="237">
        <v>7.0299999999999996E-6</v>
      </c>
      <c r="AK186" s="154" t="s">
        <v>269</v>
      </c>
      <c r="AL186" s="229">
        <v>9161</v>
      </c>
      <c r="AM186" s="230" t="s">
        <v>934</v>
      </c>
      <c r="AN186" s="237">
        <v>5.1099999999999996E-7</v>
      </c>
      <c r="AO186" s="154" t="s">
        <v>934</v>
      </c>
      <c r="AP186" s="237">
        <v>1.8</v>
      </c>
      <c r="AQ186" s="237" t="s">
        <v>934</v>
      </c>
      <c r="AR186" s="229">
        <v>167.21</v>
      </c>
      <c r="AS186" s="230" t="s">
        <v>934</v>
      </c>
      <c r="AT186" s="237">
        <v>4.0600000000000001E-7</v>
      </c>
      <c r="AU186" s="222" t="s">
        <v>934</v>
      </c>
    </row>
    <row r="187" spans="1:47" ht="92">
      <c r="A187" s="221" t="s">
        <v>193</v>
      </c>
      <c r="B187" s="223" t="s">
        <v>194</v>
      </c>
      <c r="C187" s="223"/>
      <c r="D187" s="223"/>
      <c r="E187" s="223" t="str">
        <f t="shared" si="4"/>
        <v>No</v>
      </c>
      <c r="F187" s="222" t="s">
        <v>517</v>
      </c>
      <c r="G187" s="223" t="s">
        <v>472</v>
      </c>
      <c r="H187" s="237" t="s">
        <v>31</v>
      </c>
      <c r="I187" s="221" t="s">
        <v>31</v>
      </c>
      <c r="J187" s="237" t="s">
        <v>31</v>
      </c>
      <c r="K187" s="221" t="s">
        <v>31</v>
      </c>
      <c r="L187" s="237">
        <v>1.4999999999999999E-2</v>
      </c>
      <c r="M187" s="224" t="s">
        <v>1489</v>
      </c>
      <c r="N187" s="237" t="s">
        <v>31</v>
      </c>
      <c r="O187" s="221" t="s">
        <v>31</v>
      </c>
      <c r="P187" s="154" t="s">
        <v>31</v>
      </c>
      <c r="Q187" s="224" t="s">
        <v>31</v>
      </c>
      <c r="R187" s="225"/>
      <c r="S187" s="225"/>
      <c r="T187" s="225"/>
      <c r="U187" s="225"/>
      <c r="V187" s="225" t="s">
        <v>351</v>
      </c>
      <c r="W187" s="225"/>
      <c r="X187" s="225"/>
      <c r="Y187" s="225"/>
      <c r="Z187" s="225"/>
      <c r="AA187" s="225"/>
      <c r="AB187" s="223">
        <v>0.1</v>
      </c>
      <c r="AC187" s="221" t="s">
        <v>463</v>
      </c>
      <c r="AD187" s="223">
        <v>1</v>
      </c>
      <c r="AE187" s="232" t="s">
        <v>30</v>
      </c>
      <c r="AF187" s="223">
        <v>1</v>
      </c>
      <c r="AG187" s="226" t="s">
        <v>466</v>
      </c>
      <c r="AH187" s="237">
        <v>5.4467000000000002E-2</v>
      </c>
      <c r="AI187" s="237" t="s">
        <v>456</v>
      </c>
      <c r="AJ187" s="237">
        <v>6.3640000000000004E-6</v>
      </c>
      <c r="AK187" s="237" t="s">
        <v>456</v>
      </c>
      <c r="AL187" s="238">
        <v>21.37</v>
      </c>
      <c r="AM187" s="230" t="s">
        <v>934</v>
      </c>
      <c r="AN187" s="237">
        <v>3.8699999999999999E-11</v>
      </c>
      <c r="AO187" s="154" t="s">
        <v>933</v>
      </c>
      <c r="AP187" s="237">
        <v>700</v>
      </c>
      <c r="AQ187" s="237" t="s">
        <v>934</v>
      </c>
      <c r="AR187" s="229">
        <v>206.03</v>
      </c>
      <c r="AS187" s="230" t="s">
        <v>934</v>
      </c>
      <c r="AT187" s="237">
        <v>9.9999999999999995E-8</v>
      </c>
      <c r="AU187" s="222" t="s">
        <v>926</v>
      </c>
    </row>
    <row r="188" spans="1:47" ht="62">
      <c r="A188" s="281" t="s">
        <v>1025</v>
      </c>
      <c r="B188" s="222" t="s">
        <v>426</v>
      </c>
      <c r="C188" s="223"/>
      <c r="D188" s="223"/>
      <c r="E188" s="223" t="str">
        <f t="shared" si="4"/>
        <v>Yes</v>
      </c>
      <c r="F188" s="222" t="s">
        <v>524</v>
      </c>
      <c r="G188" s="223" t="s">
        <v>472</v>
      </c>
      <c r="H188" s="237">
        <v>0.35</v>
      </c>
      <c r="I188" s="221" t="s">
        <v>828</v>
      </c>
      <c r="J188" s="237">
        <v>1E-4</v>
      </c>
      <c r="K188" s="221" t="s">
        <v>828</v>
      </c>
      <c r="L188" s="237">
        <v>5.0000000000000001E-4</v>
      </c>
      <c r="M188" s="224" t="s">
        <v>1490</v>
      </c>
      <c r="N188" s="237">
        <v>6.9999999999999999E-4</v>
      </c>
      <c r="O188" s="221" t="s">
        <v>1537</v>
      </c>
      <c r="P188" s="154" t="s">
        <v>31</v>
      </c>
      <c r="Q188" s="224" t="s">
        <v>31</v>
      </c>
      <c r="R188" s="225"/>
      <c r="S188" s="225"/>
      <c r="T188" s="225"/>
      <c r="U188" s="225"/>
      <c r="V188" s="225" t="s">
        <v>351</v>
      </c>
      <c r="W188" s="225"/>
      <c r="X188" s="225"/>
      <c r="Y188" s="225"/>
      <c r="Z188" s="225"/>
      <c r="AA188" s="225"/>
      <c r="AB188" s="223">
        <v>0.04</v>
      </c>
      <c r="AC188" s="221" t="s">
        <v>458</v>
      </c>
      <c r="AD188" s="223">
        <v>1</v>
      </c>
      <c r="AE188" s="232" t="s">
        <v>30</v>
      </c>
      <c r="AF188" s="223">
        <v>1</v>
      </c>
      <c r="AG188" s="226" t="s">
        <v>465</v>
      </c>
      <c r="AH188" s="237">
        <v>3.4439200000000003E-2</v>
      </c>
      <c r="AI188" s="237" t="s">
        <v>456</v>
      </c>
      <c r="AJ188" s="237">
        <v>4.0238999999999997E-6</v>
      </c>
      <c r="AK188" s="237" t="s">
        <v>456</v>
      </c>
      <c r="AL188" s="229">
        <v>33780</v>
      </c>
      <c r="AM188" s="230" t="s">
        <v>934</v>
      </c>
      <c r="AN188" s="237">
        <v>4.8600000000000002E-5</v>
      </c>
      <c r="AO188" s="154" t="s">
        <v>933</v>
      </c>
      <c r="AP188" s="237">
        <v>5.6000000000000001E-2</v>
      </c>
      <c r="AQ188" s="237" t="s">
        <v>934</v>
      </c>
      <c r="AR188" s="229">
        <v>409.78</v>
      </c>
      <c r="AS188" s="230" t="s">
        <v>934</v>
      </c>
      <c r="AT188" s="237">
        <v>9.9799999999999993E-6</v>
      </c>
      <c r="AU188" s="222" t="s">
        <v>926</v>
      </c>
    </row>
    <row r="189" spans="1:47" ht="50">
      <c r="A189" s="221" t="s">
        <v>495</v>
      </c>
      <c r="B189" s="223" t="s">
        <v>1</v>
      </c>
      <c r="C189" s="223"/>
      <c r="D189" s="223"/>
      <c r="E189" s="223" t="str">
        <f t="shared" si="4"/>
        <v>No</v>
      </c>
      <c r="F189" s="222" t="s">
        <v>524</v>
      </c>
      <c r="G189" s="223" t="s">
        <v>472</v>
      </c>
      <c r="H189" s="237">
        <v>0.24</v>
      </c>
      <c r="I189" s="221" t="s">
        <v>829</v>
      </c>
      <c r="J189" s="237" t="s">
        <v>31</v>
      </c>
      <c r="K189" s="224" t="s">
        <v>31</v>
      </c>
      <c r="L189" s="237">
        <v>5.0000000000000001E-4</v>
      </c>
      <c r="M189" s="224" t="s">
        <v>1652</v>
      </c>
      <c r="N189" s="237" t="s">
        <v>31</v>
      </c>
      <c r="O189" s="221" t="s">
        <v>31</v>
      </c>
      <c r="P189" s="154" t="s">
        <v>31</v>
      </c>
      <c r="Q189" s="224" t="s">
        <v>31</v>
      </c>
      <c r="R189" s="225"/>
      <c r="S189" s="225"/>
      <c r="T189" s="225"/>
      <c r="U189" s="225"/>
      <c r="V189" s="225" t="s">
        <v>351</v>
      </c>
      <c r="W189" s="225"/>
      <c r="X189" s="225"/>
      <c r="Y189" s="225"/>
      <c r="Z189" s="225"/>
      <c r="AA189" s="225"/>
      <c r="AB189" s="223">
        <v>0.1</v>
      </c>
      <c r="AC189" s="221" t="s">
        <v>463</v>
      </c>
      <c r="AD189" s="223">
        <v>1</v>
      </c>
      <c r="AE189" s="232" t="s">
        <v>30</v>
      </c>
      <c r="AF189" s="223">
        <v>1</v>
      </c>
      <c r="AG189" s="226" t="s">
        <v>466</v>
      </c>
      <c r="AH189" s="237">
        <v>4.0607699999999997E-2</v>
      </c>
      <c r="AI189" s="237" t="s">
        <v>456</v>
      </c>
      <c r="AJ189" s="237">
        <v>4.7446999999999997E-6</v>
      </c>
      <c r="AK189" s="237" t="s">
        <v>456</v>
      </c>
      <c r="AL189" s="229">
        <v>117500</v>
      </c>
      <c r="AM189" s="230" t="s">
        <v>934</v>
      </c>
      <c r="AN189" s="237">
        <v>6.6000000000000003E-6</v>
      </c>
      <c r="AO189" s="154" t="s">
        <v>936</v>
      </c>
      <c r="AP189" s="237">
        <v>0.09</v>
      </c>
      <c r="AQ189" s="237" t="s">
        <v>934</v>
      </c>
      <c r="AR189" s="229">
        <v>320.05</v>
      </c>
      <c r="AS189" s="230" t="s">
        <v>934</v>
      </c>
      <c r="AT189" s="237">
        <v>1.35E-6</v>
      </c>
      <c r="AU189" s="222" t="s">
        <v>926</v>
      </c>
    </row>
    <row r="190" spans="1:47" ht="92">
      <c r="A190" s="281" t="s">
        <v>1034</v>
      </c>
      <c r="B190" s="223" t="s">
        <v>2</v>
      </c>
      <c r="C190" s="223"/>
      <c r="D190" s="223"/>
      <c r="E190" s="223" t="str">
        <f t="shared" si="4"/>
        <v>Yes</v>
      </c>
      <c r="F190" s="222" t="s">
        <v>524</v>
      </c>
      <c r="G190" s="223" t="s">
        <v>472</v>
      </c>
      <c r="H190" s="237">
        <v>0.34</v>
      </c>
      <c r="I190" s="221" t="s">
        <v>830</v>
      </c>
      <c r="J190" s="237">
        <v>9.7E-5</v>
      </c>
      <c r="K190" s="221" t="s">
        <v>1655</v>
      </c>
      <c r="L190" s="237">
        <v>5.0000000000000001E-4</v>
      </c>
      <c r="M190" s="224" t="s">
        <v>1652</v>
      </c>
      <c r="N190" s="237" t="s">
        <v>31</v>
      </c>
      <c r="O190" s="221" t="s">
        <v>31</v>
      </c>
      <c r="P190" s="154" t="s">
        <v>31</v>
      </c>
      <c r="Q190" s="224" t="s">
        <v>31</v>
      </c>
      <c r="R190" s="225"/>
      <c r="S190" s="225"/>
      <c r="T190" s="225"/>
      <c r="U190" s="225"/>
      <c r="V190" s="225" t="s">
        <v>351</v>
      </c>
      <c r="W190" s="225"/>
      <c r="X190" s="225"/>
      <c r="Y190" s="225"/>
      <c r="Z190" s="225"/>
      <c r="AA190" s="225"/>
      <c r="AB190" s="223">
        <v>0</v>
      </c>
      <c r="AC190" s="221" t="s">
        <v>1147</v>
      </c>
      <c r="AD190" s="223">
        <v>1</v>
      </c>
      <c r="AE190" s="232" t="s">
        <v>30</v>
      </c>
      <c r="AF190" s="223">
        <v>1</v>
      </c>
      <c r="AG190" s="226" t="s">
        <v>466</v>
      </c>
      <c r="AH190" s="237">
        <v>4.0779500000000003E-2</v>
      </c>
      <c r="AI190" s="237" t="s">
        <v>456</v>
      </c>
      <c r="AJ190" s="237">
        <v>4.7648399999999999E-6</v>
      </c>
      <c r="AK190" s="237" t="s">
        <v>456</v>
      </c>
      <c r="AL190" s="229">
        <v>117500</v>
      </c>
      <c r="AM190" s="230" t="s">
        <v>934</v>
      </c>
      <c r="AN190" s="237">
        <v>4.1600000000000002E-5</v>
      </c>
      <c r="AO190" s="154" t="s">
        <v>936</v>
      </c>
      <c r="AP190" s="237">
        <v>0.04</v>
      </c>
      <c r="AQ190" s="237" t="s">
        <v>934</v>
      </c>
      <c r="AR190" s="229">
        <v>318.02999999999997</v>
      </c>
      <c r="AS190" s="230" t="s">
        <v>934</v>
      </c>
      <c r="AT190" s="237">
        <v>6.0000000000000002E-6</v>
      </c>
      <c r="AU190" s="222" t="s">
        <v>926</v>
      </c>
    </row>
    <row r="191" spans="1:47" ht="84">
      <c r="A191" s="221" t="s">
        <v>496</v>
      </c>
      <c r="B191" s="223" t="s">
        <v>3</v>
      </c>
      <c r="C191" s="223"/>
      <c r="D191" s="223"/>
      <c r="E191" s="223" t="str">
        <f t="shared" si="4"/>
        <v>No</v>
      </c>
      <c r="F191" s="222" t="s">
        <v>524</v>
      </c>
      <c r="G191" s="223" t="s">
        <v>472</v>
      </c>
      <c r="H191" s="237">
        <v>0.34</v>
      </c>
      <c r="I191" s="221" t="s">
        <v>1339</v>
      </c>
      <c r="J191" s="237">
        <v>9.7E-5</v>
      </c>
      <c r="K191" s="221" t="s">
        <v>1378</v>
      </c>
      <c r="L191" s="237">
        <v>5.0000000000000001E-4</v>
      </c>
      <c r="M191" s="224" t="s">
        <v>1491</v>
      </c>
      <c r="N191" s="237" t="s">
        <v>31</v>
      </c>
      <c r="O191" s="221" t="s">
        <v>31</v>
      </c>
      <c r="P191" s="154" t="s">
        <v>31</v>
      </c>
      <c r="Q191" s="224" t="s">
        <v>31</v>
      </c>
      <c r="R191" s="225"/>
      <c r="S191" s="225"/>
      <c r="T191" s="225"/>
      <c r="U191" s="225"/>
      <c r="V191" s="225" t="s">
        <v>351</v>
      </c>
      <c r="W191" s="225"/>
      <c r="X191" s="225"/>
      <c r="Y191" s="225"/>
      <c r="Z191" s="225"/>
      <c r="AA191" s="225"/>
      <c r="AB191" s="223">
        <v>0.03</v>
      </c>
      <c r="AC191" s="221" t="s">
        <v>458</v>
      </c>
      <c r="AD191" s="223">
        <v>1</v>
      </c>
      <c r="AE191" s="232" t="s">
        <v>30</v>
      </c>
      <c r="AF191" s="223">
        <v>1</v>
      </c>
      <c r="AG191" s="226" t="s">
        <v>465</v>
      </c>
      <c r="AH191" s="237">
        <v>3.7933000000000001E-2</v>
      </c>
      <c r="AI191" s="237" t="s">
        <v>456</v>
      </c>
      <c r="AJ191" s="237">
        <v>4.4321999999999997E-6</v>
      </c>
      <c r="AK191" s="237" t="s">
        <v>456</v>
      </c>
      <c r="AL191" s="229">
        <v>168600</v>
      </c>
      <c r="AM191" s="230" t="s">
        <v>934</v>
      </c>
      <c r="AN191" s="237">
        <v>8.32E-6</v>
      </c>
      <c r="AO191" s="154" t="s">
        <v>936</v>
      </c>
      <c r="AP191" s="237">
        <v>5.4999999999999997E-3</v>
      </c>
      <c r="AQ191" s="237" t="s">
        <v>934</v>
      </c>
      <c r="AR191" s="229">
        <v>354.49</v>
      </c>
      <c r="AS191" s="230" t="s">
        <v>934</v>
      </c>
      <c r="AT191" s="237">
        <v>1.6E-7</v>
      </c>
      <c r="AU191" s="222" t="s">
        <v>926</v>
      </c>
    </row>
    <row r="192" spans="1:47" ht="50">
      <c r="A192" s="221" t="s">
        <v>4</v>
      </c>
      <c r="B192" s="223" t="s">
        <v>5</v>
      </c>
      <c r="C192" s="223"/>
      <c r="D192" s="223"/>
      <c r="E192" s="223" t="str">
        <f t="shared" si="4"/>
        <v>No</v>
      </c>
      <c r="F192" s="222" t="s">
        <v>527</v>
      </c>
      <c r="G192" s="222" t="s">
        <v>531</v>
      </c>
      <c r="H192" s="237" t="s">
        <v>31</v>
      </c>
      <c r="I192" s="221" t="s">
        <v>31</v>
      </c>
      <c r="J192" s="237" t="s">
        <v>31</v>
      </c>
      <c r="K192" s="221" t="s">
        <v>31</v>
      </c>
      <c r="L192" s="237">
        <v>6.9999999999999999E-4</v>
      </c>
      <c r="M192" s="224" t="s">
        <v>1559</v>
      </c>
      <c r="N192" s="237" t="s">
        <v>31</v>
      </c>
      <c r="O192" s="221" t="s">
        <v>31</v>
      </c>
      <c r="P192" s="154" t="s">
        <v>31</v>
      </c>
      <c r="Q192" s="224" t="s">
        <v>31</v>
      </c>
      <c r="R192" s="225" t="s">
        <v>351</v>
      </c>
      <c r="S192" s="225"/>
      <c r="T192" s="225"/>
      <c r="U192" s="225"/>
      <c r="V192" s="225"/>
      <c r="W192" s="225"/>
      <c r="X192" s="225"/>
      <c r="Y192" s="225"/>
      <c r="Z192" s="225"/>
      <c r="AA192" s="225"/>
      <c r="AB192" s="223">
        <v>0.1</v>
      </c>
      <c r="AC192" s="221" t="s">
        <v>463</v>
      </c>
      <c r="AD192" s="223">
        <v>1</v>
      </c>
      <c r="AE192" s="232" t="s">
        <v>30</v>
      </c>
      <c r="AF192" s="223">
        <v>1</v>
      </c>
      <c r="AG192" s="226" t="s">
        <v>466</v>
      </c>
      <c r="AH192" s="237">
        <v>2.1026400000000001E-2</v>
      </c>
      <c r="AI192" s="237" t="s">
        <v>456</v>
      </c>
      <c r="AJ192" s="237">
        <v>5.2259000000000002E-6</v>
      </c>
      <c r="AK192" s="237" t="s">
        <v>456</v>
      </c>
      <c r="AL192" s="229">
        <v>3034</v>
      </c>
      <c r="AM192" s="230" t="s">
        <v>934</v>
      </c>
      <c r="AN192" s="237">
        <v>1.1300000000000001E-7</v>
      </c>
      <c r="AO192" s="154" t="s">
        <v>936</v>
      </c>
      <c r="AP192" s="237">
        <v>40</v>
      </c>
      <c r="AQ192" s="237" t="s">
        <v>934</v>
      </c>
      <c r="AR192" s="229">
        <v>304.35000000000002</v>
      </c>
      <c r="AS192" s="230" t="s">
        <v>934</v>
      </c>
      <c r="AT192" s="237">
        <v>9.0099999999999995E-5</v>
      </c>
      <c r="AU192" s="222" t="s">
        <v>926</v>
      </c>
    </row>
    <row r="193" spans="1:47" ht="60">
      <c r="A193" s="221" t="s">
        <v>972</v>
      </c>
      <c r="B193" s="223" t="s">
        <v>7</v>
      </c>
      <c r="C193" s="223"/>
      <c r="D193" s="628" t="s">
        <v>76</v>
      </c>
      <c r="E193" s="223" t="str">
        <f t="shared" si="4"/>
        <v>No</v>
      </c>
      <c r="F193" s="222" t="s">
        <v>524</v>
      </c>
      <c r="G193" s="223" t="s">
        <v>472</v>
      </c>
      <c r="H193" s="237">
        <v>16</v>
      </c>
      <c r="I193" s="221" t="s">
        <v>1368</v>
      </c>
      <c r="J193" s="237">
        <v>4.5999999999999999E-3</v>
      </c>
      <c r="K193" s="221" t="s">
        <v>1340</v>
      </c>
      <c r="L193" s="237">
        <v>4.3000000000000002E-5</v>
      </c>
      <c r="M193" s="224" t="s">
        <v>1396</v>
      </c>
      <c r="N193" s="237" t="s">
        <v>31</v>
      </c>
      <c r="O193" s="221" t="s">
        <v>31</v>
      </c>
      <c r="P193" s="154" t="s">
        <v>31</v>
      </c>
      <c r="Q193" s="224" t="s">
        <v>31</v>
      </c>
      <c r="R193" s="225" t="s">
        <v>351</v>
      </c>
      <c r="S193" s="225"/>
      <c r="T193" s="225"/>
      <c r="U193" s="225"/>
      <c r="V193" s="225" t="s">
        <v>351</v>
      </c>
      <c r="W193" s="225"/>
      <c r="X193" s="225"/>
      <c r="Y193" s="225"/>
      <c r="Z193" s="225"/>
      <c r="AA193" s="225"/>
      <c r="AB193" s="223">
        <v>0.1</v>
      </c>
      <c r="AC193" s="221" t="s">
        <v>463</v>
      </c>
      <c r="AD193" s="223">
        <v>1</v>
      </c>
      <c r="AE193" s="232" t="s">
        <v>30</v>
      </c>
      <c r="AF193" s="223">
        <v>1</v>
      </c>
      <c r="AG193" s="226" t="s">
        <v>466</v>
      </c>
      <c r="AH193" s="237">
        <v>2.3286500000000002E-2</v>
      </c>
      <c r="AI193" s="237" t="s">
        <v>456</v>
      </c>
      <c r="AJ193" s="237">
        <v>6.0062000000000002E-6</v>
      </c>
      <c r="AK193" s="237" t="s">
        <v>456</v>
      </c>
      <c r="AL193" s="229">
        <v>20090</v>
      </c>
      <c r="AM193" s="230" t="s">
        <v>934</v>
      </c>
      <c r="AN193" s="237">
        <v>1.0000000000000001E-5</v>
      </c>
      <c r="AO193" s="154" t="s">
        <v>936</v>
      </c>
      <c r="AP193" s="237">
        <v>0.19500000000000001</v>
      </c>
      <c r="AQ193" s="237" t="s">
        <v>934</v>
      </c>
      <c r="AR193" s="229">
        <v>380.91</v>
      </c>
      <c r="AS193" s="230" t="s">
        <v>934</v>
      </c>
      <c r="AT193" s="237">
        <v>5.8900000000000004E-6</v>
      </c>
      <c r="AU193" s="222" t="s">
        <v>926</v>
      </c>
    </row>
    <row r="194" spans="1:47" ht="92">
      <c r="A194" s="635" t="s">
        <v>1026</v>
      </c>
      <c r="B194" s="223" t="s">
        <v>135</v>
      </c>
      <c r="C194" s="223"/>
      <c r="D194" s="223"/>
      <c r="E194" s="223" t="str">
        <f t="shared" si="4"/>
        <v>Yes</v>
      </c>
      <c r="F194" s="222" t="s">
        <v>517</v>
      </c>
      <c r="G194" s="223" t="s">
        <v>472</v>
      </c>
      <c r="H194" s="237" t="s">
        <v>31</v>
      </c>
      <c r="I194" s="221" t="s">
        <v>31</v>
      </c>
      <c r="J194" s="237" t="s">
        <v>31</v>
      </c>
      <c r="K194" s="221" t="s">
        <v>31</v>
      </c>
      <c r="L194" s="237">
        <v>6.0000000000000001E-3</v>
      </c>
      <c r="M194" s="224" t="s">
        <v>1397</v>
      </c>
      <c r="N194" s="237" t="s">
        <v>31</v>
      </c>
      <c r="O194" s="221" t="s">
        <v>31</v>
      </c>
      <c r="P194" s="154" t="s">
        <v>31</v>
      </c>
      <c r="Q194" s="224" t="s">
        <v>31</v>
      </c>
      <c r="R194" s="225" t="s">
        <v>351</v>
      </c>
      <c r="S194" s="225" t="s">
        <v>351</v>
      </c>
      <c r="T194" s="225"/>
      <c r="U194" s="225" t="s">
        <v>351</v>
      </c>
      <c r="V194" s="225"/>
      <c r="W194" s="225"/>
      <c r="X194" s="225"/>
      <c r="Y194" s="225"/>
      <c r="Z194" s="225"/>
      <c r="AA194" s="225"/>
      <c r="AB194" s="223">
        <v>0</v>
      </c>
      <c r="AC194" s="221" t="s">
        <v>1147</v>
      </c>
      <c r="AD194" s="223">
        <v>1</v>
      </c>
      <c r="AE194" s="232" t="s">
        <v>30</v>
      </c>
      <c r="AF194" s="223">
        <v>1</v>
      </c>
      <c r="AG194" s="226" t="s">
        <v>466</v>
      </c>
      <c r="AH194" s="237">
        <v>2.2484799999999999E-2</v>
      </c>
      <c r="AI194" s="237" t="s">
        <v>456</v>
      </c>
      <c r="AJ194" s="237">
        <v>5.7629000000000003E-6</v>
      </c>
      <c r="AK194" s="237" t="s">
        <v>456</v>
      </c>
      <c r="AL194" s="229">
        <v>6761</v>
      </c>
      <c r="AM194" s="230" t="s">
        <v>934</v>
      </c>
      <c r="AN194" s="237">
        <v>6.4999999999999994E-5</v>
      </c>
      <c r="AO194" s="154" t="s">
        <v>936</v>
      </c>
      <c r="AP194" s="237">
        <v>0.32500000000000001</v>
      </c>
      <c r="AQ194" s="237" t="s">
        <v>934</v>
      </c>
      <c r="AR194" s="229">
        <v>406.92</v>
      </c>
      <c r="AS194" s="230" t="s">
        <v>934</v>
      </c>
      <c r="AT194" s="237">
        <v>1.73E-7</v>
      </c>
      <c r="AU194" s="222" t="s">
        <v>926</v>
      </c>
    </row>
    <row r="195" spans="1:47" ht="62">
      <c r="A195" s="677" t="s">
        <v>1101</v>
      </c>
      <c r="B195" s="223" t="s">
        <v>137</v>
      </c>
      <c r="C195" s="223"/>
      <c r="D195" s="223"/>
      <c r="E195" s="223" t="str">
        <f t="shared" si="4"/>
        <v>No</v>
      </c>
      <c r="F195" s="222" t="s">
        <v>525</v>
      </c>
      <c r="G195" s="223" t="s">
        <v>472</v>
      </c>
      <c r="H195" s="237" t="s">
        <v>31</v>
      </c>
      <c r="I195" s="221" t="s">
        <v>31</v>
      </c>
      <c r="J195" s="237" t="s">
        <v>31</v>
      </c>
      <c r="K195" s="221" t="s">
        <v>31</v>
      </c>
      <c r="L195" s="237">
        <v>2.9999999999999997E-4</v>
      </c>
      <c r="M195" s="224" t="s">
        <v>1492</v>
      </c>
      <c r="N195" s="237" t="s">
        <v>31</v>
      </c>
      <c r="O195" s="221" t="s">
        <v>31</v>
      </c>
      <c r="P195" s="154" t="s">
        <v>31</v>
      </c>
      <c r="Q195" s="224" t="s">
        <v>31</v>
      </c>
      <c r="R195" s="225" t="s">
        <v>351</v>
      </c>
      <c r="S195" s="225"/>
      <c r="T195" s="225"/>
      <c r="U195" s="225"/>
      <c r="V195" s="225" t="s">
        <v>351</v>
      </c>
      <c r="W195" s="225"/>
      <c r="X195" s="225"/>
      <c r="Y195" s="225"/>
      <c r="Z195" s="225"/>
      <c r="AA195" s="225"/>
      <c r="AB195" s="223">
        <v>0.1</v>
      </c>
      <c r="AC195" s="221" t="s">
        <v>463</v>
      </c>
      <c r="AD195" s="223">
        <v>1</v>
      </c>
      <c r="AE195" s="232" t="s">
        <v>30</v>
      </c>
      <c r="AF195" s="223">
        <v>1</v>
      </c>
      <c r="AG195" s="226" t="s">
        <v>466</v>
      </c>
      <c r="AH195" s="237">
        <v>3.6158099999999999E-2</v>
      </c>
      <c r="AI195" s="237" t="s">
        <v>456</v>
      </c>
      <c r="AJ195" s="237">
        <v>4.2247999999999998E-6</v>
      </c>
      <c r="AK195" s="237" t="s">
        <v>456</v>
      </c>
      <c r="AL195" s="238">
        <v>10600</v>
      </c>
      <c r="AM195" s="230" t="s">
        <v>934</v>
      </c>
      <c r="AN195" s="237">
        <v>6.3600000000000001E-6</v>
      </c>
      <c r="AO195" s="154" t="s">
        <v>936</v>
      </c>
      <c r="AP195" s="237">
        <v>0.25</v>
      </c>
      <c r="AQ195" s="237" t="s">
        <v>934</v>
      </c>
      <c r="AR195" s="229">
        <v>380.91</v>
      </c>
      <c r="AS195" s="230" t="s">
        <v>934</v>
      </c>
      <c r="AT195" s="237">
        <v>3.0000000000000001E-6</v>
      </c>
      <c r="AU195" s="222" t="s">
        <v>926</v>
      </c>
    </row>
    <row r="196" spans="1:47" ht="62">
      <c r="A196" s="635" t="s">
        <v>1027</v>
      </c>
      <c r="B196" s="223" t="s">
        <v>13</v>
      </c>
      <c r="C196" s="223"/>
      <c r="D196" s="223"/>
      <c r="E196" s="223" t="str">
        <f t="shared" si="4"/>
        <v>Yes</v>
      </c>
      <c r="F196" s="222" t="s">
        <v>524</v>
      </c>
      <c r="G196" s="223" t="s">
        <v>472</v>
      </c>
      <c r="H196" s="237">
        <v>4.5</v>
      </c>
      <c r="I196" s="221" t="s">
        <v>831</v>
      </c>
      <c r="J196" s="237">
        <v>1.2999999999999999E-3</v>
      </c>
      <c r="K196" s="221" t="s">
        <v>831</v>
      </c>
      <c r="L196" s="237">
        <v>1E-4</v>
      </c>
      <c r="M196" s="224" t="s">
        <v>1560</v>
      </c>
      <c r="N196" s="237" t="s">
        <v>31</v>
      </c>
      <c r="O196" s="221" t="s">
        <v>31</v>
      </c>
      <c r="P196" s="154" t="s">
        <v>31</v>
      </c>
      <c r="Q196" s="224" t="s">
        <v>31</v>
      </c>
      <c r="R196" s="225"/>
      <c r="S196" s="225"/>
      <c r="T196" s="225" t="s">
        <v>351</v>
      </c>
      <c r="U196" s="225"/>
      <c r="V196" s="225"/>
      <c r="W196" s="225"/>
      <c r="X196" s="225"/>
      <c r="Y196" s="225"/>
      <c r="Z196" s="225"/>
      <c r="AA196" s="225"/>
      <c r="AB196" s="223">
        <v>0</v>
      </c>
      <c r="AC196" s="221" t="s">
        <v>1147</v>
      </c>
      <c r="AD196" s="223">
        <v>1</v>
      </c>
      <c r="AE196" s="232" t="s">
        <v>30</v>
      </c>
      <c r="AF196" s="223">
        <v>1</v>
      </c>
      <c r="AG196" s="226" t="s">
        <v>466</v>
      </c>
      <c r="AH196" s="237">
        <v>2.2344099999999999E-2</v>
      </c>
      <c r="AI196" s="237" t="s">
        <v>456</v>
      </c>
      <c r="AJ196" s="237">
        <v>5.6959E-6</v>
      </c>
      <c r="AK196" s="237" t="s">
        <v>456</v>
      </c>
      <c r="AL196" s="238">
        <v>41260</v>
      </c>
      <c r="AM196" s="230" t="s">
        <v>934</v>
      </c>
      <c r="AN196" s="237">
        <v>2.9399999999999999E-4</v>
      </c>
      <c r="AO196" s="154" t="s">
        <v>936</v>
      </c>
      <c r="AP196" s="237">
        <v>0.18</v>
      </c>
      <c r="AQ196" s="237" t="s">
        <v>934</v>
      </c>
      <c r="AR196" s="229">
        <v>373.32</v>
      </c>
      <c r="AS196" s="230" t="s">
        <v>934</v>
      </c>
      <c r="AT196" s="237">
        <v>4.0000000000000002E-4</v>
      </c>
      <c r="AU196" s="222" t="s">
        <v>926</v>
      </c>
    </row>
    <row r="197" spans="1:47" ht="92">
      <c r="A197" s="635" t="s">
        <v>1028</v>
      </c>
      <c r="B197" s="223" t="s">
        <v>11</v>
      </c>
      <c r="C197" s="223"/>
      <c r="D197" s="223"/>
      <c r="E197" s="223" t="str">
        <f t="shared" si="4"/>
        <v>Yes</v>
      </c>
      <c r="F197" s="222" t="s">
        <v>524</v>
      </c>
      <c r="G197" s="223" t="s">
        <v>472</v>
      </c>
      <c r="H197" s="237">
        <v>9.1</v>
      </c>
      <c r="I197" s="221" t="s">
        <v>1369</v>
      </c>
      <c r="J197" s="237">
        <v>2.5999999999999999E-3</v>
      </c>
      <c r="K197" s="221" t="s">
        <v>1080</v>
      </c>
      <c r="L197" s="237">
        <v>1.2999999999999999E-5</v>
      </c>
      <c r="M197" s="224" t="s">
        <v>1493</v>
      </c>
      <c r="N197" s="237" t="s">
        <v>31</v>
      </c>
      <c r="O197" s="221" t="s">
        <v>31</v>
      </c>
      <c r="P197" s="154" t="s">
        <v>31</v>
      </c>
      <c r="Q197" s="224" t="s">
        <v>31</v>
      </c>
      <c r="R197" s="225"/>
      <c r="S197" s="225"/>
      <c r="T197" s="225"/>
      <c r="U197" s="225"/>
      <c r="V197" s="225" t="s">
        <v>351</v>
      </c>
      <c r="W197" s="225"/>
      <c r="X197" s="225"/>
      <c r="Y197" s="225"/>
      <c r="Z197" s="225"/>
      <c r="AA197" s="225"/>
      <c r="AB197" s="223">
        <v>0</v>
      </c>
      <c r="AC197" s="221" t="s">
        <v>1147</v>
      </c>
      <c r="AD197" s="223">
        <v>1</v>
      </c>
      <c r="AE197" s="232" t="s">
        <v>30</v>
      </c>
      <c r="AF197" s="223">
        <v>1</v>
      </c>
      <c r="AG197" s="226" t="s">
        <v>466</v>
      </c>
      <c r="AH197" s="237">
        <v>3.5635500000000001E-2</v>
      </c>
      <c r="AI197" s="237" t="s">
        <v>456</v>
      </c>
      <c r="AJ197" s="237">
        <v>4.1636999999999996E-6</v>
      </c>
      <c r="AK197" s="237" t="s">
        <v>456</v>
      </c>
      <c r="AL197" s="238">
        <v>10110</v>
      </c>
      <c r="AM197" s="230" t="s">
        <v>934</v>
      </c>
      <c r="AN197" s="237">
        <v>2.0999999999999999E-5</v>
      </c>
      <c r="AO197" s="154" t="s">
        <v>936</v>
      </c>
      <c r="AP197" s="237">
        <v>0.2</v>
      </c>
      <c r="AQ197" s="237" t="s">
        <v>934</v>
      </c>
      <c r="AR197" s="229">
        <v>389.32</v>
      </c>
      <c r="AS197" s="230" t="s">
        <v>934</v>
      </c>
      <c r="AT197" s="237">
        <v>1.95E-5</v>
      </c>
      <c r="AU197" s="222" t="s">
        <v>926</v>
      </c>
    </row>
    <row r="198" spans="1:47" ht="50">
      <c r="A198" s="678" t="s">
        <v>1102</v>
      </c>
      <c r="B198" s="223" t="s">
        <v>118</v>
      </c>
      <c r="C198" s="223"/>
      <c r="D198" s="223"/>
      <c r="E198" s="223" t="str">
        <f t="shared" si="4"/>
        <v>No</v>
      </c>
      <c r="F198" s="222" t="s">
        <v>524</v>
      </c>
      <c r="G198" s="223" t="s">
        <v>472</v>
      </c>
      <c r="H198" s="237">
        <v>6.3</v>
      </c>
      <c r="I198" s="221" t="s">
        <v>1343</v>
      </c>
      <c r="J198" s="237">
        <v>1.8E-3</v>
      </c>
      <c r="K198" s="221" t="s">
        <v>1341</v>
      </c>
      <c r="L198" s="237">
        <v>8.9999999999999998E-4</v>
      </c>
      <c r="M198" s="224" t="s">
        <v>1561</v>
      </c>
      <c r="N198" s="237" t="s">
        <v>31</v>
      </c>
      <c r="O198" s="221" t="s">
        <v>31</v>
      </c>
      <c r="P198" s="154" t="s">
        <v>31</v>
      </c>
      <c r="Q198" s="224" t="s">
        <v>31</v>
      </c>
      <c r="R198" s="225"/>
      <c r="S198" s="225"/>
      <c r="T198" s="225"/>
      <c r="U198" s="225"/>
      <c r="V198" s="225" t="s">
        <v>351</v>
      </c>
      <c r="W198" s="225"/>
      <c r="X198" s="225"/>
      <c r="Y198" s="225"/>
      <c r="Z198" s="225"/>
      <c r="AA198" s="225"/>
      <c r="AB198" s="223">
        <v>0.1</v>
      </c>
      <c r="AC198" s="221" t="s">
        <v>463</v>
      </c>
      <c r="AD198" s="223">
        <v>1</v>
      </c>
      <c r="AE198" s="232" t="s">
        <v>30</v>
      </c>
      <c r="AF198" s="223">
        <v>1</v>
      </c>
      <c r="AG198" s="226" t="s">
        <v>466</v>
      </c>
      <c r="AH198" s="237">
        <v>4.3284000000000003E-2</v>
      </c>
      <c r="AI198" s="237" t="s">
        <v>456</v>
      </c>
      <c r="AJ198" s="237">
        <v>5.0574000000000001E-6</v>
      </c>
      <c r="AK198" s="237" t="s">
        <v>456</v>
      </c>
      <c r="AL198" s="238">
        <v>2807</v>
      </c>
      <c r="AM198" s="230" t="s">
        <v>934</v>
      </c>
      <c r="AN198" s="237">
        <v>6.7000000000000002E-6</v>
      </c>
      <c r="AO198" s="154" t="s">
        <v>936</v>
      </c>
      <c r="AP198" s="237">
        <v>2</v>
      </c>
      <c r="AQ198" s="237" t="s">
        <v>934</v>
      </c>
      <c r="AR198" s="229">
        <v>290.83</v>
      </c>
      <c r="AS198" s="230" t="s">
        <v>934</v>
      </c>
      <c r="AT198" s="237">
        <v>3.5200000000000002E-5</v>
      </c>
      <c r="AU198" s="222" t="s">
        <v>926</v>
      </c>
    </row>
    <row r="199" spans="1:47" ht="30">
      <c r="A199" s="678" t="s">
        <v>1103</v>
      </c>
      <c r="B199" s="223" t="s">
        <v>119</v>
      </c>
      <c r="C199" s="223"/>
      <c r="D199" s="223"/>
      <c r="E199" s="223" t="str">
        <f t="shared" si="4"/>
        <v>No</v>
      </c>
      <c r="F199" s="222" t="s">
        <v>520</v>
      </c>
      <c r="G199" s="223" t="s">
        <v>472</v>
      </c>
      <c r="H199" s="237">
        <v>1.8</v>
      </c>
      <c r="I199" s="221" t="s">
        <v>1342</v>
      </c>
      <c r="J199" s="237">
        <v>5.2999999999999998E-4</v>
      </c>
      <c r="K199" s="221" t="s">
        <v>1342</v>
      </c>
      <c r="L199" s="237" t="s">
        <v>31</v>
      </c>
      <c r="M199" s="224" t="s">
        <v>31</v>
      </c>
      <c r="N199" s="237" t="s">
        <v>31</v>
      </c>
      <c r="O199" s="221" t="s">
        <v>31</v>
      </c>
      <c r="P199" s="154" t="s">
        <v>31</v>
      </c>
      <c r="Q199" s="224" t="s">
        <v>31</v>
      </c>
      <c r="R199" s="225"/>
      <c r="S199" s="225"/>
      <c r="T199" s="225"/>
      <c r="U199" s="225"/>
      <c r="V199" s="225"/>
      <c r="W199" s="225"/>
      <c r="X199" s="225"/>
      <c r="Y199" s="225"/>
      <c r="Z199" s="225"/>
      <c r="AA199" s="225"/>
      <c r="AB199" s="223">
        <v>0.1</v>
      </c>
      <c r="AC199" s="221" t="s">
        <v>463</v>
      </c>
      <c r="AD199" s="223">
        <v>1</v>
      </c>
      <c r="AE199" s="232" t="s">
        <v>30</v>
      </c>
      <c r="AF199" s="223">
        <v>1</v>
      </c>
      <c r="AG199" s="226" t="s">
        <v>466</v>
      </c>
      <c r="AH199" s="237">
        <v>2.7667199999999999E-2</v>
      </c>
      <c r="AI199" s="237" t="s">
        <v>456</v>
      </c>
      <c r="AJ199" s="237">
        <v>7.3954999999999998E-6</v>
      </c>
      <c r="AK199" s="237" t="s">
        <v>456</v>
      </c>
      <c r="AL199" s="238">
        <v>2807</v>
      </c>
      <c r="AM199" s="230" t="s">
        <v>934</v>
      </c>
      <c r="AN199" s="237">
        <v>4.4000000000000002E-7</v>
      </c>
      <c r="AO199" s="154" t="s">
        <v>938</v>
      </c>
      <c r="AP199" s="237">
        <v>0.24</v>
      </c>
      <c r="AQ199" s="237" t="s">
        <v>934</v>
      </c>
      <c r="AR199" s="229">
        <v>290.83</v>
      </c>
      <c r="AS199" s="230" t="s">
        <v>934</v>
      </c>
      <c r="AT199" s="237">
        <v>3.5999999999999999E-7</v>
      </c>
      <c r="AU199" s="222" t="s">
        <v>926</v>
      </c>
    </row>
    <row r="200" spans="1:47" ht="80">
      <c r="A200" s="678" t="s">
        <v>1104</v>
      </c>
      <c r="B200" s="223" t="s">
        <v>120</v>
      </c>
      <c r="C200" s="223"/>
      <c r="D200" s="223"/>
      <c r="E200" s="223" t="str">
        <f t="shared" si="4"/>
        <v>No</v>
      </c>
      <c r="F200" s="222" t="s">
        <v>517</v>
      </c>
      <c r="G200" s="223" t="s">
        <v>472</v>
      </c>
      <c r="H200" s="237">
        <v>1.1000000000000001</v>
      </c>
      <c r="I200" s="221" t="s">
        <v>1608</v>
      </c>
      <c r="J200" s="237">
        <v>3.1E-4</v>
      </c>
      <c r="K200" s="221" t="s">
        <v>1609</v>
      </c>
      <c r="L200" s="237">
        <v>7.9999999999999996E-7</v>
      </c>
      <c r="M200" s="224" t="s">
        <v>1712</v>
      </c>
      <c r="N200" s="237" t="s">
        <v>31</v>
      </c>
      <c r="O200" s="221" t="s">
        <v>31</v>
      </c>
      <c r="P200" s="154" t="s">
        <v>31</v>
      </c>
      <c r="Q200" s="224" t="s">
        <v>31</v>
      </c>
      <c r="R200" s="225"/>
      <c r="S200" s="225" t="s">
        <v>351</v>
      </c>
      <c r="T200" s="225"/>
      <c r="U200" s="225"/>
      <c r="V200" s="225"/>
      <c r="W200" s="225" t="s">
        <v>351</v>
      </c>
      <c r="X200" s="225"/>
      <c r="Y200" s="225"/>
      <c r="Z200" s="225"/>
      <c r="AA200" s="225"/>
      <c r="AB200" s="223">
        <v>0.04</v>
      </c>
      <c r="AC200" s="221" t="s">
        <v>458</v>
      </c>
      <c r="AD200" s="223">
        <v>1</v>
      </c>
      <c r="AE200" s="232" t="s">
        <v>30</v>
      </c>
      <c r="AF200" s="223">
        <v>1</v>
      </c>
      <c r="AG200" s="226" t="s">
        <v>466</v>
      </c>
      <c r="AH200" s="237">
        <v>4.3284000000000003E-2</v>
      </c>
      <c r="AI200" s="237" t="s">
        <v>456</v>
      </c>
      <c r="AJ200" s="237">
        <v>5.0574000000000001E-6</v>
      </c>
      <c r="AK200" s="237" t="s">
        <v>456</v>
      </c>
      <c r="AL200" s="238">
        <v>2807</v>
      </c>
      <c r="AM200" s="230" t="s">
        <v>934</v>
      </c>
      <c r="AN200" s="237">
        <v>5.1399999999999999E-6</v>
      </c>
      <c r="AO200" s="154" t="s">
        <v>936</v>
      </c>
      <c r="AP200" s="237">
        <v>7.3</v>
      </c>
      <c r="AQ200" s="237" t="s">
        <v>934</v>
      </c>
      <c r="AR200" s="229">
        <v>290.83</v>
      </c>
      <c r="AS200" s="230" t="s">
        <v>934</v>
      </c>
      <c r="AT200" s="237">
        <v>4.1999999999999998E-5</v>
      </c>
      <c r="AU200" s="222" t="s">
        <v>926</v>
      </c>
    </row>
    <row r="201" spans="1:47" ht="60">
      <c r="A201" s="677" t="s">
        <v>122</v>
      </c>
      <c r="B201" s="223" t="s">
        <v>208</v>
      </c>
      <c r="C201" s="223"/>
      <c r="D201" s="223"/>
      <c r="E201" s="223" t="str">
        <f t="shared" si="4"/>
        <v>No</v>
      </c>
      <c r="F201" s="222" t="s">
        <v>524</v>
      </c>
      <c r="G201" s="223" t="s">
        <v>472</v>
      </c>
      <c r="H201" s="237">
        <v>4</v>
      </c>
      <c r="I201" s="221" t="s">
        <v>1610</v>
      </c>
      <c r="J201" s="237">
        <v>5.1000000000000004E-4</v>
      </c>
      <c r="K201" s="221" t="s">
        <v>1344</v>
      </c>
      <c r="L201" s="237" t="s">
        <v>31</v>
      </c>
      <c r="M201" s="224" t="s">
        <v>31</v>
      </c>
      <c r="N201" s="237" t="s">
        <v>31</v>
      </c>
      <c r="O201" s="221" t="s">
        <v>31</v>
      </c>
      <c r="P201" s="154" t="s">
        <v>31</v>
      </c>
      <c r="Q201" s="224" t="s">
        <v>31</v>
      </c>
      <c r="R201" s="225"/>
      <c r="S201" s="225"/>
      <c r="T201" s="225"/>
      <c r="U201" s="225"/>
      <c r="V201" s="225"/>
      <c r="W201" s="225"/>
      <c r="X201" s="225"/>
      <c r="Y201" s="225"/>
      <c r="Z201" s="225"/>
      <c r="AA201" s="225"/>
      <c r="AB201" s="223">
        <v>0.1</v>
      </c>
      <c r="AC201" s="221" t="s">
        <v>463</v>
      </c>
      <c r="AD201" s="223">
        <v>1</v>
      </c>
      <c r="AE201" s="232" t="s">
        <v>30</v>
      </c>
      <c r="AF201" s="223">
        <v>1</v>
      </c>
      <c r="AG201" s="226" t="s">
        <v>466</v>
      </c>
      <c r="AH201" s="237">
        <v>4.3284000000000003E-2</v>
      </c>
      <c r="AI201" s="237" t="s">
        <v>456</v>
      </c>
      <c r="AJ201" s="237">
        <v>5.0574000000000001E-6</v>
      </c>
      <c r="AK201" s="237" t="s">
        <v>456</v>
      </c>
      <c r="AL201" s="238">
        <v>2807</v>
      </c>
      <c r="AM201" s="230" t="s">
        <v>934</v>
      </c>
      <c r="AN201" s="237">
        <v>5.1399999999999999E-6</v>
      </c>
      <c r="AO201" s="154" t="s">
        <v>933</v>
      </c>
      <c r="AP201" s="237">
        <v>8</v>
      </c>
      <c r="AQ201" s="237" t="s">
        <v>934</v>
      </c>
      <c r="AR201" s="229">
        <v>290.83</v>
      </c>
      <c r="AS201" s="230" t="s">
        <v>934</v>
      </c>
      <c r="AT201" s="237">
        <v>3.5200000000000002E-5</v>
      </c>
      <c r="AU201" s="222" t="s">
        <v>932</v>
      </c>
    </row>
    <row r="202" spans="1:47" ht="60">
      <c r="A202" s="221" t="s">
        <v>410</v>
      </c>
      <c r="B202" s="223" t="s">
        <v>79</v>
      </c>
      <c r="C202" s="223"/>
      <c r="D202" s="223"/>
      <c r="E202" s="223" t="str">
        <f t="shared" si="4"/>
        <v>No</v>
      </c>
      <c r="F202" s="222" t="s">
        <v>517</v>
      </c>
      <c r="G202" s="223" t="s">
        <v>472</v>
      </c>
      <c r="H202" s="237" t="s">
        <v>31</v>
      </c>
      <c r="I202" s="221" t="s">
        <v>31</v>
      </c>
      <c r="J202" s="237" t="s">
        <v>31</v>
      </c>
      <c r="K202" s="221" t="s">
        <v>31</v>
      </c>
      <c r="L202" s="237">
        <v>1E-3</v>
      </c>
      <c r="M202" s="224" t="s">
        <v>1494</v>
      </c>
      <c r="N202" s="237" t="s">
        <v>31</v>
      </c>
      <c r="O202" s="221" t="s">
        <v>31</v>
      </c>
      <c r="P202" s="154" t="s">
        <v>31</v>
      </c>
      <c r="Q202" s="224" t="s">
        <v>31</v>
      </c>
      <c r="R202" s="225"/>
      <c r="S202" s="225"/>
      <c r="T202" s="225"/>
      <c r="U202" s="225" t="s">
        <v>351</v>
      </c>
      <c r="V202" s="225"/>
      <c r="W202" s="225"/>
      <c r="X202" s="225"/>
      <c r="Y202" s="225"/>
      <c r="Z202" s="225"/>
      <c r="AA202" s="225"/>
      <c r="AB202" s="223">
        <v>0.1</v>
      </c>
      <c r="AC202" s="221" t="s">
        <v>463</v>
      </c>
      <c r="AD202" s="223">
        <v>1</v>
      </c>
      <c r="AE202" s="232" t="s">
        <v>30</v>
      </c>
      <c r="AF202" s="223">
        <v>1</v>
      </c>
      <c r="AG202" s="226" t="s">
        <v>466</v>
      </c>
      <c r="AH202" s="237">
        <v>5.2998799999999999E-2</v>
      </c>
      <c r="AI202" s="237" t="s">
        <v>456</v>
      </c>
      <c r="AJ202" s="237">
        <v>6.1924999999999996E-6</v>
      </c>
      <c r="AK202" s="237" t="s">
        <v>456</v>
      </c>
      <c r="AL202" s="238">
        <v>48.51</v>
      </c>
      <c r="AM202" s="230" t="s">
        <v>934</v>
      </c>
      <c r="AN202" s="237">
        <v>1.8200000000000001E-8</v>
      </c>
      <c r="AO202" s="154" t="s">
        <v>938</v>
      </c>
      <c r="AP202" s="237">
        <v>620</v>
      </c>
      <c r="AQ202" s="237" t="s">
        <v>934</v>
      </c>
      <c r="AR202" s="229">
        <v>214.65</v>
      </c>
      <c r="AS202" s="230" t="s">
        <v>934</v>
      </c>
      <c r="AT202" s="237">
        <v>7.5000000000000002E-7</v>
      </c>
      <c r="AU202" s="222" t="s">
        <v>926</v>
      </c>
    </row>
    <row r="203" spans="1:47" ht="71.5">
      <c r="A203" s="677" t="s">
        <v>1105</v>
      </c>
      <c r="B203" s="223" t="s">
        <v>117</v>
      </c>
      <c r="C203" s="223"/>
      <c r="D203" s="223"/>
      <c r="E203" s="223" t="str">
        <f t="shared" si="4"/>
        <v>No</v>
      </c>
      <c r="F203" s="222" t="s">
        <v>524</v>
      </c>
      <c r="G203" s="223" t="s">
        <v>472</v>
      </c>
      <c r="H203" s="237">
        <v>1.1000000000000001</v>
      </c>
      <c r="I203" s="221" t="s">
        <v>1345</v>
      </c>
      <c r="J203" s="237">
        <v>3.2000000000000003E-4</v>
      </c>
      <c r="K203" s="221" t="s">
        <v>1379</v>
      </c>
      <c r="L203" s="237">
        <v>9.0000000000000006E-5</v>
      </c>
      <c r="M203" s="224" t="s">
        <v>1691</v>
      </c>
      <c r="N203" s="237" t="s">
        <v>31</v>
      </c>
      <c r="O203" s="221" t="s">
        <v>31</v>
      </c>
      <c r="P203" s="154" t="s">
        <v>31</v>
      </c>
      <c r="Q203" s="224" t="s">
        <v>31</v>
      </c>
      <c r="R203" s="225"/>
      <c r="S203" s="225"/>
      <c r="T203" s="225"/>
      <c r="U203" s="225"/>
      <c r="V203" s="225"/>
      <c r="W203" s="225"/>
      <c r="X203" s="225"/>
      <c r="Y203" s="225"/>
      <c r="Z203" s="225"/>
      <c r="AA203" s="225" t="s">
        <v>351</v>
      </c>
      <c r="AB203" s="223">
        <v>0.1</v>
      </c>
      <c r="AC203" s="221" t="s">
        <v>463</v>
      </c>
      <c r="AD203" s="223">
        <v>1</v>
      </c>
      <c r="AE203" s="232" t="s">
        <v>30</v>
      </c>
      <c r="AF203" s="223">
        <v>1</v>
      </c>
      <c r="AG203" s="226" t="s">
        <v>466</v>
      </c>
      <c r="AH203" s="237">
        <v>3.4214700000000001E-2</v>
      </c>
      <c r="AI203" s="237" t="s">
        <v>456</v>
      </c>
      <c r="AJ203" s="237">
        <v>3.9976999999999999E-6</v>
      </c>
      <c r="AK203" s="237" t="s">
        <v>456</v>
      </c>
      <c r="AL203" s="238">
        <v>77200</v>
      </c>
      <c r="AM203" s="230" t="s">
        <v>934</v>
      </c>
      <c r="AN203" s="237">
        <v>6.0000000000000002E-6</v>
      </c>
      <c r="AO203" s="222" t="s">
        <v>931</v>
      </c>
      <c r="AP203" s="237">
        <v>0.74</v>
      </c>
      <c r="AQ203" s="237" t="s">
        <v>934</v>
      </c>
      <c r="AR203" s="229">
        <v>413.82</v>
      </c>
      <c r="AS203" s="230" t="s">
        <v>934</v>
      </c>
      <c r="AT203" s="237">
        <v>6.6900000000000003E-6</v>
      </c>
      <c r="AU203" s="222" t="s">
        <v>926</v>
      </c>
    </row>
    <row r="204" spans="1:47">
      <c r="A204" s="259" t="s">
        <v>394</v>
      </c>
      <c r="B204" s="260"/>
      <c r="C204" s="300"/>
      <c r="D204" s="300"/>
      <c r="E204" s="262"/>
      <c r="F204" s="264"/>
      <c r="G204" s="262"/>
      <c r="H204" s="301"/>
      <c r="I204" s="213"/>
      <c r="J204" s="301"/>
      <c r="K204" s="213"/>
      <c r="L204" s="301"/>
      <c r="M204" s="296"/>
      <c r="N204" s="301"/>
      <c r="O204" s="213"/>
      <c r="P204" s="216"/>
      <c r="Q204" s="296"/>
      <c r="R204" s="217"/>
      <c r="S204" s="217"/>
      <c r="T204" s="217"/>
      <c r="U204" s="217"/>
      <c r="V204" s="217"/>
      <c r="W204" s="217"/>
      <c r="X204" s="217"/>
      <c r="Y204" s="217"/>
      <c r="Z204" s="217"/>
      <c r="AA204" s="217"/>
      <c r="AB204" s="262"/>
      <c r="AC204" s="213"/>
      <c r="AD204" s="262"/>
      <c r="AE204" s="298"/>
      <c r="AF204" s="262"/>
      <c r="AG204" s="213"/>
      <c r="AH204" s="275"/>
      <c r="AI204" s="275"/>
      <c r="AJ204" s="275"/>
      <c r="AK204" s="275"/>
      <c r="AL204" s="299"/>
      <c r="AM204" s="275"/>
      <c r="AN204" s="275"/>
      <c r="AO204" s="334"/>
      <c r="AP204" s="275"/>
      <c r="AQ204" s="275"/>
      <c r="AR204" s="353"/>
      <c r="AS204" s="354"/>
      <c r="AT204" s="556"/>
      <c r="AU204" s="553"/>
    </row>
    <row r="205" spans="1:47" ht="92">
      <c r="A205" s="295" t="s">
        <v>485</v>
      </c>
      <c r="B205" s="223" t="s">
        <v>104</v>
      </c>
      <c r="C205" s="223"/>
      <c r="D205" s="223"/>
      <c r="E205" s="223" t="str">
        <f>IF(OR(AN205&gt;0.00001,AT205&gt;1),"Yes","No")</f>
        <v>Yes</v>
      </c>
      <c r="F205" s="222" t="s">
        <v>1081</v>
      </c>
      <c r="G205" s="223" t="s">
        <v>472</v>
      </c>
      <c r="H205" s="237">
        <v>1400000</v>
      </c>
      <c r="I205" s="221" t="s">
        <v>1562</v>
      </c>
      <c r="J205" s="237">
        <v>400</v>
      </c>
      <c r="K205" s="221" t="s">
        <v>1246</v>
      </c>
      <c r="L205" s="237">
        <v>6.9999999999999996E-10</v>
      </c>
      <c r="M205" s="224" t="s">
        <v>1424</v>
      </c>
      <c r="N205" s="237">
        <v>4.0000000000000001E-8</v>
      </c>
      <c r="O205" s="221" t="s">
        <v>1710</v>
      </c>
      <c r="P205" s="154" t="s">
        <v>31</v>
      </c>
      <c r="Q205" s="224" t="s">
        <v>31</v>
      </c>
      <c r="R205" s="225"/>
      <c r="S205" s="225" t="s">
        <v>351</v>
      </c>
      <c r="T205" s="225"/>
      <c r="U205" s="225"/>
      <c r="V205" s="225" t="s">
        <v>351</v>
      </c>
      <c r="W205" s="225" t="s">
        <v>351</v>
      </c>
      <c r="X205" s="225" t="s">
        <v>351</v>
      </c>
      <c r="Y205" s="225"/>
      <c r="Z205" s="225"/>
      <c r="AA205" s="225"/>
      <c r="AB205" s="223">
        <v>0.03</v>
      </c>
      <c r="AC205" s="221" t="s">
        <v>458</v>
      </c>
      <c r="AD205" s="229">
        <v>1</v>
      </c>
      <c r="AE205" s="221" t="s">
        <v>30</v>
      </c>
      <c r="AF205" s="223">
        <v>1</v>
      </c>
      <c r="AG205" s="226" t="s">
        <v>465</v>
      </c>
      <c r="AH205" s="237">
        <v>4.7027800000000002E-2</v>
      </c>
      <c r="AI205" s="237" t="s">
        <v>456</v>
      </c>
      <c r="AJ205" s="237">
        <v>4.7257000000000003E-6</v>
      </c>
      <c r="AK205" s="237" t="s">
        <v>456</v>
      </c>
      <c r="AL205" s="238">
        <v>249100</v>
      </c>
      <c r="AM205" s="230" t="s">
        <v>934</v>
      </c>
      <c r="AN205" s="237">
        <v>5.0000000000000002E-5</v>
      </c>
      <c r="AO205" s="222" t="s">
        <v>932</v>
      </c>
      <c r="AP205" s="237">
        <v>2.0000000000000001E-4</v>
      </c>
      <c r="AQ205" s="237" t="s">
        <v>934</v>
      </c>
      <c r="AR205" s="229">
        <v>321.98</v>
      </c>
      <c r="AS205" s="230" t="s">
        <v>934</v>
      </c>
      <c r="AT205" s="237">
        <v>1.5E-9</v>
      </c>
      <c r="AU205" s="222" t="s">
        <v>926</v>
      </c>
    </row>
    <row r="206" spans="1:47">
      <c r="A206" s="259" t="s">
        <v>395</v>
      </c>
      <c r="B206" s="260"/>
      <c r="C206" s="300"/>
      <c r="D206" s="300"/>
      <c r="E206" s="262"/>
      <c r="F206" s="264"/>
      <c r="G206" s="262"/>
      <c r="H206" s="301"/>
      <c r="I206" s="213"/>
      <c r="J206" s="301"/>
      <c r="K206" s="213"/>
      <c r="L206" s="301"/>
      <c r="M206" s="296"/>
      <c r="N206" s="301"/>
      <c r="O206" s="213"/>
      <c r="P206" s="216"/>
      <c r="Q206" s="296"/>
      <c r="R206" s="217"/>
      <c r="S206" s="217"/>
      <c r="T206" s="217"/>
      <c r="U206" s="217"/>
      <c r="V206" s="217"/>
      <c r="W206" s="217"/>
      <c r="X206" s="217"/>
      <c r="Y206" s="217"/>
      <c r="Z206" s="217"/>
      <c r="AA206" s="217"/>
      <c r="AB206" s="262"/>
      <c r="AC206" s="213"/>
      <c r="AD206" s="262"/>
      <c r="AE206" s="298"/>
      <c r="AF206" s="262"/>
      <c r="AG206" s="213"/>
      <c r="AH206" s="275"/>
      <c r="AI206" s="275"/>
      <c r="AJ206" s="275"/>
      <c r="AK206" s="275"/>
      <c r="AL206" s="299"/>
      <c r="AM206" s="275"/>
      <c r="AN206" s="275"/>
      <c r="AO206" s="334"/>
      <c r="AP206" s="275"/>
      <c r="AQ206" s="275"/>
      <c r="AR206" s="353"/>
      <c r="AS206" s="354"/>
      <c r="AT206" s="556"/>
      <c r="AU206" s="553"/>
    </row>
    <row r="207" spans="1:47" ht="70">
      <c r="A207" s="221" t="s">
        <v>425</v>
      </c>
      <c r="B207" s="223" t="s">
        <v>130</v>
      </c>
      <c r="C207" s="223"/>
      <c r="D207" s="223"/>
      <c r="E207" s="223" t="str">
        <f t="shared" ref="E207:E214" si="5">IF(OR(AN207&gt;0.00001,AT207&gt;1),"Yes","No")</f>
        <v>No</v>
      </c>
      <c r="F207" s="222" t="s">
        <v>1082</v>
      </c>
      <c r="G207" s="223" t="s">
        <v>472</v>
      </c>
      <c r="H207" s="237">
        <v>0.08</v>
      </c>
      <c r="I207" s="221" t="s">
        <v>1618</v>
      </c>
      <c r="J207" s="237" t="s">
        <v>31</v>
      </c>
      <c r="K207" s="221" t="s">
        <v>31</v>
      </c>
      <c r="L207" s="237">
        <v>4.0000000000000001E-3</v>
      </c>
      <c r="M207" s="224" t="s">
        <v>1398</v>
      </c>
      <c r="N207" s="237" t="s">
        <v>31</v>
      </c>
      <c r="O207" s="221" t="s">
        <v>31</v>
      </c>
      <c r="P207" s="154" t="s">
        <v>31</v>
      </c>
      <c r="Q207" s="224" t="s">
        <v>31</v>
      </c>
      <c r="R207" s="225" t="s">
        <v>351</v>
      </c>
      <c r="S207" s="225"/>
      <c r="T207" s="225"/>
      <c r="U207" s="225"/>
      <c r="V207" s="225"/>
      <c r="W207" s="225"/>
      <c r="X207" s="225"/>
      <c r="Y207" s="225"/>
      <c r="Z207" s="225"/>
      <c r="AA207" s="225"/>
      <c r="AB207" s="223">
        <v>1.4999999999999999E-2</v>
      </c>
      <c r="AC207" s="221" t="s">
        <v>1714</v>
      </c>
      <c r="AD207" s="223">
        <v>1</v>
      </c>
      <c r="AE207" s="232" t="s">
        <v>30</v>
      </c>
      <c r="AF207" s="223">
        <v>1</v>
      </c>
      <c r="AG207" s="226" t="s">
        <v>466</v>
      </c>
      <c r="AH207" s="237">
        <v>3.1154100000000001E-2</v>
      </c>
      <c r="AI207" s="237" t="s">
        <v>456</v>
      </c>
      <c r="AJ207" s="237">
        <v>8.4988999999999992E-6</v>
      </c>
      <c r="AK207" s="237" t="s">
        <v>456</v>
      </c>
      <c r="AL207" s="238">
        <v>89.07</v>
      </c>
      <c r="AM207" s="230" t="s">
        <v>934</v>
      </c>
      <c r="AN207" s="237">
        <v>2.01E-11</v>
      </c>
      <c r="AO207" s="222" t="s">
        <v>932</v>
      </c>
      <c r="AP207" s="237">
        <v>59.7</v>
      </c>
      <c r="AQ207" s="237" t="s">
        <v>934</v>
      </c>
      <c r="AR207" s="229">
        <v>222.12</v>
      </c>
      <c r="AS207" s="230" t="s">
        <v>934</v>
      </c>
      <c r="AT207" s="237">
        <v>4.1000000000000003E-9</v>
      </c>
      <c r="AU207" s="222" t="s">
        <v>926</v>
      </c>
    </row>
    <row r="208" spans="1:47" ht="50">
      <c r="A208" s="221" t="s">
        <v>497</v>
      </c>
      <c r="B208" s="223" t="s">
        <v>91</v>
      </c>
      <c r="C208" s="223"/>
      <c r="D208" s="223"/>
      <c r="E208" s="223" t="str">
        <f t="shared" si="5"/>
        <v>No</v>
      </c>
      <c r="F208" s="222" t="s">
        <v>525</v>
      </c>
      <c r="G208" s="223" t="s">
        <v>472</v>
      </c>
      <c r="H208" s="237" t="s">
        <v>31</v>
      </c>
      <c r="I208" s="221" t="s">
        <v>31</v>
      </c>
      <c r="J208" s="237" t="s">
        <v>31</v>
      </c>
      <c r="K208" s="221" t="s">
        <v>31</v>
      </c>
      <c r="L208" s="237">
        <v>1E-4</v>
      </c>
      <c r="M208" s="224" t="s">
        <v>832</v>
      </c>
      <c r="N208" s="237" t="s">
        <v>31</v>
      </c>
      <c r="O208" s="221" t="s">
        <v>31</v>
      </c>
      <c r="P208" s="154" t="s">
        <v>31</v>
      </c>
      <c r="Q208" s="224" t="s">
        <v>31</v>
      </c>
      <c r="R208" s="225"/>
      <c r="S208" s="225" t="s">
        <v>351</v>
      </c>
      <c r="T208" s="225" t="s">
        <v>351</v>
      </c>
      <c r="U208" s="225"/>
      <c r="V208" s="225"/>
      <c r="W208" s="225"/>
      <c r="X208" s="225"/>
      <c r="Y208" s="225"/>
      <c r="Z208" s="225"/>
      <c r="AA208" s="225"/>
      <c r="AB208" s="223">
        <v>0.1</v>
      </c>
      <c r="AC208" s="221" t="s">
        <v>463</v>
      </c>
      <c r="AD208" s="223">
        <v>1</v>
      </c>
      <c r="AE208" s="232" t="s">
        <v>30</v>
      </c>
      <c r="AF208" s="223">
        <v>1</v>
      </c>
      <c r="AG208" s="226" t="s">
        <v>466</v>
      </c>
      <c r="AH208" s="237">
        <v>4.8498699999999999E-2</v>
      </c>
      <c r="AI208" s="237" t="s">
        <v>456</v>
      </c>
      <c r="AJ208" s="237">
        <v>9.2109000000000002E-6</v>
      </c>
      <c r="AK208" s="237" t="s">
        <v>456</v>
      </c>
      <c r="AL208" s="238">
        <v>351.6</v>
      </c>
      <c r="AM208" s="230" t="s">
        <v>934</v>
      </c>
      <c r="AN208" s="237">
        <v>4.9000000000000002E-8</v>
      </c>
      <c r="AO208" s="222" t="s">
        <v>931</v>
      </c>
      <c r="AP208" s="237">
        <v>533</v>
      </c>
      <c r="AQ208" s="237" t="s">
        <v>934</v>
      </c>
      <c r="AR208" s="229">
        <v>168.11</v>
      </c>
      <c r="AS208" s="230" t="s">
        <v>934</v>
      </c>
      <c r="AT208" s="237">
        <v>8.9999999999999998E-4</v>
      </c>
      <c r="AU208" s="222" t="s">
        <v>926</v>
      </c>
    </row>
    <row r="209" spans="1:47" ht="100.5">
      <c r="A209" s="677" t="s">
        <v>1096</v>
      </c>
      <c r="B209" s="223" t="s">
        <v>92</v>
      </c>
      <c r="C209" s="223"/>
      <c r="D209" s="223"/>
      <c r="E209" s="223" t="str">
        <f t="shared" si="5"/>
        <v>No</v>
      </c>
      <c r="F209" s="222" t="s">
        <v>517</v>
      </c>
      <c r="G209" s="223" t="s">
        <v>472</v>
      </c>
      <c r="H209" s="237">
        <v>0.31</v>
      </c>
      <c r="I209" s="221" t="s">
        <v>1611</v>
      </c>
      <c r="J209" s="237">
        <v>8.8999999999999995E-5</v>
      </c>
      <c r="K209" s="221" t="s">
        <v>1709</v>
      </c>
      <c r="L209" s="237">
        <v>2E-3</v>
      </c>
      <c r="M209" s="224" t="s">
        <v>1495</v>
      </c>
      <c r="N209" s="237" t="s">
        <v>31</v>
      </c>
      <c r="O209" s="221" t="s">
        <v>31</v>
      </c>
      <c r="P209" s="154" t="s">
        <v>31</v>
      </c>
      <c r="Q209" s="224" t="s">
        <v>31</v>
      </c>
      <c r="R209" s="225" t="s">
        <v>351</v>
      </c>
      <c r="S209" s="225" t="s">
        <v>351</v>
      </c>
      <c r="T209" s="225"/>
      <c r="U209" s="225"/>
      <c r="V209" s="225" t="s">
        <v>351</v>
      </c>
      <c r="W209" s="225"/>
      <c r="X209" s="225"/>
      <c r="Y209" s="225"/>
      <c r="Z209" s="225"/>
      <c r="AA209" s="225"/>
      <c r="AB209" s="223">
        <v>0.10199999999999999</v>
      </c>
      <c r="AC209" s="221" t="s">
        <v>1714</v>
      </c>
      <c r="AD209" s="223">
        <v>1</v>
      </c>
      <c r="AE209" s="232" t="s">
        <v>30</v>
      </c>
      <c r="AF209" s="223">
        <v>1</v>
      </c>
      <c r="AG209" s="226" t="s">
        <v>466</v>
      </c>
      <c r="AH209" s="237">
        <v>3.7511500000000003E-2</v>
      </c>
      <c r="AI209" s="237" t="s">
        <v>456</v>
      </c>
      <c r="AJ209" s="237">
        <v>7.8982E-6</v>
      </c>
      <c r="AK209" s="237" t="s">
        <v>456</v>
      </c>
      <c r="AL209" s="238">
        <v>575.6</v>
      </c>
      <c r="AM209" s="230" t="s">
        <v>934</v>
      </c>
      <c r="AN209" s="237">
        <v>5.4E-8</v>
      </c>
      <c r="AO209" s="222" t="s">
        <v>931</v>
      </c>
      <c r="AP209" s="237">
        <v>200</v>
      </c>
      <c r="AQ209" s="237" t="s">
        <v>934</v>
      </c>
      <c r="AR209" s="229">
        <v>182.14</v>
      </c>
      <c r="AS209" s="230" t="s">
        <v>934</v>
      </c>
      <c r="AT209" s="237">
        <v>1.47E-4</v>
      </c>
      <c r="AU209" s="222" t="s">
        <v>926</v>
      </c>
    </row>
    <row r="210" spans="1:47" ht="50">
      <c r="A210" s="677" t="s">
        <v>1097</v>
      </c>
      <c r="B210" s="223" t="s">
        <v>230</v>
      </c>
      <c r="C210" s="223"/>
      <c r="D210" s="223"/>
      <c r="E210" s="223" t="str">
        <f t="shared" si="5"/>
        <v>No</v>
      </c>
      <c r="F210" s="222" t="s">
        <v>1083</v>
      </c>
      <c r="G210" s="223" t="s">
        <v>469</v>
      </c>
      <c r="H210" s="237">
        <v>1.5</v>
      </c>
      <c r="I210" s="221" t="s">
        <v>820</v>
      </c>
      <c r="J210" s="237" t="s">
        <v>31</v>
      </c>
      <c r="K210" s="221" t="s">
        <v>31</v>
      </c>
      <c r="L210" s="237">
        <v>2.9999999999999997E-4</v>
      </c>
      <c r="M210" s="224" t="s">
        <v>1356</v>
      </c>
      <c r="N210" s="237" t="s">
        <v>31</v>
      </c>
      <c r="O210" s="221" t="s">
        <v>31</v>
      </c>
      <c r="P210" s="154" t="s">
        <v>31</v>
      </c>
      <c r="Q210" s="224" t="s">
        <v>31</v>
      </c>
      <c r="R210" s="225"/>
      <c r="S210" s="225" t="s">
        <v>351</v>
      </c>
      <c r="T210" s="225"/>
      <c r="U210" s="225"/>
      <c r="V210" s="225"/>
      <c r="W210" s="225"/>
      <c r="X210" s="225"/>
      <c r="Y210" s="225"/>
      <c r="Z210" s="225"/>
      <c r="AA210" s="225"/>
      <c r="AB210" s="223">
        <v>9.9000000000000005E-2</v>
      </c>
      <c r="AC210" s="221" t="s">
        <v>1714</v>
      </c>
      <c r="AD210" s="223">
        <v>1</v>
      </c>
      <c r="AE210" s="232" t="s">
        <v>30</v>
      </c>
      <c r="AF210" s="223">
        <v>1</v>
      </c>
      <c r="AG210" s="226" t="s">
        <v>466</v>
      </c>
      <c r="AH210" s="237">
        <v>3.7025599999999999E-2</v>
      </c>
      <c r="AI210" s="237" t="s">
        <v>456</v>
      </c>
      <c r="AJ210" s="237">
        <v>7.7628999999999998E-6</v>
      </c>
      <c r="AK210" s="237" t="s">
        <v>456</v>
      </c>
      <c r="AL210" s="238">
        <v>587.4</v>
      </c>
      <c r="AM210" s="230" t="s">
        <v>934</v>
      </c>
      <c r="AN210" s="237">
        <v>7.4700000000000001E-7</v>
      </c>
      <c r="AO210" s="222" t="s">
        <v>931</v>
      </c>
      <c r="AP210" s="237">
        <v>182</v>
      </c>
      <c r="AQ210" s="237" t="s">
        <v>934</v>
      </c>
      <c r="AR210" s="229">
        <v>182.14</v>
      </c>
      <c r="AS210" s="230" t="s">
        <v>934</v>
      </c>
      <c r="AT210" s="237">
        <v>5.6700000000000001E-4</v>
      </c>
      <c r="AU210" s="222" t="s">
        <v>926</v>
      </c>
    </row>
    <row r="211" spans="1:47" ht="60">
      <c r="A211" s="221" t="s">
        <v>412</v>
      </c>
      <c r="B211" s="223" t="s">
        <v>427</v>
      </c>
      <c r="C211" s="223"/>
      <c r="D211" s="223"/>
      <c r="E211" s="223" t="str">
        <f t="shared" si="5"/>
        <v>No</v>
      </c>
      <c r="F211" s="222" t="s">
        <v>524</v>
      </c>
      <c r="G211" s="223" t="s">
        <v>472</v>
      </c>
      <c r="H211" s="237">
        <v>0.68</v>
      </c>
      <c r="I211" s="221" t="s">
        <v>1346</v>
      </c>
      <c r="J211" s="237" t="s">
        <v>31</v>
      </c>
      <c r="K211" s="221" t="s">
        <v>31</v>
      </c>
      <c r="L211" s="237">
        <v>8.9999999999999998E-4</v>
      </c>
      <c r="M211" s="221" t="s">
        <v>1496</v>
      </c>
      <c r="N211" s="237" t="s">
        <v>31</v>
      </c>
      <c r="O211" s="221" t="s">
        <v>31</v>
      </c>
      <c r="P211" s="154" t="s">
        <v>31</v>
      </c>
      <c r="Q211" s="224" t="s">
        <v>31</v>
      </c>
      <c r="R211" s="225"/>
      <c r="S211" s="225"/>
      <c r="T211" s="225"/>
      <c r="U211" s="225"/>
      <c r="V211" s="225" t="s">
        <v>351</v>
      </c>
      <c r="W211" s="225"/>
      <c r="X211" s="225"/>
      <c r="Y211" s="225"/>
      <c r="Z211" s="225"/>
      <c r="AA211" s="225"/>
      <c r="AB211" s="223">
        <v>0.1</v>
      </c>
      <c r="AC211" s="221" t="s">
        <v>463</v>
      </c>
      <c r="AD211" s="223">
        <v>1</v>
      </c>
      <c r="AE211" s="232" t="s">
        <v>30</v>
      </c>
      <c r="AF211" s="223">
        <v>1</v>
      </c>
      <c r="AG211" s="226" t="s">
        <v>466</v>
      </c>
      <c r="AH211" s="237">
        <v>5.9131200000000002E-2</v>
      </c>
      <c r="AI211" s="237" t="s">
        <v>456</v>
      </c>
      <c r="AJ211" s="237">
        <v>6.9090000000000003E-6</v>
      </c>
      <c r="AK211" s="237" t="s">
        <v>456</v>
      </c>
      <c r="AL211" s="238">
        <v>587.4</v>
      </c>
      <c r="AM211" s="230" t="s">
        <v>934</v>
      </c>
      <c r="AN211" s="237">
        <v>9.2599999999999995E-8</v>
      </c>
      <c r="AO211" s="222" t="s">
        <v>926</v>
      </c>
      <c r="AP211" s="237">
        <v>270</v>
      </c>
      <c r="AQ211" s="237" t="s">
        <v>934</v>
      </c>
      <c r="AR211" s="229">
        <v>182.14</v>
      </c>
      <c r="AS211" s="230" t="s">
        <v>934</v>
      </c>
      <c r="AT211" s="237">
        <v>3.97E-4</v>
      </c>
      <c r="AU211" s="222" t="s">
        <v>926</v>
      </c>
    </row>
    <row r="212" spans="1:47" ht="60">
      <c r="A212" s="295" t="s">
        <v>489</v>
      </c>
      <c r="B212" s="223" t="s">
        <v>129</v>
      </c>
      <c r="C212" s="223"/>
      <c r="D212" s="223"/>
      <c r="E212" s="223" t="str">
        <f t="shared" si="5"/>
        <v>No</v>
      </c>
      <c r="F212" s="222" t="s">
        <v>525</v>
      </c>
      <c r="G212" s="223" t="s">
        <v>472</v>
      </c>
      <c r="H212" s="237" t="s">
        <v>31</v>
      </c>
      <c r="I212" s="221" t="s">
        <v>31</v>
      </c>
      <c r="J212" s="237" t="s">
        <v>31</v>
      </c>
      <c r="K212" s="221" t="s">
        <v>31</v>
      </c>
      <c r="L212" s="237">
        <v>0.05</v>
      </c>
      <c r="M212" s="224" t="s">
        <v>1497</v>
      </c>
      <c r="N212" s="237" t="s">
        <v>31</v>
      </c>
      <c r="O212" s="221" t="s">
        <v>31</v>
      </c>
      <c r="P212" s="154" t="s">
        <v>31</v>
      </c>
      <c r="Q212" s="224" t="s">
        <v>31</v>
      </c>
      <c r="R212" s="225"/>
      <c r="S212" s="225"/>
      <c r="T212" s="225"/>
      <c r="U212" s="225"/>
      <c r="V212" s="225" t="s">
        <v>351</v>
      </c>
      <c r="W212" s="225"/>
      <c r="X212" s="225"/>
      <c r="Y212" s="225"/>
      <c r="Z212" s="225"/>
      <c r="AA212" s="225"/>
      <c r="AB212" s="223">
        <v>6.0000000000000001E-3</v>
      </c>
      <c r="AC212" s="221" t="s">
        <v>1714</v>
      </c>
      <c r="AD212" s="223">
        <v>1</v>
      </c>
      <c r="AE212" s="232" t="s">
        <v>30</v>
      </c>
      <c r="AF212" s="223">
        <v>1</v>
      </c>
      <c r="AG212" s="226" t="s">
        <v>466</v>
      </c>
      <c r="AH212" s="237">
        <v>4.2763099999999998E-2</v>
      </c>
      <c r="AI212" s="237" t="s">
        <v>456</v>
      </c>
      <c r="AJ212" s="237">
        <v>4.9965000000000004E-6</v>
      </c>
      <c r="AK212" s="237" t="s">
        <v>456</v>
      </c>
      <c r="AL212" s="238">
        <v>531.6</v>
      </c>
      <c r="AM212" s="230" t="s">
        <v>934</v>
      </c>
      <c r="AN212" s="237">
        <v>8.67E-10</v>
      </c>
      <c r="AO212" s="222" t="s">
        <v>931</v>
      </c>
      <c r="AP212" s="237">
        <v>5</v>
      </c>
      <c r="AQ212" s="237" t="s">
        <v>934</v>
      </c>
      <c r="AR212" s="229">
        <v>296.16000000000003</v>
      </c>
      <c r="AS212" s="230" t="s">
        <v>934</v>
      </c>
      <c r="AT212" s="237">
        <v>3.2999999999999998E-14</v>
      </c>
      <c r="AU212" s="222" t="s">
        <v>926</v>
      </c>
    </row>
    <row r="213" spans="1:47" ht="100">
      <c r="A213" s="221" t="s">
        <v>414</v>
      </c>
      <c r="B213" s="223" t="s">
        <v>131</v>
      </c>
      <c r="C213" s="223"/>
      <c r="D213" s="223"/>
      <c r="E213" s="223" t="str">
        <f t="shared" si="5"/>
        <v>No</v>
      </c>
      <c r="F213" s="222" t="s">
        <v>517</v>
      </c>
      <c r="G213" s="223" t="s">
        <v>472</v>
      </c>
      <c r="H213" s="237" t="s">
        <v>31</v>
      </c>
      <c r="I213" s="221" t="s">
        <v>31</v>
      </c>
      <c r="J213" s="237" t="s">
        <v>31</v>
      </c>
      <c r="K213" s="221" t="s">
        <v>31</v>
      </c>
      <c r="L213" s="237">
        <v>0.03</v>
      </c>
      <c r="M213" s="224" t="s">
        <v>1548</v>
      </c>
      <c r="N213" s="237" t="s">
        <v>31</v>
      </c>
      <c r="O213" s="221" t="s">
        <v>31</v>
      </c>
      <c r="P213" s="154" t="s">
        <v>31</v>
      </c>
      <c r="Q213" s="224" t="s">
        <v>31</v>
      </c>
      <c r="R213" s="225"/>
      <c r="S213" s="225" t="s">
        <v>351</v>
      </c>
      <c r="T213" s="225" t="s">
        <v>351</v>
      </c>
      <c r="U213" s="225"/>
      <c r="V213" s="225"/>
      <c r="W213" s="225"/>
      <c r="X213" s="225"/>
      <c r="Y213" s="225"/>
      <c r="Z213" s="225"/>
      <c r="AA213" s="225"/>
      <c r="AB213" s="223">
        <v>1.9E-2</v>
      </c>
      <c r="AC213" s="221" t="s">
        <v>1714</v>
      </c>
      <c r="AD213" s="223">
        <v>1</v>
      </c>
      <c r="AE213" s="232" t="s">
        <v>30</v>
      </c>
      <c r="AF213" s="223">
        <v>1</v>
      </c>
      <c r="AG213" s="226" t="s">
        <v>466</v>
      </c>
      <c r="AH213" s="237">
        <v>2.8968500000000001E-2</v>
      </c>
      <c r="AI213" s="237" t="s">
        <v>456</v>
      </c>
      <c r="AJ213" s="237">
        <v>7.6882000000000004E-6</v>
      </c>
      <c r="AK213" s="237" t="s">
        <v>456</v>
      </c>
      <c r="AL213" s="238">
        <v>1683</v>
      </c>
      <c r="AM213" s="230" t="s">
        <v>934</v>
      </c>
      <c r="AN213" s="237">
        <v>6.5000000000000003E-9</v>
      </c>
      <c r="AO213" s="222" t="s">
        <v>932</v>
      </c>
      <c r="AP213" s="237">
        <v>278</v>
      </c>
      <c r="AQ213" s="237" t="s">
        <v>934</v>
      </c>
      <c r="AR213" s="229">
        <v>213.11</v>
      </c>
      <c r="AS213" s="230" t="s">
        <v>934</v>
      </c>
      <c r="AT213" s="237">
        <v>6.4400000000000002E-6</v>
      </c>
      <c r="AU213" s="222" t="s">
        <v>932</v>
      </c>
    </row>
    <row r="214" spans="1:47" ht="62">
      <c r="A214" s="221" t="s">
        <v>415</v>
      </c>
      <c r="B214" s="223" t="s">
        <v>93</v>
      </c>
      <c r="C214" s="223"/>
      <c r="D214" s="223"/>
      <c r="E214" s="223" t="str">
        <f t="shared" si="5"/>
        <v>No</v>
      </c>
      <c r="F214" s="222" t="s">
        <v>520</v>
      </c>
      <c r="G214" s="223" t="s">
        <v>472</v>
      </c>
      <c r="H214" s="237">
        <v>0.03</v>
      </c>
      <c r="I214" s="221" t="s">
        <v>1347</v>
      </c>
      <c r="J214" s="237" t="s">
        <v>31</v>
      </c>
      <c r="K214" s="221" t="s">
        <v>31</v>
      </c>
      <c r="L214" s="237">
        <v>5.0000000000000001E-4</v>
      </c>
      <c r="M214" s="224" t="s">
        <v>1498</v>
      </c>
      <c r="N214" s="237" t="s">
        <v>31</v>
      </c>
      <c r="O214" s="221" t="s">
        <v>31</v>
      </c>
      <c r="P214" s="154" t="s">
        <v>31</v>
      </c>
      <c r="Q214" s="224" t="s">
        <v>31</v>
      </c>
      <c r="R214" s="225"/>
      <c r="S214" s="225"/>
      <c r="T214" s="225"/>
      <c r="U214" s="225"/>
      <c r="V214" s="225" t="s">
        <v>351</v>
      </c>
      <c r="W214" s="225"/>
      <c r="X214" s="225"/>
      <c r="Y214" s="225"/>
      <c r="Z214" s="225"/>
      <c r="AA214" s="225"/>
      <c r="AB214" s="223">
        <v>3.2000000000000001E-2</v>
      </c>
      <c r="AC214" s="221" t="s">
        <v>1714</v>
      </c>
      <c r="AD214" s="223">
        <v>1</v>
      </c>
      <c r="AE214" s="232" t="s">
        <v>30</v>
      </c>
      <c r="AF214" s="223">
        <v>1</v>
      </c>
      <c r="AG214" s="226" t="s">
        <v>466</v>
      </c>
      <c r="AH214" s="237">
        <v>2.9509299999999999E-2</v>
      </c>
      <c r="AI214" s="237" t="s">
        <v>456</v>
      </c>
      <c r="AJ214" s="237">
        <v>7.9181999999999998E-6</v>
      </c>
      <c r="AK214" s="237" t="s">
        <v>456</v>
      </c>
      <c r="AL214" s="238">
        <v>2812</v>
      </c>
      <c r="AM214" s="230" t="s">
        <v>934</v>
      </c>
      <c r="AN214" s="237">
        <v>2.0800000000000001E-8</v>
      </c>
      <c r="AO214" s="222" t="s">
        <v>932</v>
      </c>
      <c r="AP214" s="237">
        <v>115</v>
      </c>
      <c r="AQ214" s="237" t="s">
        <v>934</v>
      </c>
      <c r="AR214" s="229">
        <v>227.13</v>
      </c>
      <c r="AS214" s="230" t="s">
        <v>934</v>
      </c>
      <c r="AT214" s="237">
        <v>8.0199999999999994E-6</v>
      </c>
      <c r="AU214" s="222" t="s">
        <v>926</v>
      </c>
    </row>
    <row r="215" spans="1:47">
      <c r="Q215" s="307"/>
      <c r="AD215" s="309"/>
      <c r="AH215" s="310"/>
      <c r="AI215" s="310"/>
      <c r="AJ215" s="310"/>
      <c r="AK215" s="310"/>
      <c r="AL215" s="311"/>
      <c r="AM215" s="310"/>
      <c r="AN215" s="310"/>
      <c r="AO215" s="335"/>
      <c r="AP215" s="310"/>
      <c r="AQ215" s="310"/>
      <c r="AR215" s="310"/>
      <c r="AS215" s="310"/>
      <c r="AT215" s="555"/>
      <c r="AU215" s="552"/>
    </row>
    <row r="216" spans="1:47">
      <c r="A216" s="302" t="s">
        <v>703</v>
      </c>
      <c r="Q216" s="307"/>
      <c r="AD216" s="309"/>
      <c r="AH216" s="310"/>
      <c r="AI216" s="310"/>
      <c r="AJ216" s="310"/>
      <c r="AK216" s="310"/>
      <c r="AL216" s="311"/>
      <c r="AM216" s="310"/>
      <c r="AN216" s="310"/>
      <c r="AO216" s="335"/>
      <c r="AP216" s="310"/>
      <c r="AQ216" s="310"/>
      <c r="AR216" s="310"/>
      <c r="AS216" s="310"/>
      <c r="AT216" s="555"/>
      <c r="AU216" s="552"/>
    </row>
    <row r="217" spans="1:47">
      <c r="Q217" s="307"/>
      <c r="AD217" s="309"/>
      <c r="AH217" s="310"/>
      <c r="AI217" s="310"/>
      <c r="AJ217" s="310"/>
      <c r="AK217" s="310"/>
      <c r="AL217" s="311"/>
      <c r="AM217" s="310"/>
      <c r="AN217" s="310"/>
      <c r="AO217" s="335"/>
      <c r="AP217" s="310"/>
      <c r="AQ217" s="310"/>
      <c r="AR217" s="310"/>
      <c r="AS217" s="310"/>
      <c r="AT217" s="555"/>
      <c r="AU217" s="552"/>
    </row>
    <row r="218" spans="1:47">
      <c r="A218" s="312" t="s">
        <v>498</v>
      </c>
      <c r="Q218" s="307"/>
      <c r="AD218" s="309"/>
      <c r="AH218" s="310"/>
      <c r="AI218" s="310"/>
      <c r="AJ218" s="310"/>
      <c r="AK218" s="310"/>
      <c r="AL218" s="311"/>
      <c r="AM218" s="310"/>
      <c r="AN218" s="310"/>
      <c r="AO218" s="335"/>
      <c r="AP218" s="310"/>
      <c r="AQ218" s="310"/>
      <c r="AR218" s="310"/>
      <c r="AS218" s="310"/>
      <c r="AT218" s="555"/>
      <c r="AU218" s="552"/>
    </row>
    <row r="219" spans="1:47">
      <c r="A219" s="203" t="s">
        <v>996</v>
      </c>
      <c r="B219" s="313"/>
      <c r="P219" s="622"/>
      <c r="Q219" s="307"/>
      <c r="AD219" s="309"/>
      <c r="AH219" s="310"/>
      <c r="AI219" s="310"/>
      <c r="AJ219" s="310"/>
      <c r="AK219" s="310"/>
      <c r="AL219" s="311"/>
      <c r="AM219" s="310"/>
      <c r="AN219" s="310"/>
      <c r="AO219" s="335"/>
      <c r="AP219" s="310"/>
      <c r="AQ219" s="310"/>
      <c r="AR219" s="310"/>
      <c r="AS219" s="310"/>
      <c r="AT219" s="555"/>
      <c r="AU219" s="552"/>
    </row>
    <row r="220" spans="1:47">
      <c r="A220" s="203" t="s">
        <v>1720</v>
      </c>
      <c r="B220" s="313"/>
      <c r="Q220" s="307"/>
      <c r="AD220" s="309"/>
      <c r="AH220" s="310"/>
      <c r="AI220" s="310"/>
      <c r="AJ220" s="310"/>
      <c r="AK220" s="310"/>
      <c r="AL220" s="311"/>
      <c r="AM220" s="310"/>
      <c r="AN220" s="310"/>
      <c r="AO220" s="335"/>
      <c r="AP220" s="310"/>
      <c r="AQ220" s="310"/>
      <c r="AR220" s="310"/>
      <c r="AS220" s="310"/>
      <c r="AT220" s="555"/>
      <c r="AU220" s="552"/>
    </row>
    <row r="221" spans="1:47" ht="12.5">
      <c r="A221" s="203" t="s">
        <v>1348</v>
      </c>
      <c r="C221" s="314"/>
      <c r="D221" s="314"/>
      <c r="E221" s="314"/>
      <c r="F221" s="314"/>
      <c r="G221" s="314"/>
      <c r="H221" s="314"/>
      <c r="I221" s="314"/>
      <c r="J221" s="314"/>
      <c r="K221" s="314"/>
      <c r="L221" s="314"/>
      <c r="Q221" s="307"/>
      <c r="AD221" s="309"/>
      <c r="AH221" s="310"/>
      <c r="AI221" s="310"/>
      <c r="AJ221" s="310"/>
      <c r="AK221" s="310"/>
      <c r="AL221" s="311"/>
      <c r="AM221" s="310"/>
      <c r="AN221" s="310"/>
      <c r="AO221" s="335"/>
      <c r="AP221" s="310"/>
      <c r="AQ221" s="310"/>
      <c r="AR221" s="310"/>
      <c r="AS221" s="310"/>
      <c r="AT221" s="555"/>
      <c r="AU221" s="552"/>
    </row>
    <row r="222" spans="1:47" ht="13">
      <c r="A222" s="203" t="s">
        <v>1349</v>
      </c>
      <c r="B222" s="203"/>
      <c r="Q222" s="307"/>
      <c r="AH222" s="310"/>
      <c r="AI222" s="310"/>
      <c r="AJ222" s="310"/>
      <c r="AK222" s="310"/>
      <c r="AL222" s="311"/>
      <c r="AM222" s="310"/>
      <c r="AN222" s="310"/>
      <c r="AO222" s="335"/>
      <c r="AP222" s="310"/>
      <c r="AQ222" s="310"/>
      <c r="AR222" s="310"/>
      <c r="AS222" s="310"/>
      <c r="AT222" s="555"/>
      <c r="AU222" s="552"/>
    </row>
    <row r="223" spans="1:47" ht="13">
      <c r="A223" s="203" t="s">
        <v>1350</v>
      </c>
      <c r="B223" s="203"/>
      <c r="Q223" s="307"/>
      <c r="AH223" s="310"/>
      <c r="AI223" s="310"/>
      <c r="AJ223" s="310"/>
      <c r="AK223" s="310"/>
      <c r="AL223" s="311"/>
      <c r="AM223" s="310"/>
      <c r="AN223" s="310"/>
      <c r="AO223" s="335"/>
      <c r="AP223" s="310"/>
      <c r="AQ223" s="310"/>
      <c r="AR223" s="310"/>
      <c r="AS223" s="310"/>
      <c r="AT223" s="555"/>
      <c r="AU223" s="552"/>
    </row>
    <row r="224" spans="1:47">
      <c r="A224" s="203" t="s">
        <v>1276</v>
      </c>
      <c r="Q224" s="307"/>
      <c r="AH224" s="310"/>
      <c r="AI224" s="310"/>
      <c r="AJ224" s="310"/>
      <c r="AK224" s="310"/>
      <c r="AL224" s="311"/>
      <c r="AM224" s="310"/>
      <c r="AN224" s="310"/>
      <c r="AO224" s="335"/>
      <c r="AP224" s="310"/>
      <c r="AQ224" s="310"/>
      <c r="AR224" s="310"/>
      <c r="AS224" s="310"/>
      <c r="AT224" s="555"/>
      <c r="AU224" s="552"/>
    </row>
    <row r="225" spans="1:47">
      <c r="A225" s="203" t="s">
        <v>1275</v>
      </c>
      <c r="Q225" s="307"/>
      <c r="AH225" s="310"/>
      <c r="AI225" s="310"/>
      <c r="AJ225" s="310"/>
      <c r="AK225" s="310"/>
      <c r="AL225" s="311"/>
      <c r="AM225" s="310"/>
      <c r="AN225" s="310"/>
      <c r="AO225" s="335"/>
      <c r="AP225" s="310"/>
      <c r="AQ225" s="310"/>
      <c r="AR225" s="310"/>
      <c r="AS225" s="310"/>
      <c r="AT225" s="555"/>
      <c r="AU225" s="552"/>
    </row>
    <row r="226" spans="1:47">
      <c r="A226" s="203" t="s">
        <v>1274</v>
      </c>
      <c r="Q226" s="307"/>
      <c r="AH226" s="310"/>
      <c r="AI226" s="310"/>
      <c r="AJ226" s="310"/>
      <c r="AK226" s="310"/>
      <c r="AL226" s="311"/>
      <c r="AM226" s="310"/>
      <c r="AN226" s="310"/>
      <c r="AO226" s="335"/>
      <c r="AP226" s="310"/>
      <c r="AQ226" s="310"/>
      <c r="AR226" s="310"/>
      <c r="AS226" s="310"/>
      <c r="AT226" s="555"/>
      <c r="AU226" s="552"/>
    </row>
    <row r="227" spans="1:47">
      <c r="A227" s="203" t="s">
        <v>1273</v>
      </c>
      <c r="Q227" s="307"/>
      <c r="AH227" s="310"/>
      <c r="AI227" s="310"/>
      <c r="AJ227" s="310"/>
      <c r="AK227" s="310"/>
      <c r="AL227" s="311"/>
      <c r="AM227" s="310"/>
      <c r="AN227" s="310"/>
      <c r="AO227" s="335"/>
      <c r="AP227" s="310"/>
      <c r="AQ227" s="310"/>
      <c r="AR227" s="310"/>
      <c r="AS227" s="310"/>
      <c r="AT227" s="555"/>
      <c r="AU227" s="552"/>
    </row>
    <row r="228" spans="1:47">
      <c r="A228" s="203" t="s">
        <v>995</v>
      </c>
      <c r="B228" s="203"/>
      <c r="L228" s="622"/>
      <c r="Q228" s="307"/>
      <c r="AH228" s="310"/>
      <c r="AI228" s="310"/>
      <c r="AJ228" s="310"/>
      <c r="AK228" s="310"/>
      <c r="AL228" s="311"/>
      <c r="AM228" s="310"/>
      <c r="AN228" s="310"/>
      <c r="AO228" s="335"/>
      <c r="AP228" s="310"/>
      <c r="AQ228" s="310"/>
      <c r="AR228" s="310"/>
      <c r="AS228" s="310"/>
      <c r="AT228" s="555"/>
      <c r="AU228" s="552"/>
    </row>
    <row r="229" spans="1:47">
      <c r="A229" s="203" t="s">
        <v>1060</v>
      </c>
      <c r="B229" s="203"/>
      <c r="L229" s="622"/>
      <c r="Q229" s="307"/>
      <c r="AH229" s="310"/>
      <c r="AI229" s="310"/>
      <c r="AJ229" s="310"/>
      <c r="AK229" s="310"/>
      <c r="AL229" s="311"/>
      <c r="AM229" s="310"/>
      <c r="AN229" s="310"/>
      <c r="AO229" s="335"/>
      <c r="AP229" s="310"/>
      <c r="AQ229" s="310"/>
      <c r="AR229" s="310"/>
      <c r="AS229" s="310"/>
      <c r="AT229" s="555"/>
      <c r="AU229" s="552"/>
    </row>
    <row r="230" spans="1:47">
      <c r="A230" s="203" t="s">
        <v>1239</v>
      </c>
      <c r="B230" s="203"/>
      <c r="L230" s="622"/>
      <c r="Q230" s="307"/>
      <c r="AH230" s="310"/>
      <c r="AI230" s="310"/>
      <c r="AJ230" s="310"/>
      <c r="AK230" s="310"/>
      <c r="AL230" s="311"/>
      <c r="AM230" s="310"/>
      <c r="AN230" s="310"/>
      <c r="AO230" s="335"/>
      <c r="AP230" s="310"/>
      <c r="AQ230" s="310"/>
      <c r="AR230" s="310"/>
      <c r="AS230" s="310"/>
      <c r="AT230" s="555"/>
      <c r="AU230" s="552"/>
    </row>
    <row r="231" spans="1:47" ht="13">
      <c r="A231" s="203" t="s">
        <v>1351</v>
      </c>
      <c r="B231" s="203"/>
      <c r="L231" s="622"/>
      <c r="Q231" s="307"/>
      <c r="AH231" s="310"/>
      <c r="AI231" s="310"/>
      <c r="AJ231" s="310"/>
      <c r="AK231" s="310"/>
      <c r="AL231" s="311"/>
      <c r="AM231" s="310"/>
      <c r="AN231" s="310"/>
      <c r="AO231" s="335"/>
      <c r="AP231" s="310"/>
      <c r="AQ231" s="310"/>
      <c r="AR231" s="310"/>
      <c r="AS231" s="310"/>
      <c r="AT231" s="555"/>
      <c r="AU231" s="552"/>
    </row>
    <row r="232" spans="1:47">
      <c r="A232" s="203" t="s">
        <v>1240</v>
      </c>
      <c r="B232" s="203"/>
      <c r="L232" s="622"/>
      <c r="Q232" s="307"/>
      <c r="AH232" s="310"/>
      <c r="AI232" s="310"/>
      <c r="AJ232" s="310"/>
      <c r="AK232" s="310"/>
      <c r="AL232" s="311"/>
      <c r="AM232" s="310"/>
      <c r="AN232" s="310"/>
      <c r="AO232" s="335"/>
      <c r="AP232" s="310"/>
      <c r="AQ232" s="310"/>
      <c r="AR232" s="310"/>
      <c r="AS232" s="310"/>
      <c r="AT232" s="555"/>
      <c r="AU232" s="552"/>
    </row>
    <row r="233" spans="1:47">
      <c r="A233" s="203"/>
      <c r="B233" s="203"/>
      <c r="Q233" s="307"/>
      <c r="AH233" s="310"/>
      <c r="AI233" s="310"/>
      <c r="AJ233" s="310"/>
      <c r="AK233" s="310"/>
      <c r="AL233" s="311"/>
      <c r="AM233" s="310"/>
      <c r="AN233" s="310"/>
      <c r="AO233" s="335"/>
      <c r="AP233" s="310"/>
      <c r="AQ233" s="310"/>
      <c r="AR233" s="310"/>
      <c r="AS233" s="310"/>
      <c r="AT233" s="555"/>
      <c r="AU233" s="552"/>
    </row>
    <row r="234" spans="1:47">
      <c r="A234" s="317" t="s">
        <v>565</v>
      </c>
      <c r="B234" s="318"/>
      <c r="Q234" s="307"/>
      <c r="AH234" s="310"/>
      <c r="AI234" s="310"/>
      <c r="AJ234" s="310"/>
      <c r="AK234" s="310"/>
      <c r="AL234" s="311"/>
      <c r="AM234" s="310"/>
      <c r="AN234" s="310"/>
      <c r="AO234" s="335"/>
      <c r="AP234" s="310"/>
      <c r="AQ234" s="310"/>
      <c r="AR234" s="310"/>
      <c r="AS234" s="310"/>
      <c r="AT234" s="555"/>
      <c r="AU234" s="552"/>
    </row>
    <row r="235" spans="1:47" s="323" customFormat="1" ht="13">
      <c r="A235" s="319" t="s">
        <v>441</v>
      </c>
      <c r="B235" s="320"/>
      <c r="C235" s="321"/>
      <c r="D235" s="321"/>
      <c r="E235" s="321"/>
      <c r="F235" s="322"/>
      <c r="G235" s="321"/>
      <c r="Q235" s="324"/>
      <c r="R235" s="321"/>
      <c r="S235" s="321"/>
      <c r="T235" s="321"/>
      <c r="U235" s="321"/>
      <c r="V235" s="321"/>
      <c r="W235" s="321"/>
      <c r="X235" s="321"/>
      <c r="Y235" s="321"/>
      <c r="Z235" s="321"/>
      <c r="AA235" s="321"/>
      <c r="AB235" s="325"/>
      <c r="AF235" s="325"/>
      <c r="AH235" s="326"/>
      <c r="AI235" s="326"/>
      <c r="AJ235" s="326"/>
      <c r="AK235" s="326"/>
      <c r="AL235" s="327"/>
      <c r="AM235" s="326"/>
      <c r="AN235" s="326"/>
      <c r="AO235" s="336"/>
      <c r="AP235" s="326"/>
      <c r="AQ235" s="326"/>
      <c r="AR235" s="326"/>
      <c r="AS235" s="326"/>
      <c r="AT235" s="326"/>
      <c r="AU235" s="324"/>
    </row>
    <row r="236" spans="1:47" s="323" customFormat="1" ht="13">
      <c r="A236" s="328" t="s">
        <v>354</v>
      </c>
      <c r="B236" s="320"/>
      <c r="C236" s="321"/>
      <c r="D236" s="321"/>
      <c r="E236" s="321"/>
      <c r="F236" s="322"/>
      <c r="G236" s="321"/>
      <c r="Q236" s="324"/>
      <c r="R236" s="321"/>
      <c r="S236" s="321"/>
      <c r="T236" s="321"/>
      <c r="U236" s="321"/>
      <c r="V236" s="321"/>
      <c r="W236" s="321"/>
      <c r="X236" s="321"/>
      <c r="Y236" s="321"/>
      <c r="Z236" s="321"/>
      <c r="AA236" s="321"/>
      <c r="AB236" s="325"/>
      <c r="AF236" s="325"/>
      <c r="AH236" s="326"/>
      <c r="AI236" s="326"/>
      <c r="AJ236" s="326"/>
      <c r="AK236" s="326"/>
      <c r="AL236" s="327"/>
      <c r="AM236" s="326"/>
      <c r="AN236" s="326"/>
      <c r="AO236" s="336"/>
      <c r="AP236" s="326"/>
      <c r="AQ236" s="326"/>
      <c r="AR236" s="326"/>
      <c r="AS236" s="326"/>
      <c r="AT236" s="326"/>
      <c r="AU236" s="324"/>
    </row>
    <row r="237" spans="1:47" s="323" customFormat="1" ht="13">
      <c r="A237" s="328" t="s">
        <v>355</v>
      </c>
      <c r="B237" s="320"/>
      <c r="C237" s="321"/>
      <c r="D237" s="321"/>
      <c r="E237" s="321"/>
      <c r="F237" s="322"/>
      <c r="G237" s="321"/>
      <c r="Q237" s="324"/>
      <c r="R237" s="321"/>
      <c r="S237" s="321"/>
      <c r="T237" s="321"/>
      <c r="U237" s="321"/>
      <c r="V237" s="321"/>
      <c r="W237" s="321"/>
      <c r="X237" s="321"/>
      <c r="Y237" s="321"/>
      <c r="Z237" s="321"/>
      <c r="AA237" s="321"/>
      <c r="AB237" s="325"/>
      <c r="AF237" s="325"/>
      <c r="AH237" s="326"/>
      <c r="AI237" s="326"/>
      <c r="AJ237" s="326"/>
      <c r="AK237" s="326"/>
      <c r="AL237" s="327"/>
      <c r="AM237" s="326"/>
      <c r="AN237" s="326"/>
      <c r="AO237" s="336"/>
      <c r="AP237" s="326"/>
      <c r="AQ237" s="326"/>
      <c r="AR237" s="326"/>
      <c r="AS237" s="326"/>
      <c r="AT237" s="326"/>
      <c r="AU237" s="324"/>
    </row>
    <row r="238" spans="1:47" s="323" customFormat="1" ht="13">
      <c r="A238" s="328" t="s">
        <v>356</v>
      </c>
      <c r="B238" s="320"/>
      <c r="C238" s="321"/>
      <c r="D238" s="321"/>
      <c r="E238" s="321"/>
      <c r="F238" s="322"/>
      <c r="G238" s="321"/>
      <c r="Q238" s="324"/>
      <c r="R238" s="321"/>
      <c r="S238" s="321"/>
      <c r="T238" s="321"/>
      <c r="U238" s="321"/>
      <c r="V238" s="321"/>
      <c r="W238" s="321"/>
      <c r="X238" s="321"/>
      <c r="Y238" s="321"/>
      <c r="Z238" s="321"/>
      <c r="AA238" s="321"/>
      <c r="AB238" s="325"/>
      <c r="AF238" s="325"/>
      <c r="AH238" s="326"/>
      <c r="AI238" s="326"/>
      <c r="AJ238" s="326"/>
      <c r="AK238" s="326"/>
      <c r="AL238" s="327"/>
      <c r="AM238" s="326"/>
      <c r="AN238" s="326"/>
      <c r="AO238" s="336"/>
      <c r="AP238" s="326"/>
      <c r="AQ238" s="326"/>
      <c r="AR238" s="326"/>
      <c r="AS238" s="326"/>
      <c r="AT238" s="326"/>
      <c r="AU238" s="324"/>
    </row>
    <row r="239" spans="1:47" s="323" customFormat="1" ht="14.25" customHeight="1">
      <c r="A239" s="328" t="s">
        <v>357</v>
      </c>
      <c r="B239" s="320"/>
      <c r="C239" s="321"/>
      <c r="D239" s="321"/>
      <c r="E239" s="321"/>
      <c r="F239" s="322"/>
      <c r="G239" s="321"/>
      <c r="Q239" s="324"/>
      <c r="R239" s="321"/>
      <c r="S239" s="321"/>
      <c r="T239" s="321"/>
      <c r="U239" s="321"/>
      <c r="V239" s="321"/>
      <c r="W239" s="321"/>
      <c r="X239" s="321"/>
      <c r="Y239" s="321"/>
      <c r="Z239" s="321"/>
      <c r="AA239" s="321"/>
      <c r="AB239" s="325"/>
      <c r="AF239" s="325"/>
      <c r="AH239" s="326"/>
      <c r="AI239" s="326"/>
      <c r="AJ239" s="326"/>
      <c r="AK239" s="326"/>
      <c r="AL239" s="327"/>
      <c r="AM239" s="326"/>
      <c r="AN239" s="326"/>
      <c r="AO239" s="336"/>
      <c r="AP239" s="326"/>
      <c r="AQ239" s="326"/>
      <c r="AR239" s="326"/>
      <c r="AS239" s="326"/>
      <c r="AT239" s="326"/>
      <c r="AU239" s="324"/>
    </row>
    <row r="240" spans="1:47" s="323" customFormat="1" ht="13">
      <c r="A240" s="319" t="s">
        <v>560</v>
      </c>
      <c r="B240" s="320"/>
      <c r="C240" s="321"/>
      <c r="D240" s="321"/>
      <c r="E240" s="321"/>
      <c r="F240" s="322"/>
      <c r="G240" s="321"/>
      <c r="Q240" s="324"/>
      <c r="R240" s="321"/>
      <c r="S240" s="321"/>
      <c r="T240" s="321"/>
      <c r="U240" s="321"/>
      <c r="V240" s="321"/>
      <c r="W240" s="321"/>
      <c r="X240" s="321"/>
      <c r="Y240" s="321"/>
      <c r="Z240" s="321"/>
      <c r="AA240" s="321"/>
      <c r="AB240" s="325"/>
      <c r="AF240" s="325"/>
      <c r="AH240" s="326"/>
      <c r="AI240" s="326"/>
      <c r="AJ240" s="326"/>
      <c r="AK240" s="326"/>
      <c r="AL240" s="327"/>
      <c r="AM240" s="326"/>
      <c r="AN240" s="326"/>
      <c r="AO240" s="336"/>
      <c r="AP240" s="326"/>
      <c r="AQ240" s="326"/>
      <c r="AR240" s="326"/>
      <c r="AS240" s="326"/>
      <c r="AT240" s="326"/>
      <c r="AU240" s="324"/>
    </row>
    <row r="241" spans="1:47" s="323" customFormat="1" ht="13">
      <c r="A241" s="328" t="s">
        <v>358</v>
      </c>
      <c r="B241" s="320"/>
      <c r="C241" s="321"/>
      <c r="D241" s="321"/>
      <c r="E241" s="321"/>
      <c r="F241" s="322"/>
      <c r="G241" s="321"/>
      <c r="Q241" s="324"/>
      <c r="R241" s="321"/>
      <c r="S241" s="321"/>
      <c r="T241" s="321"/>
      <c r="U241" s="321"/>
      <c r="V241" s="321"/>
      <c r="W241" s="321"/>
      <c r="X241" s="321"/>
      <c r="Y241" s="321"/>
      <c r="Z241" s="321"/>
      <c r="AA241" s="321"/>
      <c r="AB241" s="325"/>
      <c r="AF241" s="325"/>
      <c r="AH241" s="326"/>
      <c r="AI241" s="326"/>
      <c r="AJ241" s="326"/>
      <c r="AK241" s="326"/>
      <c r="AL241" s="327"/>
      <c r="AM241" s="326"/>
      <c r="AN241" s="326"/>
      <c r="AO241" s="336"/>
      <c r="AP241" s="326"/>
      <c r="AQ241" s="326"/>
      <c r="AR241" s="326"/>
      <c r="AS241" s="326"/>
      <c r="AT241" s="326"/>
      <c r="AU241" s="324"/>
    </row>
    <row r="242" spans="1:47" s="323" customFormat="1" ht="13">
      <c r="A242" s="328" t="s">
        <v>359</v>
      </c>
      <c r="B242" s="320"/>
      <c r="C242" s="321"/>
      <c r="D242" s="321"/>
      <c r="E242" s="321"/>
      <c r="F242" s="322"/>
      <c r="G242" s="321"/>
      <c r="Q242" s="324"/>
      <c r="R242" s="321"/>
      <c r="S242" s="321"/>
      <c r="T242" s="321"/>
      <c r="U242" s="321"/>
      <c r="V242" s="321"/>
      <c r="W242" s="321"/>
      <c r="X242" s="321"/>
      <c r="Y242" s="321"/>
      <c r="Z242" s="321"/>
      <c r="AA242" s="321"/>
      <c r="AB242" s="325"/>
      <c r="AF242" s="325"/>
      <c r="AH242" s="326"/>
      <c r="AI242" s="326"/>
      <c r="AJ242" s="326"/>
      <c r="AK242" s="326"/>
      <c r="AL242" s="327"/>
      <c r="AM242" s="326"/>
      <c r="AN242" s="326"/>
      <c r="AO242" s="336"/>
      <c r="AP242" s="326"/>
      <c r="AQ242" s="326"/>
      <c r="AR242" s="326"/>
      <c r="AS242" s="326"/>
      <c r="AT242" s="326"/>
      <c r="AU242" s="324"/>
    </row>
    <row r="243" spans="1:47" s="323" customFormat="1" ht="13">
      <c r="A243" s="328" t="s">
        <v>360</v>
      </c>
      <c r="B243" s="320"/>
      <c r="C243" s="321"/>
      <c r="D243" s="321"/>
      <c r="E243" s="321"/>
      <c r="F243" s="322"/>
      <c r="G243" s="321"/>
      <c r="Q243" s="324"/>
      <c r="R243" s="321"/>
      <c r="S243" s="321"/>
      <c r="T243" s="321"/>
      <c r="U243" s="321"/>
      <c r="V243" s="321"/>
      <c r="W243" s="321"/>
      <c r="X243" s="321"/>
      <c r="Y243" s="321"/>
      <c r="Z243" s="321"/>
      <c r="AA243" s="321"/>
      <c r="AB243" s="325"/>
      <c r="AF243" s="325"/>
      <c r="AH243" s="326"/>
      <c r="AI243" s="326"/>
      <c r="AJ243" s="326"/>
      <c r="AK243" s="326"/>
      <c r="AL243" s="327"/>
      <c r="AM243" s="326"/>
      <c r="AN243" s="326"/>
      <c r="AO243" s="336"/>
      <c r="AP243" s="326"/>
      <c r="AQ243" s="326"/>
      <c r="AR243" s="326"/>
      <c r="AS243" s="326"/>
      <c r="AT243" s="326"/>
      <c r="AU243" s="324"/>
    </row>
    <row r="244" spans="1:47" s="323" customFormat="1" ht="13">
      <c r="A244" s="328" t="s">
        <v>361</v>
      </c>
      <c r="B244" s="320"/>
      <c r="C244" s="321"/>
      <c r="D244" s="321"/>
      <c r="E244" s="321"/>
      <c r="F244" s="322"/>
      <c r="G244" s="321"/>
      <c r="Q244" s="324"/>
      <c r="R244" s="321"/>
      <c r="S244" s="321"/>
      <c r="T244" s="321"/>
      <c r="U244" s="321"/>
      <c r="V244" s="321"/>
      <c r="W244" s="321"/>
      <c r="X244" s="321"/>
      <c r="Y244" s="321"/>
      <c r="Z244" s="321"/>
      <c r="AA244" s="321"/>
      <c r="AB244" s="325"/>
      <c r="AF244" s="325"/>
      <c r="AH244" s="326"/>
      <c r="AI244" s="326"/>
      <c r="AJ244" s="326"/>
      <c r="AK244" s="326"/>
      <c r="AL244" s="327"/>
      <c r="AM244" s="326"/>
      <c r="AN244" s="326"/>
      <c r="AO244" s="336"/>
      <c r="AP244" s="326"/>
      <c r="AQ244" s="326"/>
      <c r="AR244" s="326"/>
      <c r="AS244" s="326"/>
      <c r="AT244" s="326"/>
      <c r="AU244" s="324"/>
    </row>
    <row r="245" spans="1:47" s="323" customFormat="1" ht="13">
      <c r="A245" s="328"/>
      <c r="B245" s="320"/>
      <c r="C245" s="321"/>
      <c r="D245" s="321"/>
      <c r="E245" s="321"/>
      <c r="F245" s="322"/>
      <c r="G245" s="321"/>
      <c r="Q245" s="324"/>
      <c r="R245" s="321"/>
      <c r="S245" s="321"/>
      <c r="T245" s="321"/>
      <c r="U245" s="321"/>
      <c r="V245" s="321"/>
      <c r="W245" s="321"/>
      <c r="X245" s="321"/>
      <c r="Y245" s="321"/>
      <c r="Z245" s="321"/>
      <c r="AA245" s="321"/>
      <c r="AB245" s="325"/>
      <c r="AF245" s="325"/>
      <c r="AH245" s="326"/>
      <c r="AI245" s="326"/>
      <c r="AJ245" s="326"/>
      <c r="AK245" s="326"/>
      <c r="AL245" s="327"/>
      <c r="AM245" s="326"/>
      <c r="AN245" s="326"/>
      <c r="AO245" s="336"/>
      <c r="AP245" s="326"/>
      <c r="AQ245" s="326"/>
      <c r="AR245" s="326"/>
      <c r="AS245" s="326"/>
      <c r="AT245" s="326"/>
      <c r="AU245" s="324"/>
    </row>
    <row r="246" spans="1:47">
      <c r="A246" s="317" t="s">
        <v>566</v>
      </c>
      <c r="Q246" s="307"/>
      <c r="AH246" s="310"/>
      <c r="AI246" s="310"/>
      <c r="AJ246" s="310"/>
      <c r="AK246" s="310"/>
      <c r="AL246" s="311"/>
      <c r="AM246" s="310"/>
      <c r="AN246" s="310"/>
      <c r="AO246" s="335"/>
      <c r="AP246" s="310"/>
      <c r="AQ246" s="310"/>
      <c r="AR246" s="310"/>
      <c r="AS246" s="310"/>
      <c r="AT246" s="555"/>
      <c r="AU246" s="552"/>
    </row>
    <row r="247" spans="1:47">
      <c r="A247" s="203" t="s">
        <v>935</v>
      </c>
      <c r="Q247" s="307"/>
      <c r="AH247" s="310"/>
      <c r="AI247" s="310"/>
      <c r="AJ247" s="310"/>
      <c r="AK247" s="310"/>
      <c r="AL247" s="311"/>
      <c r="AM247" s="310"/>
      <c r="AN247" s="310"/>
      <c r="AO247" s="335"/>
      <c r="AP247" s="310"/>
      <c r="AQ247" s="310"/>
      <c r="AR247" s="310"/>
      <c r="AS247" s="310"/>
      <c r="AT247" s="555"/>
      <c r="AU247" s="552"/>
    </row>
    <row r="248" spans="1:47">
      <c r="A248" s="203" t="s">
        <v>939</v>
      </c>
      <c r="Q248" s="307"/>
      <c r="AH248" s="310"/>
      <c r="AI248" s="310"/>
      <c r="AJ248" s="310"/>
      <c r="AK248" s="310"/>
      <c r="AL248" s="311"/>
      <c r="AM248" s="310"/>
      <c r="AN248" s="310"/>
      <c r="AO248" s="335"/>
      <c r="AP248" s="310"/>
      <c r="AQ248" s="310"/>
      <c r="AR248" s="310"/>
      <c r="AS248" s="310"/>
      <c r="AT248" s="555"/>
      <c r="AU248" s="552"/>
    </row>
    <row r="249" spans="1:47">
      <c r="A249" s="203" t="s">
        <v>474</v>
      </c>
      <c r="Q249" s="307"/>
      <c r="AH249" s="310"/>
      <c r="AI249" s="310"/>
      <c r="AJ249" s="310"/>
      <c r="AK249" s="310"/>
      <c r="AL249" s="311"/>
      <c r="AM249" s="310"/>
      <c r="AN249" s="310"/>
      <c r="AO249" s="335"/>
      <c r="AP249" s="310"/>
      <c r="AQ249" s="310"/>
      <c r="AR249" s="310"/>
      <c r="AS249" s="310"/>
      <c r="AT249" s="555"/>
      <c r="AU249" s="552"/>
    </row>
    <row r="250" spans="1:47">
      <c r="A250" s="203" t="s">
        <v>475</v>
      </c>
      <c r="Q250" s="307"/>
      <c r="AH250" s="310"/>
      <c r="AI250" s="310"/>
      <c r="AJ250" s="310"/>
      <c r="AK250" s="310"/>
      <c r="AL250" s="311"/>
      <c r="AM250" s="310"/>
      <c r="AN250" s="310"/>
      <c r="AO250" s="335"/>
      <c r="AP250" s="310"/>
      <c r="AQ250" s="310"/>
      <c r="AR250" s="310"/>
      <c r="AS250" s="310"/>
      <c r="AT250" s="555"/>
      <c r="AU250" s="552"/>
    </row>
    <row r="251" spans="1:47">
      <c r="A251" s="203" t="s">
        <v>1715</v>
      </c>
      <c r="Q251" s="307"/>
      <c r="AH251" s="310"/>
      <c r="AI251" s="310"/>
      <c r="AJ251" s="310"/>
      <c r="AK251" s="310"/>
      <c r="AL251" s="311"/>
      <c r="AM251" s="310"/>
      <c r="AN251" s="310"/>
      <c r="AO251" s="335"/>
      <c r="AP251" s="310"/>
      <c r="AQ251" s="310"/>
      <c r="AR251" s="310"/>
      <c r="AS251" s="310"/>
      <c r="AT251" s="555"/>
      <c r="AU251" s="552"/>
    </row>
    <row r="252" spans="1:47">
      <c r="A252" s="203" t="s">
        <v>558</v>
      </c>
      <c r="Q252" s="307"/>
      <c r="AH252" s="310"/>
      <c r="AI252" s="310"/>
      <c r="AJ252" s="310"/>
      <c r="AK252" s="310"/>
      <c r="AL252" s="311"/>
      <c r="AM252" s="310"/>
      <c r="AN252" s="310"/>
      <c r="AO252" s="335"/>
      <c r="AP252" s="310"/>
      <c r="AQ252" s="310"/>
      <c r="AR252" s="310"/>
      <c r="AS252" s="310"/>
      <c r="AT252" s="555"/>
      <c r="AU252" s="552"/>
    </row>
    <row r="253" spans="1:47">
      <c r="A253" s="203" t="s">
        <v>692</v>
      </c>
      <c r="Q253" s="307"/>
      <c r="AH253" s="310"/>
      <c r="AI253" s="310"/>
      <c r="AJ253" s="310"/>
      <c r="AK253" s="310"/>
      <c r="AL253" s="311"/>
      <c r="AM253" s="310"/>
      <c r="AN253" s="310"/>
      <c r="AO253" s="335"/>
      <c r="AP253" s="310"/>
      <c r="AQ253" s="310"/>
      <c r="AR253" s="310"/>
      <c r="AS253" s="310"/>
      <c r="AT253" s="555"/>
      <c r="AU253" s="552"/>
    </row>
    <row r="254" spans="1:47">
      <c r="A254" s="203"/>
      <c r="Q254" s="307"/>
      <c r="AH254" s="310"/>
      <c r="AI254" s="310"/>
      <c r="AJ254" s="310"/>
      <c r="AK254" s="310"/>
      <c r="AL254" s="311"/>
      <c r="AM254" s="310"/>
      <c r="AN254" s="310"/>
      <c r="AO254" s="335"/>
      <c r="AP254" s="310"/>
      <c r="AQ254" s="310"/>
      <c r="AR254" s="310"/>
      <c r="AS254" s="310"/>
      <c r="AT254" s="555"/>
      <c r="AU254" s="552"/>
    </row>
    <row r="255" spans="1:47">
      <c r="A255" s="317" t="s">
        <v>571</v>
      </c>
      <c r="Q255" s="307"/>
      <c r="AH255" s="310"/>
      <c r="AI255" s="310"/>
      <c r="AJ255" s="310"/>
      <c r="AK255" s="310"/>
      <c r="AL255" s="311"/>
      <c r="AM255" s="310"/>
      <c r="AN255" s="310"/>
      <c r="AO255" s="335"/>
      <c r="AP255" s="310"/>
      <c r="AQ255" s="310"/>
      <c r="AR255" s="310"/>
      <c r="AS255" s="310"/>
      <c r="AT255" s="555"/>
      <c r="AU255" s="552"/>
    </row>
    <row r="256" spans="1:47">
      <c r="A256" s="203" t="s">
        <v>1716</v>
      </c>
      <c r="B256" s="203"/>
      <c r="I256" s="203"/>
      <c r="K256" s="203"/>
      <c r="M256" s="203"/>
      <c r="O256" s="203"/>
      <c r="P256" s="305"/>
      <c r="Q256" s="329"/>
      <c r="R256" s="303"/>
      <c r="S256" s="303"/>
      <c r="T256" s="303"/>
      <c r="U256" s="303"/>
      <c r="V256" s="303"/>
      <c r="W256" s="303"/>
      <c r="X256" s="303"/>
      <c r="Y256" s="303"/>
      <c r="Z256" s="303"/>
      <c r="AA256" s="303"/>
      <c r="AC256" s="203"/>
      <c r="AG256" s="203"/>
      <c r="AH256" s="310"/>
      <c r="AI256" s="310"/>
      <c r="AJ256" s="310"/>
      <c r="AK256" s="310"/>
      <c r="AL256" s="311"/>
      <c r="AM256" s="310"/>
      <c r="AN256" s="310"/>
      <c r="AO256" s="335"/>
      <c r="AP256" s="310"/>
      <c r="AQ256" s="310"/>
      <c r="AR256" s="310"/>
      <c r="AS256" s="310"/>
      <c r="AT256" s="555"/>
      <c r="AU256" s="552"/>
    </row>
    <row r="257" spans="1:47">
      <c r="A257" s="203" t="s">
        <v>1578</v>
      </c>
      <c r="B257" s="203"/>
      <c r="I257" s="203"/>
      <c r="K257" s="203"/>
      <c r="M257" s="203"/>
      <c r="O257" s="203"/>
      <c r="P257" s="305"/>
      <c r="Q257" s="329"/>
      <c r="R257" s="303"/>
      <c r="S257" s="303"/>
      <c r="T257" s="303"/>
      <c r="U257" s="303"/>
      <c r="V257" s="303"/>
      <c r="W257" s="303"/>
      <c r="X257" s="303"/>
      <c r="Y257" s="303"/>
      <c r="Z257" s="303"/>
      <c r="AA257" s="303"/>
      <c r="AC257" s="203"/>
      <c r="AG257" s="203"/>
      <c r="AH257" s="310"/>
      <c r="AI257" s="310"/>
      <c r="AJ257" s="310"/>
      <c r="AK257" s="310"/>
      <c r="AL257" s="311"/>
      <c r="AM257" s="310"/>
      <c r="AN257" s="310"/>
      <c r="AO257" s="335"/>
      <c r="AP257" s="310"/>
      <c r="AQ257" s="310"/>
      <c r="AR257" s="310"/>
      <c r="AS257" s="310"/>
      <c r="AT257" s="555"/>
      <c r="AU257" s="552"/>
    </row>
    <row r="258" spans="1:47">
      <c r="A258" s="203" t="s">
        <v>567</v>
      </c>
      <c r="B258" s="203"/>
      <c r="I258" s="203"/>
      <c r="K258" s="203"/>
      <c r="M258" s="203"/>
      <c r="O258" s="203"/>
      <c r="P258" s="305"/>
      <c r="Q258" s="329"/>
      <c r="R258" s="303"/>
      <c r="S258" s="303"/>
      <c r="T258" s="303"/>
      <c r="U258" s="303"/>
      <c r="V258" s="303"/>
      <c r="W258" s="303"/>
      <c r="X258" s="303"/>
      <c r="Y258" s="303"/>
      <c r="Z258" s="303"/>
      <c r="AA258" s="303"/>
      <c r="AC258" s="203"/>
      <c r="AG258" s="203"/>
      <c r="AH258" s="310"/>
      <c r="AI258" s="310"/>
      <c r="AJ258" s="310"/>
      <c r="AK258" s="310"/>
      <c r="AL258" s="311"/>
      <c r="AM258" s="310"/>
      <c r="AN258" s="310"/>
      <c r="AO258" s="335"/>
      <c r="AP258" s="310"/>
      <c r="AQ258" s="310"/>
      <c r="AR258" s="310"/>
      <c r="AS258" s="310"/>
      <c r="AT258" s="555"/>
      <c r="AU258" s="552"/>
    </row>
    <row r="259" spans="1:47">
      <c r="A259" s="203" t="s">
        <v>569</v>
      </c>
      <c r="B259" s="203"/>
      <c r="I259" s="203"/>
      <c r="K259" s="203"/>
      <c r="M259" s="203"/>
      <c r="O259" s="203"/>
      <c r="P259" s="305"/>
      <c r="Q259" s="329"/>
      <c r="R259" s="303"/>
      <c r="S259" s="303"/>
      <c r="T259" s="303"/>
      <c r="U259" s="303"/>
      <c r="V259" s="303"/>
      <c r="W259" s="303"/>
      <c r="X259" s="303"/>
      <c r="Y259" s="303"/>
      <c r="Z259" s="303"/>
      <c r="AA259" s="303"/>
      <c r="AC259" s="203"/>
      <c r="AG259" s="203"/>
      <c r="AH259" s="310"/>
      <c r="AI259" s="310"/>
      <c r="AJ259" s="310"/>
      <c r="AK259" s="310"/>
      <c r="AL259" s="311"/>
      <c r="AM259" s="310"/>
      <c r="AN259" s="310"/>
      <c r="AO259" s="335"/>
      <c r="AP259" s="310"/>
      <c r="AQ259" s="310"/>
      <c r="AR259" s="310"/>
      <c r="AS259" s="310"/>
      <c r="AT259" s="551"/>
    </row>
    <row r="260" spans="1:47">
      <c r="A260" s="203" t="s">
        <v>1579</v>
      </c>
      <c r="B260" s="203"/>
      <c r="I260" s="203"/>
      <c r="K260" s="203"/>
      <c r="M260" s="203"/>
      <c r="O260" s="203"/>
      <c r="P260" s="305"/>
      <c r="Q260" s="329"/>
      <c r="R260" s="303"/>
      <c r="S260" s="303"/>
      <c r="T260" s="303"/>
      <c r="U260" s="303"/>
      <c r="V260" s="303"/>
      <c r="W260" s="303"/>
      <c r="X260" s="303"/>
      <c r="Y260" s="303"/>
      <c r="Z260" s="303"/>
      <c r="AA260" s="303"/>
      <c r="AC260" s="203"/>
      <c r="AG260" s="203"/>
      <c r="AH260" s="310"/>
      <c r="AI260" s="310"/>
      <c r="AJ260" s="310"/>
      <c r="AK260" s="310"/>
      <c r="AL260" s="311"/>
      <c r="AM260" s="310"/>
      <c r="AN260" s="310"/>
      <c r="AO260" s="335"/>
      <c r="AP260" s="310"/>
      <c r="AQ260" s="310"/>
      <c r="AR260" s="310"/>
      <c r="AS260" s="310"/>
      <c r="AT260" s="551"/>
    </row>
    <row r="261" spans="1:47">
      <c r="A261" s="203" t="s">
        <v>973</v>
      </c>
      <c r="B261" s="203"/>
      <c r="H261" s="623"/>
      <c r="I261" s="203"/>
      <c r="K261" s="203"/>
      <c r="M261" s="203"/>
      <c r="O261" s="203"/>
      <c r="P261" s="305"/>
      <c r="Q261" s="329"/>
      <c r="R261" s="303"/>
      <c r="S261" s="303"/>
      <c r="T261" s="303"/>
      <c r="U261" s="303"/>
      <c r="V261" s="303"/>
      <c r="W261" s="303"/>
      <c r="X261" s="303"/>
      <c r="Y261" s="303"/>
      <c r="Z261" s="303"/>
      <c r="AA261" s="303"/>
      <c r="AC261" s="203"/>
      <c r="AG261" s="203"/>
      <c r="AH261" s="310"/>
      <c r="AI261" s="310"/>
      <c r="AJ261" s="310"/>
      <c r="AK261" s="310"/>
      <c r="AL261" s="311"/>
      <c r="AM261" s="310"/>
      <c r="AN261" s="310"/>
      <c r="AO261" s="335"/>
      <c r="AP261" s="310"/>
      <c r="AQ261" s="310"/>
      <c r="AR261" s="310"/>
      <c r="AS261" s="310"/>
      <c r="AT261" s="551"/>
    </row>
    <row r="262" spans="1:47">
      <c r="A262" s="203" t="s">
        <v>568</v>
      </c>
      <c r="B262" s="203"/>
      <c r="I262" s="203"/>
      <c r="K262" s="203"/>
      <c r="M262" s="203"/>
      <c r="O262" s="203"/>
      <c r="P262" s="305"/>
      <c r="Q262" s="329"/>
      <c r="R262" s="303"/>
      <c r="S262" s="303"/>
      <c r="T262" s="303"/>
      <c r="U262" s="303"/>
      <c r="V262" s="303"/>
      <c r="W262" s="303"/>
      <c r="X262" s="303"/>
      <c r="Y262" s="303"/>
      <c r="Z262" s="303"/>
      <c r="AA262" s="303"/>
      <c r="AC262" s="203"/>
      <c r="AG262" s="203"/>
      <c r="AH262" s="310"/>
      <c r="AI262" s="310"/>
      <c r="AJ262" s="310"/>
      <c r="AK262" s="310"/>
      <c r="AL262" s="311"/>
      <c r="AM262" s="310"/>
      <c r="AN262" s="310"/>
      <c r="AO262" s="335"/>
      <c r="AP262" s="310"/>
      <c r="AQ262" s="310"/>
      <c r="AR262" s="310"/>
      <c r="AS262" s="310"/>
      <c r="AT262" s="551"/>
    </row>
    <row r="263" spans="1:47">
      <c r="A263" s="203" t="s">
        <v>1199</v>
      </c>
      <c r="B263" s="203"/>
      <c r="I263" s="203"/>
      <c r="K263" s="203"/>
      <c r="M263" s="203"/>
      <c r="O263" s="203"/>
      <c r="P263" s="305"/>
      <c r="Q263" s="329"/>
      <c r="R263" s="303"/>
      <c r="S263" s="303"/>
      <c r="T263" s="303"/>
      <c r="U263" s="303"/>
      <c r="V263" s="303"/>
      <c r="W263" s="303"/>
      <c r="X263" s="303"/>
      <c r="Y263" s="303"/>
      <c r="Z263" s="303"/>
      <c r="AA263" s="303"/>
      <c r="AC263" s="203"/>
      <c r="AG263" s="203"/>
      <c r="AH263" s="310"/>
      <c r="AI263" s="310"/>
      <c r="AJ263" s="310"/>
      <c r="AK263" s="310"/>
      <c r="AL263" s="311"/>
      <c r="AM263" s="310"/>
      <c r="AN263" s="310"/>
      <c r="AO263" s="335"/>
      <c r="AP263" s="310"/>
      <c r="AQ263" s="310"/>
      <c r="AR263" s="310"/>
      <c r="AS263" s="310"/>
      <c r="AT263" s="551"/>
    </row>
    <row r="264" spans="1:47">
      <c r="A264" s="203" t="s">
        <v>702</v>
      </c>
      <c r="B264" s="203"/>
      <c r="I264" s="203"/>
      <c r="K264" s="203"/>
      <c r="M264" s="203"/>
      <c r="O264" s="203"/>
      <c r="P264" s="305"/>
      <c r="Q264" s="329"/>
      <c r="R264" s="303"/>
      <c r="S264" s="303"/>
      <c r="T264" s="303"/>
      <c r="U264" s="303"/>
      <c r="V264" s="303"/>
      <c r="W264" s="303"/>
      <c r="X264" s="303"/>
      <c r="Y264" s="303"/>
      <c r="Z264" s="303"/>
      <c r="AA264" s="303"/>
      <c r="AC264" s="203"/>
      <c r="AG264" s="203"/>
      <c r="AH264" s="310"/>
      <c r="AI264" s="310"/>
      <c r="AJ264" s="310"/>
      <c r="AK264" s="310"/>
      <c r="AL264" s="311"/>
      <c r="AM264" s="310"/>
      <c r="AN264" s="310"/>
      <c r="AO264" s="335"/>
      <c r="AP264" s="310"/>
      <c r="AQ264" s="310"/>
      <c r="AR264" s="310"/>
      <c r="AS264" s="310"/>
      <c r="AT264" s="551"/>
    </row>
    <row r="265" spans="1:47">
      <c r="A265" s="203" t="s">
        <v>570</v>
      </c>
      <c r="B265" s="203"/>
      <c r="I265" s="203"/>
      <c r="K265" s="203"/>
      <c r="M265" s="203"/>
      <c r="O265" s="203"/>
      <c r="P265" s="305"/>
      <c r="Q265" s="329"/>
      <c r="R265" s="303"/>
      <c r="S265" s="303"/>
      <c r="T265" s="303"/>
      <c r="U265" s="303"/>
      <c r="V265" s="303"/>
      <c r="W265" s="303"/>
      <c r="X265" s="303"/>
      <c r="Y265" s="303"/>
      <c r="Z265" s="303"/>
      <c r="AA265" s="303"/>
      <c r="AC265" s="203"/>
      <c r="AG265" s="203"/>
      <c r="AH265" s="310"/>
      <c r="AI265" s="310"/>
      <c r="AJ265" s="310"/>
      <c r="AK265" s="310"/>
      <c r="AL265" s="311"/>
      <c r="AM265" s="310"/>
      <c r="AN265" s="310"/>
      <c r="AO265" s="335"/>
      <c r="AP265" s="310"/>
      <c r="AQ265" s="310"/>
      <c r="AR265" s="310"/>
      <c r="AS265" s="310"/>
      <c r="AT265" s="551"/>
    </row>
    <row r="266" spans="1:47">
      <c r="A266" s="203"/>
      <c r="B266" s="203"/>
      <c r="I266" s="203"/>
      <c r="K266" s="203"/>
      <c r="M266" s="203"/>
      <c r="O266" s="203"/>
      <c r="P266" s="305"/>
      <c r="Q266" s="329"/>
      <c r="R266" s="303"/>
      <c r="S266" s="303"/>
      <c r="T266" s="303"/>
      <c r="U266" s="303"/>
      <c r="V266" s="303"/>
      <c r="W266" s="303"/>
      <c r="X266" s="303"/>
      <c r="Y266" s="303"/>
      <c r="Z266" s="303"/>
      <c r="AA266" s="303"/>
      <c r="AC266" s="203"/>
      <c r="AG266" s="203"/>
      <c r="AH266" s="310"/>
      <c r="AI266" s="310"/>
      <c r="AJ266" s="310"/>
      <c r="AK266" s="310"/>
      <c r="AL266" s="311"/>
      <c r="AM266" s="310"/>
      <c r="AN266" s="310"/>
      <c r="AO266" s="335"/>
      <c r="AP266" s="310"/>
      <c r="AQ266" s="310"/>
      <c r="AR266" s="310"/>
      <c r="AS266" s="310"/>
      <c r="AT266" s="551"/>
    </row>
    <row r="267" spans="1:47">
      <c r="A267" s="312" t="s">
        <v>716</v>
      </c>
      <c r="Q267" s="307"/>
      <c r="AH267" s="310"/>
      <c r="AI267" s="310"/>
      <c r="AJ267" s="310"/>
      <c r="AK267" s="310"/>
      <c r="AL267" s="311"/>
      <c r="AM267" s="310"/>
      <c r="AN267" s="310"/>
      <c r="AO267" s="335"/>
      <c r="AP267" s="310"/>
      <c r="AQ267" s="310"/>
      <c r="AR267" s="310"/>
      <c r="AS267" s="310"/>
      <c r="AT267" s="551"/>
    </row>
    <row r="268" spans="1:47">
      <c r="A268" s="330" t="s">
        <v>1580</v>
      </c>
      <c r="Q268" s="307"/>
      <c r="AH268" s="310"/>
      <c r="AI268" s="310"/>
      <c r="AJ268" s="310"/>
      <c r="AK268" s="310"/>
      <c r="AL268" s="311"/>
      <c r="AM268" s="310"/>
      <c r="AN268" s="310"/>
      <c r="AO268" s="335"/>
      <c r="AP268" s="310"/>
      <c r="AQ268" s="310"/>
      <c r="AR268" s="310"/>
      <c r="AS268" s="310"/>
      <c r="AT268" s="551"/>
    </row>
    <row r="269" spans="1:47">
      <c r="A269" s="330" t="s">
        <v>1581</v>
      </c>
      <c r="Q269" s="307"/>
      <c r="AT269" s="551"/>
    </row>
    <row r="270" spans="1:47">
      <c r="A270" s="330" t="s">
        <v>1582</v>
      </c>
      <c r="Q270" s="307"/>
      <c r="AT270" s="551"/>
    </row>
    <row r="271" spans="1:47">
      <c r="A271" s="330" t="s">
        <v>1583</v>
      </c>
      <c r="Q271" s="307"/>
      <c r="R271" s="204"/>
      <c r="S271" s="204"/>
      <c r="T271" s="204"/>
      <c r="U271" s="204"/>
      <c r="V271" s="204"/>
      <c r="W271" s="204"/>
      <c r="X271" s="204"/>
      <c r="Y271" s="204"/>
      <c r="Z271" s="204"/>
      <c r="AA271" s="204"/>
      <c r="AB271" s="204"/>
      <c r="AC271" s="204"/>
      <c r="AD271" s="204"/>
      <c r="AE271" s="204"/>
      <c r="AF271" s="204"/>
      <c r="AG271" s="204"/>
      <c r="AH271" s="204"/>
      <c r="AI271" s="204"/>
      <c r="AJ271" s="204"/>
      <c r="AK271" s="204"/>
      <c r="AL271" s="204"/>
      <c r="AM271" s="204"/>
      <c r="AN271" s="204"/>
      <c r="AO271" s="204"/>
      <c r="AP271" s="204"/>
      <c r="AQ271" s="204"/>
      <c r="AR271" s="204"/>
      <c r="AS271" s="204"/>
      <c r="AT271" s="551"/>
    </row>
    <row r="272" spans="1:47">
      <c r="A272" s="330" t="s">
        <v>1584</v>
      </c>
      <c r="Q272" s="307"/>
      <c r="R272" s="204"/>
      <c r="S272" s="204"/>
      <c r="T272" s="204"/>
      <c r="U272" s="204"/>
      <c r="V272" s="204"/>
      <c r="W272" s="204"/>
      <c r="X272" s="204"/>
      <c r="Y272" s="204"/>
      <c r="Z272" s="204"/>
      <c r="AA272" s="204"/>
      <c r="AB272" s="204"/>
      <c r="AC272" s="204"/>
      <c r="AD272" s="204"/>
      <c r="AE272" s="204"/>
      <c r="AF272" s="204"/>
      <c r="AG272" s="204"/>
      <c r="AH272" s="204"/>
      <c r="AI272" s="204"/>
      <c r="AJ272" s="204"/>
      <c r="AK272" s="204"/>
      <c r="AL272" s="204"/>
      <c r="AM272" s="204"/>
      <c r="AN272" s="204"/>
      <c r="AO272" s="204"/>
      <c r="AP272" s="204"/>
      <c r="AQ272" s="204"/>
      <c r="AR272" s="204"/>
      <c r="AS272" s="204"/>
      <c r="AT272" s="551"/>
    </row>
    <row r="273" spans="1:46">
      <c r="A273" s="330" t="s">
        <v>1585</v>
      </c>
      <c r="Q273" s="307"/>
      <c r="R273" s="204"/>
      <c r="S273" s="204"/>
      <c r="T273" s="204"/>
      <c r="U273" s="204"/>
      <c r="V273" s="204"/>
      <c r="W273" s="204"/>
      <c r="X273" s="204"/>
      <c r="Y273" s="204"/>
      <c r="Z273" s="204"/>
      <c r="AA273" s="204"/>
      <c r="AB273" s="204"/>
      <c r="AC273" s="204"/>
      <c r="AD273" s="204"/>
      <c r="AE273" s="204"/>
      <c r="AF273" s="204"/>
      <c r="AG273" s="204"/>
      <c r="AH273" s="204"/>
      <c r="AI273" s="204"/>
      <c r="AJ273" s="204"/>
      <c r="AK273" s="204"/>
      <c r="AL273" s="204"/>
      <c r="AM273" s="204"/>
      <c r="AN273" s="204"/>
      <c r="AO273" s="204"/>
      <c r="AP273" s="204"/>
      <c r="AQ273" s="204"/>
      <c r="AR273" s="204"/>
      <c r="AS273" s="204"/>
      <c r="AT273" s="551"/>
    </row>
    <row r="274" spans="1:46">
      <c r="A274" s="330" t="s">
        <v>1586</v>
      </c>
      <c r="Q274" s="307"/>
      <c r="R274" s="204"/>
      <c r="S274" s="204"/>
      <c r="T274" s="204"/>
      <c r="U274" s="204"/>
      <c r="V274" s="204"/>
      <c r="W274" s="204"/>
      <c r="X274" s="204"/>
      <c r="Y274" s="204"/>
      <c r="Z274" s="204"/>
      <c r="AA274" s="204"/>
      <c r="AB274" s="204"/>
      <c r="AC274" s="204"/>
      <c r="AD274" s="204"/>
      <c r="AE274" s="204"/>
      <c r="AF274" s="204"/>
      <c r="AG274" s="204"/>
      <c r="AH274" s="204"/>
      <c r="AI274" s="204"/>
      <c r="AJ274" s="204"/>
      <c r="AK274" s="204"/>
      <c r="AL274" s="204"/>
      <c r="AM274" s="204"/>
      <c r="AN274" s="204"/>
      <c r="AO274" s="204"/>
      <c r="AP274" s="204"/>
      <c r="AQ274" s="204"/>
      <c r="AR274" s="204"/>
      <c r="AS274" s="204"/>
      <c r="AT274" s="551"/>
    </row>
    <row r="275" spans="1:46">
      <c r="A275" s="330" t="s">
        <v>1587</v>
      </c>
      <c r="Q275" s="307"/>
      <c r="R275" s="204"/>
      <c r="S275" s="204"/>
      <c r="T275" s="204"/>
      <c r="U275" s="204"/>
      <c r="V275" s="204"/>
      <c r="W275" s="204"/>
      <c r="X275" s="204"/>
      <c r="Y275" s="204"/>
      <c r="Z275" s="204"/>
      <c r="AA275" s="204"/>
      <c r="AB275" s="204"/>
      <c r="AC275" s="204"/>
      <c r="AD275" s="204"/>
      <c r="AE275" s="204"/>
      <c r="AF275" s="204"/>
      <c r="AG275" s="204"/>
      <c r="AH275" s="204"/>
      <c r="AI275" s="204"/>
      <c r="AJ275" s="204"/>
      <c r="AK275" s="204"/>
      <c r="AL275" s="204"/>
      <c r="AM275" s="204"/>
      <c r="AN275" s="204"/>
      <c r="AO275" s="204"/>
      <c r="AP275" s="204"/>
      <c r="AQ275" s="204"/>
      <c r="AR275" s="204"/>
      <c r="AS275" s="204"/>
      <c r="AT275" s="551"/>
    </row>
    <row r="276" spans="1:46">
      <c r="A276" s="330" t="s">
        <v>1588</v>
      </c>
      <c r="R276" s="204"/>
      <c r="S276" s="204"/>
      <c r="T276" s="204"/>
      <c r="U276" s="204"/>
      <c r="V276" s="204"/>
      <c r="W276" s="204"/>
      <c r="X276" s="204"/>
      <c r="Y276" s="204"/>
      <c r="Z276" s="204"/>
      <c r="AA276" s="204"/>
      <c r="AB276" s="204"/>
      <c r="AC276" s="204"/>
      <c r="AD276" s="204"/>
      <c r="AE276" s="204"/>
      <c r="AF276" s="204"/>
      <c r="AG276" s="204"/>
      <c r="AH276" s="204"/>
      <c r="AI276" s="204"/>
      <c r="AJ276" s="204"/>
      <c r="AK276" s="204"/>
      <c r="AL276" s="204"/>
      <c r="AM276" s="204"/>
      <c r="AN276" s="204"/>
      <c r="AO276" s="204"/>
      <c r="AP276" s="204"/>
      <c r="AQ276" s="204"/>
      <c r="AR276" s="204"/>
      <c r="AS276" s="204"/>
      <c r="AT276" s="551"/>
    </row>
    <row r="277" spans="1:46">
      <c r="A277" s="330" t="s">
        <v>1589</v>
      </c>
      <c r="R277" s="204"/>
      <c r="S277" s="204"/>
      <c r="T277" s="204"/>
      <c r="U277" s="204"/>
      <c r="V277" s="204"/>
      <c r="W277" s="204"/>
      <c r="X277" s="204"/>
      <c r="Y277" s="204"/>
      <c r="Z277" s="204"/>
      <c r="AA277" s="204"/>
      <c r="AB277" s="204"/>
      <c r="AC277" s="204"/>
      <c r="AD277" s="204"/>
      <c r="AE277" s="204"/>
      <c r="AF277" s="204"/>
      <c r="AG277" s="204"/>
      <c r="AH277" s="204"/>
      <c r="AI277" s="204"/>
      <c r="AJ277" s="204"/>
      <c r="AK277" s="204"/>
      <c r="AL277" s="204"/>
      <c r="AM277" s="204"/>
      <c r="AN277" s="204"/>
      <c r="AO277" s="204"/>
      <c r="AP277" s="204"/>
      <c r="AQ277" s="204"/>
      <c r="AR277" s="204"/>
      <c r="AS277" s="204"/>
      <c r="AT277" s="551"/>
    </row>
    <row r="278" spans="1:46">
      <c r="A278" s="330" t="s">
        <v>1590</v>
      </c>
      <c r="R278" s="204"/>
      <c r="S278" s="204"/>
      <c r="T278" s="204"/>
      <c r="U278" s="204"/>
      <c r="V278" s="204"/>
      <c r="W278" s="204"/>
      <c r="X278" s="204"/>
      <c r="Y278" s="204"/>
      <c r="Z278" s="204"/>
      <c r="AA278" s="204"/>
      <c r="AB278" s="204"/>
      <c r="AC278" s="204"/>
      <c r="AD278" s="204"/>
      <c r="AE278" s="204"/>
      <c r="AF278" s="204"/>
      <c r="AG278" s="204"/>
      <c r="AH278" s="204"/>
      <c r="AI278" s="204"/>
      <c r="AJ278" s="204"/>
      <c r="AK278" s="204"/>
      <c r="AL278" s="204"/>
      <c r="AM278" s="204"/>
      <c r="AN278" s="204"/>
      <c r="AO278" s="204"/>
      <c r="AP278" s="204"/>
      <c r="AQ278" s="204"/>
      <c r="AR278" s="204"/>
      <c r="AS278" s="204"/>
      <c r="AT278" s="551"/>
    </row>
    <row r="279" spans="1:46">
      <c r="A279" s="330" t="s">
        <v>1591</v>
      </c>
      <c r="R279" s="204"/>
      <c r="S279" s="204"/>
      <c r="T279" s="204"/>
      <c r="U279" s="204"/>
      <c r="V279" s="204"/>
      <c r="W279" s="204"/>
      <c r="X279" s="204"/>
      <c r="Y279" s="204"/>
      <c r="Z279" s="204"/>
      <c r="AA279" s="204"/>
      <c r="AB279" s="204"/>
      <c r="AC279" s="204"/>
      <c r="AD279" s="204"/>
      <c r="AE279" s="204"/>
      <c r="AF279" s="204"/>
      <c r="AG279" s="204"/>
      <c r="AH279" s="204"/>
      <c r="AI279" s="204"/>
      <c r="AJ279" s="204"/>
      <c r="AK279" s="204"/>
      <c r="AL279" s="204"/>
      <c r="AM279" s="204"/>
      <c r="AN279" s="204"/>
      <c r="AO279" s="204"/>
      <c r="AP279" s="204"/>
      <c r="AQ279" s="204"/>
      <c r="AR279" s="204"/>
      <c r="AS279" s="204"/>
      <c r="AT279" s="551"/>
    </row>
    <row r="280" spans="1:46">
      <c r="A280" s="330" t="s">
        <v>501</v>
      </c>
      <c r="R280" s="204"/>
      <c r="S280" s="204"/>
      <c r="T280" s="204"/>
      <c r="U280" s="204"/>
      <c r="V280" s="204"/>
      <c r="W280" s="204"/>
      <c r="X280" s="204"/>
      <c r="Y280" s="204"/>
      <c r="Z280" s="204"/>
      <c r="AA280" s="204"/>
      <c r="AB280" s="204"/>
      <c r="AC280" s="204"/>
      <c r="AD280" s="204"/>
      <c r="AE280" s="204"/>
      <c r="AF280" s="204"/>
      <c r="AG280" s="204"/>
      <c r="AH280" s="204"/>
      <c r="AI280" s="204"/>
      <c r="AJ280" s="204"/>
      <c r="AK280" s="204"/>
      <c r="AL280" s="204"/>
      <c r="AM280" s="204"/>
      <c r="AN280" s="204"/>
      <c r="AO280" s="204"/>
      <c r="AP280" s="204"/>
      <c r="AQ280" s="204"/>
      <c r="AR280" s="204"/>
      <c r="AS280" s="204"/>
      <c r="AT280" s="551"/>
    </row>
  </sheetData>
  <sheetProtection algorithmName="SHA-512" hashValue="Y/TfmoMI/w03Hobk1fq+H6Dff1AL4eeQGbWsuWwmQauhO25wyYSV8qZjCAXf3CzInDBlhmCjWJXGXDetcvQpVw==" saltValue="D8nVTTmnzAz7lbYISK0Pog==" spinCount="100000" sheet="1" objects="1" scenarios="1"/>
  <customSheetViews>
    <customSheetView guid="{4E720B7F-6A3C-4034-90A5-B2BF7A394FC0}" showPageBreaks="1" printArea="1">
      <pane xSplit="2" ySplit="3" topLeftCell="C169" activePane="bottomRight" state="frozen"/>
      <selection pane="bottomRight" activeCell="D173" sqref="D173"/>
      <pageMargins left="0.34" right="0.21" top="0.45" bottom="0.22" header="0.25" footer="0.28999999999999998"/>
      <pageSetup paperSize="17" scale="80" orientation="landscape" r:id="rId1"/>
      <headerFooter alignWithMargins="0">
        <oddFooter>&amp;LDecember 2018&amp;R&amp;P of &amp;N</oddFooter>
      </headerFooter>
    </customSheetView>
    <customSheetView guid="{23DC26AF-9753-4BD2-80DE-415E6324C52C}">
      <pane xSplit="2" ySplit="3" topLeftCell="C169" activePane="bottomRight" state="frozen"/>
      <selection pane="bottomRight" activeCell="D173" sqref="D173"/>
      <pageMargins left="0.34" right="0.21" top="0.45" bottom="0.22" header="0.25" footer="0.28999999999999998"/>
      <pageSetup paperSize="17" scale="80" orientation="landscape" r:id="rId2"/>
      <headerFooter alignWithMargins="0">
        <oddFooter>&amp;LDecember 2018&amp;R&amp;P of &amp;N</oddFooter>
      </headerFooter>
    </customSheetView>
  </customSheetViews>
  <mergeCells count="40">
    <mergeCell ref="AB20:AG20"/>
    <mergeCell ref="AP2:AP3"/>
    <mergeCell ref="AD2:AE2"/>
    <mergeCell ref="AB2:AC2"/>
    <mergeCell ref="AR2:AR3"/>
    <mergeCell ref="AF2:AG2"/>
    <mergeCell ref="AH2:AH3"/>
    <mergeCell ref="AJ2:AJ3"/>
    <mergeCell ref="AK2:AK3"/>
    <mergeCell ref="AI2:AI3"/>
    <mergeCell ref="AL2:AL3"/>
    <mergeCell ref="AO2:AO3"/>
    <mergeCell ref="AM2:AM3"/>
    <mergeCell ref="AU2:AU3"/>
    <mergeCell ref="M2:M3"/>
    <mergeCell ref="AT2:AT3"/>
    <mergeCell ref="AB1:AU1"/>
    <mergeCell ref="C1:C3"/>
    <mergeCell ref="AN2:AN3"/>
    <mergeCell ref="AS2:AS3"/>
    <mergeCell ref="AQ2:AQ3"/>
    <mergeCell ref="O2:O3"/>
    <mergeCell ref="N2:N3"/>
    <mergeCell ref="P1:Q1"/>
    <mergeCell ref="R1:AA2"/>
    <mergeCell ref="L1:O1"/>
    <mergeCell ref="Q2:Q3"/>
    <mergeCell ref="P2:P3"/>
    <mergeCell ref="L2:L3"/>
    <mergeCell ref="A1:A3"/>
    <mergeCell ref="H2:H3"/>
    <mergeCell ref="F2:F3"/>
    <mergeCell ref="F1:K1"/>
    <mergeCell ref="E1:E3"/>
    <mergeCell ref="G2:G3"/>
    <mergeCell ref="I2:I3"/>
    <mergeCell ref="D1:D3"/>
    <mergeCell ref="K2:K3"/>
    <mergeCell ref="J2:J3"/>
    <mergeCell ref="B1:B3"/>
  </mergeCells>
  <phoneticPr fontId="1" type="noConversion"/>
  <pageMargins left="0.34" right="0.21" top="0.45" bottom="0.22" header="0.25" footer="0.28999999999999998"/>
  <pageSetup paperSize="17" scale="80" orientation="landscape" r:id="rId3"/>
  <headerFooter alignWithMargins="0">
    <oddFooter>&amp;LApril 2026&amp;R&amp;P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U329"/>
  <sheetViews>
    <sheetView view="pageLayout" zoomScaleNormal="100" workbookViewId="0">
      <selection activeCell="F18" sqref="F18"/>
    </sheetView>
  </sheetViews>
  <sheetFormatPr defaultRowHeight="12.5"/>
  <cols>
    <col min="1" max="1" width="47.453125" customWidth="1"/>
    <col min="2" max="2" width="17" style="24" customWidth="1"/>
    <col min="3" max="3" width="14.1796875" style="24" customWidth="1"/>
    <col min="4" max="4" width="42.54296875" customWidth="1"/>
    <col min="6" max="7" width="12.453125" bestFit="1" customWidth="1"/>
    <col min="8" max="8" width="10" bestFit="1" customWidth="1"/>
    <col min="9" max="9" width="18.453125" style="1" customWidth="1"/>
    <col min="10" max="10" width="9" style="1" customWidth="1"/>
    <col min="11" max="11" width="10.1796875" style="1" customWidth="1"/>
    <col min="12" max="14" width="9.1796875" style="1" customWidth="1"/>
    <col min="15" max="15" width="9.54296875" style="1" customWidth="1"/>
    <col min="16" max="16" width="9.81640625" style="1" customWidth="1"/>
    <col min="17" max="21" width="9.1796875" style="1" customWidth="1"/>
  </cols>
  <sheetData>
    <row r="1" spans="1:11" ht="15.5">
      <c r="A1" s="48" t="s">
        <v>695</v>
      </c>
      <c r="I1" s="474" t="s">
        <v>787</v>
      </c>
    </row>
    <row r="2" spans="1:11" ht="13">
      <c r="I2" s="1" t="s">
        <v>786</v>
      </c>
    </row>
    <row r="3" spans="1:11" ht="12.75" customHeight="1">
      <c r="A3" s="25" t="s">
        <v>673</v>
      </c>
      <c r="I3" s="791" t="s">
        <v>739</v>
      </c>
      <c r="J3" s="801" t="s">
        <v>797</v>
      </c>
      <c r="K3" s="497"/>
    </row>
    <row r="4" spans="1:11">
      <c r="I4" s="800"/>
      <c r="J4" s="800"/>
      <c r="K4" s="497"/>
    </row>
    <row r="5" spans="1:11">
      <c r="I5" s="59" t="s">
        <v>805</v>
      </c>
      <c r="J5" s="26">
        <v>4.8</v>
      </c>
      <c r="K5" s="497"/>
    </row>
    <row r="6" spans="1:11">
      <c r="I6" s="59" t="s">
        <v>803</v>
      </c>
      <c r="J6" s="26">
        <v>5.9</v>
      </c>
      <c r="K6" s="497"/>
    </row>
    <row r="7" spans="1:11">
      <c r="I7" s="59" t="s">
        <v>801</v>
      </c>
      <c r="J7" s="26">
        <v>7.4</v>
      </c>
      <c r="K7" s="497"/>
    </row>
    <row r="8" spans="1:11">
      <c r="I8" s="59" t="s">
        <v>806</v>
      </c>
      <c r="J8" s="26">
        <v>9.1999999999999993</v>
      </c>
      <c r="K8" s="497"/>
    </row>
    <row r="9" spans="1:11">
      <c r="I9" s="59" t="s">
        <v>807</v>
      </c>
      <c r="J9" s="26">
        <v>11.4</v>
      </c>
      <c r="K9" s="497"/>
    </row>
    <row r="10" spans="1:11">
      <c r="I10" s="59" t="s">
        <v>808</v>
      </c>
      <c r="J10" s="26">
        <v>13.8</v>
      </c>
      <c r="K10" s="497"/>
    </row>
    <row r="11" spans="1:11">
      <c r="I11" s="59" t="s">
        <v>809</v>
      </c>
      <c r="J11" s="26">
        <v>18.600000000000001</v>
      </c>
      <c r="K11" s="497"/>
    </row>
    <row r="12" spans="1:11">
      <c r="C12"/>
      <c r="I12" s="59" t="s">
        <v>812</v>
      </c>
      <c r="J12" s="26">
        <v>31.8</v>
      </c>
      <c r="K12" s="497"/>
    </row>
    <row r="13" spans="1:11" ht="13" thickBot="1">
      <c r="I13" s="59" t="s">
        <v>735</v>
      </c>
      <c r="J13" s="26">
        <v>56.8</v>
      </c>
      <c r="K13" s="497"/>
    </row>
    <row r="14" spans="1:11" ht="14" thickTop="1" thickBot="1">
      <c r="A14" s="37" t="s">
        <v>245</v>
      </c>
      <c r="B14" s="38" t="s">
        <v>246</v>
      </c>
      <c r="C14" s="38" t="s">
        <v>247</v>
      </c>
      <c r="D14" s="39" t="s">
        <v>248</v>
      </c>
      <c r="I14" s="468" t="s">
        <v>788</v>
      </c>
      <c r="J14" s="45">
        <v>71.599999999999994</v>
      </c>
      <c r="K14" s="497"/>
    </row>
    <row r="15" spans="1:11" ht="13.5" thickTop="1" thickBot="1">
      <c r="A15" s="34" t="s">
        <v>275</v>
      </c>
      <c r="B15" s="539">
        <v>1.0000000000000001E-5</v>
      </c>
      <c r="C15" s="35" t="s">
        <v>249</v>
      </c>
      <c r="D15" s="36" t="s">
        <v>273</v>
      </c>
      <c r="I15" s="461" t="s">
        <v>722</v>
      </c>
      <c r="J15" s="462">
        <v>80</v>
      </c>
    </row>
    <row r="16" spans="1:11">
      <c r="A16" s="29" t="s">
        <v>250</v>
      </c>
      <c r="B16" s="28">
        <f>70*365</f>
        <v>25550</v>
      </c>
      <c r="C16" s="26" t="s">
        <v>251</v>
      </c>
      <c r="D16" s="30" t="s">
        <v>274</v>
      </c>
      <c r="I16" s="467" t="s">
        <v>811</v>
      </c>
      <c r="J16" s="651">
        <f>((J5*1)+(J6*2)+(J7*3)+(J8*6)+(J9*12))/(12*2)</f>
        <v>9.6166666666666671</v>
      </c>
    </row>
    <row r="17" spans="1:21">
      <c r="A17" s="29" t="s">
        <v>252</v>
      </c>
      <c r="B17" s="188" t="s">
        <v>956</v>
      </c>
      <c r="C17" s="26" t="s">
        <v>253</v>
      </c>
      <c r="D17" s="30" t="s">
        <v>254</v>
      </c>
      <c r="I17" s="358" t="s">
        <v>800</v>
      </c>
      <c r="J17" s="60">
        <f>AVERAGE(J9:J10)</f>
        <v>12.600000000000001</v>
      </c>
    </row>
    <row r="18" spans="1:21">
      <c r="A18" s="29" t="s">
        <v>969</v>
      </c>
      <c r="B18" s="188" t="s">
        <v>956</v>
      </c>
      <c r="C18" s="26" t="s">
        <v>249</v>
      </c>
      <c r="D18" s="30" t="s">
        <v>254</v>
      </c>
      <c r="I18" s="467" t="s">
        <v>810</v>
      </c>
      <c r="J18" s="651">
        <f>((J5*1)+(J6*2)+(J7*3)+(J8*6)+(J9*12)+(J10*12)+(J11*36))/(6*12)</f>
        <v>14.805555555555555</v>
      </c>
    </row>
    <row r="19" spans="1:21" ht="13">
      <c r="A19" s="29" t="s">
        <v>551</v>
      </c>
      <c r="B19" s="202">
        <v>350</v>
      </c>
      <c r="C19" s="26" t="s">
        <v>263</v>
      </c>
      <c r="D19" s="30" t="s">
        <v>974</v>
      </c>
      <c r="I19" s="467" t="s">
        <v>733</v>
      </c>
      <c r="J19" s="651">
        <f>((J10*12)+(J11*36)+(J12*60)+(J13*60))/(12*14)</f>
        <v>36.614285714285714</v>
      </c>
    </row>
    <row r="20" spans="1:21" ht="13">
      <c r="A20" s="29" t="s">
        <v>552</v>
      </c>
      <c r="B20" s="202">
        <v>250</v>
      </c>
      <c r="C20" s="26" t="s">
        <v>263</v>
      </c>
      <c r="D20" s="30" t="s">
        <v>974</v>
      </c>
      <c r="I20" s="358" t="s">
        <v>734</v>
      </c>
      <c r="J20" s="60">
        <f>((J13*60)+(J14*60))/(12*10)</f>
        <v>64.2</v>
      </c>
    </row>
    <row r="21" spans="1:21" ht="12.75" customHeight="1">
      <c r="A21" s="29" t="s">
        <v>553</v>
      </c>
      <c r="B21" s="202">
        <v>250</v>
      </c>
      <c r="C21" s="26" t="s">
        <v>263</v>
      </c>
      <c r="D21" s="30" t="s">
        <v>974</v>
      </c>
      <c r="I21" s="358" t="s">
        <v>799</v>
      </c>
      <c r="J21" s="60">
        <f>((5*J14)+(5*J15))/10</f>
        <v>75.8</v>
      </c>
    </row>
    <row r="22" spans="1:21">
      <c r="A22" s="29" t="s">
        <v>554</v>
      </c>
      <c r="B22" s="202">
        <v>250</v>
      </c>
      <c r="C22" s="26" t="s">
        <v>263</v>
      </c>
      <c r="D22" s="30" t="s">
        <v>974</v>
      </c>
    </row>
    <row r="23" spans="1:21" ht="13.5" customHeight="1">
      <c r="A23" s="29" t="s">
        <v>255</v>
      </c>
      <c r="B23" s="148">
        <v>9.9999999999999995E-7</v>
      </c>
      <c r="C23" s="26" t="s">
        <v>706</v>
      </c>
      <c r="D23" s="30" t="s">
        <v>707</v>
      </c>
    </row>
    <row r="24" spans="1:21" ht="13.5" customHeight="1">
      <c r="A24" s="29" t="s">
        <v>704</v>
      </c>
      <c r="B24" s="148">
        <v>1000</v>
      </c>
      <c r="C24" s="26" t="s">
        <v>705</v>
      </c>
      <c r="D24" s="30" t="s">
        <v>707</v>
      </c>
      <c r="I24" s="474" t="s">
        <v>781</v>
      </c>
    </row>
    <row r="25" spans="1:21" ht="12.75" customHeight="1">
      <c r="A25" s="29" t="s">
        <v>544</v>
      </c>
      <c r="B25" s="201">
        <v>26</v>
      </c>
      <c r="C25" s="26" t="s">
        <v>257</v>
      </c>
      <c r="D25" s="30" t="s">
        <v>715</v>
      </c>
      <c r="I25" s="1" t="s">
        <v>747</v>
      </c>
    </row>
    <row r="26" spans="1:21" ht="12.75" customHeight="1">
      <c r="A26" s="29" t="s">
        <v>690</v>
      </c>
      <c r="B26" s="201">
        <v>2</v>
      </c>
      <c r="C26" s="26" t="s">
        <v>257</v>
      </c>
      <c r="D26" s="30" t="s">
        <v>1011</v>
      </c>
      <c r="I26" s="791" t="s">
        <v>739</v>
      </c>
      <c r="J26" s="804" t="s">
        <v>773</v>
      </c>
      <c r="K26" s="817"/>
      <c r="L26" s="817"/>
      <c r="M26" s="817"/>
      <c r="N26" s="817"/>
      <c r="O26" s="817"/>
      <c r="P26" s="818"/>
      <c r="Q26" s="811" t="s">
        <v>774</v>
      </c>
      <c r="R26" s="812"/>
      <c r="S26" s="811" t="s">
        <v>775</v>
      </c>
      <c r="T26" s="812"/>
      <c r="U26" s="449"/>
    </row>
    <row r="27" spans="1:21" ht="12.75" customHeight="1">
      <c r="A27" s="29" t="s">
        <v>537</v>
      </c>
      <c r="B27" s="201">
        <v>14</v>
      </c>
      <c r="C27" s="26" t="s">
        <v>257</v>
      </c>
      <c r="D27" s="30" t="s">
        <v>1011</v>
      </c>
      <c r="I27" s="807"/>
      <c r="J27" s="796" t="s">
        <v>872</v>
      </c>
      <c r="K27" s="796" t="s">
        <v>873</v>
      </c>
      <c r="L27" s="796" t="s">
        <v>874</v>
      </c>
      <c r="M27" s="796" t="s">
        <v>875</v>
      </c>
      <c r="N27" s="796" t="s">
        <v>876</v>
      </c>
      <c r="O27" s="798" t="s">
        <v>877</v>
      </c>
      <c r="P27" s="798" t="s">
        <v>878</v>
      </c>
      <c r="Q27" s="813"/>
      <c r="R27" s="814"/>
      <c r="S27" s="813"/>
      <c r="T27" s="814"/>
      <c r="U27" s="498"/>
    </row>
    <row r="28" spans="1:21">
      <c r="A28" s="29" t="s">
        <v>717</v>
      </c>
      <c r="B28" s="201">
        <v>10</v>
      </c>
      <c r="C28" s="26" t="s">
        <v>257</v>
      </c>
      <c r="D28" s="30" t="s">
        <v>1011</v>
      </c>
      <c r="I28" s="808"/>
      <c r="J28" s="797"/>
      <c r="K28" s="797"/>
      <c r="L28" s="797"/>
      <c r="M28" s="797"/>
      <c r="N28" s="797"/>
      <c r="O28" s="797"/>
      <c r="P28" s="797"/>
      <c r="Q28" s="815"/>
      <c r="R28" s="816"/>
      <c r="S28" s="815"/>
      <c r="T28" s="816"/>
      <c r="U28" s="498"/>
    </row>
    <row r="29" spans="1:21">
      <c r="A29" s="29" t="s">
        <v>538</v>
      </c>
      <c r="B29" s="535">
        <v>200</v>
      </c>
      <c r="C29" s="26" t="s">
        <v>260</v>
      </c>
      <c r="D29" s="30" t="s">
        <v>715</v>
      </c>
      <c r="I29" s="26" t="s">
        <v>805</v>
      </c>
      <c r="J29" s="364">
        <v>5.2999999999999999E-2</v>
      </c>
      <c r="K29" s="364">
        <v>0.04</v>
      </c>
      <c r="L29" s="364">
        <v>1.4999999999999999E-2</v>
      </c>
      <c r="M29" s="364">
        <v>0.06</v>
      </c>
      <c r="N29" s="364">
        <v>1.9E-2</v>
      </c>
      <c r="O29" s="463">
        <f>K29*J86</f>
        <v>1.6E-2</v>
      </c>
      <c r="P29" s="463">
        <f>M29*J87</f>
        <v>2.5199999999999997E-2</v>
      </c>
      <c r="Q29" s="499" t="s">
        <v>748</v>
      </c>
      <c r="R29" s="480"/>
      <c r="S29" s="499" t="s">
        <v>749</v>
      </c>
      <c r="T29" s="481"/>
      <c r="U29" s="360"/>
    </row>
    <row r="30" spans="1:21">
      <c r="A30" s="41" t="s">
        <v>539</v>
      </c>
      <c r="B30" s="540">
        <v>200</v>
      </c>
      <c r="C30" s="42" t="s">
        <v>260</v>
      </c>
      <c r="D30" s="30" t="s">
        <v>715</v>
      </c>
      <c r="E30" s="1"/>
      <c r="F30" s="1"/>
      <c r="G30" s="1"/>
      <c r="H30" s="1"/>
      <c r="I30" s="26" t="s">
        <v>803</v>
      </c>
      <c r="J30" s="364">
        <v>0.06</v>
      </c>
      <c r="K30" s="364">
        <v>4.4999999999999998E-2</v>
      </c>
      <c r="L30" s="364">
        <v>1.7000000000000001E-2</v>
      </c>
      <c r="M30" s="364">
        <v>6.8000000000000005E-2</v>
      </c>
      <c r="N30" s="364">
        <v>2.1000000000000001E-2</v>
      </c>
      <c r="O30" s="463">
        <f>K30*J86</f>
        <v>1.7999999999999999E-2</v>
      </c>
      <c r="P30" s="463">
        <f>M30*J87</f>
        <v>2.8560000000000002E-2</v>
      </c>
      <c r="Q30" s="499" t="s">
        <v>748</v>
      </c>
      <c r="R30" s="480"/>
      <c r="S30" s="499" t="s">
        <v>749</v>
      </c>
      <c r="T30" s="481"/>
      <c r="U30" s="360"/>
    </row>
    <row r="31" spans="1:21">
      <c r="A31" s="41" t="s">
        <v>718</v>
      </c>
      <c r="B31" s="537">
        <v>100</v>
      </c>
      <c r="C31" s="42" t="s">
        <v>260</v>
      </c>
      <c r="D31" s="30" t="s">
        <v>715</v>
      </c>
      <c r="I31" s="26" t="s">
        <v>804</v>
      </c>
      <c r="J31" s="364">
        <v>6.9000000000000006E-2</v>
      </c>
      <c r="K31" s="364">
        <v>5.1999999999999998E-2</v>
      </c>
      <c r="L31" s="364">
        <v>0.02</v>
      </c>
      <c r="M31" s="364">
        <v>7.8E-2</v>
      </c>
      <c r="N31" s="364">
        <v>2.5000000000000001E-2</v>
      </c>
      <c r="O31" s="463">
        <f>K31*J86</f>
        <v>2.0799999999999999E-2</v>
      </c>
      <c r="P31" s="463">
        <f>M31*J87</f>
        <v>3.2759999999999997E-2</v>
      </c>
      <c r="Q31" s="499" t="s">
        <v>748</v>
      </c>
      <c r="R31" s="480"/>
      <c r="S31" s="499" t="s">
        <v>749</v>
      </c>
      <c r="T31" s="481"/>
      <c r="U31" s="360"/>
    </row>
    <row r="32" spans="1:21">
      <c r="A32" s="41" t="s">
        <v>540</v>
      </c>
      <c r="B32" s="60">
        <v>10</v>
      </c>
      <c r="C32" s="42" t="s">
        <v>262</v>
      </c>
      <c r="D32" s="30" t="s">
        <v>976</v>
      </c>
      <c r="I32" s="26" t="s">
        <v>802</v>
      </c>
      <c r="J32" s="364">
        <v>8.2000000000000003E-2</v>
      </c>
      <c r="K32" s="364">
        <v>6.2E-2</v>
      </c>
      <c r="L32" s="364">
        <v>2.4E-2</v>
      </c>
      <c r="M32" s="364">
        <v>9.2999999999999999E-2</v>
      </c>
      <c r="N32" s="364">
        <v>2.9000000000000001E-2</v>
      </c>
      <c r="O32" s="463">
        <f>K32*J86</f>
        <v>2.4800000000000003E-2</v>
      </c>
      <c r="P32" s="463">
        <f>M32*J87</f>
        <v>3.9059999999999997E-2</v>
      </c>
      <c r="Q32" s="499" t="s">
        <v>748</v>
      </c>
      <c r="R32" s="480"/>
      <c r="S32" s="499" t="s">
        <v>749</v>
      </c>
      <c r="T32" s="481"/>
      <c r="U32" s="360"/>
    </row>
    <row r="33" spans="1:21">
      <c r="A33" s="41" t="s">
        <v>541</v>
      </c>
      <c r="B33" s="60">
        <v>37</v>
      </c>
      <c r="C33" s="42" t="s">
        <v>262</v>
      </c>
      <c r="D33" s="30" t="s">
        <v>976</v>
      </c>
      <c r="I33" s="26" t="s">
        <v>793</v>
      </c>
      <c r="J33" s="364">
        <v>8.6999999999999994E-2</v>
      </c>
      <c r="K33" s="364">
        <v>6.9000000000000006E-2</v>
      </c>
      <c r="L33" s="364">
        <v>0.03</v>
      </c>
      <c r="M33" s="364">
        <v>0.122</v>
      </c>
      <c r="N33" s="364">
        <v>3.3000000000000002E-2</v>
      </c>
      <c r="O33" s="463">
        <f>K33*J86</f>
        <v>2.7600000000000003E-2</v>
      </c>
      <c r="P33" s="463">
        <f>M33*J87</f>
        <v>5.1239999999999994E-2</v>
      </c>
      <c r="Q33" s="499" t="s">
        <v>748</v>
      </c>
      <c r="R33" s="480"/>
      <c r="S33" s="499" t="s">
        <v>749</v>
      </c>
      <c r="T33" s="481"/>
      <c r="U33" s="360"/>
    </row>
    <row r="34" spans="1:21">
      <c r="A34" s="41" t="s">
        <v>719</v>
      </c>
      <c r="B34" s="27">
        <v>76</v>
      </c>
      <c r="C34" s="42" t="s">
        <v>262</v>
      </c>
      <c r="D34" s="30" t="s">
        <v>976</v>
      </c>
      <c r="I34" s="26" t="s">
        <v>794</v>
      </c>
      <c r="J34" s="364">
        <v>5.0999999999999997E-2</v>
      </c>
      <c r="K34" s="364">
        <v>8.7999999999999995E-2</v>
      </c>
      <c r="L34" s="364">
        <v>2.8000000000000001E-2</v>
      </c>
      <c r="M34" s="364">
        <v>0.154</v>
      </c>
      <c r="N34" s="364">
        <v>3.7999999999999999E-2</v>
      </c>
      <c r="O34" s="463">
        <f>K34*J86</f>
        <v>3.5200000000000002E-2</v>
      </c>
      <c r="P34" s="463">
        <f>M34*J87</f>
        <v>6.4680000000000001E-2</v>
      </c>
      <c r="Q34" s="499" t="s">
        <v>748</v>
      </c>
      <c r="R34" s="480"/>
      <c r="S34" s="499" t="s">
        <v>749</v>
      </c>
      <c r="T34" s="481"/>
      <c r="U34" s="360"/>
    </row>
    <row r="35" spans="1:21" ht="14.25" customHeight="1">
      <c r="A35" s="43" t="s">
        <v>709</v>
      </c>
      <c r="B35" s="188" t="s">
        <v>956</v>
      </c>
      <c r="C35" s="26" t="s">
        <v>249</v>
      </c>
      <c r="D35" s="30" t="s">
        <v>254</v>
      </c>
      <c r="I35" s="26" t="s">
        <v>795</v>
      </c>
      <c r="J35" s="364">
        <v>6.0999999999999999E-2</v>
      </c>
      <c r="K35" s="364">
        <v>0.106</v>
      </c>
      <c r="L35" s="364">
        <v>3.6999999999999998E-2</v>
      </c>
      <c r="M35" s="364">
        <v>0.19500000000000001</v>
      </c>
      <c r="N35" s="364">
        <v>4.9000000000000002E-2</v>
      </c>
      <c r="O35" s="463">
        <f>K35*K86</f>
        <v>4.24E-2</v>
      </c>
      <c r="P35" s="463">
        <f>M35*K87</f>
        <v>7.8000000000000014E-2</v>
      </c>
      <c r="Q35" s="500" t="s">
        <v>750</v>
      </c>
      <c r="R35" s="482"/>
      <c r="S35" s="500" t="s">
        <v>750</v>
      </c>
      <c r="T35" s="483"/>
      <c r="U35" s="360"/>
    </row>
    <row r="36" spans="1:21" ht="15" customHeight="1">
      <c r="A36" s="44" t="s">
        <v>710</v>
      </c>
      <c r="B36" s="614" t="s">
        <v>956</v>
      </c>
      <c r="C36" s="45" t="s">
        <v>249</v>
      </c>
      <c r="D36" s="46" t="s">
        <v>254</v>
      </c>
      <c r="I36" s="26" t="s">
        <v>796</v>
      </c>
      <c r="J36" s="364">
        <v>6.6000000000000003E-2</v>
      </c>
      <c r="K36" s="364">
        <v>0.151</v>
      </c>
      <c r="L36" s="364">
        <v>5.0999999999999997E-2</v>
      </c>
      <c r="M36" s="364">
        <v>0.311</v>
      </c>
      <c r="N36" s="364">
        <v>7.2999999999999995E-2</v>
      </c>
      <c r="O36" s="463">
        <f>K36*L86</f>
        <v>5.8889999999999998E-2</v>
      </c>
      <c r="P36" s="463">
        <f>M36*L86</f>
        <v>0.12129000000000001</v>
      </c>
      <c r="Q36" s="501" t="s">
        <v>751</v>
      </c>
      <c r="R36" s="484"/>
      <c r="S36" s="501" t="s">
        <v>752</v>
      </c>
      <c r="T36" s="485"/>
      <c r="U36" s="360"/>
    </row>
    <row r="37" spans="1:21" ht="14.25" customHeight="1">
      <c r="A37" s="43" t="s">
        <v>664</v>
      </c>
      <c r="B37" s="541">
        <v>0.2</v>
      </c>
      <c r="C37" s="26" t="s">
        <v>268</v>
      </c>
      <c r="D37" s="30" t="s">
        <v>715</v>
      </c>
      <c r="I37" s="26" t="s">
        <v>735</v>
      </c>
      <c r="J37" s="364">
        <v>7.2999999999999995E-2</v>
      </c>
      <c r="K37" s="364">
        <v>0.22700000000000001</v>
      </c>
      <c r="L37" s="364">
        <v>7.1999999999999995E-2</v>
      </c>
      <c r="M37" s="364">
        <v>0.48299999999999998</v>
      </c>
      <c r="N37" s="364">
        <v>0.105</v>
      </c>
      <c r="O37" s="463">
        <f>K37*M86</f>
        <v>8.6260000000000003E-2</v>
      </c>
      <c r="P37" s="463">
        <f>M37*M87</f>
        <v>0.19320000000000001</v>
      </c>
      <c r="Q37" s="502" t="s">
        <v>753</v>
      </c>
      <c r="R37" s="486"/>
      <c r="S37" s="502" t="s">
        <v>754</v>
      </c>
      <c r="T37" s="487"/>
      <c r="U37" s="360"/>
    </row>
    <row r="38" spans="1:21" ht="14.25" customHeight="1">
      <c r="A38" s="43" t="s">
        <v>665</v>
      </c>
      <c r="B38" s="541">
        <v>0.2</v>
      </c>
      <c r="C38" s="26" t="s">
        <v>268</v>
      </c>
      <c r="D38" s="30" t="s">
        <v>715</v>
      </c>
      <c r="I38" s="26" t="s">
        <v>788</v>
      </c>
      <c r="J38" s="364">
        <v>7.4999999999999997E-2</v>
      </c>
      <c r="K38" s="364">
        <v>0.26900000000000002</v>
      </c>
      <c r="L38" s="364">
        <v>8.3000000000000004E-2</v>
      </c>
      <c r="M38" s="364">
        <v>0.54300000000000004</v>
      </c>
      <c r="N38" s="364">
        <v>0.112</v>
      </c>
      <c r="O38" s="463">
        <f>K38*N86</f>
        <v>0.10222000000000001</v>
      </c>
      <c r="P38" s="463">
        <f>M38*N87</f>
        <v>0.21177000000000001</v>
      </c>
      <c r="Q38" s="503" t="s">
        <v>755</v>
      </c>
      <c r="R38" s="488"/>
      <c r="S38" s="503" t="s">
        <v>756</v>
      </c>
      <c r="T38" s="489"/>
      <c r="U38" s="360"/>
    </row>
    <row r="39" spans="1:21" ht="14.25" customHeight="1">
      <c r="A39" s="43" t="s">
        <v>720</v>
      </c>
      <c r="B39" s="200">
        <v>7.0000000000000007E-2</v>
      </c>
      <c r="C39" s="26" t="s">
        <v>268</v>
      </c>
      <c r="D39" s="30" t="s">
        <v>715</v>
      </c>
      <c r="I39" s="158"/>
      <c r="J39" s="361"/>
      <c r="K39" s="361"/>
      <c r="L39" s="361"/>
      <c r="M39" s="361"/>
      <c r="N39" s="361"/>
      <c r="O39" s="361"/>
      <c r="P39" s="361"/>
      <c r="Q39" s="361"/>
      <c r="R39" s="361"/>
      <c r="S39" s="361"/>
      <c r="T39" s="361"/>
    </row>
    <row r="40" spans="1:21" ht="14.25" customHeight="1">
      <c r="A40" s="29" t="s">
        <v>542</v>
      </c>
      <c r="B40" s="60">
        <f>O54</f>
        <v>2024</v>
      </c>
      <c r="C40" s="26" t="s">
        <v>267</v>
      </c>
      <c r="D40" s="30" t="s">
        <v>976</v>
      </c>
      <c r="I40" s="450" t="s">
        <v>757</v>
      </c>
      <c r="S40" s="4"/>
      <c r="T40" s="4"/>
    </row>
    <row r="41" spans="1:21" ht="14.25" customHeight="1">
      <c r="A41" s="29" t="s">
        <v>543</v>
      </c>
      <c r="B41" s="60">
        <f>O55</f>
        <v>3942</v>
      </c>
      <c r="C41" s="26" t="s">
        <v>267</v>
      </c>
      <c r="D41" s="30" t="s">
        <v>976</v>
      </c>
      <c r="I41" s="791" t="s">
        <v>332</v>
      </c>
      <c r="J41" s="791" t="s">
        <v>727</v>
      </c>
      <c r="K41" s="791" t="s">
        <v>728</v>
      </c>
      <c r="L41" s="791" t="s">
        <v>729</v>
      </c>
      <c r="M41" s="791" t="s">
        <v>730</v>
      </c>
      <c r="N41" s="791" t="s">
        <v>731</v>
      </c>
      <c r="O41" s="791" t="s">
        <v>732</v>
      </c>
      <c r="P41" s="791" t="s">
        <v>779</v>
      </c>
      <c r="S41" s="4"/>
      <c r="T41" s="4"/>
    </row>
    <row r="42" spans="1:21" ht="15">
      <c r="A42" s="29" t="s">
        <v>721</v>
      </c>
      <c r="B42" s="60">
        <f>O115</f>
        <v>6585</v>
      </c>
      <c r="C42" s="26" t="s">
        <v>267</v>
      </c>
      <c r="D42" s="30" t="s">
        <v>976</v>
      </c>
      <c r="I42" s="792"/>
      <c r="J42" s="792"/>
      <c r="K42" s="792"/>
      <c r="L42" s="792"/>
      <c r="M42" s="792"/>
      <c r="N42" s="792"/>
      <c r="O42" s="792"/>
      <c r="P42" s="819"/>
      <c r="Q42" s="362"/>
      <c r="R42" s="4"/>
      <c r="S42" s="4"/>
      <c r="T42" s="4"/>
    </row>
    <row r="43" spans="1:21" ht="12.75" customHeight="1">
      <c r="A43" s="47" t="s">
        <v>276</v>
      </c>
      <c r="B43" s="615" t="s">
        <v>956</v>
      </c>
      <c r="C43" s="35" t="s">
        <v>562</v>
      </c>
      <c r="D43" s="46" t="s">
        <v>254</v>
      </c>
      <c r="I43" s="793"/>
      <c r="J43" s="793"/>
      <c r="K43" s="793"/>
      <c r="L43" s="793"/>
      <c r="M43" s="793"/>
      <c r="N43" s="793"/>
      <c r="O43" s="793"/>
      <c r="P43" s="820"/>
      <c r="Q43" s="362"/>
      <c r="R43" s="4"/>
      <c r="S43" s="4"/>
      <c r="T43" s="4"/>
    </row>
    <row r="44" spans="1:21" ht="14.25" customHeight="1">
      <c r="A44" s="29" t="s">
        <v>494</v>
      </c>
      <c r="B44" s="26" t="s">
        <v>956</v>
      </c>
      <c r="C44" s="26" t="s">
        <v>272</v>
      </c>
      <c r="D44" s="30" t="s">
        <v>977</v>
      </c>
      <c r="I44" s="26" t="s">
        <v>790</v>
      </c>
      <c r="J44" s="451">
        <f>AVERAGE(((J29*1)+(J30*2)+(J31*3)+(J32*6)+(J33*12))/24)</f>
        <v>7.9833333333333326E-2</v>
      </c>
      <c r="K44" s="451">
        <f>AVERAGE(((O29*1)+(O30*2)+(O31*3)+(O32*6)+(O33*12))/24)</f>
        <v>2.4766666666666669E-2</v>
      </c>
      <c r="L44" s="451">
        <f>AVERAGE(((L29*1)+(L30*2)+(L31*3)+(L32*6)+(L33*12))/24)</f>
        <v>2.5541666666666667E-2</v>
      </c>
      <c r="M44" s="451">
        <f>AVERAGE(((P29*1)+(P30*2)+(P31*3)+(P32*6)+(P33*12))/24)</f>
        <v>4.2909999999999997E-2</v>
      </c>
      <c r="N44" s="451">
        <f>AVERAGE(((N29*1)+(N30*2)+(N31*3)+(N32*6)+(N33*12))/24)</f>
        <v>2.9416666666666671E-2</v>
      </c>
      <c r="O44" s="364">
        <f>SUM(J44:N44)</f>
        <v>0.20246833333333333</v>
      </c>
      <c r="P44" s="60">
        <f>O44*10000</f>
        <v>2024.6833333333334</v>
      </c>
      <c r="Q44" s="4"/>
      <c r="R44" s="4"/>
      <c r="S44" s="4"/>
      <c r="T44" s="4"/>
    </row>
    <row r="45" spans="1:21" ht="15" thickBot="1">
      <c r="A45" s="31" t="s">
        <v>713</v>
      </c>
      <c r="B45" s="87">
        <f>1/(('Res-Rec Equations'!$B$152*3600)/((0.036*(1-'Res-Rec Equations'!$B$153))*('Res-Rec Equations'!$B$154/'Res-Rec Equations'!$B$155)^3*'Res-Rec Equations'!$B$156))</f>
        <v>7.3567680901159717E-10</v>
      </c>
      <c r="C45" s="32" t="s">
        <v>272</v>
      </c>
      <c r="D45" s="33" t="s">
        <v>977</v>
      </c>
      <c r="I45" s="59" t="s">
        <v>789</v>
      </c>
      <c r="J45" s="451">
        <f>AVERAGE(((J34*1)+(J35*3)+(J36*5)+(J37*5))/14)</f>
        <v>6.6357142857142865E-2</v>
      </c>
      <c r="K45" s="451">
        <f>AVERAGE(((O34*1)+(O35*3)+(O36*5)+(O37*5))/14)</f>
        <v>6.3439285714285712E-2</v>
      </c>
      <c r="L45" s="451">
        <f>AVERAGE(((L34*1)+(L35*3)+(L36*5)+(L37*5))/14)</f>
        <v>5.385714285714286E-2</v>
      </c>
      <c r="M45" s="451">
        <f>AVERAGE(((P34*1)+(P35*3)+(P36*5)+(P37*5))/14)</f>
        <v>0.13365214285714286</v>
      </c>
      <c r="N45" s="451">
        <f>AVERAGE(((N34*1)+(N35*3)+(N36*5)+(N37*5))/14)</f>
        <v>7.6785714285714304E-2</v>
      </c>
      <c r="O45" s="364">
        <f>SUM(J45:N45)</f>
        <v>0.39409142857142859</v>
      </c>
      <c r="P45" s="60">
        <f>O45*10000</f>
        <v>3940.9142857142861</v>
      </c>
      <c r="Q45" s="4"/>
      <c r="R45" s="4"/>
      <c r="S45" s="4"/>
      <c r="T45" s="4"/>
    </row>
    <row r="46" spans="1:21" ht="13.5" customHeight="1" thickTop="1">
      <c r="I46" s="26" t="s">
        <v>791</v>
      </c>
      <c r="J46" s="451">
        <f>AVERAGE(((J29*1)+(J30*2)+(J31*3)+(J32*6)+(J33*12)+(J34*12)+(J35*36))/72)</f>
        <v>6.561111111111112E-2</v>
      </c>
      <c r="K46" s="451">
        <f>AVERAGE(((O29*1)+(O30*2)+(O31*3)+(O32*6)+(O33*12)+(O34*12)+(O35*36))/72)</f>
        <v>3.532222222222222E-2</v>
      </c>
      <c r="L46" s="451">
        <f>AVERAGE(((L29*1)+(L30*2)+(L31*3)+(L32*6)+(L33*12)+(L34*12)+(L35*36))/72)</f>
        <v>3.1680555555555552E-2</v>
      </c>
      <c r="M46" s="451">
        <f>AVERAGE(((P29*1)+(P30*2)+(P31*3)+(P32*6)+(P33*12)+(P34*12)+(P35*36))/72)</f>
        <v>6.4083333333333339E-2</v>
      </c>
      <c r="N46" s="451">
        <f>AVERAGE(((N29*1)+(N30*2)+(N31*3)+(N32*6)+(N33*12)+(N34*12)+(N35*36))/72)</f>
        <v>4.0638888888888891E-2</v>
      </c>
      <c r="O46" s="364">
        <f>SUM(J46:N46)</f>
        <v>0.23733611111111114</v>
      </c>
      <c r="P46" s="60">
        <f>O46*10000</f>
        <v>2373.3611111111113</v>
      </c>
      <c r="Q46" s="365"/>
      <c r="R46" s="452"/>
      <c r="S46" s="453"/>
      <c r="T46" s="453"/>
    </row>
    <row r="47" spans="1:21">
      <c r="I47" s="26" t="s">
        <v>723</v>
      </c>
      <c r="J47" s="451">
        <f>J37</f>
        <v>7.2999999999999995E-2</v>
      </c>
      <c r="K47" s="451">
        <f>O37</f>
        <v>8.6260000000000003E-2</v>
      </c>
      <c r="L47" s="451">
        <f>L37</f>
        <v>7.1999999999999995E-2</v>
      </c>
      <c r="M47" s="451">
        <f>P37</f>
        <v>0.19320000000000001</v>
      </c>
      <c r="N47" s="451">
        <f>N37</f>
        <v>0.105</v>
      </c>
      <c r="O47" s="364">
        <f>SUM(J47:N47)</f>
        <v>0.52946000000000004</v>
      </c>
      <c r="P47" s="60">
        <f>O47*10000</f>
        <v>5294.6</v>
      </c>
      <c r="Q47" s="4"/>
      <c r="R47" s="4"/>
    </row>
    <row r="48" spans="1:21" ht="13">
      <c r="A48" s="25" t="s">
        <v>674</v>
      </c>
      <c r="I48" s="26" t="s">
        <v>792</v>
      </c>
      <c r="J48" s="451">
        <f>AVERAGE(((J37*5)+(J38*5))/10)</f>
        <v>7.3999999999999996E-2</v>
      </c>
      <c r="K48" s="451">
        <f>AVERAGE(((O37*5)+(O38*5))/10)</f>
        <v>9.4240000000000004E-2</v>
      </c>
      <c r="L48" s="451">
        <f>AVERAGE(((L37*5)+(L38*5))/10)</f>
        <v>7.7499999999999999E-2</v>
      </c>
      <c r="M48" s="451">
        <f>AVERAGE(((P37*5)+(P38*5))/10)</f>
        <v>0.20248500000000003</v>
      </c>
      <c r="N48" s="451">
        <f>AVERAGE(((N37*5)+(N38*5))/10)</f>
        <v>0.1085</v>
      </c>
      <c r="O48" s="364">
        <f>SUM(J48:N48)</f>
        <v>0.55672500000000003</v>
      </c>
      <c r="P48" s="60">
        <f>O48*10000</f>
        <v>5567.25</v>
      </c>
    </row>
    <row r="49" spans="1:19" ht="12.75" customHeight="1">
      <c r="I49" s="158"/>
      <c r="J49" s="361"/>
      <c r="K49" s="361"/>
      <c r="L49" s="361"/>
      <c r="M49" s="361"/>
      <c r="N49" s="361"/>
      <c r="O49" s="361"/>
      <c r="P49" s="447"/>
    </row>
    <row r="50" spans="1:19" ht="13">
      <c r="I50" s="454" t="s">
        <v>758</v>
      </c>
      <c r="J50" s="455"/>
      <c r="K50" s="455"/>
      <c r="L50" s="455"/>
      <c r="M50" s="455"/>
      <c r="N50" s="455"/>
      <c r="O50" s="455"/>
      <c r="P50" s="456"/>
    </row>
    <row r="51" spans="1:19" ht="13">
      <c r="I51" s="791" t="s">
        <v>332</v>
      </c>
      <c r="J51" s="791" t="s">
        <v>759</v>
      </c>
      <c r="K51" s="791" t="s">
        <v>760</v>
      </c>
      <c r="L51" s="791" t="s">
        <v>761</v>
      </c>
      <c r="M51" s="791" t="s">
        <v>762</v>
      </c>
      <c r="N51" s="791" t="s">
        <v>763</v>
      </c>
      <c r="O51" s="788" t="s">
        <v>764</v>
      </c>
      <c r="P51" s="457"/>
    </row>
    <row r="52" spans="1:19" ht="13">
      <c r="I52" s="792"/>
      <c r="J52" s="792"/>
      <c r="K52" s="792"/>
      <c r="L52" s="792"/>
      <c r="M52" s="792"/>
      <c r="N52" s="792"/>
      <c r="O52" s="809"/>
      <c r="P52" s="504"/>
      <c r="Q52" s="362"/>
    </row>
    <row r="53" spans="1:19" ht="13">
      <c r="I53" s="793"/>
      <c r="J53" s="793"/>
      <c r="K53" s="793"/>
      <c r="L53" s="793"/>
      <c r="M53" s="793"/>
      <c r="N53" s="793"/>
      <c r="O53" s="810"/>
      <c r="P53" s="504"/>
      <c r="Q53" s="362"/>
    </row>
    <row r="54" spans="1:19" ht="13">
      <c r="I54" s="26" t="s">
        <v>790</v>
      </c>
      <c r="J54" s="60">
        <v>798</v>
      </c>
      <c r="K54" s="60">
        <v>248</v>
      </c>
      <c r="L54" s="60">
        <v>255</v>
      </c>
      <c r="M54" s="60">
        <v>429</v>
      </c>
      <c r="N54" s="60">
        <v>294</v>
      </c>
      <c r="O54" s="363">
        <f t="shared" ref="O54:O59" si="0">SUM(J54:N54)</f>
        <v>2024</v>
      </c>
      <c r="P54" s="458"/>
      <c r="Q54" s="4"/>
    </row>
    <row r="55" spans="1:19" ht="13">
      <c r="I55" s="59" t="s">
        <v>789</v>
      </c>
      <c r="J55" s="60">
        <v>664</v>
      </c>
      <c r="K55" s="60">
        <v>634</v>
      </c>
      <c r="L55" s="60">
        <v>539</v>
      </c>
      <c r="M55" s="60">
        <v>1337</v>
      </c>
      <c r="N55" s="60">
        <v>768</v>
      </c>
      <c r="O55" s="363">
        <f t="shared" si="0"/>
        <v>3942</v>
      </c>
      <c r="P55" s="458"/>
      <c r="Q55" s="4"/>
    </row>
    <row r="56" spans="1:19" ht="13">
      <c r="I56" s="26" t="s">
        <v>791</v>
      </c>
      <c r="J56" s="459">
        <v>656</v>
      </c>
      <c r="K56" s="459">
        <v>353</v>
      </c>
      <c r="L56" s="459">
        <v>317</v>
      </c>
      <c r="M56" s="459">
        <v>641</v>
      </c>
      <c r="N56" s="459">
        <v>406</v>
      </c>
      <c r="O56" s="363">
        <f t="shared" si="0"/>
        <v>2373</v>
      </c>
      <c r="P56" s="365"/>
      <c r="Q56" s="365"/>
      <c r="R56" s="452"/>
      <c r="S56" s="452"/>
    </row>
    <row r="57" spans="1:19" ht="13.5" thickBot="1">
      <c r="I57" s="26" t="s">
        <v>723</v>
      </c>
      <c r="J57" s="60">
        <v>730</v>
      </c>
      <c r="K57" s="60">
        <v>863</v>
      </c>
      <c r="L57" s="60">
        <v>720</v>
      </c>
      <c r="M57" s="60">
        <v>1932</v>
      </c>
      <c r="N57" s="60">
        <v>1050</v>
      </c>
      <c r="O57" s="363">
        <f>SUM(J57:N57)</f>
        <v>5295</v>
      </c>
      <c r="P57" s="458"/>
      <c r="Q57" s="4"/>
    </row>
    <row r="58" spans="1:19" ht="14" thickTop="1" thickBot="1">
      <c r="A58" s="37" t="s">
        <v>245</v>
      </c>
      <c r="B58" s="38" t="s">
        <v>246</v>
      </c>
      <c r="C58" s="38" t="s">
        <v>247</v>
      </c>
      <c r="D58" s="39" t="s">
        <v>248</v>
      </c>
      <c r="I58" s="26" t="s">
        <v>792</v>
      </c>
      <c r="J58" s="60">
        <v>740</v>
      </c>
      <c r="K58" s="60">
        <v>942</v>
      </c>
      <c r="L58" s="60">
        <v>775</v>
      </c>
      <c r="M58" s="60">
        <v>2025</v>
      </c>
      <c r="N58" s="60">
        <v>1085</v>
      </c>
      <c r="O58" s="363">
        <f t="shared" si="0"/>
        <v>5567</v>
      </c>
      <c r="P58" s="458"/>
    </row>
    <row r="59" spans="1:19" ht="13.5" thickTop="1">
      <c r="A59" s="34" t="s">
        <v>546</v>
      </c>
      <c r="B59" s="156">
        <v>10</v>
      </c>
      <c r="C59" s="35" t="s">
        <v>249</v>
      </c>
      <c r="D59" s="36" t="s">
        <v>1010</v>
      </c>
      <c r="I59" s="26" t="s">
        <v>724</v>
      </c>
      <c r="J59" s="60">
        <v>750</v>
      </c>
      <c r="K59" s="60">
        <v>1022</v>
      </c>
      <c r="L59" s="60">
        <v>830</v>
      </c>
      <c r="M59" s="60">
        <v>2118</v>
      </c>
      <c r="N59" s="60">
        <v>1120</v>
      </c>
      <c r="O59" s="363">
        <f t="shared" si="0"/>
        <v>5840</v>
      </c>
      <c r="P59" s="447"/>
    </row>
    <row r="60" spans="1:19" ht="13">
      <c r="A60" s="34" t="s">
        <v>547</v>
      </c>
      <c r="B60" s="28">
        <v>3</v>
      </c>
      <c r="C60" s="35" t="s">
        <v>249</v>
      </c>
      <c r="D60" s="36" t="s">
        <v>1010</v>
      </c>
      <c r="I60" s="158"/>
      <c r="J60" s="460"/>
      <c r="K60" s="460"/>
      <c r="L60" s="460"/>
      <c r="M60" s="460"/>
      <c r="N60" s="460"/>
      <c r="O60" s="447"/>
      <c r="P60" s="447"/>
    </row>
    <row r="61" spans="1:19" ht="13.5" thickBot="1">
      <c r="A61" s="31" t="s">
        <v>548</v>
      </c>
      <c r="B61" s="32">
        <v>1</v>
      </c>
      <c r="C61" s="32" t="s">
        <v>249</v>
      </c>
      <c r="D61" s="33" t="s">
        <v>1010</v>
      </c>
      <c r="I61" s="366" t="s">
        <v>867</v>
      </c>
    </row>
    <row r="62" spans="1:19" ht="13.5" thickTop="1">
      <c r="A62" s="157"/>
      <c r="B62" s="158"/>
      <c r="C62" s="158"/>
      <c r="D62" s="157"/>
      <c r="I62" s="505" t="s">
        <v>736</v>
      </c>
      <c r="J62" s="506">
        <v>2</v>
      </c>
      <c r="K62" s="506">
        <v>4</v>
      </c>
      <c r="L62" s="506">
        <v>6</v>
      </c>
      <c r="M62" s="506">
        <v>8</v>
      </c>
      <c r="N62" s="506">
        <v>10</v>
      </c>
      <c r="O62" s="506">
        <v>12</v>
      </c>
      <c r="P62" s="506">
        <v>14</v>
      </c>
      <c r="Q62" s="506">
        <v>16</v>
      </c>
      <c r="R62" s="506">
        <v>18</v>
      </c>
    </row>
    <row r="63" spans="1:19">
      <c r="A63" s="49" t="s">
        <v>957</v>
      </c>
      <c r="I63" s="469" t="s">
        <v>765</v>
      </c>
      <c r="J63" s="26">
        <f>5.8+8.7</f>
        <v>14.5</v>
      </c>
      <c r="K63" s="26">
        <f>8.5+5.6</f>
        <v>14.1</v>
      </c>
      <c r="L63" s="26">
        <f>8.6+5.7</f>
        <v>14.3</v>
      </c>
      <c r="M63" s="26">
        <f>8.6+5.7</f>
        <v>14.3</v>
      </c>
      <c r="N63" s="26">
        <f>8.8+5.5</f>
        <v>14.3</v>
      </c>
      <c r="O63" s="26">
        <f>8.7+5.5</f>
        <v>14.2</v>
      </c>
      <c r="P63" s="26">
        <f>8.9+5.7</f>
        <v>14.600000000000001</v>
      </c>
      <c r="Q63" s="26">
        <f>9.6+5.8</f>
        <v>15.399999999999999</v>
      </c>
      <c r="R63" s="26">
        <f>9.6+5.9</f>
        <v>15.5</v>
      </c>
    </row>
    <row r="64" spans="1:19">
      <c r="A64" s="49"/>
      <c r="I64" s="469" t="s">
        <v>737</v>
      </c>
      <c r="J64" s="26">
        <v>5.8</v>
      </c>
      <c r="K64" s="26">
        <v>5.6</v>
      </c>
      <c r="L64" s="26">
        <v>5.7</v>
      </c>
      <c r="M64" s="26">
        <v>5.7</v>
      </c>
      <c r="N64" s="26">
        <v>5.5</v>
      </c>
      <c r="O64" s="26">
        <v>5.5</v>
      </c>
      <c r="P64" s="26">
        <v>5.7</v>
      </c>
      <c r="Q64" s="26">
        <v>5.8</v>
      </c>
      <c r="R64" s="26">
        <v>5.9</v>
      </c>
    </row>
    <row r="65" spans="1:21">
      <c r="I65" s="469" t="s">
        <v>766</v>
      </c>
      <c r="J65" s="470">
        <f>J64/J63</f>
        <v>0.39999999999999997</v>
      </c>
      <c r="K65" s="470">
        <f t="shared" ref="K65:R65" si="1">K64/K63</f>
        <v>0.39716312056737585</v>
      </c>
      <c r="L65" s="470">
        <f t="shared" si="1"/>
        <v>0.39860139860139859</v>
      </c>
      <c r="M65" s="470">
        <f t="shared" si="1"/>
        <v>0.39860139860139859</v>
      </c>
      <c r="N65" s="470">
        <f t="shared" si="1"/>
        <v>0.38461538461538458</v>
      </c>
      <c r="O65" s="470">
        <f t="shared" si="1"/>
        <v>0.38732394366197187</v>
      </c>
      <c r="P65" s="470">
        <f t="shared" si="1"/>
        <v>0.39041095890410954</v>
      </c>
      <c r="Q65" s="470">
        <f t="shared" si="1"/>
        <v>0.37662337662337664</v>
      </c>
      <c r="R65" s="470">
        <f t="shared" si="1"/>
        <v>0.38064516129032261</v>
      </c>
    </row>
    <row r="66" spans="1:21" ht="13">
      <c r="A66" s="25" t="s">
        <v>841</v>
      </c>
      <c r="I66" s="469" t="s">
        <v>767</v>
      </c>
      <c r="J66" s="26">
        <f>14.9+10.3</f>
        <v>25.200000000000003</v>
      </c>
      <c r="K66" s="26">
        <f>15+10.3</f>
        <v>25.3</v>
      </c>
      <c r="L66" s="26">
        <f>16.2+10.9</f>
        <v>27.1</v>
      </c>
      <c r="M66" s="26">
        <f>16.6+11.7</f>
        <v>28.3</v>
      </c>
      <c r="N66" s="26">
        <f>17.6+11.8</f>
        <v>29.400000000000002</v>
      </c>
      <c r="O66" s="26">
        <f>17.4+11.9</f>
        <v>29.299999999999997</v>
      </c>
      <c r="P66" s="26">
        <f>18.2+11.9</f>
        <v>30.1</v>
      </c>
      <c r="Q66" s="26">
        <f>18.1+11.9</f>
        <v>30</v>
      </c>
      <c r="R66" s="26">
        <f>18.3+11.2</f>
        <v>29.5</v>
      </c>
    </row>
    <row r="67" spans="1:21">
      <c r="I67" s="469" t="s">
        <v>738</v>
      </c>
      <c r="J67" s="26">
        <v>10.3</v>
      </c>
      <c r="K67" s="26">
        <v>10.3</v>
      </c>
      <c r="L67" s="26">
        <v>10.9</v>
      </c>
      <c r="M67" s="26">
        <v>11.7</v>
      </c>
      <c r="N67" s="26">
        <v>11.8</v>
      </c>
      <c r="O67" s="26">
        <v>11.9</v>
      </c>
      <c r="P67" s="26">
        <v>11.9</v>
      </c>
      <c r="Q67" s="26">
        <v>11.9</v>
      </c>
      <c r="R67" s="26">
        <v>11.2</v>
      </c>
    </row>
    <row r="68" spans="1:21">
      <c r="I68" s="490" t="s">
        <v>766</v>
      </c>
      <c r="J68" s="470">
        <f>J67/J66</f>
        <v>0.40873015873015872</v>
      </c>
      <c r="K68" s="470">
        <f t="shared" ref="K68:R68" si="2">K67/K66</f>
        <v>0.40711462450592889</v>
      </c>
      <c r="L68" s="470">
        <f t="shared" si="2"/>
        <v>0.40221402214022139</v>
      </c>
      <c r="M68" s="470">
        <f t="shared" si="2"/>
        <v>0.41342756183745577</v>
      </c>
      <c r="N68" s="470">
        <f t="shared" si="2"/>
        <v>0.40136054421768708</v>
      </c>
      <c r="O68" s="470">
        <f t="shared" si="2"/>
        <v>0.40614334470989766</v>
      </c>
      <c r="P68" s="470">
        <f t="shared" si="2"/>
        <v>0.39534883720930231</v>
      </c>
      <c r="Q68" s="470">
        <f t="shared" si="2"/>
        <v>0.39666666666666667</v>
      </c>
      <c r="R68" s="470">
        <f t="shared" si="2"/>
        <v>0.3796610169491525</v>
      </c>
    </row>
    <row r="69" spans="1:21">
      <c r="I69" s="157"/>
      <c r="J69" s="158"/>
      <c r="K69" s="158"/>
      <c r="L69" s="158"/>
      <c r="M69" s="158"/>
      <c r="N69" s="158"/>
      <c r="O69" s="158"/>
      <c r="P69" s="158"/>
      <c r="Q69" s="158"/>
      <c r="R69" s="158"/>
    </row>
    <row r="70" spans="1:21" ht="13">
      <c r="I70" s="366" t="s">
        <v>868</v>
      </c>
    </row>
    <row r="71" spans="1:21" ht="13">
      <c r="I71" s="505" t="s">
        <v>736</v>
      </c>
      <c r="J71" s="506">
        <v>2</v>
      </c>
      <c r="K71" s="506">
        <v>4</v>
      </c>
      <c r="L71" s="506">
        <v>6</v>
      </c>
      <c r="M71" s="506">
        <v>8</v>
      </c>
      <c r="N71" s="506">
        <v>10</v>
      </c>
      <c r="O71" s="506">
        <v>12</v>
      </c>
      <c r="P71" s="506">
        <v>14</v>
      </c>
      <c r="Q71" s="506">
        <v>16</v>
      </c>
      <c r="R71" s="506">
        <v>18</v>
      </c>
    </row>
    <row r="72" spans="1:21">
      <c r="I72" s="469" t="s">
        <v>765</v>
      </c>
      <c r="J72" s="26">
        <f>8.6+5.6</f>
        <v>14.2</v>
      </c>
      <c r="K72" s="26">
        <f>8.4+5.5</f>
        <v>13.9</v>
      </c>
      <c r="L72" s="26">
        <f>8.3+5.3</f>
        <v>13.600000000000001</v>
      </c>
      <c r="M72" s="26">
        <f>8.1+5.5</f>
        <v>13.6</v>
      </c>
      <c r="N72" s="26">
        <f>8.4+5.3</f>
        <v>13.7</v>
      </c>
      <c r="O72" s="26">
        <f>8.8+5.5</f>
        <v>14.3</v>
      </c>
      <c r="P72" s="26">
        <f>8.8+5.3</f>
        <v>14.100000000000001</v>
      </c>
      <c r="Q72" s="26">
        <f>8.6+5.3</f>
        <v>13.899999999999999</v>
      </c>
      <c r="R72" s="26">
        <f>8.5+5.1</f>
        <v>13.6</v>
      </c>
    </row>
    <row r="73" spans="1:21" ht="13" thickBot="1">
      <c r="I73" s="469" t="s">
        <v>737</v>
      </c>
      <c r="J73" s="26">
        <v>5.6</v>
      </c>
      <c r="K73" s="26">
        <v>5.5</v>
      </c>
      <c r="L73" s="26">
        <v>5.3</v>
      </c>
      <c r="M73" s="26">
        <v>5.5</v>
      </c>
      <c r="N73" s="26">
        <v>5.3</v>
      </c>
      <c r="O73" s="26">
        <v>5.5</v>
      </c>
      <c r="P73" s="26">
        <v>5.3</v>
      </c>
      <c r="Q73" s="26">
        <v>5.3</v>
      </c>
      <c r="R73" s="26">
        <v>5.0999999999999996</v>
      </c>
    </row>
    <row r="74" spans="1:21" ht="14.25" customHeight="1" thickTop="1" thickBot="1">
      <c r="A74" s="37" t="s">
        <v>245</v>
      </c>
      <c r="B74" s="38" t="s">
        <v>246</v>
      </c>
      <c r="C74" s="38" t="s">
        <v>247</v>
      </c>
      <c r="D74" s="39" t="s">
        <v>248</v>
      </c>
      <c r="I74" s="469" t="s">
        <v>766</v>
      </c>
      <c r="J74" s="470">
        <f>J73/J72</f>
        <v>0.39436619718309857</v>
      </c>
      <c r="K74" s="470">
        <f t="shared" ref="K74:R74" si="3">K73/K72</f>
        <v>0.39568345323741005</v>
      </c>
      <c r="L74" s="470">
        <f t="shared" si="3"/>
        <v>0.38970588235294112</v>
      </c>
      <c r="M74" s="470">
        <f t="shared" si="3"/>
        <v>0.40441176470588236</v>
      </c>
      <c r="N74" s="470">
        <f t="shared" si="3"/>
        <v>0.38686131386861317</v>
      </c>
      <c r="O74" s="470">
        <f t="shared" si="3"/>
        <v>0.38461538461538458</v>
      </c>
      <c r="P74" s="470">
        <f t="shared" si="3"/>
        <v>0.37588652482269497</v>
      </c>
      <c r="Q74" s="470">
        <f t="shared" si="3"/>
        <v>0.38129496402877699</v>
      </c>
      <c r="R74" s="470">
        <f t="shared" si="3"/>
        <v>0.375</v>
      </c>
    </row>
    <row r="75" spans="1:21" ht="13" thickTop="1">
      <c r="A75" s="34" t="s">
        <v>902</v>
      </c>
      <c r="B75" s="536">
        <v>0.2</v>
      </c>
      <c r="C75" s="35" t="s">
        <v>249</v>
      </c>
      <c r="D75" s="36" t="s">
        <v>588</v>
      </c>
      <c r="I75" s="469" t="s">
        <v>767</v>
      </c>
      <c r="J75" s="26">
        <f>14.2+11.2</f>
        <v>25.4</v>
      </c>
      <c r="K75" s="26">
        <f>15.6+10.4</f>
        <v>26</v>
      </c>
      <c r="L75" s="26">
        <f>16.5+11.4</f>
        <v>27.9</v>
      </c>
      <c r="M75" s="26">
        <f>18.4+11.3</f>
        <v>29.7</v>
      </c>
      <c r="N75" s="26">
        <f>18.4+12.2</f>
        <v>30.599999999999998</v>
      </c>
      <c r="O75" s="26">
        <f>18.5+12.5</f>
        <v>31</v>
      </c>
      <c r="P75" s="26">
        <f>18.9+12.1</f>
        <v>31</v>
      </c>
      <c r="Q75" s="26">
        <f>17.8+11.9</f>
        <v>29.700000000000003</v>
      </c>
      <c r="R75" s="26">
        <f>17.4+11.5</f>
        <v>28.9</v>
      </c>
    </row>
    <row r="76" spans="1:21">
      <c r="A76" s="29" t="s">
        <v>259</v>
      </c>
      <c r="B76" s="537">
        <v>200</v>
      </c>
      <c r="C76" s="26" t="s">
        <v>260</v>
      </c>
      <c r="D76" s="30" t="s">
        <v>715</v>
      </c>
      <c r="I76" s="469" t="s">
        <v>738</v>
      </c>
      <c r="J76" s="26">
        <v>11.2</v>
      </c>
      <c r="K76" s="26">
        <v>10.4</v>
      </c>
      <c r="L76" s="26">
        <v>11.4</v>
      </c>
      <c r="M76" s="26">
        <v>11.3</v>
      </c>
      <c r="N76" s="26">
        <v>12.2</v>
      </c>
      <c r="O76" s="26">
        <v>12.5</v>
      </c>
      <c r="P76" s="26">
        <v>12.1</v>
      </c>
      <c r="Q76" s="26">
        <v>11.9</v>
      </c>
      <c r="R76" s="26">
        <v>11.5</v>
      </c>
    </row>
    <row r="77" spans="1:21">
      <c r="A77" s="29" t="s">
        <v>969</v>
      </c>
      <c r="B77" s="188" t="s">
        <v>956</v>
      </c>
      <c r="C77" s="26" t="s">
        <v>249</v>
      </c>
      <c r="D77" s="30" t="s">
        <v>254</v>
      </c>
      <c r="I77" s="490" t="s">
        <v>766</v>
      </c>
      <c r="J77" s="470">
        <f>J76/J75</f>
        <v>0.44094488188976377</v>
      </c>
      <c r="K77" s="470">
        <f t="shared" ref="K77:R77" si="4">K76/K75</f>
        <v>0.4</v>
      </c>
      <c r="L77" s="470">
        <f t="shared" si="4"/>
        <v>0.40860215053763443</v>
      </c>
      <c r="M77" s="470">
        <f t="shared" si="4"/>
        <v>0.38047138047138052</v>
      </c>
      <c r="N77" s="470">
        <f t="shared" si="4"/>
        <v>0.39869281045751637</v>
      </c>
      <c r="O77" s="470">
        <f t="shared" si="4"/>
        <v>0.40322580645161288</v>
      </c>
      <c r="P77" s="470">
        <f t="shared" si="4"/>
        <v>0.39032258064516129</v>
      </c>
      <c r="Q77" s="470">
        <f t="shared" si="4"/>
        <v>0.40067340067340063</v>
      </c>
      <c r="R77" s="470">
        <f t="shared" si="4"/>
        <v>0.397923875432526</v>
      </c>
    </row>
    <row r="78" spans="1:21" s="1" customFormat="1">
      <c r="A78" s="29" t="s">
        <v>255</v>
      </c>
      <c r="B78" s="40">
        <v>9.9999999999999995E-7</v>
      </c>
      <c r="C78" s="26" t="s">
        <v>706</v>
      </c>
      <c r="D78" s="30" t="s">
        <v>707</v>
      </c>
      <c r="E78"/>
      <c r="F78"/>
      <c r="G78"/>
      <c r="H78"/>
      <c r="I78" s="49"/>
      <c r="J78" s="491"/>
      <c r="K78" s="491"/>
      <c r="L78" s="491"/>
      <c r="M78" s="491"/>
      <c r="N78" s="491"/>
      <c r="O78" s="491"/>
      <c r="P78" s="491"/>
      <c r="Q78" s="491"/>
      <c r="R78" s="491"/>
    </row>
    <row r="79" spans="1:21" ht="13">
      <c r="A79" s="29" t="s">
        <v>256</v>
      </c>
      <c r="B79" s="201">
        <v>6</v>
      </c>
      <c r="C79" s="26" t="s">
        <v>257</v>
      </c>
      <c r="D79" s="30" t="s">
        <v>715</v>
      </c>
      <c r="I79" s="49" t="s">
        <v>869</v>
      </c>
      <c r="J79" s="491"/>
      <c r="K79" s="491"/>
      <c r="L79" s="491"/>
      <c r="M79" s="491"/>
      <c r="N79" s="491"/>
      <c r="O79" s="491"/>
      <c r="P79" s="491"/>
      <c r="Q79" s="491"/>
      <c r="R79" s="491"/>
    </row>
    <row r="80" spans="1:21" ht="13">
      <c r="A80" s="29" t="s">
        <v>551</v>
      </c>
      <c r="B80" s="201">
        <v>350</v>
      </c>
      <c r="C80" s="26" t="s">
        <v>263</v>
      </c>
      <c r="D80" s="30" t="s">
        <v>974</v>
      </c>
      <c r="I80" s="505" t="s">
        <v>768</v>
      </c>
      <c r="J80" s="506">
        <v>2</v>
      </c>
      <c r="K80" s="506">
        <v>4</v>
      </c>
      <c r="L80" s="506">
        <v>6</v>
      </c>
      <c r="M80" s="506">
        <v>8</v>
      </c>
      <c r="N80" s="506">
        <v>10</v>
      </c>
      <c r="O80" s="506">
        <v>12</v>
      </c>
      <c r="P80" s="506">
        <v>14</v>
      </c>
      <c r="Q80" s="506">
        <v>16</v>
      </c>
      <c r="R80" s="506">
        <v>18</v>
      </c>
      <c r="S80" s="506" t="s">
        <v>769</v>
      </c>
      <c r="T80" s="506" t="s">
        <v>770</v>
      </c>
      <c r="U80" s="506" t="s">
        <v>771</v>
      </c>
    </row>
    <row r="81" spans="1:21" ht="13">
      <c r="A81" s="29" t="s">
        <v>552</v>
      </c>
      <c r="B81" s="201">
        <v>250</v>
      </c>
      <c r="C81" s="26" t="s">
        <v>263</v>
      </c>
      <c r="D81" s="30" t="s">
        <v>974</v>
      </c>
      <c r="I81" s="469" t="s">
        <v>772</v>
      </c>
      <c r="J81" s="492">
        <f>AVERAGE(J65,J74)</f>
        <v>0.39718309859154927</v>
      </c>
      <c r="K81" s="493">
        <f t="shared" ref="K81:R81" si="5">AVERAGE(K65,K74)</f>
        <v>0.39642328690239292</v>
      </c>
      <c r="L81" s="470">
        <f t="shared" si="5"/>
        <v>0.39415364047716983</v>
      </c>
      <c r="M81" s="470">
        <f t="shared" si="5"/>
        <v>0.4015065816536405</v>
      </c>
      <c r="N81" s="470">
        <f t="shared" si="5"/>
        <v>0.3857383492419989</v>
      </c>
      <c r="O81" s="470">
        <f t="shared" si="5"/>
        <v>0.38596966413867823</v>
      </c>
      <c r="P81" s="470">
        <f t="shared" si="5"/>
        <v>0.38314874186340225</v>
      </c>
      <c r="Q81" s="470">
        <f t="shared" si="5"/>
        <v>0.37895917032607684</v>
      </c>
      <c r="R81" s="470">
        <f t="shared" si="5"/>
        <v>0.37782258064516128</v>
      </c>
      <c r="S81" s="494">
        <f>AVERAGE(L81:N81)</f>
        <v>0.39379952379093641</v>
      </c>
      <c r="T81" s="495">
        <f>AVERAGE(O81:P81)</f>
        <v>0.38455920300104024</v>
      </c>
      <c r="U81" s="496">
        <f>AVERAGE(Q81:R81)</f>
        <v>0.37839087548561906</v>
      </c>
    </row>
    <row r="82" spans="1:21">
      <c r="A82" s="29" t="s">
        <v>553</v>
      </c>
      <c r="B82" s="201">
        <v>250</v>
      </c>
      <c r="C82" s="26" t="s">
        <v>263</v>
      </c>
      <c r="D82" s="30" t="s">
        <v>974</v>
      </c>
      <c r="I82" s="469" t="s">
        <v>738</v>
      </c>
      <c r="J82" s="492">
        <f>AVERAGE(J68,J77)</f>
        <v>0.42483752030996125</v>
      </c>
      <c r="K82" s="493">
        <f t="shared" ref="K82:R82" si="6">AVERAGE(K68,K77)</f>
        <v>0.40355731225296443</v>
      </c>
      <c r="L82" s="470">
        <f t="shared" si="6"/>
        <v>0.40540808633892789</v>
      </c>
      <c r="M82" s="470">
        <f t="shared" si="6"/>
        <v>0.39694947115441814</v>
      </c>
      <c r="N82" s="470">
        <f t="shared" si="6"/>
        <v>0.40002667733760172</v>
      </c>
      <c r="O82" s="470">
        <f t="shared" si="6"/>
        <v>0.40468457558075527</v>
      </c>
      <c r="P82" s="470">
        <f t="shared" si="6"/>
        <v>0.3928357089272318</v>
      </c>
      <c r="Q82" s="470">
        <f t="shared" si="6"/>
        <v>0.39867003367003362</v>
      </c>
      <c r="R82" s="470">
        <f t="shared" si="6"/>
        <v>0.38879244619083925</v>
      </c>
      <c r="S82" s="494">
        <f>AVERAGE(L82:N82)</f>
        <v>0.40079474494364925</v>
      </c>
      <c r="T82" s="495">
        <f>AVERAGE(O82:P82)</f>
        <v>0.39876014225399353</v>
      </c>
      <c r="U82" s="496">
        <f>AVERAGE(Q82:R82)</f>
        <v>0.39373123993043646</v>
      </c>
    </row>
    <row r="83" spans="1:21">
      <c r="A83" s="29" t="s">
        <v>554</v>
      </c>
      <c r="B83" s="201">
        <v>250</v>
      </c>
      <c r="C83" s="26" t="s">
        <v>263</v>
      </c>
      <c r="D83" s="30" t="s">
        <v>974</v>
      </c>
      <c r="I83" s="157"/>
      <c r="J83" s="158"/>
      <c r="K83" s="158"/>
      <c r="L83" s="158"/>
      <c r="M83" s="158"/>
      <c r="N83" s="158"/>
      <c r="O83" s="158"/>
      <c r="P83" s="158"/>
      <c r="Q83" s="158"/>
      <c r="R83" s="158"/>
    </row>
    <row r="84" spans="1:21" ht="13">
      <c r="A84" s="29" t="s">
        <v>783</v>
      </c>
      <c r="B84" s="27">
        <v>15</v>
      </c>
      <c r="C84" s="26" t="s">
        <v>262</v>
      </c>
      <c r="D84" s="30" t="s">
        <v>976</v>
      </c>
      <c r="I84" s="49" t="s">
        <v>870</v>
      </c>
      <c r="J84" s="491"/>
      <c r="K84" s="491"/>
      <c r="L84" s="491"/>
      <c r="M84" s="491"/>
      <c r="N84" s="491"/>
      <c r="O84" s="491"/>
      <c r="P84" s="491"/>
      <c r="Q84" s="491"/>
      <c r="R84" s="491"/>
    </row>
    <row r="85" spans="1:21" ht="12.75" customHeight="1">
      <c r="A85" s="29" t="s">
        <v>250</v>
      </c>
      <c r="B85" s="28">
        <f>B79*365</f>
        <v>2190</v>
      </c>
      <c r="C85" s="26" t="s">
        <v>251</v>
      </c>
      <c r="D85" s="30" t="s">
        <v>270</v>
      </c>
      <c r="I85" s="505" t="s">
        <v>768</v>
      </c>
      <c r="J85" s="506">
        <v>2</v>
      </c>
      <c r="K85" s="506">
        <v>4</v>
      </c>
      <c r="L85" s="506" t="s">
        <v>769</v>
      </c>
      <c r="M85" s="506" t="s">
        <v>770</v>
      </c>
      <c r="N85" s="506" t="s">
        <v>771</v>
      </c>
      <c r="O85" s="507"/>
      <c r="P85" s="508"/>
      <c r="Q85" s="508"/>
      <c r="R85" s="508"/>
      <c r="S85" s="508"/>
      <c r="T85" s="508"/>
      <c r="U85" s="508"/>
    </row>
    <row r="86" spans="1:21" ht="12.75" customHeight="1">
      <c r="A86" s="29" t="s">
        <v>264</v>
      </c>
      <c r="B86" s="188" t="s">
        <v>956</v>
      </c>
      <c r="C86" s="26" t="s">
        <v>265</v>
      </c>
      <c r="D86" s="30" t="s">
        <v>254</v>
      </c>
      <c r="I86" s="469" t="s">
        <v>772</v>
      </c>
      <c r="J86" s="492">
        <v>0.4</v>
      </c>
      <c r="K86" s="493">
        <v>0.4</v>
      </c>
      <c r="L86" s="494">
        <v>0.39</v>
      </c>
      <c r="M86" s="495">
        <v>0.38</v>
      </c>
      <c r="N86" s="496">
        <v>0.38</v>
      </c>
      <c r="O86" s="509"/>
      <c r="P86" s="510"/>
      <c r="Q86" s="510"/>
      <c r="R86" s="510"/>
      <c r="S86" s="510"/>
      <c r="T86" s="510"/>
      <c r="U86" s="510"/>
    </row>
    <row r="87" spans="1:21" ht="14.25" customHeight="1">
      <c r="A87" s="29" t="s">
        <v>784</v>
      </c>
      <c r="B87" s="60">
        <f>O56</f>
        <v>2373</v>
      </c>
      <c r="C87" s="26" t="s">
        <v>267</v>
      </c>
      <c r="D87" s="30" t="s">
        <v>976</v>
      </c>
      <c r="I87" s="469" t="s">
        <v>738</v>
      </c>
      <c r="J87" s="492">
        <v>0.42</v>
      </c>
      <c r="K87" s="493">
        <v>0.4</v>
      </c>
      <c r="L87" s="494">
        <v>0.4</v>
      </c>
      <c r="M87" s="495">
        <v>0.4</v>
      </c>
      <c r="N87" s="496">
        <v>0.39</v>
      </c>
      <c r="O87" s="509"/>
      <c r="P87" s="510"/>
      <c r="Q87" s="510"/>
      <c r="R87" s="510"/>
      <c r="S87" s="510"/>
      <c r="T87" s="510"/>
      <c r="U87" s="510"/>
    </row>
    <row r="88" spans="1:21" ht="14.25" customHeight="1">
      <c r="A88" s="29" t="s">
        <v>666</v>
      </c>
      <c r="B88" s="200">
        <v>0.2</v>
      </c>
      <c r="C88" s="26" t="s">
        <v>268</v>
      </c>
      <c r="D88" s="30" t="s">
        <v>715</v>
      </c>
    </row>
    <row r="89" spans="1:21">
      <c r="A89" s="29" t="s">
        <v>555</v>
      </c>
      <c r="B89" s="188" t="s">
        <v>956</v>
      </c>
      <c r="C89" s="26" t="s">
        <v>249</v>
      </c>
      <c r="D89" s="30" t="s">
        <v>254</v>
      </c>
    </row>
    <row r="90" spans="1:21" ht="12.75" customHeight="1">
      <c r="A90" s="29" t="s">
        <v>708</v>
      </c>
      <c r="B90" s="188" t="s">
        <v>956</v>
      </c>
      <c r="C90" s="26" t="s">
        <v>249</v>
      </c>
      <c r="D90" s="30" t="s">
        <v>254</v>
      </c>
      <c r="I90" s="474" t="s">
        <v>782</v>
      </c>
    </row>
    <row r="91" spans="1:21" ht="14.25" customHeight="1">
      <c r="A91" s="29" t="s">
        <v>713</v>
      </c>
      <c r="B91" s="143">
        <f>1/(('Res-Rec Equations'!$B$152*3600)/((0.036*(1-'Res-Rec Equations'!$B$153))*('Res-Rec Equations'!$B$154/'Res-Rec Equations'!$B$155)^3*'Res-Rec Equations'!$B$156))</f>
        <v>7.3567680901159717E-10</v>
      </c>
      <c r="C91" s="26" t="s">
        <v>272</v>
      </c>
      <c r="D91" s="30" t="s">
        <v>269</v>
      </c>
      <c r="I91" s="1" t="s">
        <v>776</v>
      </c>
    </row>
    <row r="92" spans="1:21" ht="14.25" customHeight="1">
      <c r="A92" s="355" t="s">
        <v>271</v>
      </c>
      <c r="B92" s="26" t="s">
        <v>956</v>
      </c>
      <c r="C92" s="26" t="s">
        <v>272</v>
      </c>
      <c r="D92" s="30" t="s">
        <v>978</v>
      </c>
      <c r="I92" s="802" t="s">
        <v>332</v>
      </c>
      <c r="J92" s="804" t="s">
        <v>773</v>
      </c>
      <c r="K92" s="805"/>
      <c r="L92" s="805"/>
      <c r="M92" s="805"/>
      <c r="N92" s="805"/>
      <c r="O92" s="805"/>
      <c r="P92" s="806"/>
      <c r="Q92" s="799"/>
      <c r="R92" s="799"/>
      <c r="S92" s="799"/>
      <c r="T92" s="794"/>
    </row>
    <row r="93" spans="1:21" ht="15" thickBot="1">
      <c r="A93" s="86" t="s">
        <v>693</v>
      </c>
      <c r="B93" s="190" t="s">
        <v>956</v>
      </c>
      <c r="C93" s="32" t="s">
        <v>694</v>
      </c>
      <c r="D93" s="33" t="s">
        <v>254</v>
      </c>
      <c r="I93" s="803"/>
      <c r="J93" s="796" t="s">
        <v>856</v>
      </c>
      <c r="K93" s="796" t="s">
        <v>857</v>
      </c>
      <c r="L93" s="796" t="s">
        <v>858</v>
      </c>
      <c r="M93" s="796" t="s">
        <v>859</v>
      </c>
      <c r="N93" s="796" t="s">
        <v>860</v>
      </c>
      <c r="O93" s="798" t="s">
        <v>861</v>
      </c>
      <c r="P93" s="798" t="s">
        <v>871</v>
      </c>
      <c r="Q93" s="795"/>
      <c r="R93" s="795"/>
      <c r="S93" s="795"/>
      <c r="T93" s="795"/>
    </row>
    <row r="94" spans="1:21" ht="13" thickTop="1">
      <c r="A94" t="s">
        <v>699</v>
      </c>
      <c r="I94" s="803"/>
      <c r="J94" s="797"/>
      <c r="K94" s="797"/>
      <c r="L94" s="797"/>
      <c r="M94" s="797"/>
      <c r="N94" s="797"/>
      <c r="O94" s="797"/>
      <c r="P94" s="797"/>
      <c r="Q94" s="795"/>
      <c r="R94" s="795"/>
      <c r="S94" s="795"/>
      <c r="T94" s="795"/>
    </row>
    <row r="95" spans="1:21">
      <c r="I95" s="26" t="s">
        <v>725</v>
      </c>
      <c r="J95" s="364">
        <v>0.13600000000000001</v>
      </c>
      <c r="K95" s="364">
        <v>0.314</v>
      </c>
      <c r="L95" s="364">
        <v>0.107</v>
      </c>
      <c r="M95" s="364">
        <v>0.68200000000000005</v>
      </c>
      <c r="N95" s="364">
        <v>0.13700000000000001</v>
      </c>
      <c r="O95" s="463">
        <f>J104</f>
        <v>0.14799999999999999</v>
      </c>
      <c r="P95" s="463">
        <f>J105</f>
        <v>0.26800000000000002</v>
      </c>
      <c r="Q95" s="361"/>
      <c r="R95" s="361"/>
      <c r="S95" s="361"/>
      <c r="T95" s="361"/>
    </row>
    <row r="96" spans="1:21">
      <c r="I96" s="26" t="s">
        <v>726</v>
      </c>
      <c r="J96" s="364">
        <v>0.114</v>
      </c>
      <c r="K96" s="364">
        <v>0.23699999999999999</v>
      </c>
      <c r="L96" s="364">
        <v>8.8900000000000007E-2</v>
      </c>
      <c r="M96" s="364">
        <v>0.59799999999999998</v>
      </c>
      <c r="N96" s="364">
        <v>0.122</v>
      </c>
      <c r="O96" s="463">
        <f>M104</f>
        <v>0.11138999999999999</v>
      </c>
      <c r="P96" s="463">
        <f>M105</f>
        <v>0.23322000000000001</v>
      </c>
      <c r="Q96" s="361"/>
      <c r="R96" s="361"/>
      <c r="S96" s="361"/>
      <c r="T96" s="361"/>
    </row>
    <row r="97" spans="1:20" ht="13">
      <c r="A97" s="25" t="s">
        <v>675</v>
      </c>
      <c r="I97" s="26" t="s">
        <v>740</v>
      </c>
      <c r="J97" s="364">
        <f>AVERAGE(J95:J96)</f>
        <v>0.125</v>
      </c>
      <c r="K97" s="364">
        <f t="shared" ref="K97:P97" si="7">AVERAGE(K95:K96)</f>
        <v>0.27549999999999997</v>
      </c>
      <c r="L97" s="364">
        <f t="shared" si="7"/>
        <v>9.7950000000000009E-2</v>
      </c>
      <c r="M97" s="364">
        <f t="shared" si="7"/>
        <v>0.64</v>
      </c>
      <c r="N97" s="364">
        <f t="shared" si="7"/>
        <v>0.1295</v>
      </c>
      <c r="O97" s="463">
        <f t="shared" si="7"/>
        <v>0.129695</v>
      </c>
      <c r="P97" s="463">
        <f t="shared" si="7"/>
        <v>0.25061</v>
      </c>
      <c r="Q97" s="361"/>
      <c r="R97" s="361"/>
      <c r="S97" s="361"/>
      <c r="T97" s="361"/>
    </row>
    <row r="98" spans="1:20">
      <c r="I98" s="26" t="s">
        <v>724</v>
      </c>
      <c r="J98" s="364">
        <v>7.4999999999999997E-2</v>
      </c>
      <c r="K98" s="364">
        <v>0.26900000000000002</v>
      </c>
      <c r="L98" s="364">
        <v>8.3000000000000004E-2</v>
      </c>
      <c r="M98" s="364">
        <v>0.54300000000000004</v>
      </c>
      <c r="N98" s="364">
        <v>0.112</v>
      </c>
      <c r="O98" s="463">
        <v>0.10222000000000001</v>
      </c>
      <c r="P98" s="463">
        <v>0.21177000000000001</v>
      </c>
      <c r="Q98" s="365" t="s">
        <v>798</v>
      </c>
      <c r="R98" s="361"/>
      <c r="S98" s="361"/>
      <c r="T98" s="361"/>
    </row>
    <row r="99" spans="1:20">
      <c r="I99" s="26" t="s">
        <v>799</v>
      </c>
      <c r="J99" s="364">
        <f>((J97*5)+(J98*5))/10</f>
        <v>0.1</v>
      </c>
      <c r="K99" s="364">
        <f t="shared" ref="K99:N99" si="8">((K97*5)+(K98*5))/10</f>
        <v>0.27224999999999999</v>
      </c>
      <c r="L99" s="364">
        <f t="shared" si="8"/>
        <v>9.0475E-2</v>
      </c>
      <c r="M99" s="364">
        <f t="shared" si="8"/>
        <v>0.59150000000000014</v>
      </c>
      <c r="N99" s="364">
        <f t="shared" si="8"/>
        <v>0.12075</v>
      </c>
      <c r="O99" s="463">
        <f t="shared" ref="O99" si="9">((O97*5)+(O98*5))/10</f>
        <v>0.11595750000000001</v>
      </c>
      <c r="P99" s="463">
        <f t="shared" ref="P99" si="10">((P97*5)+(P98*5))/10</f>
        <v>0.23119000000000001</v>
      </c>
      <c r="Q99" s="365"/>
      <c r="R99" s="361"/>
      <c r="S99" s="361"/>
      <c r="T99" s="361"/>
    </row>
    <row r="100" spans="1:20" ht="12.75" customHeight="1">
      <c r="I100" s="464" t="s">
        <v>1116</v>
      </c>
      <c r="J100" s="448"/>
      <c r="K100" s="448"/>
      <c r="L100" s="448"/>
      <c r="M100" s="448"/>
      <c r="N100" s="448"/>
      <c r="O100" s="465"/>
      <c r="P100" s="465"/>
      <c r="Q100" s="361"/>
      <c r="R100" s="361"/>
      <c r="S100" s="361"/>
      <c r="T100" s="361"/>
    </row>
    <row r="101" spans="1:20" ht="13" thickBot="1">
      <c r="I101" s="158"/>
      <c r="J101" s="361"/>
      <c r="K101" s="361"/>
      <c r="L101" s="361"/>
      <c r="M101" s="361"/>
      <c r="N101" s="361"/>
      <c r="O101" s="361"/>
      <c r="P101" s="361"/>
      <c r="Q101" s="361"/>
    </row>
    <row r="102" spans="1:20" ht="14" thickTop="1" thickBot="1">
      <c r="A102" s="37" t="s">
        <v>245</v>
      </c>
      <c r="B102" s="38" t="s">
        <v>246</v>
      </c>
      <c r="C102" s="38" t="s">
        <v>247</v>
      </c>
      <c r="D102" s="39" t="s">
        <v>248</v>
      </c>
      <c r="I102" s="475" t="s">
        <v>855</v>
      </c>
      <c r="R102" s="478"/>
    </row>
    <row r="103" spans="1:20" ht="28.5" thickTop="1">
      <c r="A103" s="34" t="s">
        <v>277</v>
      </c>
      <c r="B103" s="187">
        <v>93.77</v>
      </c>
      <c r="C103" s="35" t="s">
        <v>279</v>
      </c>
      <c r="D103" s="36" t="s">
        <v>269</v>
      </c>
      <c r="I103" s="476" t="s">
        <v>736</v>
      </c>
      <c r="J103" s="477" t="s">
        <v>863</v>
      </c>
      <c r="K103" s="477" t="s">
        <v>777</v>
      </c>
      <c r="L103" s="477" t="s">
        <v>778</v>
      </c>
      <c r="M103" s="477" t="s">
        <v>864</v>
      </c>
      <c r="N103" s="478"/>
      <c r="O103" s="478"/>
      <c r="P103" s="478"/>
      <c r="Q103" s="478"/>
      <c r="R103" s="478"/>
    </row>
    <row r="104" spans="1:20" ht="14.25" customHeight="1">
      <c r="A104" s="29" t="s">
        <v>280</v>
      </c>
      <c r="B104" s="26" t="s">
        <v>956</v>
      </c>
      <c r="C104" s="26" t="s">
        <v>281</v>
      </c>
      <c r="D104" s="36" t="s">
        <v>282</v>
      </c>
      <c r="I104" s="469" t="s">
        <v>737</v>
      </c>
      <c r="J104" s="26">
        <v>0.14799999999999999</v>
      </c>
      <c r="K104" s="470">
        <f>J104/K95</f>
        <v>0.47133757961783435</v>
      </c>
      <c r="L104" s="471">
        <v>0.47</v>
      </c>
      <c r="M104" s="359">
        <f>K96*L104</f>
        <v>0.11138999999999999</v>
      </c>
      <c r="N104" s="478"/>
      <c r="O104" s="478"/>
      <c r="P104" s="478"/>
      <c r="Q104" s="478"/>
      <c r="R104" s="158"/>
    </row>
    <row r="105" spans="1:20">
      <c r="A105" s="29" t="s">
        <v>284</v>
      </c>
      <c r="B105" s="641">
        <f>30*(365/1)*(24/1)*(60/1)*(60/1)</f>
        <v>946080000</v>
      </c>
      <c r="C105" s="45" t="s">
        <v>283</v>
      </c>
      <c r="D105" s="30" t="s">
        <v>1039</v>
      </c>
      <c r="I105" s="469" t="s">
        <v>738</v>
      </c>
      <c r="J105" s="26">
        <v>0.26800000000000002</v>
      </c>
      <c r="K105" s="470">
        <f>J105/M95</f>
        <v>0.39296187683284456</v>
      </c>
      <c r="L105" s="470">
        <v>0.39</v>
      </c>
      <c r="M105" s="359">
        <f>M96*L105</f>
        <v>0.23322000000000001</v>
      </c>
      <c r="N105" s="158"/>
      <c r="O105" s="158"/>
      <c r="P105" s="158"/>
      <c r="Q105" s="158"/>
    </row>
    <row r="106" spans="1:20" ht="15" thickBot="1">
      <c r="A106" s="31" t="s">
        <v>285</v>
      </c>
      <c r="B106" s="199">
        <v>1.5</v>
      </c>
      <c r="C106" s="32" t="s">
        <v>286</v>
      </c>
      <c r="D106" s="33" t="s">
        <v>269</v>
      </c>
    </row>
    <row r="107" spans="1:20" ht="13.5" thickTop="1">
      <c r="A107" s="49" t="s">
        <v>278</v>
      </c>
      <c r="I107" s="479" t="s">
        <v>865</v>
      </c>
      <c r="T107" s="4"/>
    </row>
    <row r="108" spans="1:20" ht="13">
      <c r="A108" s="49"/>
      <c r="I108" s="791" t="s">
        <v>332</v>
      </c>
      <c r="J108" s="791" t="s">
        <v>759</v>
      </c>
      <c r="K108" s="791" t="s">
        <v>760</v>
      </c>
      <c r="L108" s="791" t="s">
        <v>761</v>
      </c>
      <c r="M108" s="791" t="s">
        <v>762</v>
      </c>
      <c r="N108" s="791" t="s">
        <v>763</v>
      </c>
      <c r="O108" s="788" t="s">
        <v>764</v>
      </c>
      <c r="P108" s="466"/>
      <c r="R108" s="4"/>
      <c r="S108" s="4"/>
      <c r="T108" s="4"/>
    </row>
    <row r="109" spans="1:20" ht="13">
      <c r="I109" s="792"/>
      <c r="J109" s="792"/>
      <c r="K109" s="792"/>
      <c r="L109" s="792"/>
      <c r="M109" s="792"/>
      <c r="N109" s="792"/>
      <c r="O109" s="789"/>
      <c r="P109" s="472"/>
      <c r="Q109" s="362"/>
      <c r="R109" s="4"/>
      <c r="S109" s="4"/>
      <c r="T109" s="4"/>
    </row>
    <row r="110" spans="1:20" ht="13">
      <c r="A110" s="25" t="s">
        <v>676</v>
      </c>
      <c r="I110" s="793"/>
      <c r="J110" s="793"/>
      <c r="K110" s="793"/>
      <c r="L110" s="793"/>
      <c r="M110" s="793"/>
      <c r="N110" s="793"/>
      <c r="O110" s="790"/>
      <c r="P110" s="472"/>
      <c r="Q110" s="362"/>
      <c r="R110" s="453"/>
      <c r="S110" s="453"/>
      <c r="T110" s="453"/>
    </row>
    <row r="111" spans="1:20" ht="13">
      <c r="I111" s="26" t="s">
        <v>722</v>
      </c>
      <c r="J111" s="60">
        <v>1250</v>
      </c>
      <c r="K111" s="60">
        <v>1297</v>
      </c>
      <c r="L111" s="60">
        <v>980</v>
      </c>
      <c r="M111" s="60">
        <v>2505</v>
      </c>
      <c r="N111" s="60">
        <v>1295</v>
      </c>
      <c r="O111" s="363">
        <f>SUM(J111:N111)</f>
        <v>7327</v>
      </c>
      <c r="P111" s="365"/>
      <c r="Q111" s="365"/>
      <c r="R111" s="453"/>
      <c r="S111" s="453"/>
      <c r="T111" s="453"/>
    </row>
    <row r="112" spans="1:20" ht="13">
      <c r="I112" s="26" t="s">
        <v>722</v>
      </c>
      <c r="J112" s="60">
        <v>1250</v>
      </c>
      <c r="K112" s="60">
        <v>1297</v>
      </c>
      <c r="L112" s="60">
        <v>980</v>
      </c>
      <c r="M112" s="60">
        <v>2505</v>
      </c>
      <c r="N112" s="60" t="s">
        <v>31</v>
      </c>
      <c r="O112" s="363">
        <f>SUM(J112:N112)</f>
        <v>6032</v>
      </c>
      <c r="P112" s="365"/>
      <c r="Q112" s="365"/>
      <c r="R112" s="453"/>
      <c r="S112" s="453"/>
      <c r="T112" s="453"/>
    </row>
    <row r="113" spans="1:20" ht="13">
      <c r="I113" s="26" t="s">
        <v>780</v>
      </c>
      <c r="J113" s="60">
        <v>1250</v>
      </c>
      <c r="K113" s="60">
        <v>1297</v>
      </c>
      <c r="L113" s="60">
        <v>980</v>
      </c>
      <c r="M113" s="60" t="s">
        <v>31</v>
      </c>
      <c r="N113" s="60" t="s">
        <v>31</v>
      </c>
      <c r="O113" s="363">
        <f>SUM(J113:N113)</f>
        <v>3527</v>
      </c>
      <c r="P113" s="365"/>
      <c r="Q113" s="365"/>
      <c r="R113" s="453"/>
      <c r="S113" s="453"/>
      <c r="T113" s="453"/>
    </row>
    <row r="114" spans="1:20" ht="13">
      <c r="I114" s="26" t="s">
        <v>724</v>
      </c>
      <c r="J114" s="60">
        <v>750</v>
      </c>
      <c r="K114" s="60">
        <v>1022</v>
      </c>
      <c r="L114" s="60">
        <v>830</v>
      </c>
      <c r="M114" s="60">
        <v>2118</v>
      </c>
      <c r="N114" s="60">
        <v>1120</v>
      </c>
      <c r="O114" s="363">
        <f>SUM(J114:N114)</f>
        <v>5840</v>
      </c>
      <c r="P114" s="365" t="s">
        <v>798</v>
      </c>
      <c r="Q114" s="365"/>
      <c r="R114" s="453"/>
      <c r="S114" s="453"/>
      <c r="T114" s="453"/>
    </row>
    <row r="115" spans="1:20" ht="13.5" thickBot="1">
      <c r="I115" s="26" t="s">
        <v>799</v>
      </c>
      <c r="J115" s="679">
        <v>1000</v>
      </c>
      <c r="K115" s="679">
        <v>1160</v>
      </c>
      <c r="L115" s="679">
        <v>905</v>
      </c>
      <c r="M115" s="679">
        <v>2312</v>
      </c>
      <c r="N115" s="679">
        <v>1208</v>
      </c>
      <c r="O115" s="363">
        <f>SUM(J115:N115)</f>
        <v>6585</v>
      </c>
      <c r="P115" s="365"/>
      <c r="Q115" s="365"/>
      <c r="R115" s="473"/>
      <c r="S115" s="473"/>
      <c r="T115" s="473"/>
    </row>
    <row r="116" spans="1:20" ht="16" thickTop="1" thickBot="1">
      <c r="A116" s="37" t="s">
        <v>245</v>
      </c>
      <c r="B116" s="38" t="s">
        <v>246</v>
      </c>
      <c r="C116" s="38" t="s">
        <v>247</v>
      </c>
      <c r="D116" s="39" t="s">
        <v>248</v>
      </c>
      <c r="I116" s="473" t="s">
        <v>866</v>
      </c>
      <c r="J116" s="473"/>
      <c r="K116" s="473"/>
      <c r="L116" s="473"/>
      <c r="M116" s="473"/>
      <c r="N116" s="473"/>
      <c r="O116" s="473"/>
      <c r="P116" s="473"/>
      <c r="Q116" s="473"/>
      <c r="R116" s="473"/>
      <c r="S116" s="473"/>
      <c r="T116" s="473"/>
    </row>
    <row r="117" spans="1:20" ht="15" thickTop="1">
      <c r="A117" s="34" t="s">
        <v>277</v>
      </c>
      <c r="B117" s="187">
        <v>93.77</v>
      </c>
      <c r="C117" s="35" t="s">
        <v>279</v>
      </c>
      <c r="D117" s="36" t="s">
        <v>269</v>
      </c>
      <c r="I117" s="473" t="s">
        <v>1117</v>
      </c>
      <c r="J117" s="473"/>
      <c r="K117" s="473"/>
      <c r="L117" s="473"/>
      <c r="M117" s="473"/>
      <c r="N117" s="473"/>
      <c r="O117" s="473"/>
      <c r="P117" s="473"/>
      <c r="Q117" s="473"/>
      <c r="R117" s="473"/>
      <c r="S117" s="473"/>
      <c r="T117" s="473"/>
    </row>
    <row r="118" spans="1:20" ht="13">
      <c r="A118" s="29" t="s">
        <v>284</v>
      </c>
      <c r="B118" s="642">
        <v>30</v>
      </c>
      <c r="C118" s="26" t="s">
        <v>257</v>
      </c>
      <c r="D118" s="30" t="s">
        <v>1039</v>
      </c>
      <c r="E118" s="366"/>
      <c r="Q118" s="473"/>
    </row>
    <row r="119" spans="1:20">
      <c r="A119" s="50" t="s">
        <v>285</v>
      </c>
      <c r="B119" s="193">
        <v>1.5</v>
      </c>
      <c r="C119" s="45" t="s">
        <v>288</v>
      </c>
      <c r="D119" s="46" t="s">
        <v>269</v>
      </c>
    </row>
    <row r="120" spans="1:20" ht="13" thickBot="1">
      <c r="A120" s="31" t="s">
        <v>689</v>
      </c>
      <c r="B120" s="192">
        <v>3.6576</v>
      </c>
      <c r="C120" s="32" t="s">
        <v>287</v>
      </c>
      <c r="D120" s="33" t="s">
        <v>979</v>
      </c>
    </row>
    <row r="121" spans="1:20" ht="13" thickTop="1">
      <c r="A121" s="49" t="s">
        <v>278</v>
      </c>
    </row>
    <row r="124" spans="1:20" ht="13">
      <c r="A124" s="25" t="s">
        <v>903</v>
      </c>
    </row>
    <row r="130" spans="1:4" ht="13" thickBot="1"/>
    <row r="131" spans="1:4" ht="14" thickTop="1" thickBot="1">
      <c r="A131" s="37" t="s">
        <v>245</v>
      </c>
      <c r="B131" s="38" t="s">
        <v>246</v>
      </c>
      <c r="C131" s="38" t="s">
        <v>247</v>
      </c>
      <c r="D131" s="39" t="s">
        <v>248</v>
      </c>
    </row>
    <row r="132" spans="1:4" ht="16" thickTop="1">
      <c r="A132" s="34" t="s">
        <v>289</v>
      </c>
      <c r="B132" s="187">
        <v>0.28000000000000003</v>
      </c>
      <c r="C132" s="35" t="s">
        <v>295</v>
      </c>
      <c r="D132" s="36" t="s">
        <v>290</v>
      </c>
    </row>
    <row r="133" spans="1:4" ht="14.5">
      <c r="A133" s="29" t="s">
        <v>291</v>
      </c>
      <c r="B133" s="26" t="s">
        <v>956</v>
      </c>
      <c r="C133" s="26" t="s">
        <v>281</v>
      </c>
      <c r="D133" s="46" t="s">
        <v>254</v>
      </c>
    </row>
    <row r="134" spans="1:4">
      <c r="A134" s="29" t="s">
        <v>293</v>
      </c>
      <c r="B134" s="26" t="s">
        <v>956</v>
      </c>
      <c r="C134" s="26" t="s">
        <v>249</v>
      </c>
      <c r="D134" s="46" t="s">
        <v>292</v>
      </c>
    </row>
    <row r="135" spans="1:4" ht="15.5">
      <c r="A135" s="50" t="s">
        <v>294</v>
      </c>
      <c r="B135" s="189">
        <v>0.15</v>
      </c>
      <c r="C135" s="45" t="s">
        <v>296</v>
      </c>
      <c r="D135" s="46" t="s">
        <v>269</v>
      </c>
    </row>
    <row r="136" spans="1:4" ht="14.5">
      <c r="A136" s="50" t="s">
        <v>297</v>
      </c>
      <c r="B136" s="26" t="s">
        <v>956</v>
      </c>
      <c r="C136" s="45" t="s">
        <v>281</v>
      </c>
      <c r="D136" s="46" t="s">
        <v>254</v>
      </c>
    </row>
    <row r="137" spans="1:4" ht="15.5">
      <c r="A137" s="50" t="s">
        <v>298</v>
      </c>
      <c r="B137" s="51">
        <f>1-(B139/B138)</f>
        <v>0.43396226415094341</v>
      </c>
      <c r="C137" s="45" t="s">
        <v>299</v>
      </c>
      <c r="D137" s="46" t="s">
        <v>303</v>
      </c>
    </row>
    <row r="138" spans="1:4" ht="14.5">
      <c r="A138" s="50" t="s">
        <v>304</v>
      </c>
      <c r="B138" s="189">
        <v>2.65</v>
      </c>
      <c r="C138" s="45" t="s">
        <v>286</v>
      </c>
      <c r="D138" s="46" t="s">
        <v>269</v>
      </c>
    </row>
    <row r="139" spans="1:4" ht="14.5">
      <c r="A139" s="50" t="s">
        <v>285</v>
      </c>
      <c r="B139" s="191">
        <v>1.5</v>
      </c>
      <c r="C139" s="45" t="s">
        <v>286</v>
      </c>
      <c r="D139" s="46" t="s">
        <v>269</v>
      </c>
    </row>
    <row r="140" spans="1:4" ht="14.5">
      <c r="A140" s="50" t="s">
        <v>300</v>
      </c>
      <c r="B140" s="26" t="s">
        <v>956</v>
      </c>
      <c r="C140" s="45" t="s">
        <v>301</v>
      </c>
      <c r="D140" s="46" t="s">
        <v>302</v>
      </c>
    </row>
    <row r="141" spans="1:4" ht="14.5">
      <c r="A141" s="50" t="s">
        <v>305</v>
      </c>
      <c r="B141" s="26" t="s">
        <v>956</v>
      </c>
      <c r="C141" s="45" t="s">
        <v>301</v>
      </c>
      <c r="D141" s="46" t="s">
        <v>254</v>
      </c>
    </row>
    <row r="142" spans="1:4" ht="13" thickBot="1">
      <c r="A142" s="31" t="s">
        <v>306</v>
      </c>
      <c r="B142" s="190">
        <v>6.0000000000000001E-3</v>
      </c>
      <c r="C142" s="32" t="s">
        <v>668</v>
      </c>
      <c r="D142" s="33" t="s">
        <v>669</v>
      </c>
    </row>
    <row r="143" spans="1:4" ht="13" thickTop="1"/>
    <row r="145" spans="1:4" ht="13">
      <c r="A145" s="25" t="s">
        <v>712</v>
      </c>
    </row>
    <row r="150" spans="1:4" ht="13" thickBot="1"/>
    <row r="151" spans="1:4" ht="14" thickTop="1" thickBot="1">
      <c r="A151" s="37" t="s">
        <v>245</v>
      </c>
      <c r="B151" s="38" t="s">
        <v>246</v>
      </c>
      <c r="C151" s="38" t="s">
        <v>247</v>
      </c>
      <c r="D151" s="39" t="s">
        <v>248</v>
      </c>
    </row>
    <row r="152" spans="1:4" ht="15" thickTop="1">
      <c r="A152" s="34" t="s">
        <v>277</v>
      </c>
      <c r="B152" s="187">
        <v>93.77</v>
      </c>
      <c r="C152" s="35" t="s">
        <v>279</v>
      </c>
      <c r="D152" s="36" t="s">
        <v>269</v>
      </c>
    </row>
    <row r="153" spans="1:4">
      <c r="A153" s="29" t="s">
        <v>307</v>
      </c>
      <c r="B153" s="188">
        <v>0.5</v>
      </c>
      <c r="C153" s="337">
        <v>0.5</v>
      </c>
      <c r="D153" s="46" t="s">
        <v>269</v>
      </c>
    </row>
    <row r="154" spans="1:4" s="1" customFormat="1">
      <c r="A154" s="29" t="s">
        <v>308</v>
      </c>
      <c r="B154" s="188">
        <v>4.6900000000000004</v>
      </c>
      <c r="C154" s="26" t="s">
        <v>309</v>
      </c>
      <c r="D154" s="46" t="s">
        <v>362</v>
      </c>
    </row>
    <row r="155" spans="1:4">
      <c r="A155" s="50" t="s">
        <v>310</v>
      </c>
      <c r="B155" s="189">
        <v>11.32</v>
      </c>
      <c r="C155" s="45" t="s">
        <v>309</v>
      </c>
      <c r="D155" s="46" t="s">
        <v>269</v>
      </c>
    </row>
    <row r="156" spans="1:4" ht="13" thickBot="1">
      <c r="A156" s="31" t="s">
        <v>311</v>
      </c>
      <c r="B156" s="190">
        <v>0.19400000000000001</v>
      </c>
      <c r="C156" s="32" t="s">
        <v>249</v>
      </c>
      <c r="D156" s="33" t="s">
        <v>269</v>
      </c>
    </row>
    <row r="157" spans="1:4" ht="13" thickTop="1">
      <c r="A157" s="1" t="s">
        <v>440</v>
      </c>
    </row>
    <row r="158" spans="1:4">
      <c r="A158" s="1" t="s">
        <v>312</v>
      </c>
    </row>
    <row r="159" spans="1:4">
      <c r="A159" s="1"/>
    </row>
    <row r="161" spans="1:4" ht="13">
      <c r="A161" s="25" t="s">
        <v>677</v>
      </c>
    </row>
    <row r="165" spans="1:4" ht="13" thickBot="1"/>
    <row r="166" spans="1:4" ht="14" thickTop="1" thickBot="1">
      <c r="A166" s="37" t="s">
        <v>245</v>
      </c>
      <c r="B166" s="38" t="s">
        <v>246</v>
      </c>
      <c r="C166" s="38" t="s">
        <v>247</v>
      </c>
      <c r="D166" s="39" t="s">
        <v>248</v>
      </c>
    </row>
    <row r="167" spans="1:4" ht="13" thickTop="1">
      <c r="A167" s="34" t="s">
        <v>313</v>
      </c>
      <c r="B167" s="26" t="s">
        <v>956</v>
      </c>
      <c r="C167" s="35" t="s">
        <v>314</v>
      </c>
      <c r="D167" s="46" t="s">
        <v>254</v>
      </c>
    </row>
    <row r="168" spans="1:4">
      <c r="A168" s="29" t="s">
        <v>285</v>
      </c>
      <c r="B168" s="194">
        <v>1.5</v>
      </c>
      <c r="C168" s="26" t="s">
        <v>315</v>
      </c>
      <c r="D168" s="46" t="s">
        <v>269</v>
      </c>
    </row>
    <row r="169" spans="1:4">
      <c r="A169" s="50" t="s">
        <v>300</v>
      </c>
      <c r="B169" s="26" t="s">
        <v>956</v>
      </c>
      <c r="C169" s="45" t="s">
        <v>316</v>
      </c>
      <c r="D169" s="46" t="s">
        <v>302</v>
      </c>
    </row>
    <row r="170" spans="1:4">
      <c r="A170" s="29" t="s">
        <v>306</v>
      </c>
      <c r="B170" s="197">
        <v>6.0000000000000001E-3</v>
      </c>
      <c r="C170" s="26" t="s">
        <v>668</v>
      </c>
      <c r="D170" s="30" t="s">
        <v>669</v>
      </c>
    </row>
    <row r="171" spans="1:4" ht="15.5">
      <c r="A171" s="79" t="s">
        <v>294</v>
      </c>
      <c r="B171" s="195">
        <v>0.15</v>
      </c>
      <c r="C171" s="80" t="s">
        <v>296</v>
      </c>
      <c r="D171" s="81" t="s">
        <v>269</v>
      </c>
    </row>
    <row r="172" spans="1:4">
      <c r="A172" s="50" t="s">
        <v>293</v>
      </c>
      <c r="B172" s="45" t="s">
        <v>956</v>
      </c>
      <c r="C172" s="45" t="s">
        <v>249</v>
      </c>
      <c r="D172" s="46" t="s">
        <v>292</v>
      </c>
    </row>
    <row r="173" spans="1:4" ht="15.5">
      <c r="A173" s="29" t="s">
        <v>289</v>
      </c>
      <c r="B173" s="196">
        <v>0.28000000000000003</v>
      </c>
      <c r="C173" s="26" t="s">
        <v>295</v>
      </c>
      <c r="D173" s="30" t="s">
        <v>290</v>
      </c>
    </row>
    <row r="174" spans="1:4" ht="15.5">
      <c r="A174" s="29" t="s">
        <v>298</v>
      </c>
      <c r="B174" s="471">
        <f>1-(B168/B175)</f>
        <v>0.43396226415094341</v>
      </c>
      <c r="C174" s="26" t="s">
        <v>299</v>
      </c>
      <c r="D174" s="30" t="s">
        <v>303</v>
      </c>
    </row>
    <row r="175" spans="1:4" ht="13" thickBot="1">
      <c r="A175" s="76" t="s">
        <v>304</v>
      </c>
      <c r="B175" s="198">
        <v>2.65</v>
      </c>
      <c r="C175" s="77" t="s">
        <v>315</v>
      </c>
      <c r="D175" s="78" t="s">
        <v>269</v>
      </c>
    </row>
    <row r="176" spans="1:4" ht="13" thickTop="1"/>
    <row r="178" spans="1:4" ht="13">
      <c r="A178" s="25" t="s">
        <v>842</v>
      </c>
    </row>
    <row r="179" spans="1:4" ht="13">
      <c r="A179" s="25"/>
    </row>
    <row r="180" spans="1:4" ht="13">
      <c r="A180" s="25"/>
    </row>
    <row r="181" spans="1:4" ht="13">
      <c r="A181" s="25"/>
    </row>
    <row r="182" spans="1:4" ht="13">
      <c r="A182" s="25"/>
    </row>
    <row r="183" spans="1:4" ht="13" thickBot="1"/>
    <row r="184" spans="1:4" ht="14" thickTop="1" thickBot="1">
      <c r="A184" s="37" t="s">
        <v>245</v>
      </c>
      <c r="B184" s="38" t="s">
        <v>246</v>
      </c>
      <c r="C184" s="38" t="s">
        <v>247</v>
      </c>
      <c r="D184" s="39" t="s">
        <v>248</v>
      </c>
    </row>
    <row r="185" spans="1:4" ht="13" thickTop="1">
      <c r="A185" s="34" t="s">
        <v>258</v>
      </c>
      <c r="B185" s="26">
        <v>1</v>
      </c>
      <c r="C185" s="35" t="s">
        <v>249</v>
      </c>
      <c r="D185" s="36" t="s">
        <v>587</v>
      </c>
    </row>
    <row r="186" spans="1:4">
      <c r="A186" s="34" t="s">
        <v>741</v>
      </c>
      <c r="B186" s="60">
        <v>13</v>
      </c>
      <c r="C186" s="35" t="s">
        <v>262</v>
      </c>
      <c r="D186" s="81" t="s">
        <v>976</v>
      </c>
    </row>
    <row r="187" spans="1:4">
      <c r="A187" s="29" t="s">
        <v>259</v>
      </c>
      <c r="B187" s="540">
        <v>10000</v>
      </c>
      <c r="C187" s="26" t="s">
        <v>589</v>
      </c>
      <c r="D187" s="46" t="s">
        <v>590</v>
      </c>
    </row>
    <row r="188" spans="1:4">
      <c r="A188" s="29" t="s">
        <v>255</v>
      </c>
      <c r="B188" s="172">
        <v>9.9999999999999995E-7</v>
      </c>
      <c r="C188" s="26" t="s">
        <v>706</v>
      </c>
      <c r="D188" s="30" t="s">
        <v>707</v>
      </c>
    </row>
    <row r="189" spans="1:4" ht="13" thickBot="1">
      <c r="A189" s="76" t="s">
        <v>592</v>
      </c>
      <c r="B189" s="198" t="s">
        <v>956</v>
      </c>
      <c r="C189" s="77" t="s">
        <v>593</v>
      </c>
      <c r="D189" s="78" t="s">
        <v>254</v>
      </c>
    </row>
    <row r="190" spans="1:4" ht="13" thickTop="1">
      <c r="A190" s="157"/>
      <c r="B190" s="648"/>
      <c r="C190" s="158"/>
      <c r="D190" s="157"/>
    </row>
    <row r="191" spans="1:4">
      <c r="A191" s="157"/>
      <c r="B191" s="648"/>
      <c r="C191" s="158"/>
      <c r="D191" s="157"/>
    </row>
    <row r="192" spans="1:4" ht="13">
      <c r="A192" s="25" t="s">
        <v>1057</v>
      </c>
      <c r="B192" s="648"/>
      <c r="C192" s="158"/>
      <c r="D192" s="157"/>
    </row>
    <row r="193" spans="1:4">
      <c r="A193" s="157"/>
      <c r="B193" s="648"/>
      <c r="C193" s="158"/>
      <c r="D193" s="157"/>
    </row>
    <row r="194" spans="1:4">
      <c r="A194" s="157"/>
      <c r="B194" s="648"/>
      <c r="C194" s="158"/>
      <c r="D194" s="157"/>
    </row>
    <row r="195" spans="1:4">
      <c r="A195" s="157"/>
      <c r="B195" s="648"/>
      <c r="C195" s="158"/>
      <c r="D195" s="157"/>
    </row>
    <row r="196" spans="1:4">
      <c r="A196" s="157"/>
      <c r="B196" s="648"/>
      <c r="C196" s="158"/>
      <c r="D196" s="157"/>
    </row>
    <row r="197" spans="1:4">
      <c r="A197" s="157"/>
      <c r="B197" s="648"/>
      <c r="C197" s="158"/>
      <c r="D197" s="157"/>
    </row>
    <row r="198" spans="1:4">
      <c r="A198" s="157"/>
      <c r="B198" s="648"/>
      <c r="C198" s="158"/>
      <c r="D198" s="157"/>
    </row>
    <row r="199" spans="1:4">
      <c r="A199" s="157"/>
      <c r="B199" s="648"/>
      <c r="C199" s="158"/>
      <c r="D199" s="157"/>
    </row>
    <row r="200" spans="1:4">
      <c r="A200" s="157"/>
      <c r="B200" s="648"/>
      <c r="C200" s="158"/>
      <c r="D200" s="157"/>
    </row>
    <row r="201" spans="1:4">
      <c r="A201" s="157"/>
      <c r="B201" s="648"/>
      <c r="C201" s="158"/>
      <c r="D201" s="157"/>
    </row>
    <row r="202" spans="1:4">
      <c r="A202" s="157"/>
      <c r="B202" s="648"/>
      <c r="C202" s="158"/>
      <c r="D202" s="157"/>
    </row>
    <row r="203" spans="1:4">
      <c r="A203" s="157"/>
      <c r="B203" s="648"/>
      <c r="C203" s="158"/>
      <c r="D203" s="157"/>
    </row>
    <row r="204" spans="1:4">
      <c r="A204" s="157"/>
      <c r="B204" s="648"/>
      <c r="C204" s="158"/>
      <c r="D204" s="157"/>
    </row>
    <row r="205" spans="1:4" ht="13" thickBot="1">
      <c r="A205" s="157"/>
      <c r="B205" s="648"/>
      <c r="C205" s="158"/>
      <c r="D205" s="157"/>
    </row>
    <row r="206" spans="1:4" ht="14" thickTop="1" thickBot="1">
      <c r="A206" s="37" t="s">
        <v>245</v>
      </c>
      <c r="B206" s="38" t="s">
        <v>246</v>
      </c>
      <c r="C206" s="38" t="s">
        <v>247</v>
      </c>
      <c r="D206" s="39" t="s">
        <v>248</v>
      </c>
    </row>
    <row r="207" spans="1:4" ht="13" thickTop="1">
      <c r="A207" s="34" t="s">
        <v>275</v>
      </c>
      <c r="B207" s="539">
        <v>1.0000000000000001E-5</v>
      </c>
      <c r="C207" s="644" t="s">
        <v>249</v>
      </c>
      <c r="D207" s="36" t="s">
        <v>273</v>
      </c>
    </row>
    <row r="208" spans="1:4">
      <c r="A208" s="29" t="s">
        <v>250</v>
      </c>
      <c r="B208" s="28">
        <f>70*365</f>
        <v>25550</v>
      </c>
      <c r="C208" s="26" t="s">
        <v>251</v>
      </c>
      <c r="D208" s="30" t="s">
        <v>274</v>
      </c>
    </row>
    <row r="209" spans="1:9">
      <c r="A209" s="29" t="s">
        <v>252</v>
      </c>
      <c r="B209" s="188" t="s">
        <v>956</v>
      </c>
      <c r="C209" s="26" t="s">
        <v>253</v>
      </c>
      <c r="D209" s="30" t="s">
        <v>254</v>
      </c>
    </row>
    <row r="210" spans="1:9">
      <c r="A210" s="29" t="s">
        <v>969</v>
      </c>
      <c r="B210" s="188" t="s">
        <v>956</v>
      </c>
      <c r="C210" s="26" t="s">
        <v>249</v>
      </c>
      <c r="D210" s="30" t="s">
        <v>254</v>
      </c>
    </row>
    <row r="211" spans="1:9" ht="13">
      <c r="A211" s="29" t="s">
        <v>552</v>
      </c>
      <c r="B211" s="202">
        <v>250</v>
      </c>
      <c r="C211" s="26" t="s">
        <v>263</v>
      </c>
      <c r="D211" s="30" t="s">
        <v>974</v>
      </c>
    </row>
    <row r="212" spans="1:9">
      <c r="A212" s="29" t="s">
        <v>553</v>
      </c>
      <c r="B212" s="202">
        <v>250</v>
      </c>
      <c r="C212" s="26" t="s">
        <v>263</v>
      </c>
      <c r="D212" s="30" t="s">
        <v>974</v>
      </c>
    </row>
    <row r="213" spans="1:9">
      <c r="A213" s="29" t="s">
        <v>554</v>
      </c>
      <c r="B213" s="202">
        <v>250</v>
      </c>
      <c r="C213" s="26" t="s">
        <v>263</v>
      </c>
      <c r="D213" s="30" t="s">
        <v>974</v>
      </c>
      <c r="F213" s="1"/>
    </row>
    <row r="214" spans="1:9">
      <c r="A214" s="29" t="s">
        <v>1040</v>
      </c>
      <c r="B214" s="201">
        <v>6</v>
      </c>
      <c r="C214" s="26" t="s">
        <v>257</v>
      </c>
      <c r="D214" s="30" t="s">
        <v>1041</v>
      </c>
      <c r="I214" s="653"/>
    </row>
    <row r="215" spans="1:9">
      <c r="A215" s="29" t="s">
        <v>1118</v>
      </c>
      <c r="B215" s="201">
        <v>20</v>
      </c>
      <c r="C215" s="26" t="s">
        <v>257</v>
      </c>
      <c r="D215" s="30" t="s">
        <v>1041</v>
      </c>
    </row>
    <row r="216" spans="1:9">
      <c r="A216" s="29" t="s">
        <v>1042</v>
      </c>
      <c r="B216" s="201">
        <v>26</v>
      </c>
      <c r="C216" s="26" t="s">
        <v>257</v>
      </c>
      <c r="D216" s="30" t="s">
        <v>1041</v>
      </c>
    </row>
    <row r="217" spans="1:9">
      <c r="A217" s="29" t="s">
        <v>1043</v>
      </c>
      <c r="B217" s="535">
        <v>200</v>
      </c>
      <c r="C217" s="26" t="s">
        <v>260</v>
      </c>
      <c r="D217" s="30" t="s">
        <v>715</v>
      </c>
    </row>
    <row r="218" spans="1:9">
      <c r="A218" s="41" t="s">
        <v>1044</v>
      </c>
      <c r="B218" s="537">
        <v>100</v>
      </c>
      <c r="C218" s="42" t="s">
        <v>260</v>
      </c>
      <c r="D218" s="30" t="s">
        <v>715</v>
      </c>
      <c r="F218" s="652"/>
      <c r="G218" s="652"/>
    </row>
    <row r="219" spans="1:9">
      <c r="A219" s="29" t="s">
        <v>1045</v>
      </c>
      <c r="B219" s="28">
        <v>15</v>
      </c>
      <c r="C219" s="26" t="s">
        <v>262</v>
      </c>
      <c r="D219" s="30" t="s">
        <v>1059</v>
      </c>
      <c r="F219" s="652"/>
    </row>
    <row r="220" spans="1:9">
      <c r="A220" s="29" t="s">
        <v>1046</v>
      </c>
      <c r="B220" s="28">
        <v>80</v>
      </c>
      <c r="C220" s="26" t="s">
        <v>262</v>
      </c>
      <c r="D220" s="30" t="s">
        <v>1059</v>
      </c>
      <c r="F220" s="652"/>
      <c r="G220" s="652"/>
    </row>
    <row r="221" spans="1:9">
      <c r="A221" s="43" t="s">
        <v>255</v>
      </c>
      <c r="B221" s="649">
        <v>9.9999999999999995E-7</v>
      </c>
      <c r="C221" s="144" t="s">
        <v>1047</v>
      </c>
      <c r="D221" s="145" t="s">
        <v>707</v>
      </c>
    </row>
    <row r="222" spans="1:9">
      <c r="A222" s="43" t="s">
        <v>704</v>
      </c>
      <c r="B222" s="650">
        <v>4.1666666666666664E-2</v>
      </c>
      <c r="C222" s="144" t="s">
        <v>1048</v>
      </c>
      <c r="D222" s="145" t="s">
        <v>707</v>
      </c>
    </row>
    <row r="223" spans="1:9">
      <c r="A223" s="43" t="s">
        <v>1049</v>
      </c>
      <c r="B223" s="649">
        <v>1000</v>
      </c>
      <c r="C223" s="144" t="s">
        <v>1050</v>
      </c>
      <c r="D223" s="145" t="s">
        <v>707</v>
      </c>
    </row>
    <row r="224" spans="1:9">
      <c r="A224" s="43" t="s">
        <v>709</v>
      </c>
      <c r="B224" s="188" t="s">
        <v>956</v>
      </c>
      <c r="C224" s="26" t="s">
        <v>249</v>
      </c>
      <c r="D224" s="30" t="s">
        <v>254</v>
      </c>
    </row>
    <row r="225" spans="1:7">
      <c r="A225" s="44" t="s">
        <v>710</v>
      </c>
      <c r="B225" s="188" t="s">
        <v>956</v>
      </c>
      <c r="C225" s="45" t="s">
        <v>249</v>
      </c>
      <c r="D225" s="46" t="s">
        <v>254</v>
      </c>
    </row>
    <row r="226" spans="1:7" ht="14.5">
      <c r="A226" s="43" t="s">
        <v>1051</v>
      </c>
      <c r="B226" s="541">
        <v>0.2</v>
      </c>
      <c r="C226" s="26" t="s">
        <v>268</v>
      </c>
      <c r="D226" s="30" t="s">
        <v>715</v>
      </c>
    </row>
    <row r="227" spans="1:7" ht="14.5">
      <c r="A227" s="43" t="s">
        <v>1052</v>
      </c>
      <c r="B227" s="200">
        <v>7.0000000000000007E-2</v>
      </c>
      <c r="C227" s="26" t="s">
        <v>268</v>
      </c>
      <c r="D227" s="30" t="s">
        <v>715</v>
      </c>
    </row>
    <row r="228" spans="1:7" ht="14.5">
      <c r="A228" s="29" t="s">
        <v>1053</v>
      </c>
      <c r="B228" s="60">
        <f>O56</f>
        <v>2373</v>
      </c>
      <c r="C228" s="26" t="s">
        <v>267</v>
      </c>
      <c r="D228" s="30" t="s">
        <v>976</v>
      </c>
    </row>
    <row r="229" spans="1:7" ht="14.5">
      <c r="A229" s="29" t="s">
        <v>1054</v>
      </c>
      <c r="B229" s="60">
        <f>O111</f>
        <v>7327</v>
      </c>
      <c r="C229" s="26" t="s">
        <v>267</v>
      </c>
      <c r="D229" s="30" t="s">
        <v>976</v>
      </c>
    </row>
    <row r="230" spans="1:7">
      <c r="A230" s="34" t="s">
        <v>1055</v>
      </c>
      <c r="B230" s="651">
        <v>24</v>
      </c>
      <c r="C230" s="644" t="s">
        <v>1056</v>
      </c>
      <c r="D230" s="30" t="s">
        <v>715</v>
      </c>
    </row>
    <row r="231" spans="1:7">
      <c r="A231" s="47" t="s">
        <v>276</v>
      </c>
      <c r="B231" s="188" t="s">
        <v>956</v>
      </c>
      <c r="C231" s="644" t="s">
        <v>562</v>
      </c>
      <c r="D231" s="46" t="s">
        <v>254</v>
      </c>
    </row>
    <row r="232" spans="1:7" ht="15" thickBot="1">
      <c r="A232" s="654" t="s">
        <v>1058</v>
      </c>
      <c r="B232" s="32" t="s">
        <v>956</v>
      </c>
      <c r="C232" s="32" t="s">
        <v>272</v>
      </c>
      <c r="D232" s="33" t="s">
        <v>977</v>
      </c>
      <c r="E232" s="652"/>
      <c r="G232" s="652"/>
    </row>
    <row r="233" spans="1:7" ht="13" thickTop="1">
      <c r="A233" s="157"/>
      <c r="B233" s="648"/>
      <c r="C233" s="158"/>
      <c r="D233" s="157"/>
    </row>
    <row r="234" spans="1:7">
      <c r="A234" s="1" t="s">
        <v>317</v>
      </c>
    </row>
    <row r="235" spans="1:7">
      <c r="A235" s="1" t="s">
        <v>545</v>
      </c>
    </row>
    <row r="236" spans="1:7">
      <c r="A236" s="1" t="s">
        <v>591</v>
      </c>
    </row>
    <row r="237" spans="1:7">
      <c r="A237" s="1" t="s">
        <v>854</v>
      </c>
    </row>
    <row r="238" spans="1:7">
      <c r="A238" s="1" t="s">
        <v>1009</v>
      </c>
    </row>
    <row r="239" spans="1:7">
      <c r="A239" s="1" t="s">
        <v>975</v>
      </c>
      <c r="D239" s="616"/>
    </row>
    <row r="240" spans="1:7">
      <c r="A240" s="1" t="s">
        <v>991</v>
      </c>
    </row>
    <row r="241" spans="1:12">
      <c r="A241" s="1"/>
    </row>
    <row r="242" spans="1:12">
      <c r="A242" s="633" t="s">
        <v>1012</v>
      </c>
      <c r="B242" s="12"/>
      <c r="C242" s="12"/>
      <c r="D242" s="12"/>
      <c r="L242" s="609"/>
    </row>
    <row r="243" spans="1:12">
      <c r="A243" s="634" t="s">
        <v>1013</v>
      </c>
      <c r="B243" s="13"/>
      <c r="C243" s="17"/>
      <c r="D243" s="12"/>
      <c r="F243" s="616"/>
    </row>
    <row r="244" spans="1:12">
      <c r="A244" s="52"/>
      <c r="B244" s="16"/>
      <c r="C244" s="17"/>
      <c r="D244" s="12"/>
    </row>
    <row r="245" spans="1:12">
      <c r="A245" s="511"/>
      <c r="B245" s="16"/>
      <c r="C245" s="17"/>
      <c r="D245" s="12"/>
    </row>
    <row r="246" spans="1:12">
      <c r="A246" s="52"/>
      <c r="B246" s="16"/>
      <c r="C246" s="17"/>
      <c r="D246" s="12"/>
    </row>
    <row r="247" spans="1:12">
      <c r="A247" s="52"/>
      <c r="B247" s="16"/>
      <c r="C247" s="17"/>
      <c r="D247" s="12"/>
    </row>
    <row r="248" spans="1:12">
      <c r="A248" s="52"/>
      <c r="B248" s="16"/>
      <c r="C248" s="17"/>
      <c r="D248" s="12"/>
    </row>
    <row r="249" spans="1:12">
      <c r="A249" s="52"/>
      <c r="B249" s="16"/>
      <c r="C249" s="17"/>
      <c r="D249" s="12"/>
    </row>
    <row r="250" spans="1:12">
      <c r="A250" s="52"/>
      <c r="B250" s="16"/>
      <c r="C250" s="17"/>
      <c r="D250" s="12"/>
    </row>
    <row r="251" spans="1:12">
      <c r="A251" s="52"/>
      <c r="B251" s="16"/>
      <c r="C251" s="17"/>
      <c r="D251" s="12"/>
    </row>
    <row r="252" spans="1:12">
      <c r="A252" s="52"/>
      <c r="B252" s="16"/>
      <c r="C252" s="17"/>
      <c r="D252" s="12"/>
    </row>
    <row r="253" spans="1:12">
      <c r="A253" s="52"/>
      <c r="B253" s="16"/>
      <c r="C253" s="10"/>
      <c r="D253" s="16"/>
    </row>
    <row r="254" spans="1:12">
      <c r="A254" s="52"/>
      <c r="B254" s="16"/>
      <c r="C254" s="10"/>
      <c r="D254" s="16"/>
    </row>
    <row r="255" spans="1:12">
      <c r="A255" s="52"/>
      <c r="B255" s="16"/>
      <c r="C255" s="10"/>
      <c r="D255" s="16"/>
    </row>
    <row r="256" spans="1:12">
      <c r="A256" s="16"/>
      <c r="B256" s="53"/>
      <c r="C256" s="18"/>
      <c r="D256" s="12"/>
    </row>
    <row r="257" spans="1:8">
      <c r="A257" s="23"/>
      <c r="B257" s="54"/>
      <c r="C257" s="18"/>
      <c r="D257" s="16"/>
    </row>
    <row r="258" spans="1:8">
      <c r="A258" s="21"/>
      <c r="B258" s="22"/>
      <c r="C258" s="18"/>
      <c r="D258" s="16"/>
    </row>
    <row r="259" spans="1:8">
      <c r="A259" s="23"/>
      <c r="B259" s="54"/>
      <c r="C259" s="19"/>
      <c r="D259" s="16"/>
    </row>
    <row r="260" spans="1:8">
      <c r="A260" s="21"/>
      <c r="B260" s="55"/>
      <c r="C260" s="11"/>
      <c r="D260" s="16"/>
    </row>
    <row r="261" spans="1:8">
      <c r="A261" s="23"/>
      <c r="B261" s="56"/>
      <c r="C261" s="11"/>
      <c r="D261" s="16"/>
    </row>
    <row r="263" spans="1:8" ht="13">
      <c r="A263" s="25"/>
    </row>
    <row r="264" spans="1:8">
      <c r="A264" s="20"/>
      <c r="B264"/>
      <c r="C264"/>
    </row>
    <row r="265" spans="1:8">
      <c r="A265" s="12"/>
      <c r="B265"/>
      <c r="C265"/>
    </row>
    <row r="266" spans="1:8">
      <c r="A266" s="12"/>
      <c r="B266" s="16"/>
      <c r="C266" s="16"/>
      <c r="D266" s="16"/>
    </row>
    <row r="271" spans="1:8">
      <c r="E271" s="12"/>
      <c r="F271" s="12"/>
      <c r="G271" s="12"/>
      <c r="H271" s="12"/>
    </row>
    <row r="272" spans="1:8">
      <c r="E272" s="12"/>
      <c r="F272" s="12"/>
      <c r="G272" s="12"/>
      <c r="H272" s="12"/>
    </row>
    <row r="273" spans="5:8">
      <c r="E273" s="12"/>
      <c r="F273" s="12"/>
      <c r="G273" s="12"/>
      <c r="H273" s="12"/>
    </row>
    <row r="274" spans="5:8">
      <c r="E274" s="12"/>
      <c r="F274" s="12"/>
      <c r="G274" s="12"/>
      <c r="H274" s="12"/>
    </row>
    <row r="275" spans="5:8">
      <c r="E275" s="12"/>
      <c r="F275" s="12"/>
      <c r="G275" s="12"/>
      <c r="H275" s="12"/>
    </row>
    <row r="276" spans="5:8">
      <c r="E276" s="12"/>
      <c r="F276" s="12"/>
      <c r="G276" s="12"/>
      <c r="H276" s="12"/>
    </row>
    <row r="277" spans="5:8">
      <c r="E277" s="12"/>
      <c r="F277" s="12"/>
      <c r="G277" s="12"/>
      <c r="H277" s="12"/>
    </row>
    <row r="278" spans="5:8">
      <c r="E278" s="12"/>
      <c r="F278" s="12"/>
      <c r="G278" s="12"/>
      <c r="H278" s="12"/>
    </row>
    <row r="279" spans="5:8">
      <c r="E279" s="12"/>
      <c r="F279" s="12"/>
      <c r="G279" s="12"/>
      <c r="H279" s="12"/>
    </row>
    <row r="280" spans="5:8">
      <c r="E280" s="12"/>
      <c r="F280" s="12"/>
      <c r="G280" s="12"/>
      <c r="H280" s="12"/>
    </row>
    <row r="281" spans="5:8">
      <c r="E281" s="12"/>
      <c r="F281" s="12"/>
      <c r="G281" s="12"/>
      <c r="H281" s="12"/>
    </row>
    <row r="282" spans="5:8">
      <c r="E282" s="12"/>
      <c r="F282" s="12"/>
      <c r="G282" s="12"/>
      <c r="H282" s="12"/>
    </row>
    <row r="283" spans="5:8">
      <c r="E283" s="12"/>
      <c r="F283" s="12"/>
      <c r="G283" s="12"/>
      <c r="H283" s="12"/>
    </row>
    <row r="284" spans="5:8">
      <c r="E284" s="12"/>
      <c r="F284" s="12"/>
      <c r="G284" s="12"/>
      <c r="H284" s="12"/>
    </row>
    <row r="285" spans="5:8">
      <c r="E285" s="12"/>
      <c r="F285" s="12"/>
      <c r="G285" s="12"/>
      <c r="H285" s="12"/>
    </row>
    <row r="286" spans="5:8">
      <c r="E286" s="12"/>
      <c r="F286" s="12"/>
      <c r="G286" s="12"/>
      <c r="H286" s="12"/>
    </row>
    <row r="287" spans="5:8">
      <c r="E287" s="12"/>
      <c r="F287" s="12"/>
      <c r="G287" s="12"/>
      <c r="H287" s="12"/>
    </row>
    <row r="288" spans="5:8">
      <c r="E288" s="12"/>
      <c r="F288" s="12"/>
      <c r="G288" s="12"/>
      <c r="H288" s="12"/>
    </row>
    <row r="289" spans="1:8">
      <c r="E289" s="12"/>
      <c r="F289" s="12"/>
      <c r="G289" s="12"/>
      <c r="H289" s="12"/>
    </row>
    <row r="290" spans="1:8">
      <c r="E290" s="12"/>
      <c r="F290" s="12"/>
      <c r="G290" s="12"/>
      <c r="H290" s="12"/>
    </row>
    <row r="291" spans="1:8">
      <c r="E291" s="12"/>
      <c r="F291" s="12"/>
      <c r="G291" s="12"/>
      <c r="H291" s="12"/>
    </row>
    <row r="292" spans="1:8">
      <c r="E292" s="12"/>
      <c r="F292" s="12"/>
      <c r="G292" s="12"/>
      <c r="H292" s="12"/>
    </row>
    <row r="293" spans="1:8">
      <c r="E293" s="12"/>
      <c r="F293" s="12"/>
      <c r="G293" s="12"/>
      <c r="H293" s="12"/>
    </row>
    <row r="294" spans="1:8">
      <c r="E294" s="12"/>
      <c r="F294" s="12"/>
      <c r="G294" s="12"/>
      <c r="H294" s="12"/>
    </row>
    <row r="295" spans="1:8">
      <c r="E295" s="12"/>
      <c r="F295" s="12"/>
      <c r="G295" s="12"/>
      <c r="H295" s="12"/>
    </row>
    <row r="296" spans="1:8">
      <c r="E296" s="12"/>
      <c r="F296" s="12"/>
      <c r="G296" s="12"/>
      <c r="H296" s="12"/>
    </row>
    <row r="301" spans="1:8">
      <c r="E301" s="16"/>
      <c r="F301" s="16"/>
      <c r="G301" s="16"/>
      <c r="H301" s="16"/>
    </row>
    <row r="302" spans="1:8">
      <c r="A302" s="16"/>
      <c r="B302" s="21"/>
      <c r="C302" s="21"/>
      <c r="D302" s="21"/>
      <c r="E302" s="21"/>
      <c r="F302" s="21"/>
      <c r="G302" s="21"/>
      <c r="H302" s="21"/>
    </row>
    <row r="303" spans="1:8">
      <c r="A303" s="16"/>
      <c r="B303" s="57"/>
      <c r="C303" s="58"/>
      <c r="D303" s="57"/>
      <c r="E303" s="58"/>
      <c r="F303" s="58"/>
      <c r="G303" s="58"/>
      <c r="H303" s="58"/>
    </row>
    <row r="304" spans="1:8">
      <c r="A304" s="16"/>
      <c r="B304" s="57"/>
      <c r="C304" s="58"/>
      <c r="D304" s="57"/>
      <c r="E304" s="58"/>
      <c r="F304" s="58"/>
      <c r="G304" s="58"/>
      <c r="H304" s="58"/>
    </row>
    <row r="305" spans="1:8">
      <c r="A305" s="16"/>
      <c r="B305" s="57"/>
      <c r="C305" s="58"/>
      <c r="D305" s="57"/>
      <c r="E305" s="58"/>
      <c r="F305" s="58"/>
      <c r="G305" s="58"/>
      <c r="H305" s="58"/>
    </row>
    <row r="306" spans="1:8">
      <c r="A306" s="16"/>
      <c r="B306" s="57"/>
      <c r="C306" s="58"/>
      <c r="D306" s="57"/>
      <c r="E306" s="58"/>
      <c r="F306" s="58"/>
      <c r="G306" s="58"/>
      <c r="H306" s="58"/>
    </row>
    <row r="307" spans="1:8">
      <c r="A307" s="16"/>
      <c r="B307" s="57"/>
      <c r="C307" s="58"/>
      <c r="D307" s="57"/>
      <c r="E307" s="58"/>
      <c r="F307" s="58"/>
      <c r="G307" s="58"/>
      <c r="H307" s="58"/>
    </row>
    <row r="308" spans="1:8">
      <c r="A308" s="16"/>
      <c r="B308" s="57"/>
      <c r="C308" s="58"/>
      <c r="D308" s="57"/>
      <c r="E308" s="58"/>
      <c r="F308" s="58"/>
      <c r="G308" s="58"/>
      <c r="H308" s="58"/>
    </row>
    <row r="309" spans="1:8">
      <c r="A309" s="16"/>
      <c r="B309" s="57"/>
      <c r="C309" s="58"/>
      <c r="D309" s="57"/>
      <c r="E309" s="58"/>
      <c r="F309" s="58"/>
      <c r="G309" s="58"/>
      <c r="H309" s="58"/>
    </row>
    <row r="310" spans="1:8">
      <c r="A310" s="16"/>
      <c r="B310" s="57"/>
      <c r="C310" s="58"/>
      <c r="D310" s="57"/>
      <c r="E310" s="58"/>
      <c r="F310" s="58"/>
      <c r="G310" s="58"/>
      <c r="H310" s="58"/>
    </row>
    <row r="311" spans="1:8">
      <c r="A311" s="16"/>
      <c r="B311" s="57"/>
      <c r="C311" s="58"/>
      <c r="D311" s="57"/>
      <c r="E311" s="58"/>
      <c r="F311" s="58"/>
      <c r="G311" s="58"/>
      <c r="H311" s="58"/>
    </row>
    <row r="312" spans="1:8">
      <c r="A312" s="16"/>
      <c r="B312" s="57"/>
      <c r="C312" s="58"/>
      <c r="D312" s="57"/>
      <c r="E312" s="58"/>
      <c r="F312" s="58"/>
      <c r="G312" s="58"/>
      <c r="H312" s="58"/>
    </row>
    <row r="313" spans="1:8">
      <c r="A313" s="16"/>
      <c r="B313" s="57"/>
      <c r="C313" s="58"/>
      <c r="D313" s="57"/>
      <c r="E313" s="58"/>
      <c r="F313" s="58"/>
      <c r="G313" s="58"/>
      <c r="H313" s="58"/>
    </row>
    <row r="314" spans="1:8">
      <c r="A314" s="16"/>
      <c r="B314" s="57"/>
      <c r="C314" s="58"/>
      <c r="D314" s="57"/>
      <c r="E314" s="58"/>
      <c r="F314" s="58"/>
      <c r="G314" s="58"/>
      <c r="H314" s="58"/>
    </row>
    <row r="315" spans="1:8">
      <c r="A315" s="16"/>
      <c r="B315" s="57"/>
      <c r="C315" s="58"/>
      <c r="D315" s="57"/>
      <c r="E315" s="58"/>
      <c r="F315" s="58"/>
      <c r="G315" s="58"/>
      <c r="H315" s="58"/>
    </row>
    <row r="316" spans="1:8">
      <c r="A316" s="16"/>
      <c r="B316" s="57"/>
      <c r="C316" s="58"/>
      <c r="D316" s="57"/>
      <c r="E316" s="58"/>
      <c r="F316" s="58"/>
      <c r="G316" s="58"/>
      <c r="H316" s="58"/>
    </row>
    <row r="317" spans="1:8">
      <c r="A317" s="16"/>
      <c r="B317" s="57"/>
      <c r="C317" s="58"/>
      <c r="D317" s="57"/>
      <c r="E317" s="58"/>
      <c r="F317" s="58"/>
      <c r="G317" s="58"/>
      <c r="H317" s="58"/>
    </row>
    <row r="318" spans="1:8">
      <c r="A318" s="16"/>
      <c r="B318" s="57"/>
      <c r="C318" s="58"/>
      <c r="D318" s="57"/>
      <c r="E318" s="58"/>
      <c r="F318" s="58"/>
      <c r="G318" s="58"/>
      <c r="H318" s="58"/>
    </row>
    <row r="319" spans="1:8">
      <c r="A319" s="16"/>
      <c r="B319" s="57"/>
      <c r="C319" s="58"/>
      <c r="D319" s="57"/>
      <c r="E319" s="58"/>
      <c r="F319" s="58"/>
      <c r="G319" s="58"/>
      <c r="H319" s="58"/>
    </row>
    <row r="320" spans="1:8">
      <c r="A320" s="16"/>
      <c r="B320" s="57"/>
      <c r="C320" s="58"/>
      <c r="D320" s="57"/>
      <c r="E320" s="58"/>
      <c r="F320" s="58"/>
      <c r="G320" s="58"/>
      <c r="H320" s="58"/>
    </row>
    <row r="321" spans="1:8">
      <c r="A321" s="12"/>
      <c r="B321" s="16"/>
      <c r="C321" s="16"/>
      <c r="D321" s="16"/>
      <c r="E321" s="16"/>
      <c r="F321" s="16"/>
      <c r="G321" s="16"/>
      <c r="H321" s="16"/>
    </row>
    <row r="322" spans="1:8">
      <c r="A322" s="16"/>
      <c r="B322" s="21"/>
      <c r="C322" s="21"/>
      <c r="D322" s="21"/>
      <c r="E322" s="21"/>
      <c r="F322" s="21"/>
      <c r="G322" s="21"/>
      <c r="H322" s="21"/>
    </row>
    <row r="323" spans="1:8">
      <c r="A323" s="21"/>
      <c r="B323" s="14"/>
      <c r="C323" s="14"/>
      <c r="D323" s="14"/>
      <c r="E323" s="14"/>
      <c r="F323" s="14"/>
      <c r="G323" s="14"/>
      <c r="H323" s="14"/>
    </row>
    <row r="324" spans="1:8">
      <c r="A324" s="23"/>
      <c r="B324" s="14"/>
      <c r="C324" s="14"/>
      <c r="D324" s="14"/>
      <c r="E324" s="14"/>
      <c r="F324" s="14"/>
      <c r="G324" s="14"/>
      <c r="H324" s="14"/>
    </row>
    <row r="325" spans="1:8">
      <c r="A325" s="21"/>
      <c r="B325" s="14"/>
      <c r="C325" s="14"/>
      <c r="D325" s="14"/>
      <c r="E325" s="14"/>
      <c r="F325" s="14"/>
      <c r="G325" s="14"/>
      <c r="H325" s="14"/>
    </row>
    <row r="326" spans="1:8">
      <c r="A326" s="21"/>
      <c r="B326" s="14"/>
      <c r="C326" s="14"/>
      <c r="D326" s="14"/>
      <c r="E326" s="14"/>
      <c r="F326" s="14"/>
      <c r="G326" s="14"/>
      <c r="H326" s="14"/>
    </row>
    <row r="327" spans="1:8">
      <c r="A327" s="21"/>
      <c r="B327" s="14"/>
      <c r="C327" s="14"/>
      <c r="D327" s="14"/>
      <c r="E327" s="14"/>
      <c r="F327" s="14"/>
      <c r="G327" s="14"/>
      <c r="H327" s="14"/>
    </row>
    <row r="328" spans="1:8">
      <c r="B328"/>
      <c r="C328"/>
    </row>
    <row r="329" spans="1:8">
      <c r="B329"/>
      <c r="C329"/>
    </row>
  </sheetData>
  <sheetProtection algorithmName="SHA-512" hashValue="1zZDC7jH8fHcorTkMwhqHNpfCJqv8syu87yCsSTo51X7Bam9cjZF110iORXK3tSYkPsjvAUHNcHqRdQ6xZFrHQ==" saltValue="TyOt/a3tC4uLJLwx6SimoA==" spinCount="100000" sheet="1" objects="1" scenarios="1"/>
  <customSheetViews>
    <customSheetView guid="{4E720B7F-6A3C-4034-90A5-B2BF7A394FC0}" topLeftCell="A175">
      <selection activeCell="D210" sqref="D210"/>
      <rowBreaks count="3" manualBreakCount="3">
        <brk id="46" max="16383" man="1"/>
        <brk id="95" max="16383" man="1"/>
        <brk id="143" max="16383" man="1"/>
      </rowBreaks>
      <pageMargins left="0.5" right="0.5" top="0.75" bottom="0.75" header="0.3" footer="0.3"/>
      <pageSetup paperSize="17" scale="80" orientation="landscape" r:id="rId1"/>
      <headerFooter>
        <oddFooter>&amp;LDecember 2018&amp;R&amp;P of &amp;N</oddFooter>
      </headerFooter>
    </customSheetView>
    <customSheetView guid="{23DC26AF-9753-4BD2-80DE-415E6324C52C}" topLeftCell="A175">
      <selection activeCell="D210" sqref="D210"/>
      <rowBreaks count="3" manualBreakCount="3">
        <brk id="46" max="16383" man="1"/>
        <brk id="95" max="16383" man="1"/>
        <brk id="143" max="16383" man="1"/>
      </rowBreaks>
      <pageMargins left="0.5" right="0.5" top="0.75" bottom="0.75" header="0.3" footer="0.3"/>
      <pageSetup paperSize="17" scale="80" orientation="landscape" r:id="rId2"/>
      <headerFooter>
        <oddFooter>&amp;LDecember 2018&amp;R&amp;P of &amp;N</oddFooter>
      </headerFooter>
    </customSheetView>
  </customSheetViews>
  <mergeCells count="48">
    <mergeCell ref="I51:I53"/>
    <mergeCell ref="J51:J53"/>
    <mergeCell ref="K51:K53"/>
    <mergeCell ref="N41:N43"/>
    <mergeCell ref="N51:N53"/>
    <mergeCell ref="O51:O53"/>
    <mergeCell ref="M51:M53"/>
    <mergeCell ref="S26:T28"/>
    <mergeCell ref="P27:P28"/>
    <mergeCell ref="J26:P26"/>
    <mergeCell ref="Q26:R28"/>
    <mergeCell ref="M41:M43"/>
    <mergeCell ref="K41:K43"/>
    <mergeCell ref="L41:L43"/>
    <mergeCell ref="J27:J28"/>
    <mergeCell ref="O27:O28"/>
    <mergeCell ref="P41:P43"/>
    <mergeCell ref="O41:O43"/>
    <mergeCell ref="K27:K28"/>
    <mergeCell ref="L27:L28"/>
    <mergeCell ref="K93:K94"/>
    <mergeCell ref="R92:R94"/>
    <mergeCell ref="S92:S94"/>
    <mergeCell ref="I3:I4"/>
    <mergeCell ref="J3:J4"/>
    <mergeCell ref="I92:I94"/>
    <mergeCell ref="J92:P92"/>
    <mergeCell ref="I26:I28"/>
    <mergeCell ref="L51:L53"/>
    <mergeCell ref="M27:M28"/>
    <mergeCell ref="N27:N28"/>
    <mergeCell ref="I41:I43"/>
    <mergeCell ref="J41:J43"/>
    <mergeCell ref="J93:J94"/>
    <mergeCell ref="L93:L94"/>
    <mergeCell ref="M93:M94"/>
    <mergeCell ref="T92:T94"/>
    <mergeCell ref="N93:N94"/>
    <mergeCell ref="O93:O94"/>
    <mergeCell ref="P93:P94"/>
    <mergeCell ref="Q92:Q94"/>
    <mergeCell ref="O108:O110"/>
    <mergeCell ref="I108:I110"/>
    <mergeCell ref="J108:J110"/>
    <mergeCell ref="K108:K110"/>
    <mergeCell ref="L108:L110"/>
    <mergeCell ref="M108:M110"/>
    <mergeCell ref="N108:N110"/>
  </mergeCells>
  <pageMargins left="0.5" right="0.5" top="0.75" bottom="0.75" header="0.3" footer="0.3"/>
  <pageSetup paperSize="17" scale="80" orientation="landscape" r:id="rId3"/>
  <headerFooter>
    <oddFooter>&amp;LApril 2026&amp;R&amp;P of &amp;N</oddFooter>
  </headerFooter>
  <rowBreaks count="3" manualBreakCount="3">
    <brk id="46" max="16383" man="1"/>
    <brk id="95" max="16383" man="1"/>
    <brk id="143" max="16383" man="1"/>
  </rowBreaks>
  <ignoredErrors>
    <ignoredError sqref="J17" formulaRange="1"/>
  </ignoredError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499984740745262"/>
  </sheetPr>
  <dimension ref="A1:AB235"/>
  <sheetViews>
    <sheetView zoomScaleNormal="100" workbookViewId="0">
      <pane xSplit="2" ySplit="3" topLeftCell="C4" activePane="bottomRight" state="frozen"/>
      <selection pane="topRight" activeCell="C1" sqref="C1"/>
      <selection pane="bottomLeft" activeCell="A4" sqref="A4"/>
      <selection pane="bottomRight" activeCell="D12" sqref="D12"/>
    </sheetView>
  </sheetViews>
  <sheetFormatPr defaultColWidth="9.1796875" defaultRowHeight="10"/>
  <cols>
    <col min="1" max="1" width="41" style="376" customWidth="1"/>
    <col min="2" max="2" width="10.453125" style="99" customWidth="1"/>
    <col min="3" max="3" width="11.453125" style="376" customWidth="1"/>
    <col min="4" max="4" width="11.453125" style="374" customWidth="1"/>
    <col min="5" max="5" width="11.54296875" style="430" customWidth="1"/>
    <col min="6" max="6" width="11.1796875" style="430" customWidth="1"/>
    <col min="7" max="7" width="11.1796875" style="431" customWidth="1"/>
    <col min="8" max="9" width="10.54296875" style="111" customWidth="1"/>
    <col min="10" max="10" width="10.54296875" style="433" customWidth="1"/>
    <col min="11" max="11" width="10.54296875" style="441" customWidth="1"/>
    <col min="12" max="12" width="10.54296875" style="99" customWidth="1"/>
    <col min="13" max="14" width="10.81640625" style="111" customWidth="1"/>
    <col min="15" max="15" width="10.54296875" style="99" customWidth="1"/>
    <col min="16" max="16" width="10.81640625" style="111" customWidth="1"/>
    <col min="17" max="17" width="10.453125" style="111" customWidth="1"/>
    <col min="18" max="18" width="10.453125" style="374" customWidth="1"/>
    <col min="19" max="20" width="11" style="442" customWidth="1"/>
    <col min="21" max="21" width="10.54296875" style="442" customWidth="1"/>
    <col min="22" max="22" width="10.54296875" style="443" customWidth="1"/>
    <col min="23" max="23" width="10.54296875" style="444" customWidth="1"/>
    <col min="24" max="24" width="10.54296875" style="445" customWidth="1"/>
    <col min="25" max="25" width="10.453125" style="439" customWidth="1"/>
    <col min="26" max="26" width="10.453125" style="99" customWidth="1"/>
    <col min="27" max="27" width="32.453125" style="99" customWidth="1"/>
    <col min="28" max="16384" width="9.1796875" style="374"/>
  </cols>
  <sheetData>
    <row r="1" spans="1:28" ht="13.5" thickBot="1">
      <c r="A1" s="824" t="s">
        <v>26</v>
      </c>
      <c r="B1" s="834" t="s">
        <v>204</v>
      </c>
      <c r="C1" s="821" t="s">
        <v>335</v>
      </c>
      <c r="D1" s="822"/>
      <c r="E1" s="822"/>
      <c r="F1" s="822"/>
      <c r="G1" s="823"/>
      <c r="H1" s="831" t="s">
        <v>333</v>
      </c>
      <c r="I1" s="832"/>
      <c r="J1" s="832"/>
      <c r="K1" s="832"/>
      <c r="L1" s="832"/>
      <c r="M1" s="832"/>
      <c r="N1" s="833"/>
      <c r="O1" s="822" t="s">
        <v>1201</v>
      </c>
      <c r="P1" s="822"/>
      <c r="Q1" s="822"/>
      <c r="R1" s="822"/>
      <c r="S1" s="822"/>
      <c r="T1" s="822"/>
      <c r="U1" s="822"/>
      <c r="V1" s="821" t="s">
        <v>1202</v>
      </c>
      <c r="W1" s="823"/>
      <c r="X1" s="828" t="s">
        <v>1204</v>
      </c>
      <c r="Y1" s="829"/>
      <c r="Z1" s="830"/>
      <c r="AA1" s="826" t="s">
        <v>241</v>
      </c>
    </row>
    <row r="2" spans="1:28" s="64" customFormat="1" ht="81" customHeight="1">
      <c r="A2" s="825"/>
      <c r="B2" s="835"/>
      <c r="C2" s="84" t="s">
        <v>714</v>
      </c>
      <c r="D2" s="74" t="s">
        <v>342</v>
      </c>
      <c r="E2" s="74" t="s">
        <v>745</v>
      </c>
      <c r="F2" s="74" t="s">
        <v>746</v>
      </c>
      <c r="G2" s="96" t="s">
        <v>339</v>
      </c>
      <c r="H2" s="92" t="s">
        <v>435</v>
      </c>
      <c r="I2" s="93" t="s">
        <v>436</v>
      </c>
      <c r="J2" s="113" t="s">
        <v>437</v>
      </c>
      <c r="K2" s="113" t="s">
        <v>438</v>
      </c>
      <c r="L2" s="83" t="s">
        <v>341</v>
      </c>
      <c r="M2" s="96" t="s">
        <v>340</v>
      </c>
      <c r="N2" s="96" t="s">
        <v>439</v>
      </c>
      <c r="O2" s="73" t="s">
        <v>844</v>
      </c>
      <c r="P2" s="93" t="s">
        <v>845</v>
      </c>
      <c r="Q2" s="93" t="s">
        <v>846</v>
      </c>
      <c r="R2" s="74" t="s">
        <v>847</v>
      </c>
      <c r="S2" s="74" t="s">
        <v>848</v>
      </c>
      <c r="T2" s="74" t="s">
        <v>849</v>
      </c>
      <c r="U2" s="75" t="s">
        <v>850</v>
      </c>
      <c r="V2" s="377" t="s">
        <v>338</v>
      </c>
      <c r="W2" s="378" t="s">
        <v>744</v>
      </c>
      <c r="X2" s="102" t="s">
        <v>667</v>
      </c>
      <c r="Y2" s="155" t="s">
        <v>337</v>
      </c>
      <c r="Z2" s="75" t="s">
        <v>336</v>
      </c>
      <c r="AA2" s="827"/>
    </row>
    <row r="3" spans="1:28" ht="12.5">
      <c r="A3" s="405" t="s">
        <v>363</v>
      </c>
      <c r="B3" s="587"/>
      <c r="C3" s="386"/>
      <c r="D3" s="406"/>
      <c r="E3" s="406"/>
      <c r="F3" s="406"/>
      <c r="G3" s="386"/>
      <c r="H3" s="386"/>
      <c r="I3" s="386"/>
      <c r="J3" s="386"/>
      <c r="K3" s="386"/>
      <c r="L3" s="386"/>
      <c r="M3" s="386"/>
      <c r="N3" s="386"/>
      <c r="O3" s="386"/>
      <c r="P3" s="386"/>
      <c r="Q3" s="386"/>
      <c r="R3" s="386"/>
      <c r="S3" s="386"/>
      <c r="T3" s="386"/>
      <c r="U3" s="386"/>
      <c r="V3" s="407"/>
      <c r="W3" s="408"/>
      <c r="X3" s="409"/>
      <c r="Y3" s="400"/>
      <c r="Z3" s="400"/>
      <c r="AA3" s="410"/>
      <c r="AB3" s="411"/>
    </row>
    <row r="4" spans="1:28">
      <c r="A4" s="412" t="s">
        <v>28</v>
      </c>
      <c r="B4" s="590" t="s">
        <v>29</v>
      </c>
      <c r="C4" s="367">
        <f>1/(('Res-Rec Equations'!$B$152*3600)/((0.036*(1-'Res-Rec Equations'!$B$153))*('Res-Rec Equations'!$B$154/'Res-Rec Equations'!$B$155)^3*'Res-Rec Equations'!$B$156))</f>
        <v>7.3567680901159717E-10</v>
      </c>
      <c r="D4" s="368">
        <f>(('Res-Rec Equations'!$B$132^(10/3)*'Chemical Info'!$AH5*'Chemical Info'!$AN5*41+'Res-Rec Equations'!$B$135^(10/3)*'Chemical Info'!$AJ5)/'Res-Rec Equations'!$B$137^2)/('Res-Rec Equations'!$B$139*'Chemical Info'!$AL5*'Res-Rec Equations'!$B$142+'Res-Rec Equations'!$B$135+'Res-Rec Equations'!$B$132*'Chemical Info'!$AN5*41)</f>
        <v>0</v>
      </c>
      <c r="E4" s="368" t="str">
        <f>IF(D4=0,"NA",1/(('Res-Rec Equations'!$B$103*(3.14*'Res-Rec Calculations'!$D4*'Res-Rec Equations'!$B$105)^(1/2)*0.0001)/(2*'Res-Rec Equations'!$B$106*'Res-Rec Calculations'!$D4)))</f>
        <v>NA</v>
      </c>
      <c r="F4" s="368" t="str">
        <f>IF(D4=0,"NA",(1/('Res-Rec Equations'!$B$117*('Res-Rec Equations'!$B$118*(31500000))/('Res-Rec Equations'!$B$119*'Res-Rec Equations'!$B$120*1000000))))</f>
        <v>NA</v>
      </c>
      <c r="G4" s="167" t="str">
        <f>IF('Chemical Info'!E5="Yes",('Chemical Info'!AP5/'Res-Rec Equations'!$B$168)*((('Chemical Info'!AL5*'Res-Rec Equations'!$B$170)*'Res-Rec Equations'!$B$168)+'Res-Rec Equations'!$B$171+('Chemical Info'!AN5*41)*'Res-Rec Equations'!$B$173),"NA")</f>
        <v>NA</v>
      </c>
      <c r="H4" s="112" t="str">
        <f>IF('Chemical Info'!H5="NA","NA",IF(AND('Chemical Info'!E5="Yes",'Chemical Info'!D5="Yes"),'Chemical Info'!H5*'Chemical Info'!AD5*'Res-Rec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Info'!E5="Yes",'Chemical Info'!D5=""),'Chemical Info'!H5*'Chemical Info'!AD5*'Res-Rec Equations'!$B$20*'Res-Rec Equations'!$B$23*((('Res-Rec Equations'!$B$26*'Res-Rec Equations'!$B$29)/'Res-Rec Equations'!$B$32)+(('Res-Rec Equations'!$B$27*'Res-Rec Equations'!$B$30)/'Res-Rec Equations'!$B$33)+(('Res-Rec Equations'!$B$28*'Res-Rec Equations'!$B$31)/'Res-Rec Equations'!$B$34)),IF(AND('Chemical Info'!E5="No",'Chemical Info'!D5="Yes"),'Chemical Info'!H5*'Chemical Info'!AD5*'Res-Rec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Info'!E5="No",'Chemical Info'!D5=""),'Chemical Info'!H5*'Chemical Info'!AD5*'Res-Rec Equations'!$B$19*'Res-Rec Equations'!$B$23*((('Res-Rec Equations'!$B$26*'Res-Rec Equations'!$B$29)/'Res-Rec Equations'!$B$32)+(('Res-Rec Equations'!$B$27*'Res-Rec Equations'!$B$30)/'Res-Rec Equations'!$B$33)+(('Res-Rec Equations'!$B$28*'Res-Rec Equations'!$B$31)/'Res-Rec Equations'!$B$34)))))))</f>
        <v>NA</v>
      </c>
      <c r="I4" s="166" t="str">
        <f>IF('Chemical Info'!H5="NA","NA",IF('Chemical Info'!E5="Yes",0,IF('Chemical Info'!D5="Yes",'Chemical Info'!H5/'Chemical Info'!AF5*('Res-Rec Equations'!$B$21*'Chemical Info'!AB5*'Res-Rec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Info'!H5/'Chemical Info'!AF5*('Res-Rec Equations'!$B$21*'Chemical Info'!AB5*'Res-Rec Equations'!$B$23)*((('Res-Rec Equations'!$B$26*'Res-Rec Equations'!$B$37*'Res-Rec Equations'!$B$40)/'Res-Rec Equations'!$B$32)+(('Res-Rec Equations'!$B$27*'Res-Rec Equations'!$B$38*'Res-Rec Equations'!$B$41)/'Res-Rec Equations'!$B$33)+(('Res-Rec Equations'!$B$28*'Res-Rec Equations'!$B$39*'Res-Rec Equations'!$B$42)/'Res-Rec Equations'!$B$34)))))</f>
        <v>NA</v>
      </c>
      <c r="J4" s="369" t="str">
        <f>IF('Chemical Info'!J5="NA","NA",IF(AND(E4="NA",'Chemical Info'!D5="Yes"),'Res-Rec Equations'!$B$22*1000*(('Res-Rec Equations'!$B$26*'Chemical Info'!J5*'Res-Rec Equations'!$B$59)+('Res-Rec Equations'!$B$27*'Chemical Info'!J5*'Res-Rec Equations'!$B$60)+('Res-Rec Equations'!$B$28*'Chemical Info'!J5*'Res-Rec Equations'!$B$61))*'Res-Rec Calculations'!C4,IF(AND(E4="NA",'Chemical Info'!D5=""),'Res-Rec Equations'!$B$22*1000*'Res-Rec Equations'!$B$25*'Chemical Info'!J5*'Res-Rec Calculations'!C4,IF(AND('Chemical Info'!E5="Yes",'Chemical Info'!D5="Yes"),'Res-Rec Equations'!$B$22*1000*(('Res-Rec Equations'!$B$26*'Chemical Info'!J5*'Res-Rec Equations'!$B$59)+('Res-Rec Equations'!$B$27*'Chemical Info'!J5*'Res-Rec Equations'!$B$60)+('Res-Rec Equations'!$B$28*'Chemical Info'!J5*'Res-Rec Equations'!$B$61))*'Res-Rec Calculations'!E4,IF(AND('Chemical Info'!E5="Yes",'Chemical Info'!D5=""),'Res-Rec Equations'!$B$22*1000*'Res-Rec Equations'!$B$25*'Chemical Info'!J5*'Res-Rec Calculations'!E4,IF('Chemical Info'!D5="Yes",'Res-Rec Equations'!$B$22*1000*(('Res-Rec Equations'!$B$26*'Chemical Info'!J5*'Res-Rec Equations'!$B$59)+('Res-Rec Equations'!$B$27*'Chemical Info'!J5*'Res-Rec Equations'!$B$60)+('Res-Rec Equations'!$B$28*'Chemical Info'!J5*'Res-Rec Equations'!$B$61))*('Res-Rec Calculations'!C4+'Res-Rec Calculations'!E4),IF('Chemical Info'!D5="",'Res-Rec Equations'!$B$22*1000*'Res-Rec Equations'!$B$25*'Chemical Info'!J5*('Res-Rec Calculations'!C4+'Res-Rec Calculations'!E4))))))))</f>
        <v>NA</v>
      </c>
      <c r="K4" s="370" t="str">
        <f>IF('Chemical Info'!J5="NA","NA",IF(AND(F4="NA",'Chemical Info'!D5="Yes"),'Res-Rec Equations'!$B$22*1000*(('Res-Rec Equations'!$B$26*'Chemical Info'!J5*'Res-Rec Equations'!$B$59)+('Res-Rec Equations'!$B$27*'Chemical Info'!J5*'Res-Rec Equations'!$B$60)+('Res-Rec Equations'!$B$28*'Chemical Info'!J5*'Res-Rec Equations'!$B$61))*'Res-Rec Calculations'!C4,IF(AND(F4="NA",'Chemical Info'!D5=""),'Res-Rec Equations'!$B$22*1000*'Res-Rec Equations'!$B$25*'Chemical Info'!J5*'Res-Rec Calculations'!C4,IF(AND('Chemical Info'!F5="Yes",'Chemical Info'!D5="Yes"),'Res-Rec Equations'!$B$22*1000*(('Res-Rec Equations'!$B$26*'Chemical Info'!J5*'Res-Rec Equations'!$B$59)+('Res-Rec Equations'!$B$27*'Chemical Info'!J5*'Res-Rec Equations'!$B$60)+('Res-Rec Equations'!$B$28*'Chemical Info'!J5*'Res-Rec Equations'!$B$61))*'Res-Rec Calculations'!F4,IF(AND('Chemical Info'!F5="Yes",'Chemical Info'!D5=""),'Res-Rec Equations'!$B$22*1000*'Res-Rec Equations'!$B$25*'Chemical Info'!J5*'Res-Rec Calculations'!F4,IF('Chemical Info'!D5="Yes",'Res-Rec Equations'!$B$22*1000*(('Res-Rec Equations'!$B$26*'Chemical Info'!J5*'Res-Rec Equations'!$B$59)+('Res-Rec Equations'!$B$27*'Chemical Info'!J5*'Res-Rec Equations'!$B$60)+('Res-Rec Equations'!$B$28*'Chemical Info'!J5*'Res-Rec Equations'!$B$61))*('Res-Rec Calculations'!C4+'Res-Rec Calculations'!F4),IF('Chemical Info'!D5="",'Res-Rec Equations'!$B$22*1000*'Res-Rec Equations'!$B$25*'Chemical Info'!J5*('Res-Rec Calculations'!C4+'Res-Rec Calculations'!F4))))))))</f>
        <v>NA</v>
      </c>
      <c r="L4" s="167" t="str">
        <f>IF(AND(H4="NA",I4="NA",J4="NA"),"NA",IF(H4="NA",'Res-Rec Equations'!$B$15*'Res-Rec Equations'!$B$16/J4,IF(J4="NA",'Res-Rec Equations'!$B$15*'Res-Rec Equations'!$B$16/(H4+I4),'Res-Rec Equations'!$B$15*'Res-Rec Equations'!$B$16/(H4+I4+J4))))</f>
        <v>NA</v>
      </c>
      <c r="M4" s="167" t="str">
        <f>IF(AND(H4="NA",I4="NA",K4="NA"),"NA",IF(H4="NA",'Res-Rec Equations'!$B$15*'Res-Rec Equations'!$B$16/K4,IF(K4="NA",'Res-Rec Equations'!$B$15*'Res-Rec Equations'!$B$16/(H4+I4),'Res-Rec Equations'!$B$15*'Res-Rec Equations'!$B$16/(H4+I4+K4))))</f>
        <v>NA</v>
      </c>
      <c r="N4" s="167" t="str">
        <f t="shared" ref="N4:N33" si="0">IF(AND(L4="NA",M4="NA"),"NA",MAX(L4,M4))</f>
        <v>NA</v>
      </c>
      <c r="O4" s="371">
        <f>IF('Chemical Info'!L5="NA","NA",IF('Chemical Info'!E5="Yes",(('Res-Rec Equations'!$B$76*'Chemical Info'!AD5*'Res-Rec Equations'!$B$78*'Res-Rec Equations'!$B$79*'Res-Rec Equations'!$B$81)/('Res-Rec Equations'!$B$84*'Res-Rec Equations'!$B$85))/'Chemical Info'!L5,(('Res-Rec Equations'!$B$76*'Chemical Info'!AD5*'Res-Rec Equations'!$B$78*'Res-Rec Equations'!$B$79*'Res-Rec Equations'!$B$80)/('Res-Rec Equations'!$B$84*'Res-Rec Equations'!$B$85))/'Chemical Info'!L5))</f>
        <v>1.2785388127853881E-5</v>
      </c>
      <c r="P4" s="166">
        <f>IF('Chemical Info'!L5="NA","NA", IF('Chemical Info'!E5="Yes",0,((('Res-Rec Equations'!$B$87*'Res-Rec Equations'!$B$88*'Res-Rec Equations'!$B$78*'Res-Rec Equations'!$B$82*'Res-Rec Equations'!$B$79*'Chemical Info'!AB5)/('Res-Rec Equations'!$B$84*'Res-Rec Equations'!$B$85))/('Chemical Info'!L5*'Chemical Info'!AF5))))</f>
        <v>0</v>
      </c>
      <c r="Q4" s="166">
        <f>IF('Chemical Info'!N5="NA","NA",IF('Res-Rec Calculations'!E4="NA",(('Res-Rec Equations'!$B$83*'Res-Rec Equations'!$B$79*'Res-Rec Calculations'!C4)/('Res-Rec Equations'!$B$85))/('Chemical Info'!N5),IF('Chemical Info'!E5="Yes",(('Res-Rec Equations'!$B$83*'Res-Rec Equations'!$B$79*'Res-Rec Calculations'!E4)/('Res-Rec Equations'!$B$85))/('Chemical Info'!N5),(('Res-Rec Equations'!$B$83*'Res-Rec Equations'!$B$79*('Res-Rec Calculations'!C4+'Res-Rec Calculations'!E4))/('Res-Rec Equations'!$B$85))/('Chemical Info'!N5))))</f>
        <v>1.0077764507008181E-7</v>
      </c>
      <c r="R4" s="166">
        <f>IF('Chemical Info'!N5="NA","NA",IF('Res-Rec Calculations'!F4="NA",(('Res-Rec Equations'!$B$83*'Res-Rec Equations'!$B$79*'Res-Rec Calculations'!C4)/('Res-Rec Equations'!$B$85))/('Chemical Info'!N5),IF('Chemical Info'!E5="Yes",(('Res-Rec Equations'!$B$83*'Res-Rec Equations'!$B$79*'Res-Rec Calculations'!F4)/('Res-Rec Equations'!$B$85))/('Chemical Info'!N5),(('Res-Rec Equations'!$B$83*'Res-Rec Equations'!$B$79*('Res-Rec Calculations'!C4+'Res-Rec Calculations'!F4))/('Res-Rec Equations'!$B$85))/('Chemical Info'!N5))))</f>
        <v>1.0077764507008181E-7</v>
      </c>
      <c r="S4" s="167">
        <f>IF(AND(O4="NA",P4="NA",Q4="NA"),"NA",IF(O4="NA",'Res-Rec Equations'!$B$75/Q4,IF(Q4="NA",'Res-Rec Equations'!$B$75/(O4+P4),'Res-Rec Equations'!$B$75/(O4+P4+Q4))))</f>
        <v>15520.520496502862</v>
      </c>
      <c r="T4" s="167">
        <f>IF(AND(O4="NA",P4="NA",R4="NA"),"NA",IF(O4="NA",'Res-Rec Equations'!$B$75/R4,IF(R4="NA",'Res-Rec Equations'!$B$75/(O4+P4),'Res-Rec Equations'!$B$75/(O4+P4+R4))))</f>
        <v>15520.520496502862</v>
      </c>
      <c r="U4" s="168">
        <f t="shared" ref="U4:U33" si="1">IF(AND(S4="NA",T4="NA"),"NA",MAX(S4,T4))</f>
        <v>15520.520496502862</v>
      </c>
      <c r="V4" s="167" t="str">
        <f>IF('Chemical Info'!P5="NA","NA",(('Res-Rec Equations'!$B$185*'Res-Rec Equations'!$B$186)/('Res-Rec Equations'!$B$187*'Res-Rec Equations'!$B$188*(1/'Chemical Info'!P5))))</f>
        <v>NA</v>
      </c>
      <c r="W4" s="379" t="str">
        <f>IF(V4="NA","NA",IF(V4&gt;100000,100000,IF(ISNUMBER(ROUND(V4*1000000,2-LEN(INT(V4*1000000)))/1000000),ROUND(V4*1000000,2-LEN(INT(V4*1000000)))/1000000,"NA")))</f>
        <v>NA</v>
      </c>
      <c r="X4" s="372">
        <f>IF(AND(N4="NA",U4="NA",G4="NA"),"NA",MIN(N4,U4,G4))</f>
        <v>15520.520496502862</v>
      </c>
      <c r="Y4" s="62">
        <f>IF(X4&gt;100000,100000,IF(ISNUMBER(ROUND(X4*1000000,2-LEN(INT(X4*1000000)))/1000000),ROUND(X4*1000000,2-LEN(INT(X4*1000000)))/1000000,"NA"))</f>
        <v>16000</v>
      </c>
      <c r="Z4" s="100" t="str">
        <f>IF(Y4=100000,"Max Limit",IF(X4=G4,"Csat",IF(X4=N4,"Cancer",IF(X4=V4,"Acute",IF(X4=U4,"Noncancer","")))))</f>
        <v>Noncancer</v>
      </c>
      <c r="AA4" s="373"/>
    </row>
    <row r="5" spans="1:28">
      <c r="A5" s="412" t="s">
        <v>32</v>
      </c>
      <c r="B5" s="590" t="s">
        <v>33</v>
      </c>
      <c r="C5" s="367">
        <f>1/(('Res-Rec Equations'!$B$152*3600)/((0.036*(1-'Res-Rec Equations'!$B$153))*('Res-Rec Equations'!$B$154/'Res-Rec Equations'!$B$155)^3*'Res-Rec Equations'!$B$156))</f>
        <v>7.3567680901159717E-10</v>
      </c>
      <c r="D5" s="368">
        <f>(('Res-Rec Equations'!$B$132^(10/3)*'Chemical Info'!$AH6*'Chemical Info'!$AN6*41+'Res-Rec Equations'!$B$135^(10/3)*'Chemical Info'!$AJ6)/'Res-Rec Equations'!$B$137^2)/('Res-Rec Equations'!$B$139*'Chemical Info'!$AL6*'Res-Rec Equations'!$B$142+'Res-Rec Equations'!$B$135+'Res-Rec Equations'!$B$132*'Chemical Info'!$AN6*41)</f>
        <v>0</v>
      </c>
      <c r="E5" s="368" t="str">
        <f>IF(D5=0,"NA",1/(('Res-Rec Equations'!$B$103*(3.14*'Res-Rec Calculations'!$D5*'Res-Rec Equations'!$B$105)^(1/2)*0.0001)/(2*'Res-Rec Equations'!$B$106*'Res-Rec Calculations'!$D5)))</f>
        <v>NA</v>
      </c>
      <c r="F5" s="368" t="str">
        <f>IF(D5=0,"NA",(1/('Res-Rec Equations'!$B$117*('Res-Rec Equations'!$B$118*(31500000))/('Res-Rec Equations'!$B$119*'Res-Rec Equations'!$B$120*1000000))))</f>
        <v>NA</v>
      </c>
      <c r="G5" s="167" t="str">
        <f>IF('Chemical Info'!E6="Yes",('Chemical Info'!AP6/'Res-Rec Equations'!$B$168)*((('Chemical Info'!AL6*'Res-Rec Equations'!$B$170)*'Res-Rec Equations'!$B$168)+'Res-Rec Equations'!$B$171+('Chemical Info'!AN6*41)*'Res-Rec Equations'!$B$173),"NA")</f>
        <v>NA</v>
      </c>
      <c r="H5" s="112" t="str">
        <f>IF('Chemical Info'!H6="NA","NA",IF(AND('Chemical Info'!E6="Yes",'Chemical Info'!D6="Yes"),'Chemical Info'!H6*'Chemical Info'!AD6*'Res-Rec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Info'!E6="Yes",'Chemical Info'!D6=""),'Chemical Info'!H6*'Chemical Info'!AD6*'Res-Rec Equations'!$B$20*'Res-Rec Equations'!$B$23*((('Res-Rec Equations'!$B$26*'Res-Rec Equations'!$B$29)/'Res-Rec Equations'!$B$32)+(('Res-Rec Equations'!$B$27*'Res-Rec Equations'!$B$30)/'Res-Rec Equations'!$B$33)+(('Res-Rec Equations'!$B$28*'Res-Rec Equations'!$B$31)/'Res-Rec Equations'!$B$34)),IF(AND('Chemical Info'!E6="No",'Chemical Info'!D6="Yes"),'Chemical Info'!H6*'Chemical Info'!AD6*'Res-Rec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Info'!E6="No",'Chemical Info'!D6=""),'Chemical Info'!H6*'Chemical Info'!AD6*'Res-Rec Equations'!$B$19*'Res-Rec Equations'!$B$23*((('Res-Rec Equations'!$B$26*'Res-Rec Equations'!$B$29)/'Res-Rec Equations'!$B$32)+(('Res-Rec Equations'!$B$27*'Res-Rec Equations'!$B$30)/'Res-Rec Equations'!$B$33)+(('Res-Rec Equations'!$B$28*'Res-Rec Equations'!$B$31)/'Res-Rec Equations'!$B$34)))))))</f>
        <v>NA</v>
      </c>
      <c r="I5" s="166" t="str">
        <f>IF('Chemical Info'!H6="NA","NA",IF('Chemical Info'!E6="Yes",0,IF('Chemical Info'!D6="Yes",'Chemical Info'!H6/'Chemical Info'!AF6*('Res-Rec Equations'!$B$21*'Chemical Info'!AB6*'Res-Rec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Info'!H6/'Chemical Info'!AF6*('Res-Rec Equations'!$B$21*'Chemical Info'!AB6*'Res-Rec Equations'!$B$23)*((('Res-Rec Equations'!$B$26*'Res-Rec Equations'!$B$37*'Res-Rec Equations'!$B$40)/'Res-Rec Equations'!$B$32)+(('Res-Rec Equations'!$B$27*'Res-Rec Equations'!$B$38*'Res-Rec Equations'!$B$41)/'Res-Rec Equations'!$B$33)+(('Res-Rec Equations'!$B$28*'Res-Rec Equations'!$B$39*'Res-Rec Equations'!$B$42)/'Res-Rec Equations'!$B$34)))))</f>
        <v>NA</v>
      </c>
      <c r="J5" s="369" t="str">
        <f>IF('Chemical Info'!J6="NA","NA",IF(AND(E5="NA",'Chemical Info'!D6="Yes"),'Res-Rec Equations'!$B$22*1000*(('Res-Rec Equations'!$B$26*'Chemical Info'!J6*'Res-Rec Equations'!$B$59)+('Res-Rec Equations'!$B$27*'Chemical Info'!J6*'Res-Rec Equations'!$B$60)+('Res-Rec Equations'!$B$28*'Chemical Info'!J6*'Res-Rec Equations'!$B$61))*'Res-Rec Calculations'!C5,IF(AND(E5="NA",'Chemical Info'!D6=""),'Res-Rec Equations'!$B$22*1000*'Res-Rec Equations'!$B$25*'Chemical Info'!J6*'Res-Rec Calculations'!C5,IF(AND('Chemical Info'!E6="Yes",'Chemical Info'!D6="Yes"),'Res-Rec Equations'!$B$22*1000*(('Res-Rec Equations'!$B$26*'Chemical Info'!J6*'Res-Rec Equations'!$B$59)+('Res-Rec Equations'!$B$27*'Chemical Info'!J6*'Res-Rec Equations'!$B$60)+('Res-Rec Equations'!$B$28*'Chemical Info'!J6*'Res-Rec Equations'!$B$61))*'Res-Rec Calculations'!E5,IF(AND('Chemical Info'!E6="Yes",'Chemical Info'!D6=""),'Res-Rec Equations'!$B$22*1000*'Res-Rec Equations'!$B$25*'Chemical Info'!J6*'Res-Rec Calculations'!E5,IF('Chemical Info'!D6="Yes",'Res-Rec Equations'!$B$22*1000*(('Res-Rec Equations'!$B$26*'Chemical Info'!J6*'Res-Rec Equations'!$B$59)+('Res-Rec Equations'!$B$27*'Chemical Info'!J6*'Res-Rec Equations'!$B$60)+('Res-Rec Equations'!$B$28*'Chemical Info'!J6*'Res-Rec Equations'!$B$61))*('Res-Rec Calculations'!C5+'Res-Rec Calculations'!E5),IF('Chemical Info'!D6="",'Res-Rec Equations'!$B$22*1000*'Res-Rec Equations'!$B$25*'Chemical Info'!J6*('Res-Rec Calculations'!C5+'Res-Rec Calculations'!E5))))))))</f>
        <v>NA</v>
      </c>
      <c r="K5" s="370" t="str">
        <f>IF('Chemical Info'!J6="NA","NA",IF(AND(F5="NA",'Chemical Info'!D6="Yes"),'Res-Rec Equations'!$B$22*1000*(('Res-Rec Equations'!$B$26*'Chemical Info'!J6*'Res-Rec Equations'!$B$59)+('Res-Rec Equations'!$B$27*'Chemical Info'!J6*'Res-Rec Equations'!$B$60)+('Res-Rec Equations'!$B$28*'Chemical Info'!J6*'Res-Rec Equations'!$B$61))*'Res-Rec Calculations'!C5,IF(AND(F5="NA",'Chemical Info'!D6=""),'Res-Rec Equations'!$B$22*1000*'Res-Rec Equations'!$B$25*'Chemical Info'!J6*'Res-Rec Calculations'!C5,IF(AND('Chemical Info'!F6="Yes",'Chemical Info'!D6="Yes"),'Res-Rec Equations'!$B$22*1000*(('Res-Rec Equations'!$B$26*'Chemical Info'!J6*'Res-Rec Equations'!$B$59)+('Res-Rec Equations'!$B$27*'Chemical Info'!J6*'Res-Rec Equations'!$B$60)+('Res-Rec Equations'!$B$28*'Chemical Info'!J6*'Res-Rec Equations'!$B$61))*'Res-Rec Calculations'!F5,IF(AND('Chemical Info'!F6="Yes",'Chemical Info'!D6=""),'Res-Rec Equations'!$B$22*1000*'Res-Rec Equations'!$B$25*'Chemical Info'!J6*'Res-Rec Calculations'!F5,IF('Chemical Info'!D6="Yes",'Res-Rec Equations'!$B$22*1000*(('Res-Rec Equations'!$B$26*'Chemical Info'!J6*'Res-Rec Equations'!$B$59)+('Res-Rec Equations'!$B$27*'Chemical Info'!J6*'Res-Rec Equations'!$B$60)+('Res-Rec Equations'!$B$28*'Chemical Info'!J6*'Res-Rec Equations'!$B$61))*('Res-Rec Calculations'!C5+'Res-Rec Calculations'!F5),IF('Chemical Info'!D6="",'Res-Rec Equations'!$B$22*1000*'Res-Rec Equations'!$B$25*'Chemical Info'!J6*('Res-Rec Calculations'!C5+'Res-Rec Calculations'!F5))))))))</f>
        <v>NA</v>
      </c>
      <c r="L5" s="167" t="str">
        <f>IF(AND(H5="NA",I5="NA",J5="NA"),"NA",IF(H5="NA",'Res-Rec Equations'!$B$15*'Res-Rec Equations'!$B$16/J5,IF(J5="NA",'Res-Rec Equations'!$B$15*'Res-Rec Equations'!$B$16/(H5+I5),'Res-Rec Equations'!$B$15*'Res-Rec Equations'!$B$16/(H5+I5+J5))))</f>
        <v>NA</v>
      </c>
      <c r="M5" s="167" t="str">
        <f>IF(AND(H5="NA",I5="NA",K5="NA"),"NA",IF(H5="NA",'Res-Rec Equations'!$B$15*'Res-Rec Equations'!$B$16/K5,IF(K5="NA",'Res-Rec Equations'!$B$15*'Res-Rec Equations'!$B$16/(H5+I5),'Res-Rec Equations'!$B$15*'Res-Rec Equations'!$B$16/(H5+I5+K5))))</f>
        <v>NA</v>
      </c>
      <c r="N5" s="167" t="str">
        <f t="shared" si="0"/>
        <v>NA</v>
      </c>
      <c r="O5" s="371">
        <f>IF('Chemical Info'!L6="NA","NA",IF('Chemical Info'!E6="Yes",(('Res-Rec Equations'!$B$76*'Chemical Info'!AD6*'Res-Rec Equations'!$B$78*'Res-Rec Equations'!$B$79*'Res-Rec Equations'!$B$81)/('Res-Rec Equations'!$B$84*'Res-Rec Equations'!$B$85))/'Chemical Info'!L6,(('Res-Rec Equations'!$B$76*'Chemical Info'!AD6*'Res-Rec Equations'!$B$78*'Res-Rec Equations'!$B$79*'Res-Rec Equations'!$B$80)/('Res-Rec Equations'!$B$84*'Res-Rec Equations'!$B$85))/'Chemical Info'!L6))</f>
        <v>3.1963470319634701E-2</v>
      </c>
      <c r="P5" s="166">
        <f>IF('Chemical Info'!L6="NA","NA", IF('Chemical Info'!E6="Yes",0,((('Res-Rec Equations'!$B$87*'Res-Rec Equations'!$B$88*'Res-Rec Equations'!$B$78*'Res-Rec Equations'!$B$82*'Res-Rec Equations'!$B$79*'Chemical Info'!AB6)/('Res-Rec Equations'!$B$84*'Res-Rec Equations'!$B$85))/('Chemical Info'!L6*'Chemical Info'!AF6))))</f>
        <v>0</v>
      </c>
      <c r="Q5" s="166">
        <f>IF('Chemical Info'!N6="NA","NA",IF('Res-Rec Calculations'!E5="NA",(('Res-Rec Equations'!$B$83*'Res-Rec Equations'!$B$79*'Res-Rec Calculations'!C5)/('Res-Rec Equations'!$B$85))/('Chemical Info'!N6),IF('Chemical Info'!E6="Yes",(('Res-Rec Equations'!$B$83*'Res-Rec Equations'!$B$79*'Res-Rec Calculations'!E5)/('Res-Rec Equations'!$B$85))/('Chemical Info'!N6),(('Res-Rec Equations'!$B$83*'Res-Rec Equations'!$B$79*('Res-Rec Calculations'!C5+'Res-Rec Calculations'!E5))/('Res-Rec Equations'!$B$85))/('Chemical Info'!N6))))</f>
        <v>2.5194411267520453E-6</v>
      </c>
      <c r="R5" s="166">
        <f>IF('Chemical Info'!N6="NA","NA",IF('Res-Rec Calculations'!F5="NA",(('Res-Rec Equations'!$B$83*'Res-Rec Equations'!$B$79*'Res-Rec Calculations'!C5)/('Res-Rec Equations'!$B$85))/('Chemical Info'!N6),IF('Chemical Info'!E6="Yes",(('Res-Rec Equations'!$B$83*'Res-Rec Equations'!$B$79*'Res-Rec Calculations'!F5)/('Res-Rec Equations'!$B$85))/('Chemical Info'!N6),(('Res-Rec Equations'!$B$83*'Res-Rec Equations'!$B$79*('Res-Rec Calculations'!C5+'Res-Rec Calculations'!F5))/('Res-Rec Equations'!$B$85))/('Chemical Info'!N6))))</f>
        <v>2.5194411267520453E-6</v>
      </c>
      <c r="S5" s="167">
        <f>IF(AND(O5="NA",P5="NA",Q5="NA"),"NA",IF(O5="NA",'Res-Rec Equations'!$B$75/Q5,IF(Q5="NA",'Res-Rec Equations'!$B$75/(O5+P5),'Res-Rec Equations'!$B$75/(O5+P5+Q5))))</f>
        <v>6.2566496922770662</v>
      </c>
      <c r="T5" s="167">
        <f>IF(AND(O5="NA",P5="NA",R5="NA"),"NA",IF(O5="NA",'Res-Rec Equations'!$B$75/R5,IF(R5="NA",'Res-Rec Equations'!$B$75/(O5+P5),'Res-Rec Equations'!$B$75/(O5+P5+R5))))</f>
        <v>6.2566496922770662</v>
      </c>
      <c r="U5" s="168">
        <f t="shared" si="1"/>
        <v>6.2566496922770662</v>
      </c>
      <c r="V5" s="167" t="str">
        <f>IF('Chemical Info'!P6="NA","NA",(('Res-Rec Equations'!$B$185*'Res-Rec Equations'!$B$186)/('Res-Rec Equations'!$B$187*'Res-Rec Equations'!$B$188*(1/'Chemical Info'!P6))))</f>
        <v>NA</v>
      </c>
      <c r="W5" s="379" t="str">
        <f t="shared" ref="W5:W33" si="2">IF(V5="NA","NA",IF(V5&gt;100000,100000,IF(ISNUMBER(ROUND(V5*1000000,2-LEN(INT(V5*1000000)))/1000000),ROUND(V5*1000000,2-LEN(INT(V5*1000000)))/1000000,"NA")))</f>
        <v>NA</v>
      </c>
      <c r="X5" s="372">
        <f t="shared" ref="X5:X19" si="3">IF(AND(N5="NA",U5="NA",G5="NA"),"NA",MIN(N5,U5,G5))</f>
        <v>6.2566496922770662</v>
      </c>
      <c r="Y5" s="62">
        <f t="shared" ref="Y5:Y33" si="4">IF(X5&gt;100000,100000,IF(ISNUMBER(ROUND(X5*1000000,2-LEN(INT(X5*1000000)))/1000000),ROUND(X5*1000000,2-LEN(INT(X5*1000000)))/1000000,"NA"))</f>
        <v>6.3</v>
      </c>
      <c r="Z5" s="100" t="str">
        <f t="shared" ref="Z5:Z18" si="5">IF(Y5=100000,"Max Limit",IF(X5=G5,"Csat",IF(X5=N5,"Cancer",IF(X5=V5,"Acute",IF(X5=U5,"Noncancer","")))))</f>
        <v>Noncancer</v>
      </c>
      <c r="AA5" s="373"/>
    </row>
    <row r="6" spans="1:28">
      <c r="A6" s="412" t="s">
        <v>213</v>
      </c>
      <c r="B6" s="590" t="s">
        <v>214</v>
      </c>
      <c r="C6" s="367">
        <f>1/(('Res-Rec Equations'!$B$152*3600)/((0.036*(1-'Res-Rec Equations'!$B$153))*('Res-Rec Equations'!$B$154/'Res-Rec Equations'!$B$155)^3*'Res-Rec Equations'!$B$156))</f>
        <v>7.3567680901159717E-10</v>
      </c>
      <c r="D6" s="368">
        <f>(('Res-Rec Equations'!$B$132^(10/3)*'Chemical Info'!$AH7*'Chemical Info'!$AN7*41+'Res-Rec Equations'!$B$135^(10/3)*'Chemical Info'!$AJ7)/'Res-Rec Equations'!$B$137^2)/('Res-Rec Equations'!$B$139*'Chemical Info'!$AL7*'Res-Rec Equations'!$B$142+'Res-Rec Equations'!$B$135+'Res-Rec Equations'!$B$132*'Chemical Info'!$AN7*41)</f>
        <v>0</v>
      </c>
      <c r="E6" s="368" t="str">
        <f>IF(D6=0,"NA",1/(('Res-Rec Equations'!$B$103*(3.14*'Res-Rec Calculations'!$D6*'Res-Rec Equations'!$B$105)^(1/2)*0.0001)/(2*'Res-Rec Equations'!$B$106*'Res-Rec Calculations'!$D6)))</f>
        <v>NA</v>
      </c>
      <c r="F6" s="368" t="str">
        <f>IF(D6=0,"NA",(1/('Res-Rec Equations'!$B$117*('Res-Rec Equations'!$B$118*(31500000))/('Res-Rec Equations'!$B$119*'Res-Rec Equations'!$B$120*1000000))))</f>
        <v>NA</v>
      </c>
      <c r="G6" s="167" t="str">
        <f>IF('Chemical Info'!E7="Yes",('Chemical Info'!AP7/'Res-Rec Equations'!$B$168)*((('Chemical Info'!AL7*'Res-Rec Equations'!$B$170)*'Res-Rec Equations'!$B$168)+'Res-Rec Equations'!$B$171+('Chemical Info'!AN7*41)*'Res-Rec Equations'!$B$173),"NA")</f>
        <v>NA</v>
      </c>
      <c r="H6" s="112">
        <f>IF('Chemical Info'!H7="NA","NA",IF(AND('Chemical Info'!E7="Yes",'Chemical Info'!D7="Yes"),'Chemical Info'!H7*'Chemical Info'!AD7*'Res-Rec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Info'!E7="Yes",'Chemical Info'!D7=""),'Chemical Info'!H7*'Chemical Info'!AD7*'Res-Rec Equations'!$B$20*'Res-Rec Equations'!$B$23*((('Res-Rec Equations'!$B$26*'Res-Rec Equations'!$B$29)/'Res-Rec Equations'!$B$32)+(('Res-Rec Equations'!$B$27*'Res-Rec Equations'!$B$30)/'Res-Rec Equations'!$B$33)+(('Res-Rec Equations'!$B$28*'Res-Rec Equations'!$B$31)/'Res-Rec Equations'!$B$34)),IF(AND('Chemical Info'!E7="No",'Chemical Info'!D7="Yes"),'Chemical Info'!H7*'Chemical Info'!AD7*'Res-Rec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Info'!E7="No",'Chemical Info'!D7=""),'Chemical Info'!H7*'Chemical Info'!AD7*'Res-Rec Equations'!$B$19*'Res-Rec Equations'!$B$23*((('Res-Rec Equations'!$B$26*'Res-Rec Equations'!$B$29)/'Res-Rec Equations'!$B$32)+(('Res-Rec Equations'!$B$27*'Res-Rec Equations'!$B$30)/'Res-Rec Equations'!$B$33)+(('Res-Rec Equations'!$B$28*'Res-Rec Equations'!$B$31)/'Res-Rec Equations'!$B$34)))))))</f>
        <v>0.86576159317211943</v>
      </c>
      <c r="I6" s="166">
        <f>IF('Chemical Info'!H7="NA","NA",IF('Chemical Info'!E7="Yes",0,IF('Chemical Info'!D7="Yes",'Chemical Info'!H7/'Chemical Info'!AF7*('Res-Rec Equations'!$B$21*'Chemical Info'!AB7*'Res-Rec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Info'!H7/'Chemical Info'!AF7*('Res-Rec Equations'!$B$21*'Chemical Info'!AB7*'Res-Rec Equations'!$B$23)*((('Res-Rec Equations'!$B$26*'Res-Rec Equations'!$B$37*'Res-Rec Equations'!$B$40)/'Res-Rec Equations'!$B$32)+(('Res-Rec Equations'!$B$27*'Res-Rec Equations'!$B$38*'Res-Rec Equations'!$B$41)/'Res-Rec Equations'!$B$33)+(('Res-Rec Equations'!$B$28*'Res-Rec Equations'!$B$39*'Res-Rec Equations'!$B$42)/'Res-Rec Equations'!$B$34)))))</f>
        <v>0.10558195903271693</v>
      </c>
      <c r="J6" s="369">
        <f>IF('Chemical Info'!J7="NA","NA",IF(AND(E6="NA",'Chemical Info'!D7="Yes"),'Res-Rec Equations'!$B$22*1000*(('Res-Rec Equations'!$B$26*'Chemical Info'!J7*'Res-Rec Equations'!$B$59)+('Res-Rec Equations'!$B$27*'Chemical Info'!J7*'Res-Rec Equations'!$B$60)+('Res-Rec Equations'!$B$28*'Chemical Info'!J7*'Res-Rec Equations'!$B$61))*'Res-Rec Calculations'!C6,IF(AND(E6="NA",'Chemical Info'!D7=""),'Res-Rec Equations'!$B$22*1000*'Res-Rec Equations'!$B$25*'Chemical Info'!J7*'Res-Rec Calculations'!C6,IF(AND('Chemical Info'!E7="Yes",'Chemical Info'!D7="Yes"),'Res-Rec Equations'!$B$22*1000*(('Res-Rec Equations'!$B$26*'Chemical Info'!J7*'Res-Rec Equations'!$B$59)+('Res-Rec Equations'!$B$27*'Chemical Info'!J7*'Res-Rec Equations'!$B$60)+('Res-Rec Equations'!$B$28*'Chemical Info'!J7*'Res-Rec Equations'!$B$61))*'Res-Rec Calculations'!E6,IF(AND('Chemical Info'!E7="Yes",'Chemical Info'!D7=""),'Res-Rec Equations'!$B$22*1000*'Res-Rec Equations'!$B$25*'Chemical Info'!J7*'Res-Rec Calculations'!E6,IF('Chemical Info'!D7="Yes",'Res-Rec Equations'!$B$22*1000*(('Res-Rec Equations'!$B$26*'Chemical Info'!J7*'Res-Rec Equations'!$B$59)+('Res-Rec Equations'!$B$27*'Chemical Info'!J7*'Res-Rec Equations'!$B$60)+('Res-Rec Equations'!$B$28*'Chemical Info'!J7*'Res-Rec Equations'!$B$61))*('Res-Rec Calculations'!C6+'Res-Rec Calculations'!E6),IF('Chemical Info'!D7="",'Res-Rec Equations'!$B$22*1000*'Res-Rec Equations'!$B$25*'Chemical Info'!J7*('Res-Rec Calculations'!C6+'Res-Rec Calculations'!E6))))))))</f>
        <v>2.0562166811874142E-5</v>
      </c>
      <c r="K6" s="370">
        <f>IF('Chemical Info'!J7="NA","NA",IF(AND(F6="NA",'Chemical Info'!D7="Yes"),'Res-Rec Equations'!$B$22*1000*(('Res-Rec Equations'!$B$26*'Chemical Info'!J7*'Res-Rec Equations'!$B$59)+('Res-Rec Equations'!$B$27*'Chemical Info'!J7*'Res-Rec Equations'!$B$60)+('Res-Rec Equations'!$B$28*'Chemical Info'!J7*'Res-Rec Equations'!$B$61))*'Res-Rec Calculations'!C6,IF(AND(F6="NA",'Chemical Info'!D7=""),'Res-Rec Equations'!$B$22*1000*'Res-Rec Equations'!$B$25*'Chemical Info'!J7*'Res-Rec Calculations'!C6,IF(AND('Chemical Info'!F7="Yes",'Chemical Info'!D7="Yes"),'Res-Rec Equations'!$B$22*1000*(('Res-Rec Equations'!$B$26*'Chemical Info'!J7*'Res-Rec Equations'!$B$59)+('Res-Rec Equations'!$B$27*'Chemical Info'!J7*'Res-Rec Equations'!$B$60)+('Res-Rec Equations'!$B$28*'Chemical Info'!J7*'Res-Rec Equations'!$B$61))*'Res-Rec Calculations'!F6,IF(AND('Chemical Info'!F7="Yes",'Chemical Info'!D7=""),'Res-Rec Equations'!$B$22*1000*'Res-Rec Equations'!$B$25*'Chemical Info'!J7*'Res-Rec Calculations'!F6,IF('Chemical Info'!D7="Yes",'Res-Rec Equations'!$B$22*1000*(('Res-Rec Equations'!$B$26*'Chemical Info'!J7*'Res-Rec Equations'!$B$59)+('Res-Rec Equations'!$B$27*'Chemical Info'!J7*'Res-Rec Equations'!$B$60)+('Res-Rec Equations'!$B$28*'Chemical Info'!J7*'Res-Rec Equations'!$B$61))*('Res-Rec Calculations'!C6+'Res-Rec Calculations'!F6),IF('Chemical Info'!D7="",'Res-Rec Equations'!$B$22*1000*'Res-Rec Equations'!$B$25*'Chemical Info'!J7*('Res-Rec Calculations'!C6+'Res-Rec Calculations'!F6))))))))</f>
        <v>2.0562166811874142E-5</v>
      </c>
      <c r="L6" s="167">
        <f>IF(AND(H6="NA",I6="NA",J6="NA"),"NA",IF(H6="NA",'Res-Rec Equations'!$B$15*'Res-Rec Equations'!$B$16/J6,IF(J6="NA",'Res-Rec Equations'!$B$15*'Res-Rec Equations'!$B$16/(H6+I6),'Res-Rec Equations'!$B$15*'Res-Rec Equations'!$B$16/(H6+I6+J6))))</f>
        <v>0.2630321588164462</v>
      </c>
      <c r="M6" s="167">
        <f>IF(AND(H6="NA",I6="NA",K6="NA"),"NA",IF(H6="NA",'Res-Rec Equations'!$B$15*'Res-Rec Equations'!$B$16/K6,IF(K6="NA",'Res-Rec Equations'!$B$15*'Res-Rec Equations'!$B$16/(H6+I6),'Res-Rec Equations'!$B$15*'Res-Rec Equations'!$B$16/(H6+I6+K6))))</f>
        <v>0.2630321588164462</v>
      </c>
      <c r="N6" s="167">
        <f t="shared" si="0"/>
        <v>0.2630321588164462</v>
      </c>
      <c r="O6" s="371">
        <f>IF('Chemical Info'!L7="NA","NA",IF('Chemical Info'!E7="Yes",(('Res-Rec Equations'!$B$76*'Chemical Info'!AD7*'Res-Rec Equations'!$B$78*'Res-Rec Equations'!$B$79*'Res-Rec Equations'!$B$81)/('Res-Rec Equations'!$B$84*'Res-Rec Equations'!$B$85))/'Chemical Info'!L7,(('Res-Rec Equations'!$B$76*'Chemical Info'!AD7*'Res-Rec Equations'!$B$78*'Res-Rec Equations'!$B$79*'Res-Rec Equations'!$B$80)/('Res-Rec Equations'!$B$84*'Res-Rec Equations'!$B$85))/'Chemical Info'!L7))</f>
        <v>0.12785388127853881</v>
      </c>
      <c r="P6" s="166">
        <f>IF('Chemical Info'!L7="NA","NA", IF('Chemical Info'!E7="Yes",0,((('Res-Rec Equations'!$B$87*'Res-Rec Equations'!$B$88*'Res-Rec Equations'!$B$78*'Res-Rec Equations'!$B$82*'Res-Rec Equations'!$B$79*'Chemical Info'!AB7)/('Res-Rec Equations'!$B$84*'Res-Rec Equations'!$B$85))/('Chemical Info'!L7*'Chemical Info'!AF7))))</f>
        <v>1.0835616438356163E-2</v>
      </c>
      <c r="Q6" s="166">
        <f>IF('Chemical Info'!N7="NA","NA",IF('Res-Rec Calculations'!E6="NA",(('Res-Rec Equations'!$B$83*'Res-Rec Equations'!$B$79*'Res-Rec Calculations'!C6)/('Res-Rec Equations'!$B$85))/('Chemical Info'!N7),IF('Chemical Info'!E7="Yes",(('Res-Rec Equations'!$B$83*'Res-Rec Equations'!$B$79*'Res-Rec Calculations'!E6)/('Res-Rec Equations'!$B$85))/('Chemical Info'!N7),(('Res-Rec Equations'!$B$83*'Res-Rec Equations'!$B$79*('Res-Rec Calculations'!C6+'Res-Rec Calculations'!E6))/('Res-Rec Equations'!$B$85))/('Chemical Info'!N7))))</f>
        <v>3.3592548356693935E-5</v>
      </c>
      <c r="R6" s="166">
        <f>IF('Chemical Info'!N7="NA","NA",IF('Res-Rec Calculations'!F6="NA",(('Res-Rec Equations'!$B$83*'Res-Rec Equations'!$B$79*'Res-Rec Calculations'!C6)/('Res-Rec Equations'!$B$85))/('Chemical Info'!N7),IF('Chemical Info'!E7="Yes",(('Res-Rec Equations'!$B$83*'Res-Rec Equations'!$B$79*'Res-Rec Calculations'!F6)/('Res-Rec Equations'!$B$85))/('Chemical Info'!N7),(('Res-Rec Equations'!$B$83*'Res-Rec Equations'!$B$79*('Res-Rec Calculations'!C6+'Res-Rec Calculations'!F6))/('Res-Rec Equations'!$B$85))/('Chemical Info'!N7))))</f>
        <v>3.3592548356693935E-5</v>
      </c>
      <c r="S6" s="167">
        <f>IF(AND(O6="NA",P6="NA",Q6="NA"),"NA",IF(O6="NA",'Res-Rec Equations'!$B$75/Q6,IF(Q6="NA",'Res-Rec Equations'!$B$75/(O6+P6),'Res-Rec Equations'!$B$75/(O6+P6+Q6))))</f>
        <v>1.4417210546390011</v>
      </c>
      <c r="T6" s="167">
        <f>IF(AND(O6="NA",P6="NA",R6="NA"),"NA",IF(O6="NA",'Res-Rec Equations'!$B$75/R6,IF(R6="NA",'Res-Rec Equations'!$B$75/(O6+P6),'Res-Rec Equations'!$B$75/(O6+P6+R6))))</f>
        <v>1.4417210546390011</v>
      </c>
      <c r="U6" s="168">
        <f t="shared" si="1"/>
        <v>1.4417210546390011</v>
      </c>
      <c r="V6" s="167">
        <f>IF('Chemical Info'!P7="NA","NA",(('Res-Rec Equations'!$B$185*'Res-Rec Equations'!$B$186)/('Res-Rec Equations'!$B$187*'Res-Rec Equations'!$B$188*(1/'Chemical Info'!P7))))</f>
        <v>6.5</v>
      </c>
      <c r="W6" s="379">
        <f t="shared" si="2"/>
        <v>6.5</v>
      </c>
      <c r="X6" s="372">
        <f t="shared" si="3"/>
        <v>0.2630321588164462</v>
      </c>
      <c r="Y6" s="62">
        <f t="shared" si="4"/>
        <v>0.26</v>
      </c>
      <c r="Z6" s="100" t="str">
        <f t="shared" si="5"/>
        <v>Cancer</v>
      </c>
      <c r="AA6" s="373"/>
    </row>
    <row r="7" spans="1:28">
      <c r="A7" s="413" t="s">
        <v>215</v>
      </c>
      <c r="B7" s="566" t="s">
        <v>216</v>
      </c>
      <c r="C7" s="367">
        <f>1/(('Res-Rec Equations'!$B$152*3600)/((0.036*(1-'Res-Rec Equations'!$B$153))*('Res-Rec Equations'!$B$154/'Res-Rec Equations'!$B$155)^3*'Res-Rec Equations'!$B$156))</f>
        <v>7.3567680901159717E-10</v>
      </c>
      <c r="D7" s="368">
        <f>(('Res-Rec Equations'!$B$132^(10/3)*'Chemical Info'!$AH8*'Chemical Info'!$AN8*41+'Res-Rec Equations'!$B$135^(10/3)*'Chemical Info'!$AJ8)/'Res-Rec Equations'!$B$137^2)/('Res-Rec Equations'!$B$139*'Chemical Info'!$AL8*'Res-Rec Equations'!$B$142+'Res-Rec Equations'!$B$135+'Res-Rec Equations'!$B$132*'Chemical Info'!$AN8*41)</f>
        <v>0</v>
      </c>
      <c r="E7" s="368" t="str">
        <f>IF(D7=0,"NA",1/(('Res-Rec Equations'!$B$103*(3.14*'Res-Rec Calculations'!$D7*'Res-Rec Equations'!$B$105)^(1/2)*0.0001)/(2*'Res-Rec Equations'!$B$106*'Res-Rec Calculations'!$D7)))</f>
        <v>NA</v>
      </c>
      <c r="F7" s="368" t="str">
        <f>IF(D7=0,"NA",(1/('Res-Rec Equations'!$B$117*('Res-Rec Equations'!$B$118*(31500000))/('Res-Rec Equations'!$B$119*'Res-Rec Equations'!$B$120*1000000))))</f>
        <v>NA</v>
      </c>
      <c r="G7" s="167" t="str">
        <f>IF('Chemical Info'!E8="Yes",('Chemical Info'!AP8/'Res-Rec Equations'!$B$168)*((('Chemical Info'!AL8*'Res-Rec Equations'!$B$170)*'Res-Rec Equations'!$B$168)+'Res-Rec Equations'!$B$171+('Chemical Info'!AN8*41)*'Res-Rec Equations'!$B$173),"NA")</f>
        <v>NA</v>
      </c>
      <c r="H7" s="112" t="str">
        <f>IF('Chemical Info'!H8="NA","NA",IF(AND('Chemical Info'!E8="Yes",'Chemical Info'!D8="Yes"),'Chemical Info'!H8*'Chemical Info'!AD8*'Res-Rec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Info'!E8="Yes",'Chemical Info'!D8=""),'Chemical Info'!H8*'Chemical Info'!AD8*'Res-Rec Equations'!$B$20*'Res-Rec Equations'!$B$23*((('Res-Rec Equations'!$B$26*'Res-Rec Equations'!$B$29)/'Res-Rec Equations'!$B$32)+(('Res-Rec Equations'!$B$27*'Res-Rec Equations'!$B$30)/'Res-Rec Equations'!$B$33)+(('Res-Rec Equations'!$B$28*'Res-Rec Equations'!$B$31)/'Res-Rec Equations'!$B$34)),IF(AND('Chemical Info'!E8="No",'Chemical Info'!D8="Yes"),'Chemical Info'!H8*'Chemical Info'!AD8*'Res-Rec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Info'!E8="No",'Chemical Info'!D8=""),'Chemical Info'!H8*'Chemical Info'!AD8*'Res-Rec Equations'!$B$19*'Res-Rec Equations'!$B$23*((('Res-Rec Equations'!$B$26*'Res-Rec Equations'!$B$29)/'Res-Rec Equations'!$B$32)+(('Res-Rec Equations'!$B$27*'Res-Rec Equations'!$B$30)/'Res-Rec Equations'!$B$33)+(('Res-Rec Equations'!$B$28*'Res-Rec Equations'!$B$31)/'Res-Rec Equations'!$B$34)))))))</f>
        <v>NA</v>
      </c>
      <c r="I7" s="166" t="str">
        <f>IF('Chemical Info'!H8="NA","NA",IF('Chemical Info'!E8="Yes",0,IF('Chemical Info'!D8="Yes",'Chemical Info'!H8/'Chemical Info'!AF8*('Res-Rec Equations'!$B$21*'Chemical Info'!AB8*'Res-Rec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Info'!H8/'Chemical Info'!AF8*('Res-Rec Equations'!$B$21*'Chemical Info'!AB8*'Res-Rec Equations'!$B$23)*((('Res-Rec Equations'!$B$26*'Res-Rec Equations'!$B$37*'Res-Rec Equations'!$B$40)/'Res-Rec Equations'!$B$32)+(('Res-Rec Equations'!$B$27*'Res-Rec Equations'!$B$38*'Res-Rec Equations'!$B$41)/'Res-Rec Equations'!$B$33)+(('Res-Rec Equations'!$B$28*'Res-Rec Equations'!$B$39*'Res-Rec Equations'!$B$42)/'Res-Rec Equations'!$B$34)))))</f>
        <v>NA</v>
      </c>
      <c r="J7" s="369" t="str">
        <f>IF('Chemical Info'!J8="NA","NA",IF(AND(E7="NA",'Chemical Info'!D8="Yes"),'Res-Rec Equations'!$B$22*1000*(('Res-Rec Equations'!$B$26*'Chemical Info'!J8*'Res-Rec Equations'!$B$59)+('Res-Rec Equations'!$B$27*'Chemical Info'!J8*'Res-Rec Equations'!$B$60)+('Res-Rec Equations'!$B$28*'Chemical Info'!J8*'Res-Rec Equations'!$B$61))*'Res-Rec Calculations'!C7,IF(AND(E7="NA",'Chemical Info'!D8=""),'Res-Rec Equations'!$B$22*1000*'Res-Rec Equations'!$B$25*'Chemical Info'!J8*'Res-Rec Calculations'!C7,IF(AND('Chemical Info'!E8="Yes",'Chemical Info'!D8="Yes"),'Res-Rec Equations'!$B$22*1000*(('Res-Rec Equations'!$B$26*'Chemical Info'!J8*'Res-Rec Equations'!$B$59)+('Res-Rec Equations'!$B$27*'Chemical Info'!J8*'Res-Rec Equations'!$B$60)+('Res-Rec Equations'!$B$28*'Chemical Info'!J8*'Res-Rec Equations'!$B$61))*'Res-Rec Calculations'!E7,IF(AND('Chemical Info'!E8="Yes",'Chemical Info'!D8=""),'Res-Rec Equations'!$B$22*1000*'Res-Rec Equations'!$B$25*'Chemical Info'!J8*'Res-Rec Calculations'!E7,IF('Chemical Info'!D8="Yes",'Res-Rec Equations'!$B$22*1000*(('Res-Rec Equations'!$B$26*'Chemical Info'!J8*'Res-Rec Equations'!$B$59)+('Res-Rec Equations'!$B$27*'Chemical Info'!J8*'Res-Rec Equations'!$B$60)+('Res-Rec Equations'!$B$28*'Chemical Info'!J8*'Res-Rec Equations'!$B$61))*('Res-Rec Calculations'!C7+'Res-Rec Calculations'!E7),IF('Chemical Info'!D8="",'Res-Rec Equations'!$B$22*1000*'Res-Rec Equations'!$B$25*'Chemical Info'!J8*('Res-Rec Calculations'!C7+'Res-Rec Calculations'!E7))))))))</f>
        <v>NA</v>
      </c>
      <c r="K7" s="370" t="str">
        <f>IF('Chemical Info'!J8="NA","NA",IF(AND(F7="NA",'Chemical Info'!D8="Yes"),'Res-Rec Equations'!$B$22*1000*(('Res-Rec Equations'!$B$26*'Chemical Info'!J8*'Res-Rec Equations'!$B$59)+('Res-Rec Equations'!$B$27*'Chemical Info'!J8*'Res-Rec Equations'!$B$60)+('Res-Rec Equations'!$B$28*'Chemical Info'!J8*'Res-Rec Equations'!$B$61))*'Res-Rec Calculations'!C7,IF(AND(F7="NA",'Chemical Info'!D8=""),'Res-Rec Equations'!$B$22*1000*'Res-Rec Equations'!$B$25*'Chemical Info'!J8*'Res-Rec Calculations'!C7,IF(AND('Chemical Info'!F8="Yes",'Chemical Info'!D8="Yes"),'Res-Rec Equations'!$B$22*1000*(('Res-Rec Equations'!$B$26*'Chemical Info'!J8*'Res-Rec Equations'!$B$59)+('Res-Rec Equations'!$B$27*'Chemical Info'!J8*'Res-Rec Equations'!$B$60)+('Res-Rec Equations'!$B$28*'Chemical Info'!J8*'Res-Rec Equations'!$B$61))*'Res-Rec Calculations'!F7,IF(AND('Chemical Info'!F8="Yes",'Chemical Info'!D8=""),'Res-Rec Equations'!$B$22*1000*'Res-Rec Equations'!$B$25*'Chemical Info'!J8*'Res-Rec Calculations'!F7,IF('Chemical Info'!D8="Yes",'Res-Rec Equations'!$B$22*1000*(('Res-Rec Equations'!$B$26*'Chemical Info'!J8*'Res-Rec Equations'!$B$59)+('Res-Rec Equations'!$B$27*'Chemical Info'!J8*'Res-Rec Equations'!$B$60)+('Res-Rec Equations'!$B$28*'Chemical Info'!J8*'Res-Rec Equations'!$B$61))*('Res-Rec Calculations'!C7+'Res-Rec Calculations'!F7),IF('Chemical Info'!D8="",'Res-Rec Equations'!$B$22*1000*'Res-Rec Equations'!$B$25*'Chemical Info'!J8*('Res-Rec Calculations'!C7+'Res-Rec Calculations'!F7))))))))</f>
        <v>NA</v>
      </c>
      <c r="L7" s="167" t="str">
        <f>IF(AND(H7="NA",I7="NA",J7="NA"),"NA",IF(H7="NA",'Res-Rec Equations'!$B$15*'Res-Rec Equations'!$B$16/J7,IF(J7="NA",'Res-Rec Equations'!$B$15*'Res-Rec Equations'!$B$16/(H7+I7),'Res-Rec Equations'!$B$15*'Res-Rec Equations'!$B$16/(H7+I7+J7))))</f>
        <v>NA</v>
      </c>
      <c r="M7" s="167" t="str">
        <f>IF(AND(H7="NA",I7="NA",K7="NA"),"NA",IF(H7="NA",'Res-Rec Equations'!$B$15*'Res-Rec Equations'!$B$16/K7,IF(K7="NA",'Res-Rec Equations'!$B$15*'Res-Rec Equations'!$B$16/(H7+I7),'Res-Rec Equations'!$B$15*'Res-Rec Equations'!$B$16/(H7+I7+K7))))</f>
        <v>NA</v>
      </c>
      <c r="N7" s="167" t="str">
        <f t="shared" si="0"/>
        <v>NA</v>
      </c>
      <c r="O7" s="371">
        <f>IF('Chemical Info'!L8="NA","NA",IF('Chemical Info'!E8="Yes",(('Res-Rec Equations'!$B$76*'Chemical Info'!AD8*'Res-Rec Equations'!$B$78*'Res-Rec Equations'!$B$79*'Res-Rec Equations'!$B$81)/('Res-Rec Equations'!$B$84*'Res-Rec Equations'!$B$85))/'Chemical Info'!L8,(('Res-Rec Equations'!$B$76*'Chemical Info'!AD8*'Res-Rec Equations'!$B$78*'Res-Rec Equations'!$B$79*'Res-Rec Equations'!$B$80)/('Res-Rec Equations'!$B$84*'Res-Rec Equations'!$B$85))/'Chemical Info'!L8))</f>
        <v>6.3926940639269395E-5</v>
      </c>
      <c r="P7" s="166">
        <f>IF('Chemical Info'!L8="NA","NA", IF('Chemical Info'!E8="Yes",0,((('Res-Rec Equations'!$B$87*'Res-Rec Equations'!$B$88*'Res-Rec Equations'!$B$78*'Res-Rec Equations'!$B$82*'Res-Rec Equations'!$B$79*'Chemical Info'!AB8)/('Res-Rec Equations'!$B$84*'Res-Rec Equations'!$B$85))/('Chemical Info'!L8*'Chemical Info'!AF8))))</f>
        <v>0</v>
      </c>
      <c r="Q7" s="166">
        <f>IF('Chemical Info'!N8="NA","NA",IF('Res-Rec Calculations'!E7="NA",(('Res-Rec Equations'!$B$83*'Res-Rec Equations'!$B$79*'Res-Rec Calculations'!C7)/('Res-Rec Equations'!$B$85))/('Chemical Info'!N8),IF('Chemical Info'!E8="Yes",(('Res-Rec Equations'!$B$83*'Res-Rec Equations'!$B$79*'Res-Rec Calculations'!E7)/('Res-Rec Equations'!$B$85))/('Chemical Info'!N8),(('Res-Rec Equations'!$B$83*'Res-Rec Equations'!$B$79*('Res-Rec Calculations'!C7+'Res-Rec Calculations'!E7))/('Res-Rec Equations'!$B$85))/('Chemical Info'!N8))))</f>
        <v>1.0077764507008181E-6</v>
      </c>
      <c r="R7" s="166">
        <f>IF('Chemical Info'!N8="NA","NA",IF('Res-Rec Calculations'!F7="NA",(('Res-Rec Equations'!$B$83*'Res-Rec Equations'!$B$79*'Res-Rec Calculations'!C7)/('Res-Rec Equations'!$B$85))/('Chemical Info'!N8),IF('Chemical Info'!E8="Yes",(('Res-Rec Equations'!$B$83*'Res-Rec Equations'!$B$79*'Res-Rec Calculations'!F7)/('Res-Rec Equations'!$B$85))/('Chemical Info'!N8),(('Res-Rec Equations'!$B$83*'Res-Rec Equations'!$B$79*('Res-Rec Calculations'!C7+'Res-Rec Calculations'!F7))/('Res-Rec Equations'!$B$85))/('Chemical Info'!N8))))</f>
        <v>1.0077764507008181E-6</v>
      </c>
      <c r="S7" s="167">
        <f>IF(AND(O7="NA",P7="NA",Q7="NA"),"NA",IF(O7="NA",'Res-Rec Equations'!$B$75/Q7,IF(Q7="NA",'Res-Rec Equations'!$B$75/(O7+P7),'Res-Rec Equations'!$B$75/(O7+P7+Q7))))</f>
        <v>3080.0164990769158</v>
      </c>
      <c r="T7" s="167">
        <f>IF(AND(O7="NA",P7="NA",R7="NA"),"NA",IF(O7="NA",'Res-Rec Equations'!$B$75/R7,IF(R7="NA",'Res-Rec Equations'!$B$75/(O7+P7),'Res-Rec Equations'!$B$75/(O7+P7+R7))))</f>
        <v>3080.0164990769158</v>
      </c>
      <c r="U7" s="168">
        <f t="shared" si="1"/>
        <v>3080.0164990769158</v>
      </c>
      <c r="V7" s="167">
        <f>IF('Chemical Info'!P8="NA","NA",(('Res-Rec Equations'!$B$185*'Res-Rec Equations'!$B$186)/('Res-Rec Equations'!$B$187*'Res-Rec Equations'!$B$188*(1/'Chemical Info'!P8))))</f>
        <v>260</v>
      </c>
      <c r="W7" s="379">
        <f t="shared" si="2"/>
        <v>260</v>
      </c>
      <c r="X7" s="372">
        <f t="shared" si="3"/>
        <v>3080.0164990769158</v>
      </c>
      <c r="Y7" s="62">
        <f t="shared" si="4"/>
        <v>3100</v>
      </c>
      <c r="Z7" s="100" t="str">
        <f t="shared" si="5"/>
        <v>Noncancer</v>
      </c>
      <c r="AA7" s="373"/>
    </row>
    <row r="8" spans="1:28">
      <c r="A8" s="413" t="s">
        <v>77</v>
      </c>
      <c r="B8" s="566" t="s">
        <v>78</v>
      </c>
      <c r="C8" s="367">
        <f>1/(('Res-Rec Equations'!$B$152*3600)/((0.036*(1-'Res-Rec Equations'!$B$153))*('Res-Rec Equations'!$B$154/'Res-Rec Equations'!$B$155)^3*'Res-Rec Equations'!$B$156))</f>
        <v>7.3567680901159717E-10</v>
      </c>
      <c r="D8" s="368">
        <f>(('Res-Rec Equations'!$B$132^(10/3)*'Chemical Info'!$AH9*'Chemical Info'!$AN9*41+'Res-Rec Equations'!$B$135^(10/3)*'Chemical Info'!$AJ9)/'Res-Rec Equations'!$B$137^2)/('Res-Rec Equations'!$B$139*'Chemical Info'!$AL9*'Res-Rec Equations'!$B$142+'Res-Rec Equations'!$B$135+'Res-Rec Equations'!$B$132*'Chemical Info'!$AN9*41)</f>
        <v>0</v>
      </c>
      <c r="E8" s="368" t="str">
        <f>IF(D8=0,"NA",1/(('Res-Rec Equations'!$B$103*(3.14*'Res-Rec Calculations'!$D8*'Res-Rec Equations'!$B$105)^(1/2)*0.0001)/(2*'Res-Rec Equations'!$B$106*'Res-Rec Calculations'!$D8)))</f>
        <v>NA</v>
      </c>
      <c r="F8" s="368" t="str">
        <f>IF(D8=0,"NA",(1/('Res-Rec Equations'!$B$117*('Res-Rec Equations'!$B$118*(31500000))/('Res-Rec Equations'!$B$119*'Res-Rec Equations'!$B$120*1000000))))</f>
        <v>NA</v>
      </c>
      <c r="G8" s="167" t="str">
        <f>IF('Chemical Info'!E9="Yes",('Chemical Info'!AP9/'Res-Rec Equations'!$B$168)*((('Chemical Info'!AL9*'Res-Rec Equations'!$B$170)*'Res-Rec Equations'!$B$168)+'Res-Rec Equations'!$B$171+('Chemical Info'!AN9*41)*'Res-Rec Equations'!$B$173),"NA")</f>
        <v>NA</v>
      </c>
      <c r="H8" s="112" t="str">
        <f>IF('Chemical Info'!H9="NA","NA",IF(AND('Chemical Info'!E9="Yes",'Chemical Info'!D9="Yes"),'Chemical Info'!H9*'Chemical Info'!AD9*'Res-Rec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Info'!E9="Yes",'Chemical Info'!D9=""),'Chemical Info'!H9*'Chemical Info'!AD9*'Res-Rec Equations'!$B$20*'Res-Rec Equations'!$B$23*((('Res-Rec Equations'!$B$26*'Res-Rec Equations'!$B$29)/'Res-Rec Equations'!$B$32)+(('Res-Rec Equations'!$B$27*'Res-Rec Equations'!$B$30)/'Res-Rec Equations'!$B$33)+(('Res-Rec Equations'!$B$28*'Res-Rec Equations'!$B$31)/'Res-Rec Equations'!$B$34)),IF(AND('Chemical Info'!E9="No",'Chemical Info'!D9="Yes"),'Chemical Info'!H9*'Chemical Info'!AD9*'Res-Rec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Info'!E9="No",'Chemical Info'!D9=""),'Chemical Info'!H9*'Chemical Info'!AD9*'Res-Rec Equations'!$B$19*'Res-Rec Equations'!$B$23*((('Res-Rec Equations'!$B$26*'Res-Rec Equations'!$B$29)/'Res-Rec Equations'!$B$32)+(('Res-Rec Equations'!$B$27*'Res-Rec Equations'!$B$30)/'Res-Rec Equations'!$B$33)+(('Res-Rec Equations'!$B$28*'Res-Rec Equations'!$B$31)/'Res-Rec Equations'!$B$34)))))))</f>
        <v>NA</v>
      </c>
      <c r="I8" s="166" t="str">
        <f>IF('Chemical Info'!H9="NA","NA",IF('Chemical Info'!E9="Yes",0,IF('Chemical Info'!D9="Yes",'Chemical Info'!H9/'Chemical Info'!AF9*('Res-Rec Equations'!$B$21*'Chemical Info'!AB9*'Res-Rec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Info'!H9/'Chemical Info'!AF9*('Res-Rec Equations'!$B$21*'Chemical Info'!AB9*'Res-Rec Equations'!$B$23)*((('Res-Rec Equations'!$B$26*'Res-Rec Equations'!$B$37*'Res-Rec Equations'!$B$40)/'Res-Rec Equations'!$B$32)+(('Res-Rec Equations'!$B$27*'Res-Rec Equations'!$B$38*'Res-Rec Equations'!$B$41)/'Res-Rec Equations'!$B$33)+(('Res-Rec Equations'!$B$28*'Res-Rec Equations'!$B$39*'Res-Rec Equations'!$B$42)/'Res-Rec Equations'!$B$34)))))</f>
        <v>NA</v>
      </c>
      <c r="J8" s="369">
        <f>IF('Chemical Info'!J9="NA","NA",IF(AND(E8="NA",'Chemical Info'!D9="Yes"),'Res-Rec Equations'!$B$22*1000*(('Res-Rec Equations'!$B$26*'Chemical Info'!J9*'Res-Rec Equations'!$B$59)+('Res-Rec Equations'!$B$27*'Chemical Info'!J9*'Res-Rec Equations'!$B$60)+('Res-Rec Equations'!$B$28*'Chemical Info'!J9*'Res-Rec Equations'!$B$61))*'Res-Rec Calculations'!C8,IF(AND(E8="NA",'Chemical Info'!D9=""),'Res-Rec Equations'!$B$22*1000*'Res-Rec Equations'!$B$25*'Chemical Info'!J9*'Res-Rec Calculations'!C8,IF(AND('Chemical Info'!E9="Yes",'Chemical Info'!D9="Yes"),'Res-Rec Equations'!$B$22*1000*(('Res-Rec Equations'!$B$26*'Chemical Info'!J9*'Res-Rec Equations'!$B$59)+('Res-Rec Equations'!$B$27*'Chemical Info'!J9*'Res-Rec Equations'!$B$60)+('Res-Rec Equations'!$B$28*'Chemical Info'!J9*'Res-Rec Equations'!$B$61))*'Res-Rec Calculations'!E8,IF(AND('Chemical Info'!E9="Yes",'Chemical Info'!D9=""),'Res-Rec Equations'!$B$22*1000*'Res-Rec Equations'!$B$25*'Chemical Info'!J9*'Res-Rec Calculations'!E8,IF('Chemical Info'!D9="Yes",'Res-Rec Equations'!$B$22*1000*(('Res-Rec Equations'!$B$26*'Chemical Info'!J9*'Res-Rec Equations'!$B$59)+('Res-Rec Equations'!$B$27*'Chemical Info'!J9*'Res-Rec Equations'!$B$60)+('Res-Rec Equations'!$B$28*'Chemical Info'!J9*'Res-Rec Equations'!$B$61))*('Res-Rec Calculations'!C8+'Res-Rec Calculations'!E8),IF('Chemical Info'!D9="",'Res-Rec Equations'!$B$22*1000*'Res-Rec Equations'!$B$25*'Chemical Info'!J9*('Res-Rec Calculations'!C8+'Res-Rec Calculations'!E8))))))))</f>
        <v>1.1476558220580915E-5</v>
      </c>
      <c r="K8" s="370">
        <f>IF('Chemical Info'!J9="NA","NA",IF(AND(F8="NA",'Chemical Info'!D9="Yes"),'Res-Rec Equations'!$B$22*1000*(('Res-Rec Equations'!$B$26*'Chemical Info'!J9*'Res-Rec Equations'!$B$59)+('Res-Rec Equations'!$B$27*'Chemical Info'!J9*'Res-Rec Equations'!$B$60)+('Res-Rec Equations'!$B$28*'Chemical Info'!J9*'Res-Rec Equations'!$B$61))*'Res-Rec Calculations'!C8,IF(AND(F8="NA",'Chemical Info'!D9=""),'Res-Rec Equations'!$B$22*1000*'Res-Rec Equations'!$B$25*'Chemical Info'!J9*'Res-Rec Calculations'!C8,IF(AND('Chemical Info'!F9="Yes",'Chemical Info'!D9="Yes"),'Res-Rec Equations'!$B$22*1000*(('Res-Rec Equations'!$B$26*'Chemical Info'!J9*'Res-Rec Equations'!$B$59)+('Res-Rec Equations'!$B$27*'Chemical Info'!J9*'Res-Rec Equations'!$B$60)+('Res-Rec Equations'!$B$28*'Chemical Info'!J9*'Res-Rec Equations'!$B$61))*'Res-Rec Calculations'!F8,IF(AND('Chemical Info'!F9="Yes",'Chemical Info'!D9=""),'Res-Rec Equations'!$B$22*1000*'Res-Rec Equations'!$B$25*'Chemical Info'!J9*'Res-Rec Calculations'!F8,IF('Chemical Info'!D9="Yes",'Res-Rec Equations'!$B$22*1000*(('Res-Rec Equations'!$B$26*'Chemical Info'!J9*'Res-Rec Equations'!$B$59)+('Res-Rec Equations'!$B$27*'Chemical Info'!J9*'Res-Rec Equations'!$B$60)+('Res-Rec Equations'!$B$28*'Chemical Info'!J9*'Res-Rec Equations'!$B$61))*('Res-Rec Calculations'!C8+'Res-Rec Calculations'!F8),IF('Chemical Info'!D9="",'Res-Rec Equations'!$B$22*1000*'Res-Rec Equations'!$B$25*'Chemical Info'!J9*('Res-Rec Calculations'!C8+'Res-Rec Calculations'!F8))))))))</f>
        <v>1.1476558220580915E-5</v>
      </c>
      <c r="L8" s="167">
        <f>IF(AND(H8="NA",I8="NA",J8="NA"),"NA",IF(H8="NA",'Res-Rec Equations'!$B$15*'Res-Rec Equations'!$B$16/J8,IF(J8="NA",'Res-Rec Equations'!$B$15*'Res-Rec Equations'!$B$16/(H8+I8),'Res-Rec Equations'!$B$15*'Res-Rec Equations'!$B$16/(H8+I8+J8))))</f>
        <v>22262.772086304743</v>
      </c>
      <c r="M8" s="167">
        <f>IF(AND(H8="NA",I8="NA",K8="NA"),"NA",IF(H8="NA",'Res-Rec Equations'!$B$15*'Res-Rec Equations'!$B$16/K8,IF(K8="NA",'Res-Rec Equations'!$B$15*'Res-Rec Equations'!$B$16/(H8+I8),'Res-Rec Equations'!$B$15*'Res-Rec Equations'!$B$16/(H8+I8+K8))))</f>
        <v>22262.772086304743</v>
      </c>
      <c r="N8" s="167">
        <f t="shared" si="0"/>
        <v>22262.772086304743</v>
      </c>
      <c r="O8" s="371">
        <f>IF('Chemical Info'!L9="NA","NA",IF('Chemical Info'!E9="Yes",(('Res-Rec Equations'!$B$76*'Chemical Info'!AD9*'Res-Rec Equations'!$B$78*'Res-Rec Equations'!$B$79*'Res-Rec Equations'!$B$81)/('Res-Rec Equations'!$B$84*'Res-Rec Equations'!$B$85))/'Chemical Info'!L9,(('Res-Rec Equations'!$B$76*'Chemical Info'!AD9*'Res-Rec Equations'!$B$78*'Res-Rec Equations'!$B$79*'Res-Rec Equations'!$B$80)/('Res-Rec Equations'!$B$84*'Res-Rec Equations'!$B$85))/'Chemical Info'!L9))</f>
        <v>6.3926940639269401E-3</v>
      </c>
      <c r="P8" s="166">
        <f>IF('Chemical Info'!L9="NA","NA", IF('Chemical Info'!E9="Yes",0,((('Res-Rec Equations'!$B$87*'Res-Rec Equations'!$B$88*'Res-Rec Equations'!$B$78*'Res-Rec Equations'!$B$82*'Res-Rec Equations'!$B$79*'Chemical Info'!AB9)/('Res-Rec Equations'!$B$84*'Res-Rec Equations'!$B$85))/('Chemical Info'!L9*'Chemical Info'!AF9))))</f>
        <v>0</v>
      </c>
      <c r="Q8" s="166">
        <f>IF('Chemical Info'!N9="NA","NA",IF('Res-Rec Calculations'!E8="NA",(('Res-Rec Equations'!$B$83*'Res-Rec Equations'!$B$79*'Res-Rec Calculations'!C8)/('Res-Rec Equations'!$B$85))/('Chemical Info'!N9),IF('Chemical Info'!E9="Yes",(('Res-Rec Equations'!$B$83*'Res-Rec Equations'!$B$79*'Res-Rec Calculations'!E8)/('Res-Rec Equations'!$B$85))/('Chemical Info'!N9),(('Res-Rec Equations'!$B$83*'Res-Rec Equations'!$B$79*('Res-Rec Calculations'!C8+'Res-Rec Calculations'!E8))/('Res-Rec Equations'!$B$85))/('Chemical Info'!N9))))</f>
        <v>5.0388822535040909E-4</v>
      </c>
      <c r="R8" s="166">
        <f>IF('Chemical Info'!N9="NA","NA",IF('Res-Rec Calculations'!F8="NA",(('Res-Rec Equations'!$B$83*'Res-Rec Equations'!$B$79*'Res-Rec Calculations'!C8)/('Res-Rec Equations'!$B$85))/('Chemical Info'!N9),IF('Chemical Info'!E9="Yes",(('Res-Rec Equations'!$B$83*'Res-Rec Equations'!$B$79*'Res-Rec Calculations'!F8)/('Res-Rec Equations'!$B$85))/('Chemical Info'!N9),(('Res-Rec Equations'!$B$83*'Res-Rec Equations'!$B$79*('Res-Rec Calculations'!C8+'Res-Rec Calculations'!F8))/('Res-Rec Equations'!$B$85))/('Chemical Info'!N9))))</f>
        <v>5.0388822535040909E-4</v>
      </c>
      <c r="S8" s="167">
        <f>IF(AND(O8="NA",P8="NA",Q8="NA"),"NA",IF(O8="NA",'Res-Rec Equations'!$B$75/Q8,IF(Q8="NA",'Res-Rec Equations'!$B$75/(O8+P8),'Res-Rec Equations'!$B$75/(O8+P8+Q8))))</f>
        <v>28.999871474158365</v>
      </c>
      <c r="T8" s="167">
        <f>IF(AND(O8="NA",P8="NA",R8="NA"),"NA",IF(O8="NA",'Res-Rec Equations'!$B$75/R8,IF(R8="NA",'Res-Rec Equations'!$B$75/(O8+P8),'Res-Rec Equations'!$B$75/(O8+P8+R8))))</f>
        <v>28.999871474158365</v>
      </c>
      <c r="U8" s="168">
        <f t="shared" si="1"/>
        <v>28.999871474158365</v>
      </c>
      <c r="V8" s="167" t="str">
        <f>IF('Chemical Info'!P9="NA","NA",(('Res-Rec Equations'!$B$185*'Res-Rec Equations'!$B$186)/('Res-Rec Equations'!$B$187*'Res-Rec Equations'!$B$188*(1/'Chemical Info'!P9))))</f>
        <v>NA</v>
      </c>
      <c r="W8" s="379" t="str">
        <f t="shared" si="2"/>
        <v>NA</v>
      </c>
      <c r="X8" s="372">
        <f t="shared" si="3"/>
        <v>28.999871474158365</v>
      </c>
      <c r="Y8" s="62">
        <f t="shared" si="4"/>
        <v>29</v>
      </c>
      <c r="Z8" s="100" t="str">
        <f t="shared" si="5"/>
        <v>Noncancer</v>
      </c>
      <c r="AA8" s="373"/>
    </row>
    <row r="9" spans="1:28">
      <c r="A9" s="414" t="s">
        <v>50</v>
      </c>
      <c r="B9" s="591" t="s">
        <v>51</v>
      </c>
      <c r="C9" s="367">
        <f>1/(('Res-Rec Equations'!$B$152*3600)/((0.036*(1-'Res-Rec Equations'!$B$153))*('Res-Rec Equations'!$B$154/'Res-Rec Equations'!$B$155)^3*'Res-Rec Equations'!$B$156))</f>
        <v>7.3567680901159717E-10</v>
      </c>
      <c r="D9" s="368">
        <f>(('Res-Rec Equations'!$B$132^(10/3)*'Chemical Info'!$AH10*'Chemical Info'!$AN10*41+'Res-Rec Equations'!$B$135^(10/3)*'Chemical Info'!$AJ10)/'Res-Rec Equations'!$B$137^2)/('Res-Rec Equations'!$B$139*'Chemical Info'!$AL10*'Res-Rec Equations'!$B$142+'Res-Rec Equations'!$B$135+'Res-Rec Equations'!$B$132*'Chemical Info'!$AN10*41)</f>
        <v>0</v>
      </c>
      <c r="E9" s="368" t="str">
        <f>IF(D9=0,"NA",1/(('Res-Rec Equations'!$B$103*(3.14*'Res-Rec Calculations'!$D9*'Res-Rec Equations'!$B$105)^(1/2)*0.0001)/(2*'Res-Rec Equations'!$B$106*'Res-Rec Calculations'!$D9)))</f>
        <v>NA</v>
      </c>
      <c r="F9" s="368" t="str">
        <f>IF(D9=0,"NA",(1/('Res-Rec Equations'!$B$117*('Res-Rec Equations'!$B$118*(31500000))/('Res-Rec Equations'!$B$119*'Res-Rec Equations'!$B$120*1000000))))</f>
        <v>NA</v>
      </c>
      <c r="G9" s="167" t="str">
        <f>IF('Chemical Info'!E10="Yes",('Chemical Info'!AP10/'Res-Rec Equations'!$B$168)*((('Chemical Info'!AL10*'Res-Rec Equations'!$B$170)*'Res-Rec Equations'!$B$168)+'Res-Rec Equations'!$B$171+('Chemical Info'!AN10*41)*'Res-Rec Equations'!$B$173),"NA")</f>
        <v>NA</v>
      </c>
      <c r="H9" s="112" t="str">
        <f>IF('Chemical Info'!H10="NA","NA",IF(AND('Chemical Info'!E10="Yes",'Chemical Info'!D10="Yes"),'Chemical Info'!H10*'Chemical Info'!AD10*'Res-Rec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Info'!E10="Yes",'Chemical Info'!D10=""),'Chemical Info'!H10*'Chemical Info'!AD10*'Res-Rec Equations'!$B$20*'Res-Rec Equations'!$B$23*((('Res-Rec Equations'!$B$26*'Res-Rec Equations'!$B$29)/'Res-Rec Equations'!$B$32)+(('Res-Rec Equations'!$B$27*'Res-Rec Equations'!$B$30)/'Res-Rec Equations'!$B$33)+(('Res-Rec Equations'!$B$28*'Res-Rec Equations'!$B$31)/'Res-Rec Equations'!$B$34)),IF(AND('Chemical Info'!E10="No",'Chemical Info'!D10="Yes"),'Chemical Info'!H10*'Chemical Info'!AD10*'Res-Rec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Info'!E10="No",'Chemical Info'!D10=""),'Chemical Info'!H10*'Chemical Info'!AD10*'Res-Rec Equations'!$B$19*'Res-Rec Equations'!$B$23*((('Res-Rec Equations'!$B$26*'Res-Rec Equations'!$B$29)/'Res-Rec Equations'!$B$32)+(('Res-Rec Equations'!$B$27*'Res-Rec Equations'!$B$30)/'Res-Rec Equations'!$B$33)+(('Res-Rec Equations'!$B$28*'Res-Rec Equations'!$B$31)/'Res-Rec Equations'!$B$34)))))))</f>
        <v>NA</v>
      </c>
      <c r="I9" s="166" t="str">
        <f>IF('Chemical Info'!H10="NA","NA",IF('Chemical Info'!E10="Yes",0,IF('Chemical Info'!D10="Yes",'Chemical Info'!H10/'Chemical Info'!AF10*('Res-Rec Equations'!$B$21*'Chemical Info'!AB10*'Res-Rec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Info'!H10/'Chemical Info'!AF10*('Res-Rec Equations'!$B$21*'Chemical Info'!AB10*'Res-Rec Equations'!$B$23)*((('Res-Rec Equations'!$B$26*'Res-Rec Equations'!$B$37*'Res-Rec Equations'!$B$40)/'Res-Rec Equations'!$B$32)+(('Res-Rec Equations'!$B$27*'Res-Rec Equations'!$B$38*'Res-Rec Equations'!$B$41)/'Res-Rec Equations'!$B$33)+(('Res-Rec Equations'!$B$28*'Res-Rec Equations'!$B$39*'Res-Rec Equations'!$B$42)/'Res-Rec Equations'!$B$34)))))</f>
        <v>NA</v>
      </c>
      <c r="J9" s="369" t="str">
        <f>IF('Chemical Info'!J10="NA","NA",IF(AND(E9="NA",'Chemical Info'!D10="Yes"),'Res-Rec Equations'!$B$22*1000*(('Res-Rec Equations'!$B$26*'Chemical Info'!J10*'Res-Rec Equations'!$B$59)+('Res-Rec Equations'!$B$27*'Chemical Info'!J10*'Res-Rec Equations'!$B$60)+('Res-Rec Equations'!$B$28*'Chemical Info'!J10*'Res-Rec Equations'!$B$61))*'Res-Rec Calculations'!C9,IF(AND(E9="NA",'Chemical Info'!D10=""),'Res-Rec Equations'!$B$22*1000*'Res-Rec Equations'!$B$25*'Chemical Info'!J10*'Res-Rec Calculations'!C9,IF(AND('Chemical Info'!E10="Yes",'Chemical Info'!D10="Yes"),'Res-Rec Equations'!$B$22*1000*(('Res-Rec Equations'!$B$26*'Chemical Info'!J10*'Res-Rec Equations'!$B$59)+('Res-Rec Equations'!$B$27*'Chemical Info'!J10*'Res-Rec Equations'!$B$60)+('Res-Rec Equations'!$B$28*'Chemical Info'!J10*'Res-Rec Equations'!$B$61))*'Res-Rec Calculations'!E9,IF(AND('Chemical Info'!E10="Yes",'Chemical Info'!D10=""),'Res-Rec Equations'!$B$22*1000*'Res-Rec Equations'!$B$25*'Chemical Info'!J10*'Res-Rec Calculations'!E9,IF('Chemical Info'!D10="Yes",'Res-Rec Equations'!$B$22*1000*(('Res-Rec Equations'!$B$26*'Chemical Info'!J10*'Res-Rec Equations'!$B$59)+('Res-Rec Equations'!$B$27*'Chemical Info'!J10*'Res-Rec Equations'!$B$60)+('Res-Rec Equations'!$B$28*'Chemical Info'!J10*'Res-Rec Equations'!$B$61))*('Res-Rec Calculations'!C9+'Res-Rec Calculations'!E9),IF('Chemical Info'!D10="",'Res-Rec Equations'!$B$22*1000*'Res-Rec Equations'!$B$25*'Chemical Info'!J10*('Res-Rec Calculations'!C9+'Res-Rec Calculations'!E9))))))))</f>
        <v>NA</v>
      </c>
      <c r="K9" s="370" t="str">
        <f>IF('Chemical Info'!J10="NA","NA",IF(AND(F9="NA",'Chemical Info'!D10="Yes"),'Res-Rec Equations'!$B$22*1000*(('Res-Rec Equations'!$B$26*'Chemical Info'!J10*'Res-Rec Equations'!$B$59)+('Res-Rec Equations'!$B$27*'Chemical Info'!J10*'Res-Rec Equations'!$B$60)+('Res-Rec Equations'!$B$28*'Chemical Info'!J10*'Res-Rec Equations'!$B$61))*'Res-Rec Calculations'!C9,IF(AND(F9="NA",'Chemical Info'!D10=""),'Res-Rec Equations'!$B$22*1000*'Res-Rec Equations'!$B$25*'Chemical Info'!J10*'Res-Rec Calculations'!C9,IF(AND('Chemical Info'!F10="Yes",'Chemical Info'!D10="Yes"),'Res-Rec Equations'!$B$22*1000*(('Res-Rec Equations'!$B$26*'Chemical Info'!J10*'Res-Rec Equations'!$B$59)+('Res-Rec Equations'!$B$27*'Chemical Info'!J10*'Res-Rec Equations'!$B$60)+('Res-Rec Equations'!$B$28*'Chemical Info'!J10*'Res-Rec Equations'!$B$61))*'Res-Rec Calculations'!F9,IF(AND('Chemical Info'!F10="Yes",'Chemical Info'!D10=""),'Res-Rec Equations'!$B$22*1000*'Res-Rec Equations'!$B$25*'Chemical Info'!J10*'Res-Rec Calculations'!F9,IF('Chemical Info'!D10="Yes",'Res-Rec Equations'!$B$22*1000*(('Res-Rec Equations'!$B$26*'Chemical Info'!J10*'Res-Rec Equations'!$B$59)+('Res-Rec Equations'!$B$27*'Chemical Info'!J10*'Res-Rec Equations'!$B$60)+('Res-Rec Equations'!$B$28*'Chemical Info'!J10*'Res-Rec Equations'!$B$61))*('Res-Rec Calculations'!C9+'Res-Rec Calculations'!F9),IF('Chemical Info'!D10="",'Res-Rec Equations'!$B$22*1000*'Res-Rec Equations'!$B$25*'Chemical Info'!J10*('Res-Rec Calculations'!C9+'Res-Rec Calculations'!F9))))))))</f>
        <v>NA</v>
      </c>
      <c r="L9" s="167" t="str">
        <f>IF(AND(H9="NA",I9="NA",J9="NA"),"NA",IF(H9="NA",'Res-Rec Equations'!$B$15*'Res-Rec Equations'!$B$16/J9,IF(J9="NA",'Res-Rec Equations'!$B$15*'Res-Rec Equations'!$B$16/(H9+I9),'Res-Rec Equations'!$B$15*'Res-Rec Equations'!$B$16/(H9+I9+J9))))</f>
        <v>NA</v>
      </c>
      <c r="M9" s="167" t="str">
        <f>IF(AND(H9="NA",I9="NA",K9="NA"),"NA",IF(H9="NA",'Res-Rec Equations'!$B$15*'Res-Rec Equations'!$B$16/K9,IF(K9="NA",'Res-Rec Equations'!$B$15*'Res-Rec Equations'!$B$16/(H9+I9),'Res-Rec Equations'!$B$15*'Res-Rec Equations'!$B$16/(H9+I9+K9))))</f>
        <v>NA</v>
      </c>
      <c r="N9" s="167" t="str">
        <f t="shared" si="0"/>
        <v>NA</v>
      </c>
      <c r="O9" s="371">
        <f>IF('Chemical Info'!L10="NA","NA",IF('Chemical Info'!E10="Yes",(('Res-Rec Equations'!$B$76*'Chemical Info'!AD10*'Res-Rec Equations'!$B$78*'Res-Rec Equations'!$B$79*'Res-Rec Equations'!$B$81)/('Res-Rec Equations'!$B$84*'Res-Rec Equations'!$B$85))/'Chemical Info'!L10,(('Res-Rec Equations'!$B$76*'Chemical Info'!AD10*'Res-Rec Equations'!$B$78*'Res-Rec Equations'!$B$79*'Res-Rec Equations'!$B$80)/('Res-Rec Equations'!$B$84*'Res-Rec Equations'!$B$85))/'Chemical Info'!L10))</f>
        <v>6.3926940639269395E-5</v>
      </c>
      <c r="P9" s="166">
        <f>IF('Chemical Info'!L10="NA","NA", IF('Chemical Info'!E10="Yes",0,((('Res-Rec Equations'!$B$87*'Res-Rec Equations'!$B$88*'Res-Rec Equations'!$B$78*'Res-Rec Equations'!$B$82*'Res-Rec Equations'!$B$79*'Chemical Info'!AB10)/('Res-Rec Equations'!$B$84*'Res-Rec Equations'!$B$85))/('Chemical Info'!L10*'Chemical Info'!AF10))))</f>
        <v>0</v>
      </c>
      <c r="Q9" s="166">
        <f>IF('Chemical Info'!N10="NA","NA",IF('Res-Rec Calculations'!E9="NA",(('Res-Rec Equations'!$B$83*'Res-Rec Equations'!$B$79*'Res-Rec Calculations'!C9)/('Res-Rec Equations'!$B$85))/('Chemical Info'!N10),IF('Chemical Info'!E10="Yes",(('Res-Rec Equations'!$B$83*'Res-Rec Equations'!$B$79*'Res-Rec Calculations'!E9)/('Res-Rec Equations'!$B$85))/('Chemical Info'!N10),(('Res-Rec Equations'!$B$83*'Res-Rec Equations'!$B$79*('Res-Rec Calculations'!C9+'Res-Rec Calculations'!E9))/('Res-Rec Equations'!$B$85))/('Chemical Info'!N10))))</f>
        <v>2.5194411267520453E-8</v>
      </c>
      <c r="R9" s="166">
        <f>IF('Chemical Info'!N10="NA","NA",IF('Res-Rec Calculations'!F9="NA",(('Res-Rec Equations'!$B$83*'Res-Rec Equations'!$B$79*'Res-Rec Calculations'!C9)/('Res-Rec Equations'!$B$85))/('Chemical Info'!N10),IF('Chemical Info'!E10="Yes",(('Res-Rec Equations'!$B$83*'Res-Rec Equations'!$B$79*'Res-Rec Calculations'!F9)/('Res-Rec Equations'!$B$85))/('Chemical Info'!N10),(('Res-Rec Equations'!$B$83*'Res-Rec Equations'!$B$79*('Res-Rec Calculations'!C9+'Res-Rec Calculations'!F9))/('Res-Rec Equations'!$B$85))/('Chemical Info'!N10))))</f>
        <v>2.5194411267520453E-8</v>
      </c>
      <c r="S9" s="167">
        <f>IF(AND(O9="NA",P9="NA",Q9="NA"),"NA",IF(O9="NA",'Res-Rec Equations'!$B$75/Q9,IF(Q9="NA",'Res-Rec Equations'!$B$75/(O9+P9),'Res-Rec Equations'!$B$75/(O9+P9+Q9))))</f>
        <v>3127.338904978762</v>
      </c>
      <c r="T9" s="167">
        <f>IF(AND(O9="NA",P9="NA",R9="NA"),"NA",IF(O9="NA",'Res-Rec Equations'!$B$75/R9,IF(R9="NA",'Res-Rec Equations'!$B$75/(O9+P9),'Res-Rec Equations'!$B$75/(O9+P9+R9))))</f>
        <v>3127.338904978762</v>
      </c>
      <c r="U9" s="168">
        <f t="shared" si="1"/>
        <v>3127.338904978762</v>
      </c>
      <c r="V9" s="167" t="str">
        <f>IF('Chemical Info'!P10="NA","NA",(('Res-Rec Equations'!$B$185*'Res-Rec Equations'!$B$186)/('Res-Rec Equations'!$B$187*'Res-Rec Equations'!$B$188*(1/'Chemical Info'!P10))))</f>
        <v>NA</v>
      </c>
      <c r="W9" s="379" t="str">
        <f t="shared" si="2"/>
        <v>NA</v>
      </c>
      <c r="X9" s="372">
        <f t="shared" si="3"/>
        <v>3127.338904978762</v>
      </c>
      <c r="Y9" s="62">
        <f t="shared" si="4"/>
        <v>3100</v>
      </c>
      <c r="Z9" s="100" t="str">
        <f t="shared" si="5"/>
        <v>Noncancer</v>
      </c>
      <c r="AA9" s="373"/>
    </row>
    <row r="10" spans="1:28">
      <c r="A10" s="413" t="s">
        <v>52</v>
      </c>
      <c r="B10" s="566" t="s">
        <v>53</v>
      </c>
      <c r="C10" s="367">
        <f>1/(('Res-Rec Equations'!$B$152*3600)/((0.036*(1-'Res-Rec Equations'!$B$153))*('Res-Rec Equations'!$B$154/'Res-Rec Equations'!$B$155)^3*'Res-Rec Equations'!$B$156))</f>
        <v>7.3567680901159717E-10</v>
      </c>
      <c r="D10" s="368">
        <f>(('Res-Rec Equations'!$B$132^(10/3)*'Chemical Info'!$AH11*'Chemical Info'!$AN11*41+'Res-Rec Equations'!$B$135^(10/3)*'Chemical Info'!$AJ11)/'Res-Rec Equations'!$B$137^2)/('Res-Rec Equations'!$B$139*'Chemical Info'!$AL11*'Res-Rec Equations'!$B$142+'Res-Rec Equations'!$B$135+'Res-Rec Equations'!$B$132*'Chemical Info'!$AN11*41)</f>
        <v>0</v>
      </c>
      <c r="E10" s="368" t="str">
        <f>IF(D10=0,"NA",1/(('Res-Rec Equations'!$B$103*(3.14*'Res-Rec Calculations'!$D10*'Res-Rec Equations'!$B$105)^(1/2)*0.0001)/(2*'Res-Rec Equations'!$B$106*'Res-Rec Calculations'!$D10)))</f>
        <v>NA</v>
      </c>
      <c r="F10" s="368" t="str">
        <f>IF(D10=0,"NA",(1/('Res-Rec Equations'!$B$117*('Res-Rec Equations'!$B$118*(31500000))/('Res-Rec Equations'!$B$119*'Res-Rec Equations'!$B$120*1000000))))</f>
        <v>NA</v>
      </c>
      <c r="G10" s="167" t="str">
        <f>IF('Chemical Info'!E11="Yes",('Chemical Info'!AP11/'Res-Rec Equations'!$B$168)*((('Chemical Info'!AL11*'Res-Rec Equations'!$B$170)*'Res-Rec Equations'!$B$168)+'Res-Rec Equations'!$B$171+('Chemical Info'!AN11*41)*'Res-Rec Equations'!$B$173),"NA")</f>
        <v>NA</v>
      </c>
      <c r="H10" s="112" t="str">
        <f>IF('Chemical Info'!H11="NA","NA",IF(AND('Chemical Info'!E11="Yes",'Chemical Info'!D11="Yes"),'Chemical Info'!H11*'Chemical Info'!AD11*'Res-Rec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Info'!E11="Yes",'Chemical Info'!D11=""),'Chemical Info'!H11*'Chemical Info'!AD11*'Res-Rec Equations'!$B$20*'Res-Rec Equations'!$B$23*((('Res-Rec Equations'!$B$26*'Res-Rec Equations'!$B$29)/'Res-Rec Equations'!$B$32)+(('Res-Rec Equations'!$B$27*'Res-Rec Equations'!$B$30)/'Res-Rec Equations'!$B$33)+(('Res-Rec Equations'!$B$28*'Res-Rec Equations'!$B$31)/'Res-Rec Equations'!$B$34)),IF(AND('Chemical Info'!E11="No",'Chemical Info'!D11="Yes"),'Chemical Info'!H11*'Chemical Info'!AD11*'Res-Rec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Info'!E11="No",'Chemical Info'!D11=""),'Chemical Info'!H11*'Chemical Info'!AD11*'Res-Rec Equations'!$B$19*'Res-Rec Equations'!$B$23*((('Res-Rec Equations'!$B$26*'Res-Rec Equations'!$B$29)/'Res-Rec Equations'!$B$32)+(('Res-Rec Equations'!$B$27*'Res-Rec Equations'!$B$30)/'Res-Rec Equations'!$B$33)+(('Res-Rec Equations'!$B$28*'Res-Rec Equations'!$B$31)/'Res-Rec Equations'!$B$34)))))))</f>
        <v>NA</v>
      </c>
      <c r="I10" s="166" t="str">
        <f>IF('Chemical Info'!H11="NA","NA",IF('Chemical Info'!E11="Yes",0,IF('Chemical Info'!D11="Yes",'Chemical Info'!H11/'Chemical Info'!AF11*('Res-Rec Equations'!$B$21*'Chemical Info'!AB11*'Res-Rec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Info'!H11/'Chemical Info'!AF11*('Res-Rec Equations'!$B$21*'Chemical Info'!AB11*'Res-Rec Equations'!$B$23)*((('Res-Rec Equations'!$B$26*'Res-Rec Equations'!$B$37*'Res-Rec Equations'!$B$40)/'Res-Rec Equations'!$B$32)+(('Res-Rec Equations'!$B$27*'Res-Rec Equations'!$B$38*'Res-Rec Equations'!$B$41)/'Res-Rec Equations'!$B$33)+(('Res-Rec Equations'!$B$28*'Res-Rec Equations'!$B$39*'Res-Rec Equations'!$B$42)/'Res-Rec Equations'!$B$34)))))</f>
        <v>NA</v>
      </c>
      <c r="J10" s="369">
        <f>IF('Chemical Info'!J11="NA","NA",IF(AND(E10="NA",'Chemical Info'!D11="Yes"),'Res-Rec Equations'!$B$22*1000*(('Res-Rec Equations'!$B$26*'Chemical Info'!J11*'Res-Rec Equations'!$B$59)+('Res-Rec Equations'!$B$27*'Chemical Info'!J11*'Res-Rec Equations'!$B$60)+('Res-Rec Equations'!$B$28*'Chemical Info'!J11*'Res-Rec Equations'!$B$61))*'Res-Rec Calculations'!C10,IF(AND(E10="NA",'Chemical Info'!D11=""),'Res-Rec Equations'!$B$22*1000*'Res-Rec Equations'!$B$25*'Chemical Info'!J11*'Res-Rec Calculations'!C10,IF(AND('Chemical Info'!E11="Yes",'Chemical Info'!D11="Yes"),'Res-Rec Equations'!$B$22*1000*(('Res-Rec Equations'!$B$26*'Chemical Info'!J11*'Res-Rec Equations'!$B$59)+('Res-Rec Equations'!$B$27*'Chemical Info'!J11*'Res-Rec Equations'!$B$60)+('Res-Rec Equations'!$B$28*'Chemical Info'!J11*'Res-Rec Equations'!$B$61))*'Res-Rec Calculations'!E10,IF(AND('Chemical Info'!E11="Yes",'Chemical Info'!D11=""),'Res-Rec Equations'!$B$22*1000*'Res-Rec Equations'!$B$25*'Chemical Info'!J11*'Res-Rec Calculations'!E10,IF('Chemical Info'!D11="Yes",'Res-Rec Equations'!$B$22*1000*(('Res-Rec Equations'!$B$26*'Chemical Info'!J11*'Res-Rec Equations'!$B$59)+('Res-Rec Equations'!$B$27*'Chemical Info'!J11*'Res-Rec Equations'!$B$60)+('Res-Rec Equations'!$B$28*'Chemical Info'!J11*'Res-Rec Equations'!$B$61))*('Res-Rec Calculations'!C10+'Res-Rec Calculations'!E10),IF('Chemical Info'!D11="",'Res-Rec Equations'!$B$22*1000*'Res-Rec Equations'!$B$25*'Chemical Info'!J11*('Res-Rec Calculations'!C10+'Res-Rec Calculations'!E10))))))))</f>
        <v>8.6074186654356877E-6</v>
      </c>
      <c r="K10" s="370">
        <f>IF('Chemical Info'!J11="NA","NA",IF(AND(F10="NA",'Chemical Info'!D11="Yes"),'Res-Rec Equations'!$B$22*1000*(('Res-Rec Equations'!$B$26*'Chemical Info'!J11*'Res-Rec Equations'!$B$59)+('Res-Rec Equations'!$B$27*'Chemical Info'!J11*'Res-Rec Equations'!$B$60)+('Res-Rec Equations'!$B$28*'Chemical Info'!J11*'Res-Rec Equations'!$B$61))*'Res-Rec Calculations'!C10,IF(AND(F10="NA",'Chemical Info'!D11=""),'Res-Rec Equations'!$B$22*1000*'Res-Rec Equations'!$B$25*'Chemical Info'!J11*'Res-Rec Calculations'!C10,IF(AND('Chemical Info'!F11="Yes",'Chemical Info'!D11="Yes"),'Res-Rec Equations'!$B$22*1000*(('Res-Rec Equations'!$B$26*'Chemical Info'!J11*'Res-Rec Equations'!$B$59)+('Res-Rec Equations'!$B$27*'Chemical Info'!J11*'Res-Rec Equations'!$B$60)+('Res-Rec Equations'!$B$28*'Chemical Info'!J11*'Res-Rec Equations'!$B$61))*'Res-Rec Calculations'!F10,IF(AND('Chemical Info'!F11="Yes",'Chemical Info'!D11=""),'Res-Rec Equations'!$B$22*1000*'Res-Rec Equations'!$B$25*'Chemical Info'!J11*'Res-Rec Calculations'!F10,IF('Chemical Info'!D11="Yes",'Res-Rec Equations'!$B$22*1000*(('Res-Rec Equations'!$B$26*'Chemical Info'!J11*'Res-Rec Equations'!$B$59)+('Res-Rec Equations'!$B$27*'Chemical Info'!J11*'Res-Rec Equations'!$B$60)+('Res-Rec Equations'!$B$28*'Chemical Info'!J11*'Res-Rec Equations'!$B$61))*('Res-Rec Calculations'!C10+'Res-Rec Calculations'!F10),IF('Chemical Info'!D11="",'Res-Rec Equations'!$B$22*1000*'Res-Rec Equations'!$B$25*'Chemical Info'!J11*('Res-Rec Calculations'!C10+'Res-Rec Calculations'!F10))))))))</f>
        <v>8.6074186654356877E-6</v>
      </c>
      <c r="L10" s="167">
        <f>IF(AND(H10="NA",I10="NA",J10="NA"),"NA",IF(H10="NA",'Res-Rec Equations'!$B$15*'Res-Rec Equations'!$B$16/J10,IF(J10="NA",'Res-Rec Equations'!$B$15*'Res-Rec Equations'!$B$16/(H10+I10),'Res-Rec Equations'!$B$15*'Res-Rec Equations'!$B$16/(H10+I10+J10))))</f>
        <v>29683.696115072984</v>
      </c>
      <c r="M10" s="167">
        <f>IF(AND(H10="NA",I10="NA",K10="NA"),"NA",IF(H10="NA",'Res-Rec Equations'!$B$15*'Res-Rec Equations'!$B$16/K10,IF(K10="NA",'Res-Rec Equations'!$B$15*'Res-Rec Equations'!$B$16/(H10+I10),'Res-Rec Equations'!$B$15*'Res-Rec Equations'!$B$16/(H10+I10+K10))))</f>
        <v>29683.696115072984</v>
      </c>
      <c r="N10" s="167">
        <f t="shared" si="0"/>
        <v>29683.696115072984</v>
      </c>
      <c r="O10" s="371">
        <f>IF('Chemical Info'!L11="NA","NA",IF('Chemical Info'!E11="Yes",(('Res-Rec Equations'!$B$76*'Chemical Info'!AD11*'Res-Rec Equations'!$B$78*'Res-Rec Equations'!$B$79*'Res-Rec Equations'!$B$81)/('Res-Rec Equations'!$B$84*'Res-Rec Equations'!$B$85))/'Chemical Info'!L11,(('Res-Rec Equations'!$B$76*'Chemical Info'!AD11*'Res-Rec Equations'!$B$78*'Res-Rec Equations'!$B$79*'Res-Rec Equations'!$B$80)/('Res-Rec Equations'!$B$84*'Res-Rec Equations'!$B$85))/'Chemical Info'!L11))</f>
        <v>0.116230801162308</v>
      </c>
      <c r="P10" s="166">
        <f>IF('Chemical Info'!L11="NA","NA", IF('Chemical Info'!E11="Yes",0,((('Res-Rec Equations'!$B$87*'Res-Rec Equations'!$B$88*'Res-Rec Equations'!$B$78*'Res-Rec Equations'!$B$82*'Res-Rec Equations'!$B$79*'Chemical Info'!AB11)/('Res-Rec Equations'!$B$84*'Res-Rec Equations'!$B$85))/('Chemical Info'!L11*'Chemical Info'!AF11))))</f>
        <v>7.8804483188044828E-3</v>
      </c>
      <c r="Q10" s="166">
        <f>IF('Chemical Info'!N11="NA","NA",IF('Res-Rec Calculations'!E10="NA",(('Res-Rec Equations'!$B$83*'Res-Rec Equations'!$B$79*'Res-Rec Calculations'!C10)/('Res-Rec Equations'!$B$85))/('Chemical Info'!N11),IF('Chemical Info'!E11="Yes",(('Res-Rec Equations'!$B$83*'Res-Rec Equations'!$B$79*'Res-Rec Calculations'!E10)/('Res-Rec Equations'!$B$85))/('Chemical Info'!N11),(('Res-Rec Equations'!$B$83*'Res-Rec Equations'!$B$79*('Res-Rec Calculations'!C10+'Res-Rec Calculations'!E10))/('Res-Rec Equations'!$B$85))/('Chemical Info'!N11))))</f>
        <v>5.0388822535040905E-5</v>
      </c>
      <c r="R10" s="166">
        <f>IF('Chemical Info'!N11="NA","NA",IF('Res-Rec Calculations'!F10="NA",(('Res-Rec Equations'!$B$83*'Res-Rec Equations'!$B$79*'Res-Rec Calculations'!C10)/('Res-Rec Equations'!$B$85))/('Chemical Info'!N11),IF('Chemical Info'!E11="Yes",(('Res-Rec Equations'!$B$83*'Res-Rec Equations'!$B$79*'Res-Rec Calculations'!F10)/('Res-Rec Equations'!$B$85))/('Chemical Info'!N11),(('Res-Rec Equations'!$B$83*'Res-Rec Equations'!$B$79*('Res-Rec Calculations'!C10+'Res-Rec Calculations'!F10))/('Res-Rec Equations'!$B$85))/('Chemical Info'!N11))))</f>
        <v>5.0388822535040905E-5</v>
      </c>
      <c r="S10" s="167">
        <f>IF(AND(O10="NA",P10="NA",Q10="NA"),"NA",IF(O10="NA",'Res-Rec Equations'!$B$75/Q10,IF(Q10="NA",'Res-Rec Equations'!$B$75/(O10+P10),'Res-Rec Equations'!$B$75/(O10+P10+Q10))))</f>
        <v>1.6108034875545338</v>
      </c>
      <c r="T10" s="167">
        <f>IF(AND(O10="NA",P10="NA",R10="NA"),"NA",IF(O10="NA",'Res-Rec Equations'!$B$75/R10,IF(R10="NA",'Res-Rec Equations'!$B$75/(O10+P10),'Res-Rec Equations'!$B$75/(O10+P10+R10))))</f>
        <v>1.6108034875545338</v>
      </c>
      <c r="U10" s="168">
        <f t="shared" si="1"/>
        <v>1.6108034875545338</v>
      </c>
      <c r="V10" s="167">
        <f>IF('Chemical Info'!P11="NA","NA",(('Res-Rec Equations'!$B$185*'Res-Rec Equations'!$B$186)/('Res-Rec Equations'!$B$187*'Res-Rec Equations'!$B$188*(1/'Chemical Info'!P11))))</f>
        <v>9.1</v>
      </c>
      <c r="W10" s="379">
        <f t="shared" si="2"/>
        <v>9.1</v>
      </c>
      <c r="X10" s="372">
        <f t="shared" si="3"/>
        <v>1.6108034875545338</v>
      </c>
      <c r="Y10" s="62">
        <f t="shared" si="4"/>
        <v>1.6</v>
      </c>
      <c r="Z10" s="100" t="str">
        <f t="shared" si="5"/>
        <v>Noncancer</v>
      </c>
      <c r="AA10" s="373"/>
    </row>
    <row r="11" spans="1:28">
      <c r="A11" s="413" t="s">
        <v>83</v>
      </c>
      <c r="B11" s="566" t="s">
        <v>84</v>
      </c>
      <c r="C11" s="367">
        <f>1/(('Res-Rec Equations'!$B$152*3600)/((0.036*(1-'Res-Rec Equations'!$B$153))*('Res-Rec Equations'!$B$154/'Res-Rec Equations'!$B$155)^3*'Res-Rec Equations'!$B$156))</f>
        <v>7.3567680901159717E-10</v>
      </c>
      <c r="D11" s="368">
        <f>(('Res-Rec Equations'!$B$132^(10/3)*'Chemical Info'!$AH12*'Chemical Info'!$AN12*41+'Res-Rec Equations'!$B$135^(10/3)*'Chemical Info'!$AJ12)/'Res-Rec Equations'!$B$137^2)/('Res-Rec Equations'!$B$139*'Chemical Info'!$AL12*'Res-Rec Equations'!$B$142+'Res-Rec Equations'!$B$135+'Res-Rec Equations'!$B$132*'Chemical Info'!$AN12*41)</f>
        <v>0</v>
      </c>
      <c r="E11" s="368" t="str">
        <f>IF(D11=0,"NA",1/(('Res-Rec Equations'!$B$103*(3.14*'Res-Rec Calculations'!$D11*'Res-Rec Equations'!$B$105)^(1/2)*0.0001)/(2*'Res-Rec Equations'!$B$106*'Res-Rec Calculations'!$D11)))</f>
        <v>NA</v>
      </c>
      <c r="F11" s="368" t="str">
        <f>IF(D11=0,"NA",(1/('Res-Rec Equations'!$B$117*('Res-Rec Equations'!$B$118*(31500000))/('Res-Rec Equations'!$B$119*'Res-Rec Equations'!$B$120*1000000))))</f>
        <v>NA</v>
      </c>
      <c r="G11" s="167" t="str">
        <f>IF('Chemical Info'!E12="Yes",('Chemical Info'!AP12/'Res-Rec Equations'!$B$168)*((('Chemical Info'!AL12*'Res-Rec Equations'!$B$170)*'Res-Rec Equations'!$B$168)+'Res-Rec Equations'!$B$171+('Chemical Info'!AN12*41)*'Res-Rec Equations'!$B$173),"NA")</f>
        <v>NA</v>
      </c>
      <c r="H11" s="112" t="str">
        <f>IF('Chemical Info'!H12="NA","NA",IF(AND('Chemical Info'!E12="Yes",'Chemical Info'!D12="Yes"),'Chemical Info'!H12*'Chemical Info'!AD12*'Res-Rec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Info'!E12="Yes",'Chemical Info'!D12=""),'Chemical Info'!H12*'Chemical Info'!AD12*'Res-Rec Equations'!$B$20*'Res-Rec Equations'!$B$23*((('Res-Rec Equations'!$B$26*'Res-Rec Equations'!$B$29)/'Res-Rec Equations'!$B$32)+(('Res-Rec Equations'!$B$27*'Res-Rec Equations'!$B$30)/'Res-Rec Equations'!$B$33)+(('Res-Rec Equations'!$B$28*'Res-Rec Equations'!$B$31)/'Res-Rec Equations'!$B$34)),IF(AND('Chemical Info'!E12="No",'Chemical Info'!D12="Yes"),'Chemical Info'!H12*'Chemical Info'!AD12*'Res-Rec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Info'!E12="No",'Chemical Info'!D12=""),'Chemical Info'!H12*'Chemical Info'!AD12*'Res-Rec Equations'!$B$19*'Res-Rec Equations'!$B$23*((('Res-Rec Equations'!$B$26*'Res-Rec Equations'!$B$29)/'Res-Rec Equations'!$B$32)+(('Res-Rec Equations'!$B$27*'Res-Rec Equations'!$B$30)/'Res-Rec Equations'!$B$33)+(('Res-Rec Equations'!$B$28*'Res-Rec Equations'!$B$31)/'Res-Rec Equations'!$B$34)))))))</f>
        <v>NA</v>
      </c>
      <c r="I11" s="166" t="str">
        <f>IF('Chemical Info'!H12="NA","NA",IF('Chemical Info'!E12="Yes",0,IF('Chemical Info'!D12="Yes",'Chemical Info'!H12/'Chemical Info'!AF12*('Res-Rec Equations'!$B$21*'Chemical Info'!AB12*'Res-Rec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Info'!H12/'Chemical Info'!AF12*('Res-Rec Equations'!$B$21*'Chemical Info'!AB12*'Res-Rec Equations'!$B$23)*((('Res-Rec Equations'!$B$26*'Res-Rec Equations'!$B$37*'Res-Rec Equations'!$B$40)/'Res-Rec Equations'!$B$32)+(('Res-Rec Equations'!$B$27*'Res-Rec Equations'!$B$38*'Res-Rec Equations'!$B$41)/'Res-Rec Equations'!$B$33)+(('Res-Rec Equations'!$B$28*'Res-Rec Equations'!$B$39*'Res-Rec Equations'!$B$42)/'Res-Rec Equations'!$B$34)))))</f>
        <v>NA</v>
      </c>
      <c r="J11" s="369" t="str">
        <f>IF('Chemical Info'!J12="NA","NA",IF(AND(E11="NA",'Chemical Info'!D12="Yes"),'Res-Rec Equations'!$B$22*1000*(('Res-Rec Equations'!$B$26*'Chemical Info'!J12*'Res-Rec Equations'!$B$59)+('Res-Rec Equations'!$B$27*'Chemical Info'!J12*'Res-Rec Equations'!$B$60)+('Res-Rec Equations'!$B$28*'Chemical Info'!J12*'Res-Rec Equations'!$B$61))*'Res-Rec Calculations'!C11,IF(AND(E11="NA",'Chemical Info'!D12=""),'Res-Rec Equations'!$B$22*1000*'Res-Rec Equations'!$B$25*'Chemical Info'!J12*'Res-Rec Calculations'!C11,IF(AND('Chemical Info'!E12="Yes",'Chemical Info'!D12="Yes"),'Res-Rec Equations'!$B$22*1000*(('Res-Rec Equations'!$B$26*'Chemical Info'!J12*'Res-Rec Equations'!$B$59)+('Res-Rec Equations'!$B$27*'Chemical Info'!J12*'Res-Rec Equations'!$B$60)+('Res-Rec Equations'!$B$28*'Chemical Info'!J12*'Res-Rec Equations'!$B$61))*'Res-Rec Calculations'!E11,IF(AND('Chemical Info'!E12="Yes",'Chemical Info'!D12=""),'Res-Rec Equations'!$B$22*1000*'Res-Rec Equations'!$B$25*'Chemical Info'!J12*'Res-Rec Calculations'!E11,IF('Chemical Info'!D12="Yes",'Res-Rec Equations'!$B$22*1000*(('Res-Rec Equations'!$B$26*'Chemical Info'!J12*'Res-Rec Equations'!$B$59)+('Res-Rec Equations'!$B$27*'Chemical Info'!J12*'Res-Rec Equations'!$B$60)+('Res-Rec Equations'!$B$28*'Chemical Info'!J12*'Res-Rec Equations'!$B$61))*('Res-Rec Calculations'!C11+'Res-Rec Calculations'!E11),IF('Chemical Info'!D12="",'Res-Rec Equations'!$B$22*1000*'Res-Rec Equations'!$B$25*'Chemical Info'!J12*('Res-Rec Calculations'!C11+'Res-Rec Calculations'!E11))))))))</f>
        <v>NA</v>
      </c>
      <c r="K11" s="370" t="str">
        <f>IF('Chemical Info'!J12="NA","NA",IF(AND(F11="NA",'Chemical Info'!D12="Yes"),'Res-Rec Equations'!$B$22*1000*(('Res-Rec Equations'!$B$26*'Chemical Info'!J12*'Res-Rec Equations'!$B$59)+('Res-Rec Equations'!$B$27*'Chemical Info'!J12*'Res-Rec Equations'!$B$60)+('Res-Rec Equations'!$B$28*'Chemical Info'!J12*'Res-Rec Equations'!$B$61))*'Res-Rec Calculations'!C11,IF(AND(F11="NA",'Chemical Info'!D12=""),'Res-Rec Equations'!$B$22*1000*'Res-Rec Equations'!$B$25*'Chemical Info'!J12*'Res-Rec Calculations'!C11,IF(AND('Chemical Info'!F12="Yes",'Chemical Info'!D12="Yes"),'Res-Rec Equations'!$B$22*1000*(('Res-Rec Equations'!$B$26*'Chemical Info'!J12*'Res-Rec Equations'!$B$59)+('Res-Rec Equations'!$B$27*'Chemical Info'!J12*'Res-Rec Equations'!$B$60)+('Res-Rec Equations'!$B$28*'Chemical Info'!J12*'Res-Rec Equations'!$B$61))*'Res-Rec Calculations'!F11,IF(AND('Chemical Info'!F12="Yes",'Chemical Info'!D12=""),'Res-Rec Equations'!$B$22*1000*'Res-Rec Equations'!$B$25*'Chemical Info'!J12*'Res-Rec Calculations'!F11,IF('Chemical Info'!D12="Yes",'Res-Rec Equations'!$B$22*1000*(('Res-Rec Equations'!$B$26*'Chemical Info'!J12*'Res-Rec Equations'!$B$59)+('Res-Rec Equations'!$B$27*'Chemical Info'!J12*'Res-Rec Equations'!$B$60)+('Res-Rec Equations'!$B$28*'Chemical Info'!J12*'Res-Rec Equations'!$B$61))*('Res-Rec Calculations'!C11+'Res-Rec Calculations'!F11),IF('Chemical Info'!D12="",'Res-Rec Equations'!$B$22*1000*'Res-Rec Equations'!$B$25*'Chemical Info'!J12*('Res-Rec Calculations'!C11+'Res-Rec Calculations'!F11))))))))</f>
        <v>NA</v>
      </c>
      <c r="L11" s="167" t="str">
        <f>IF(AND(H11="NA",I11="NA",J11="NA"),"NA",IF(H11="NA",'Res-Rec Equations'!$B$15*'Res-Rec Equations'!$B$16/J11,IF(J11="NA",'Res-Rec Equations'!$B$15*'Res-Rec Equations'!$B$16/(H11+I11),'Res-Rec Equations'!$B$15*'Res-Rec Equations'!$B$16/(H11+I11+J11))))</f>
        <v>NA</v>
      </c>
      <c r="M11" s="167" t="str">
        <f>IF(AND(H11="NA",I11="NA",K11="NA"),"NA",IF(H11="NA",'Res-Rec Equations'!$B$15*'Res-Rec Equations'!$B$16/K11,IF(K11="NA",'Res-Rec Equations'!$B$15*'Res-Rec Equations'!$B$16/(H11+I11),'Res-Rec Equations'!$B$15*'Res-Rec Equations'!$B$16/(H11+I11+K11))))</f>
        <v>NA</v>
      </c>
      <c r="N11" s="167" t="str">
        <f t="shared" si="0"/>
        <v>NA</v>
      </c>
      <c r="O11" s="371">
        <f>IF('Chemical Info'!L12="NA","NA",IF('Chemical Info'!E12="Yes",(('Res-Rec Equations'!$B$76*'Chemical Info'!AD12*'Res-Rec Equations'!$B$78*'Res-Rec Equations'!$B$79*'Res-Rec Equations'!$B$81)/('Res-Rec Equations'!$B$84*'Res-Rec Equations'!$B$85))/'Chemical Info'!L12,(('Res-Rec Equations'!$B$76*'Chemical Info'!AD12*'Res-Rec Equations'!$B$78*'Res-Rec Equations'!$B$79*'Res-Rec Equations'!$B$80)/('Res-Rec Equations'!$B$84*'Res-Rec Equations'!$B$85))/'Chemical Info'!L12))</f>
        <v>8.5235920852359198E-6</v>
      </c>
      <c r="P11" s="166">
        <f>IF('Chemical Info'!L12="NA","NA", IF('Chemical Info'!E12="Yes",0,((('Res-Rec Equations'!$B$87*'Res-Rec Equations'!$B$88*'Res-Rec Equations'!$B$78*'Res-Rec Equations'!$B$82*'Res-Rec Equations'!$B$79*'Chemical Info'!AB12)/('Res-Rec Equations'!$B$84*'Res-Rec Equations'!$B$85))/('Chemical Info'!L12*'Chemical Info'!AF12))))</f>
        <v>0</v>
      </c>
      <c r="Q11" s="166" t="str">
        <f>IF('Chemical Info'!N12="NA","NA",IF('Res-Rec Calculations'!E11="NA",(('Res-Rec Equations'!$B$83*'Res-Rec Equations'!$B$79*'Res-Rec Calculations'!C11)/('Res-Rec Equations'!$B$85))/('Chemical Info'!N12),IF('Chemical Info'!E12="Yes",(('Res-Rec Equations'!$B$83*'Res-Rec Equations'!$B$79*'Res-Rec Calculations'!E11)/('Res-Rec Equations'!$B$85))/('Chemical Info'!N12),(('Res-Rec Equations'!$B$83*'Res-Rec Equations'!$B$79*('Res-Rec Calculations'!C11+'Res-Rec Calculations'!E11))/('Res-Rec Equations'!$B$85))/('Chemical Info'!N12))))</f>
        <v>NA</v>
      </c>
      <c r="R11" s="166" t="str">
        <f>IF('Chemical Info'!N12="NA","NA",IF('Res-Rec Calculations'!F11="NA",(('Res-Rec Equations'!$B$83*'Res-Rec Equations'!$B$79*'Res-Rec Calculations'!C11)/('Res-Rec Equations'!$B$85))/('Chemical Info'!N12),IF('Chemical Info'!E12="Yes",(('Res-Rec Equations'!$B$83*'Res-Rec Equations'!$B$79*'Res-Rec Calculations'!F11)/('Res-Rec Equations'!$B$85))/('Chemical Info'!N12),(('Res-Rec Equations'!$B$83*'Res-Rec Equations'!$B$79*('Res-Rec Calculations'!C11+'Res-Rec Calculations'!F11))/('Res-Rec Equations'!$B$85))/('Chemical Info'!N12))))</f>
        <v>NA</v>
      </c>
      <c r="S11" s="167">
        <f>IF(AND(O11="NA",P11="NA",Q11="NA"),"NA",IF(O11="NA",'Res-Rec Equations'!$B$75/Q11,IF(Q11="NA",'Res-Rec Equations'!$B$75/(O11+P11),'Res-Rec Equations'!$B$75/(O11+P11+Q11))))</f>
        <v>23464.285714285717</v>
      </c>
      <c r="T11" s="167">
        <f>IF(AND(O11="NA",P11="NA",R11="NA"),"NA",IF(O11="NA",'Res-Rec Equations'!$B$75/R11,IF(R11="NA",'Res-Rec Equations'!$B$75/(O11+P11),'Res-Rec Equations'!$B$75/(O11+P11+R11))))</f>
        <v>23464.285714285717</v>
      </c>
      <c r="U11" s="168">
        <f t="shared" si="1"/>
        <v>23464.285714285717</v>
      </c>
      <c r="V11" s="167" t="str">
        <f>IF('Chemical Info'!P12="NA","NA",(('Res-Rec Equations'!$B$185*'Res-Rec Equations'!$B$186)/('Res-Rec Equations'!$B$187*'Res-Rec Equations'!$B$188*(1/'Chemical Info'!P12))))</f>
        <v>NA</v>
      </c>
      <c r="W11" s="379" t="str">
        <f t="shared" si="2"/>
        <v>NA</v>
      </c>
      <c r="X11" s="372">
        <f t="shared" si="3"/>
        <v>23464.285714285717</v>
      </c>
      <c r="Y11" s="62">
        <f t="shared" si="4"/>
        <v>23000</v>
      </c>
      <c r="Z11" s="100" t="str">
        <f t="shared" si="5"/>
        <v>Noncancer</v>
      </c>
      <c r="AA11" s="373"/>
    </row>
    <row r="12" spans="1:28">
      <c r="A12" s="413" t="s">
        <v>71</v>
      </c>
      <c r="B12" s="566" t="s">
        <v>72</v>
      </c>
      <c r="C12" s="367">
        <f>1/(('Res-Rec Equations'!$B$152*3600)/((0.036*(1-'Res-Rec Equations'!$B$153))*('Res-Rec Equations'!$B$154/'Res-Rec Equations'!$B$155)^3*'Res-Rec Equations'!$B$156))</f>
        <v>7.3567680901159717E-10</v>
      </c>
      <c r="D12" s="368">
        <f>(('Res-Rec Equations'!$B$132^(10/3)*'Chemical Info'!$AH13*'Chemical Info'!$AN13*41+'Res-Rec Equations'!$B$135^(10/3)*'Chemical Info'!$AJ13)/'Res-Rec Equations'!$B$137^2)/('Res-Rec Equations'!$B$139*'Chemical Info'!$AL13*'Res-Rec Equations'!$B$142+'Res-Rec Equations'!$B$135+'Res-Rec Equations'!$B$132*'Chemical Info'!$AN13*41)</f>
        <v>0</v>
      </c>
      <c r="E12" s="368" t="str">
        <f>IF(D12=0,"NA",1/(('Res-Rec Equations'!$B$103*(3.14*'Res-Rec Calculations'!$D12*'Res-Rec Equations'!$B$105)^(1/2)*0.0001)/(2*'Res-Rec Equations'!$B$106*'Res-Rec Calculations'!$D12)))</f>
        <v>NA</v>
      </c>
      <c r="F12" s="368" t="str">
        <f>IF(D12=0,"NA",(1/('Res-Rec Equations'!$B$117*('Res-Rec Equations'!$B$118*(31500000))/('Res-Rec Equations'!$B$119*'Res-Rec Equations'!$B$120*1000000))))</f>
        <v>NA</v>
      </c>
      <c r="G12" s="167" t="str">
        <f>IF('Chemical Info'!E13="Yes",('Chemical Info'!AP13/'Res-Rec Equations'!$B$168)*((('Chemical Info'!AL13*'Res-Rec Equations'!$B$170)*'Res-Rec Equations'!$B$168)+'Res-Rec Equations'!$B$171+('Chemical Info'!AN13*41)*'Res-Rec Equations'!$B$173),"NA")</f>
        <v>NA</v>
      </c>
      <c r="H12" s="112">
        <f>IF('Chemical Info'!H13="NA","NA",IF(AND('Chemical Info'!E13="Yes",'Chemical Info'!D13="Yes"),'Chemical Info'!H13*'Chemical Info'!AD13*'Res-Rec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Info'!E13="Yes",'Chemical Info'!D13=""),'Chemical Info'!H13*'Chemical Info'!AD13*'Res-Rec Equations'!$B$20*'Res-Rec Equations'!$B$23*((('Res-Rec Equations'!$B$26*'Res-Rec Equations'!$B$29)/'Res-Rec Equations'!$B$32)+(('Res-Rec Equations'!$B$27*'Res-Rec Equations'!$B$30)/'Res-Rec Equations'!$B$33)+(('Res-Rec Equations'!$B$28*'Res-Rec Equations'!$B$31)/'Res-Rec Equations'!$B$34)),IF(AND('Chemical Info'!E13="No",'Chemical Info'!D13="Yes"),'Chemical Info'!H13*'Chemical Info'!AD13*'Res-Rec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Info'!E13="No",'Chemical Info'!D13=""),'Chemical Info'!H13*'Chemical Info'!AD13*'Res-Rec Equations'!$B$19*'Res-Rec Equations'!$B$23*((('Res-Rec Equations'!$B$26*'Res-Rec Equations'!$B$29)/'Res-Rec Equations'!$B$32)+(('Res-Rec Equations'!$B$27*'Res-Rec Equations'!$B$30)/'Res-Rec Equations'!$B$33)+(('Res-Rec Equations'!$B$28*'Res-Rec Equations'!$B$31)/'Res-Rec Equations'!$B$34)))))))</f>
        <v>3.5850355618776676E-2</v>
      </c>
      <c r="I12" s="166">
        <f>IF('Chemical Info'!H13="NA","NA",IF('Chemical Info'!E13="Yes",0,IF('Chemical Info'!D13="Yes",'Chemical Info'!H13/'Chemical Info'!AF13*('Res-Rec Equations'!$B$21*'Chemical Info'!AB13*'Res-Rec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Info'!H13/'Chemical Info'!AF13*('Res-Rec Equations'!$B$21*'Chemical Info'!AB13*'Res-Rec Equations'!$B$23)*((('Res-Rec Equations'!$B$26*'Res-Rec Equations'!$B$37*'Res-Rec Equations'!$B$40)/'Res-Rec Equations'!$B$32)+(('Res-Rec Equations'!$B$27*'Res-Rec Equations'!$B$38*'Res-Rec Equations'!$B$41)/'Res-Rec Equations'!$B$33)+(('Res-Rec Equations'!$B$28*'Res-Rec Equations'!$B$39*'Res-Rec Equations'!$B$42)/'Res-Rec Equations'!$B$34)))))</f>
        <v>0</v>
      </c>
      <c r="J12" s="369">
        <f>IF('Chemical Info'!J13="NA","NA",IF(AND(E12="NA",'Chemical Info'!D13="Yes"),'Res-Rec Equations'!$B$22*1000*(('Res-Rec Equations'!$B$26*'Chemical Info'!J13*'Res-Rec Equations'!$B$59)+('Res-Rec Equations'!$B$27*'Chemical Info'!J13*'Res-Rec Equations'!$B$60)+('Res-Rec Equations'!$B$28*'Chemical Info'!J13*'Res-Rec Equations'!$B$61))*'Res-Rec Calculations'!C12,IF(AND(E12="NA",'Chemical Info'!D13=""),'Res-Rec Equations'!$B$22*1000*'Res-Rec Equations'!$B$25*'Chemical Info'!J13*'Res-Rec Calculations'!C12,IF(AND('Chemical Info'!E13="Yes",'Chemical Info'!D13="Yes"),'Res-Rec Equations'!$B$22*1000*(('Res-Rec Equations'!$B$26*'Chemical Info'!J13*'Res-Rec Equations'!$B$59)+('Res-Rec Equations'!$B$27*'Chemical Info'!J13*'Res-Rec Equations'!$B$60)+('Res-Rec Equations'!$B$28*'Chemical Info'!J13*'Res-Rec Equations'!$B$61))*'Res-Rec Calculations'!E12,IF(AND('Chemical Info'!E13="Yes",'Chemical Info'!D13=""),'Res-Rec Equations'!$B$22*1000*'Res-Rec Equations'!$B$25*'Chemical Info'!J13*'Res-Rec Calculations'!E12,IF('Chemical Info'!D13="Yes",'Res-Rec Equations'!$B$22*1000*(('Res-Rec Equations'!$B$26*'Chemical Info'!J13*'Res-Rec Equations'!$B$59)+('Res-Rec Equations'!$B$27*'Chemical Info'!J13*'Res-Rec Equations'!$B$60)+('Res-Rec Equations'!$B$28*'Chemical Info'!J13*'Res-Rec Equations'!$B$61))*('Res-Rec Calculations'!C12+'Res-Rec Calculations'!E12),IF('Chemical Info'!D13="",'Res-Rec Equations'!$B$22*1000*'Res-Rec Equations'!$B$25*'Chemical Info'!J13*('Res-Rec Calculations'!C12+'Res-Rec Calculations'!E12))))))))</f>
        <v>1.4566400818429622E-4</v>
      </c>
      <c r="K12" s="370">
        <f>IF('Chemical Info'!J13="NA","NA",IF(AND(F12="NA",'Chemical Info'!D13="Yes"),'Res-Rec Equations'!$B$22*1000*(('Res-Rec Equations'!$B$26*'Chemical Info'!J13*'Res-Rec Equations'!$B$59)+('Res-Rec Equations'!$B$27*'Chemical Info'!J13*'Res-Rec Equations'!$B$60)+('Res-Rec Equations'!$B$28*'Chemical Info'!J13*'Res-Rec Equations'!$B$61))*'Res-Rec Calculations'!C12,IF(AND(F12="NA",'Chemical Info'!D13=""),'Res-Rec Equations'!$B$22*1000*'Res-Rec Equations'!$B$25*'Chemical Info'!J13*'Res-Rec Calculations'!C12,IF(AND('Chemical Info'!F13="Yes",'Chemical Info'!D13="Yes"),'Res-Rec Equations'!$B$22*1000*(('Res-Rec Equations'!$B$26*'Chemical Info'!J13*'Res-Rec Equations'!$B$59)+('Res-Rec Equations'!$B$27*'Chemical Info'!J13*'Res-Rec Equations'!$B$60)+('Res-Rec Equations'!$B$28*'Chemical Info'!J13*'Res-Rec Equations'!$B$61))*'Res-Rec Calculations'!F12,IF(AND('Chemical Info'!F13="Yes",'Chemical Info'!D13=""),'Res-Rec Equations'!$B$22*1000*'Res-Rec Equations'!$B$25*'Chemical Info'!J13*'Res-Rec Calculations'!F12,IF('Chemical Info'!D13="Yes",'Res-Rec Equations'!$B$22*1000*(('Res-Rec Equations'!$B$26*'Chemical Info'!J13*'Res-Rec Equations'!$B$59)+('Res-Rec Equations'!$B$27*'Chemical Info'!J13*'Res-Rec Equations'!$B$60)+('Res-Rec Equations'!$B$28*'Chemical Info'!J13*'Res-Rec Equations'!$B$61))*('Res-Rec Calculations'!C12+'Res-Rec Calculations'!F12),IF('Chemical Info'!D13="",'Res-Rec Equations'!$B$22*1000*'Res-Rec Equations'!$B$25*'Chemical Info'!J13*('Res-Rec Calculations'!C12+'Res-Rec Calculations'!F12))))))))</f>
        <v>1.4566400818429622E-4</v>
      </c>
      <c r="L12" s="167">
        <f>IF(AND(H12="NA",I12="NA",J12="NA"),"NA",IF(H12="NA",'Res-Rec Equations'!$B$15*'Res-Rec Equations'!$B$16/J12,IF(J12="NA",'Res-Rec Equations'!$B$15*'Res-Rec Equations'!$B$16/(H12+I12),'Res-Rec Equations'!$B$15*'Res-Rec Equations'!$B$16/(H12+I12+J12))))</f>
        <v>7.0980070198825764</v>
      </c>
      <c r="M12" s="167">
        <f>IF(AND(H12="NA",I12="NA",K12="NA"),"NA",IF(H12="NA",'Res-Rec Equations'!$B$15*'Res-Rec Equations'!$B$16/K12,IF(K12="NA",'Res-Rec Equations'!$B$15*'Res-Rec Equations'!$B$16/(H12+I12),'Res-Rec Equations'!$B$15*'Res-Rec Equations'!$B$16/(H12+I12+K12))))</f>
        <v>7.0980070198825764</v>
      </c>
      <c r="N12" s="167">
        <f t="shared" si="0"/>
        <v>7.0980070198825764</v>
      </c>
      <c r="O12" s="371">
        <f>IF('Chemical Info'!L13="NA","NA",IF('Chemical Info'!E13="Yes",(('Res-Rec Equations'!$B$76*'Chemical Info'!AD13*'Res-Rec Equations'!$B$78*'Res-Rec Equations'!$B$79*'Res-Rec Equations'!$B$81)/('Res-Rec Equations'!$B$84*'Res-Rec Equations'!$B$85))/'Chemical Info'!L13,(('Res-Rec Equations'!$B$76*'Chemical Info'!AD13*'Res-Rec Equations'!$B$78*'Res-Rec Equations'!$B$79*'Res-Rec Equations'!$B$80)/('Res-Rec Equations'!$B$84*'Res-Rec Equations'!$B$85))/'Chemical Info'!L13))</f>
        <v>1.4205986808726534E-2</v>
      </c>
      <c r="P12" s="166">
        <f>IF('Chemical Info'!L13="NA","NA", IF('Chemical Info'!E13="Yes",0,((('Res-Rec Equations'!$B$87*'Res-Rec Equations'!$B$88*'Res-Rec Equations'!$B$78*'Res-Rec Equations'!$B$82*'Res-Rec Equations'!$B$79*'Chemical Info'!AB13)/('Res-Rec Equations'!$B$84*'Res-Rec Equations'!$B$85))/('Chemical Info'!L13*'Chemical Info'!AF13))))</f>
        <v>0</v>
      </c>
      <c r="Q12" s="166">
        <f>IF('Chemical Info'!N13="NA","NA",IF('Res-Rec Calculations'!E12="NA",(('Res-Rec Equations'!$B$83*'Res-Rec Equations'!$B$79*'Res-Rec Calculations'!C12)/('Res-Rec Equations'!$B$85))/('Chemical Info'!N13),IF('Chemical Info'!E13="Yes",(('Res-Rec Equations'!$B$83*'Res-Rec Equations'!$B$79*'Res-Rec Calculations'!E12)/('Res-Rec Equations'!$B$85))/('Chemical Info'!N13),(('Res-Rec Equations'!$B$83*'Res-Rec Equations'!$B$79*('Res-Rec Calculations'!C12+'Res-Rec Calculations'!E12))/('Res-Rec Equations'!$B$85))/('Chemical Info'!N13))))</f>
        <v>1.6796274178346967E-5</v>
      </c>
      <c r="R12" s="166">
        <f>IF('Chemical Info'!N13="NA","NA",IF('Res-Rec Calculations'!F12="NA",(('Res-Rec Equations'!$B$83*'Res-Rec Equations'!$B$79*'Res-Rec Calculations'!C12)/('Res-Rec Equations'!$B$85))/('Chemical Info'!N13),IF('Chemical Info'!E13="Yes",(('Res-Rec Equations'!$B$83*'Res-Rec Equations'!$B$79*'Res-Rec Calculations'!F12)/('Res-Rec Equations'!$B$85))/('Chemical Info'!N13),(('Res-Rec Equations'!$B$83*'Res-Rec Equations'!$B$79*('Res-Rec Calculations'!C12+'Res-Rec Calculations'!F12))/('Res-Rec Equations'!$B$85))/('Chemical Info'!N13))))</f>
        <v>1.6796274178346967E-5</v>
      </c>
      <c r="S12" s="167">
        <f>IF(AND(O12="NA",P12="NA",Q12="NA"),"NA",IF(O12="NA",'Res-Rec Equations'!$B$75/Q12,IF(Q12="NA",'Res-Rec Equations'!$B$75/(O12+P12),'Res-Rec Equations'!$B$75/(O12+P12+Q12))))</f>
        <v>14.061945459914288</v>
      </c>
      <c r="T12" s="167">
        <f>IF(AND(O12="NA",P12="NA",R12="NA"),"NA",IF(O12="NA",'Res-Rec Equations'!$B$75/R12,IF(R12="NA",'Res-Rec Equations'!$B$75/(O12+P12),'Res-Rec Equations'!$B$75/(O12+P12+R12))))</f>
        <v>14.061945459914288</v>
      </c>
      <c r="U12" s="168">
        <f t="shared" si="1"/>
        <v>14.061945459914288</v>
      </c>
      <c r="V12" s="167" t="str">
        <f>IF('Chemical Info'!P13="NA","NA",(('Res-Rec Equations'!$B$185*'Res-Rec Equations'!$B$186)/('Res-Rec Equations'!$B$187*'Res-Rec Equations'!$B$188*(1/'Chemical Info'!P13))))</f>
        <v>NA</v>
      </c>
      <c r="W12" s="379" t="str">
        <f t="shared" si="2"/>
        <v>NA</v>
      </c>
      <c r="X12" s="372">
        <f t="shared" si="3"/>
        <v>7.0980070198825764</v>
      </c>
      <c r="Y12" s="62">
        <f t="shared" si="4"/>
        <v>7.1</v>
      </c>
      <c r="Z12" s="100" t="str">
        <f t="shared" si="5"/>
        <v>Cancer</v>
      </c>
      <c r="AA12" s="373"/>
    </row>
    <row r="13" spans="1:28">
      <c r="A13" s="412" t="s">
        <v>168</v>
      </c>
      <c r="B13" s="590" t="s">
        <v>169</v>
      </c>
      <c r="C13" s="367">
        <f>1/(('Res-Rec Equations'!$B$152*3600)/((0.036*(1-'Res-Rec Equations'!$B$153))*('Res-Rec Equations'!$B$154/'Res-Rec Equations'!$B$155)^3*'Res-Rec Equations'!$B$156))</f>
        <v>7.3567680901159717E-10</v>
      </c>
      <c r="D13" s="368">
        <f>(('Res-Rec Equations'!$B$132^(10/3)*'Chemical Info'!$AH14*'Chemical Info'!$AN14*41+'Res-Rec Equations'!$B$135^(10/3)*'Chemical Info'!$AJ14)/'Res-Rec Equations'!$B$137^2)/('Res-Rec Equations'!$B$139*'Chemical Info'!$AL14*'Res-Rec Equations'!$B$142+'Res-Rec Equations'!$B$135+'Res-Rec Equations'!$B$132*'Chemical Info'!$AN14*41)</f>
        <v>0</v>
      </c>
      <c r="E13" s="368" t="str">
        <f>IF(D13=0,"NA",1/(('Res-Rec Equations'!$B$103*(3.14*'Res-Rec Calculations'!$D13*'Res-Rec Equations'!$B$105)^(1/2)*0.0001)/(2*'Res-Rec Equations'!$B$106*'Res-Rec Calculations'!$D13)))</f>
        <v>NA</v>
      </c>
      <c r="F13" s="368" t="str">
        <f>IF(D13=0,"NA",(1/('Res-Rec Equations'!$B$117*('Res-Rec Equations'!$B$118*(31500000))/('Res-Rec Equations'!$B$119*'Res-Rec Equations'!$B$120*1000000))))</f>
        <v>NA</v>
      </c>
      <c r="G13" s="167" t="str">
        <f>IF('Chemical Info'!E14="Yes",('Chemical Info'!AP14/'Res-Rec Equations'!$B$168)*((('Chemical Info'!AL14*'Res-Rec Equations'!$B$170)*'Res-Rec Equations'!$B$168)+'Res-Rec Equations'!$B$171+('Chemical Info'!AN14*41)*'Res-Rec Equations'!$B$173),"NA")</f>
        <v>NA</v>
      </c>
      <c r="H13" s="112" t="str">
        <f>IF('Chemical Info'!H14="NA","NA",IF(AND('Chemical Info'!E14="Yes",'Chemical Info'!D14="Yes"),'Chemical Info'!H14*'Chemical Info'!AD14*'Res-Rec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Info'!E14="Yes",'Chemical Info'!D14=""),'Chemical Info'!H14*'Chemical Info'!AD14*'Res-Rec Equations'!$B$20*'Res-Rec Equations'!$B$23*((('Res-Rec Equations'!$B$26*'Res-Rec Equations'!$B$29)/'Res-Rec Equations'!$B$32)+(('Res-Rec Equations'!$B$27*'Res-Rec Equations'!$B$30)/'Res-Rec Equations'!$B$33)+(('Res-Rec Equations'!$B$28*'Res-Rec Equations'!$B$31)/'Res-Rec Equations'!$B$34)),IF(AND('Chemical Info'!E14="No",'Chemical Info'!D14="Yes"),'Chemical Info'!H14*'Chemical Info'!AD14*'Res-Rec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Info'!E14="No",'Chemical Info'!D14=""),'Chemical Info'!H14*'Chemical Info'!AD14*'Res-Rec Equations'!$B$19*'Res-Rec Equations'!$B$23*((('Res-Rec Equations'!$B$26*'Res-Rec Equations'!$B$29)/'Res-Rec Equations'!$B$32)+(('Res-Rec Equations'!$B$27*'Res-Rec Equations'!$B$30)/'Res-Rec Equations'!$B$33)+(('Res-Rec Equations'!$B$28*'Res-Rec Equations'!$B$31)/'Res-Rec Equations'!$B$34)))))))</f>
        <v>NA</v>
      </c>
      <c r="I13" s="166" t="str">
        <f>IF('Chemical Info'!H14="NA","NA",IF('Chemical Info'!E14="Yes",0,IF('Chemical Info'!D14="Yes",'Chemical Info'!H14/'Chemical Info'!AF14*('Res-Rec Equations'!$B$21*'Chemical Info'!AB14*'Res-Rec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Info'!H14/'Chemical Info'!AF14*('Res-Rec Equations'!$B$21*'Chemical Info'!AB14*'Res-Rec Equations'!$B$23)*((('Res-Rec Equations'!$B$26*'Res-Rec Equations'!$B$37*'Res-Rec Equations'!$B$40)/'Res-Rec Equations'!$B$32)+(('Res-Rec Equations'!$B$27*'Res-Rec Equations'!$B$38*'Res-Rec Equations'!$B$41)/'Res-Rec Equations'!$B$33)+(('Res-Rec Equations'!$B$28*'Res-Rec Equations'!$B$39*'Res-Rec Equations'!$B$42)/'Res-Rec Equations'!$B$34)))))</f>
        <v>NA</v>
      </c>
      <c r="J13" s="369">
        <f>IF('Chemical Info'!J14="NA","NA",IF(AND(E13="NA",'Chemical Info'!D14="Yes"),'Res-Rec Equations'!$B$22*1000*(('Res-Rec Equations'!$B$26*'Chemical Info'!J14*'Res-Rec Equations'!$B$59)+('Res-Rec Equations'!$B$27*'Chemical Info'!J14*'Res-Rec Equations'!$B$60)+('Res-Rec Equations'!$B$28*'Chemical Info'!J14*'Res-Rec Equations'!$B$61))*'Res-Rec Calculations'!C13,IF(AND(E13="NA",'Chemical Info'!D14=""),'Res-Rec Equations'!$B$22*1000*'Res-Rec Equations'!$B$25*'Chemical Info'!J14*'Res-Rec Calculations'!C13,IF(AND('Chemical Info'!E14="Yes",'Chemical Info'!D14="Yes"),'Res-Rec Equations'!$B$22*1000*(('Res-Rec Equations'!$B$26*'Chemical Info'!J14*'Res-Rec Equations'!$B$59)+('Res-Rec Equations'!$B$27*'Chemical Info'!J14*'Res-Rec Equations'!$B$60)+('Res-Rec Equations'!$B$28*'Chemical Info'!J14*'Res-Rec Equations'!$B$61))*'Res-Rec Calculations'!E13,IF(AND('Chemical Info'!E14="Yes",'Chemical Info'!D14=""),'Res-Rec Equations'!$B$22*1000*'Res-Rec Equations'!$B$25*'Chemical Info'!J14*'Res-Rec Calculations'!E13,IF('Chemical Info'!D14="Yes",'Res-Rec Equations'!$B$22*1000*(('Res-Rec Equations'!$B$26*'Chemical Info'!J14*'Res-Rec Equations'!$B$59)+('Res-Rec Equations'!$B$27*'Chemical Info'!J14*'Res-Rec Equations'!$B$60)+('Res-Rec Equations'!$B$28*'Chemical Info'!J14*'Res-Rec Equations'!$B$61))*('Res-Rec Calculations'!C13+'Res-Rec Calculations'!E13),IF('Chemical Info'!D14="",'Res-Rec Equations'!$B$22*1000*'Res-Rec Equations'!$B$25*'Chemical Info'!J14*('Res-Rec Calculations'!C13+'Res-Rec Calculations'!E13))))))))</f>
        <v>4.3037093327178432E-5</v>
      </c>
      <c r="K13" s="370">
        <f>IF('Chemical Info'!J14="NA","NA",IF(AND(F13="NA",'Chemical Info'!D14="Yes"),'Res-Rec Equations'!$B$22*1000*(('Res-Rec Equations'!$B$26*'Chemical Info'!J14*'Res-Rec Equations'!$B$59)+('Res-Rec Equations'!$B$27*'Chemical Info'!J14*'Res-Rec Equations'!$B$60)+('Res-Rec Equations'!$B$28*'Chemical Info'!J14*'Res-Rec Equations'!$B$61))*'Res-Rec Calculations'!C13,IF(AND(F13="NA",'Chemical Info'!D14=""),'Res-Rec Equations'!$B$22*1000*'Res-Rec Equations'!$B$25*'Chemical Info'!J14*'Res-Rec Calculations'!C13,IF(AND('Chemical Info'!F14="Yes",'Chemical Info'!D14="Yes"),'Res-Rec Equations'!$B$22*1000*(('Res-Rec Equations'!$B$26*'Chemical Info'!J14*'Res-Rec Equations'!$B$59)+('Res-Rec Equations'!$B$27*'Chemical Info'!J14*'Res-Rec Equations'!$B$60)+('Res-Rec Equations'!$B$28*'Chemical Info'!J14*'Res-Rec Equations'!$B$61))*'Res-Rec Calculations'!F13,IF(AND('Chemical Info'!F14="Yes",'Chemical Info'!D14=""),'Res-Rec Equations'!$B$22*1000*'Res-Rec Equations'!$B$25*'Chemical Info'!J14*'Res-Rec Calculations'!F13,IF('Chemical Info'!D14="Yes",'Res-Rec Equations'!$B$22*1000*(('Res-Rec Equations'!$B$26*'Chemical Info'!J14*'Res-Rec Equations'!$B$59)+('Res-Rec Equations'!$B$27*'Chemical Info'!J14*'Res-Rec Equations'!$B$60)+('Res-Rec Equations'!$B$28*'Chemical Info'!J14*'Res-Rec Equations'!$B$61))*('Res-Rec Calculations'!C13+'Res-Rec Calculations'!F13),IF('Chemical Info'!D14="",'Res-Rec Equations'!$B$22*1000*'Res-Rec Equations'!$B$25*'Chemical Info'!J14*('Res-Rec Calculations'!C13+'Res-Rec Calculations'!F13))))))))</f>
        <v>4.3037093327178432E-5</v>
      </c>
      <c r="L13" s="167">
        <f>IF(AND(H13="NA",I13="NA",J13="NA"),"NA",IF(H13="NA",'Res-Rec Equations'!$B$15*'Res-Rec Equations'!$B$16/J13,IF(J13="NA",'Res-Rec Equations'!$B$15*'Res-Rec Equations'!$B$16/(H13+I13),'Res-Rec Equations'!$B$15*'Res-Rec Equations'!$B$16/(H13+I13+J13))))</f>
        <v>5936.7392230145979</v>
      </c>
      <c r="M13" s="167">
        <f>IF(AND(H13="NA",I13="NA",K13="NA"),"NA",IF(H13="NA",'Res-Rec Equations'!$B$15*'Res-Rec Equations'!$B$16/K13,IF(K13="NA",'Res-Rec Equations'!$B$15*'Res-Rec Equations'!$B$16/(H13+I13),'Res-Rec Equations'!$B$15*'Res-Rec Equations'!$B$16/(H13+I13+K13))))</f>
        <v>5936.7392230145979</v>
      </c>
      <c r="N13" s="167">
        <f t="shared" si="0"/>
        <v>5936.7392230145979</v>
      </c>
      <c r="O13" s="371">
        <f>IF('Chemical Info'!L14="NA","NA",IF('Chemical Info'!E14="Yes",(('Res-Rec Equations'!$B$76*'Chemical Info'!AD14*'Res-Rec Equations'!$B$78*'Res-Rec Equations'!$B$79*'Res-Rec Equations'!$B$81)/('Res-Rec Equations'!$B$84*'Res-Rec Equations'!$B$85))/'Chemical Info'!L14,(('Res-Rec Equations'!$B$76*'Chemical Info'!AD14*'Res-Rec Equations'!$B$78*'Res-Rec Equations'!$B$79*'Res-Rec Equations'!$B$80)/('Res-Rec Equations'!$B$84*'Res-Rec Equations'!$B$85))/'Chemical Info'!L14))</f>
        <v>4.2617960426179609E-2</v>
      </c>
      <c r="P13" s="166">
        <f>IF('Chemical Info'!L14="NA","NA", IF('Chemical Info'!E14="Yes",0,((('Res-Rec Equations'!$B$87*'Res-Rec Equations'!$B$88*'Res-Rec Equations'!$B$78*'Res-Rec Equations'!$B$82*'Res-Rec Equations'!$B$79*'Chemical Info'!AB14)/('Res-Rec Equations'!$B$84*'Res-Rec Equations'!$B$85))/('Chemical Info'!L14*'Chemical Info'!AF14))))</f>
        <v>0</v>
      </c>
      <c r="Q13" s="166">
        <f>IF('Chemical Info'!N14="NA","NA",IF('Res-Rec Calculations'!E13="NA",(('Res-Rec Equations'!$B$83*'Res-Rec Equations'!$B$79*'Res-Rec Calculations'!C13)/('Res-Rec Equations'!$B$85))/('Chemical Info'!N14),IF('Chemical Info'!E14="Yes",(('Res-Rec Equations'!$B$83*'Res-Rec Equations'!$B$79*'Res-Rec Calculations'!E13)/('Res-Rec Equations'!$B$85))/('Chemical Info'!N14),(('Res-Rec Equations'!$B$83*'Res-Rec Equations'!$B$79*('Res-Rec Calculations'!C13+'Res-Rec Calculations'!E13))/('Res-Rec Equations'!$B$85))/('Chemical Info'!N14))))</f>
        <v>8.398137089173484E-5</v>
      </c>
      <c r="R13" s="166">
        <f>IF('Chemical Info'!N14="NA","NA",IF('Res-Rec Calculations'!F13="NA",(('Res-Rec Equations'!$B$83*'Res-Rec Equations'!$B$79*'Res-Rec Calculations'!C13)/('Res-Rec Equations'!$B$85))/('Chemical Info'!N14),IF('Chemical Info'!E14="Yes",(('Res-Rec Equations'!$B$83*'Res-Rec Equations'!$B$79*'Res-Rec Calculations'!F13)/('Res-Rec Equations'!$B$85))/('Chemical Info'!N14),(('Res-Rec Equations'!$B$83*'Res-Rec Equations'!$B$79*('Res-Rec Calculations'!C13+'Res-Rec Calculations'!F13))/('Res-Rec Equations'!$B$85))/('Chemical Info'!N14))))</f>
        <v>8.398137089173484E-5</v>
      </c>
      <c r="S13" s="167">
        <f>IF(AND(O13="NA",P13="NA",Q13="NA"),"NA",IF(O13="NA",'Res-Rec Equations'!$B$75/Q13,IF(Q13="NA",'Res-Rec Equations'!$B$75/(O13+P13),'Res-Rec Equations'!$B$75/(O13+P13+Q13))))</f>
        <v>4.6836277598438567</v>
      </c>
      <c r="T13" s="167">
        <f>IF(AND(O13="NA",P13="NA",R13="NA"),"NA",IF(O13="NA",'Res-Rec Equations'!$B$75/R13,IF(R13="NA",'Res-Rec Equations'!$B$75/(O13+P13),'Res-Rec Equations'!$B$75/(O13+P13+R13))))</f>
        <v>4.6836277598438567</v>
      </c>
      <c r="U13" s="168">
        <f t="shared" si="1"/>
        <v>4.6836277598438567</v>
      </c>
      <c r="V13" s="167" t="str">
        <f>IF('Chemical Info'!P14="NA","NA",(('Res-Rec Equations'!$B$185*'Res-Rec Equations'!$B$186)/('Res-Rec Equations'!$B$187*'Res-Rec Equations'!$B$188*(1/'Chemical Info'!P14))))</f>
        <v>NA</v>
      </c>
      <c r="W13" s="379" t="str">
        <f t="shared" si="2"/>
        <v>NA</v>
      </c>
      <c r="X13" s="372">
        <f t="shared" si="3"/>
        <v>4.6836277598438567</v>
      </c>
      <c r="Y13" s="62">
        <f t="shared" si="4"/>
        <v>4.7</v>
      </c>
      <c r="Z13" s="100" t="str">
        <f t="shared" si="5"/>
        <v>Noncancer</v>
      </c>
      <c r="AA13" s="373"/>
    </row>
    <row r="14" spans="1:28">
      <c r="A14" s="413" t="s">
        <v>170</v>
      </c>
      <c r="B14" s="566" t="s">
        <v>171</v>
      </c>
      <c r="C14" s="367">
        <f>1/(('Res-Rec Equations'!$B$152*3600)/((0.036*(1-'Res-Rec Equations'!$B$153))*('Res-Rec Equations'!$B$154/'Res-Rec Equations'!$B$155)^3*'Res-Rec Equations'!$B$156))</f>
        <v>7.3567680901159717E-10</v>
      </c>
      <c r="D14" s="368">
        <f>(('Res-Rec Equations'!$B$132^(10/3)*'Chemical Info'!$AH15*'Chemical Info'!$AN15*41+'Res-Rec Equations'!$B$135^(10/3)*'Chemical Info'!$AJ15)/'Res-Rec Equations'!$B$137^2)/('Res-Rec Equations'!$B$139*'Chemical Info'!$AL15*'Res-Rec Equations'!$B$142+'Res-Rec Equations'!$B$135+'Res-Rec Equations'!$B$132*'Chemical Info'!$AN15*41)</f>
        <v>0</v>
      </c>
      <c r="E14" s="368" t="str">
        <f>IF(D14=0,"NA",1/(('Res-Rec Equations'!$B$103*(3.14*'Res-Rec Calculations'!$D14*'Res-Rec Equations'!$B$105)^(1/2)*0.0001)/(2*'Res-Rec Equations'!$B$106*'Res-Rec Calculations'!$D14)))</f>
        <v>NA</v>
      </c>
      <c r="F14" s="368" t="str">
        <f>IF(D14=0,"NA",(1/('Res-Rec Equations'!$B$117*('Res-Rec Equations'!$B$118*(31500000))/('Res-Rec Equations'!$B$119*'Res-Rec Equations'!$B$120*1000000))))</f>
        <v>NA</v>
      </c>
      <c r="G14" s="167" t="str">
        <f>IF('Chemical Info'!E15="Yes",('Chemical Info'!AP15/'Res-Rec Equations'!$B$168)*((('Chemical Info'!AL15*'Res-Rec Equations'!$B$170)*'Res-Rec Equations'!$B$168)+'Res-Rec Equations'!$B$171+('Chemical Info'!AN15*41)*'Res-Rec Equations'!$B$173),"NA")</f>
        <v>NA</v>
      </c>
      <c r="H14" s="112" t="str">
        <f>IF('Chemical Info'!H15="NA","NA",IF(AND('Chemical Info'!E15="Yes",'Chemical Info'!D15="Yes"),'Chemical Info'!H15*'Chemical Info'!AD15*'Res-Rec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Info'!E15="Yes",'Chemical Info'!D15=""),'Chemical Info'!H15*'Chemical Info'!AD15*'Res-Rec Equations'!$B$20*'Res-Rec Equations'!$B$23*((('Res-Rec Equations'!$B$26*'Res-Rec Equations'!$B$29)/'Res-Rec Equations'!$B$32)+(('Res-Rec Equations'!$B$27*'Res-Rec Equations'!$B$30)/'Res-Rec Equations'!$B$33)+(('Res-Rec Equations'!$B$28*'Res-Rec Equations'!$B$31)/'Res-Rec Equations'!$B$34)),IF(AND('Chemical Info'!E15="No",'Chemical Info'!D15="Yes"),'Chemical Info'!H15*'Chemical Info'!AD15*'Res-Rec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Info'!E15="No",'Chemical Info'!D15=""),'Chemical Info'!H15*'Chemical Info'!AD15*'Res-Rec Equations'!$B$19*'Res-Rec Equations'!$B$23*((('Res-Rec Equations'!$B$26*'Res-Rec Equations'!$B$29)/'Res-Rec Equations'!$B$32)+(('Res-Rec Equations'!$B$27*'Res-Rec Equations'!$B$30)/'Res-Rec Equations'!$B$33)+(('Res-Rec Equations'!$B$28*'Res-Rec Equations'!$B$31)/'Res-Rec Equations'!$B$34)))))))</f>
        <v>NA</v>
      </c>
      <c r="I14" s="166" t="str">
        <f>IF('Chemical Info'!H15="NA","NA",IF('Chemical Info'!E15="Yes",0,IF('Chemical Info'!D15="Yes",'Chemical Info'!H15/'Chemical Info'!AF15*('Res-Rec Equations'!$B$21*'Chemical Info'!AB15*'Res-Rec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Info'!H15/'Chemical Info'!AF15*('Res-Rec Equations'!$B$21*'Chemical Info'!AB15*'Res-Rec Equations'!$B$23)*((('Res-Rec Equations'!$B$26*'Res-Rec Equations'!$B$37*'Res-Rec Equations'!$B$40)/'Res-Rec Equations'!$B$32)+(('Res-Rec Equations'!$B$27*'Res-Rec Equations'!$B$38*'Res-Rec Equations'!$B$41)/'Res-Rec Equations'!$B$33)+(('Res-Rec Equations'!$B$28*'Res-Rec Equations'!$B$39*'Res-Rec Equations'!$B$42)/'Res-Rec Equations'!$B$34)))))</f>
        <v>NA</v>
      </c>
      <c r="J14" s="369" t="str">
        <f>IF('Chemical Info'!J15="NA","NA",IF(AND(E14="NA",'Chemical Info'!D15="Yes"),'Res-Rec Equations'!$B$22*1000*(('Res-Rec Equations'!$B$26*'Chemical Info'!J15*'Res-Rec Equations'!$B$59)+('Res-Rec Equations'!$B$27*'Chemical Info'!J15*'Res-Rec Equations'!$B$60)+('Res-Rec Equations'!$B$28*'Chemical Info'!J15*'Res-Rec Equations'!$B$61))*'Res-Rec Calculations'!C14,IF(AND(E14="NA",'Chemical Info'!D15=""),'Res-Rec Equations'!$B$22*1000*'Res-Rec Equations'!$B$25*'Chemical Info'!J15*'Res-Rec Calculations'!C14,IF(AND('Chemical Info'!E15="Yes",'Chemical Info'!D15="Yes"),'Res-Rec Equations'!$B$22*1000*(('Res-Rec Equations'!$B$26*'Chemical Info'!J15*'Res-Rec Equations'!$B$59)+('Res-Rec Equations'!$B$27*'Chemical Info'!J15*'Res-Rec Equations'!$B$60)+('Res-Rec Equations'!$B$28*'Chemical Info'!J15*'Res-Rec Equations'!$B$61))*'Res-Rec Calculations'!E14,IF(AND('Chemical Info'!E15="Yes",'Chemical Info'!D15=""),'Res-Rec Equations'!$B$22*1000*'Res-Rec Equations'!$B$25*'Chemical Info'!J15*'Res-Rec Calculations'!E14,IF('Chemical Info'!D15="Yes",'Res-Rec Equations'!$B$22*1000*(('Res-Rec Equations'!$B$26*'Chemical Info'!J15*'Res-Rec Equations'!$B$59)+('Res-Rec Equations'!$B$27*'Chemical Info'!J15*'Res-Rec Equations'!$B$60)+('Res-Rec Equations'!$B$28*'Chemical Info'!J15*'Res-Rec Equations'!$B$61))*('Res-Rec Calculations'!C14+'Res-Rec Calculations'!E14),IF('Chemical Info'!D15="",'Res-Rec Equations'!$B$22*1000*'Res-Rec Equations'!$B$25*'Chemical Info'!J15*('Res-Rec Calculations'!C14+'Res-Rec Calculations'!E14))))))))</f>
        <v>NA</v>
      </c>
      <c r="K14" s="370" t="str">
        <f>IF('Chemical Info'!J15="NA","NA",IF(AND(F14="NA",'Chemical Info'!D15="Yes"),'Res-Rec Equations'!$B$22*1000*(('Res-Rec Equations'!$B$26*'Chemical Info'!J15*'Res-Rec Equations'!$B$59)+('Res-Rec Equations'!$B$27*'Chemical Info'!J15*'Res-Rec Equations'!$B$60)+('Res-Rec Equations'!$B$28*'Chemical Info'!J15*'Res-Rec Equations'!$B$61))*'Res-Rec Calculations'!C14,IF(AND(F14="NA",'Chemical Info'!D15=""),'Res-Rec Equations'!$B$22*1000*'Res-Rec Equations'!$B$25*'Chemical Info'!J15*'Res-Rec Calculations'!C14,IF(AND('Chemical Info'!F15="Yes",'Chemical Info'!D15="Yes"),'Res-Rec Equations'!$B$22*1000*(('Res-Rec Equations'!$B$26*'Chemical Info'!J15*'Res-Rec Equations'!$B$59)+('Res-Rec Equations'!$B$27*'Chemical Info'!J15*'Res-Rec Equations'!$B$60)+('Res-Rec Equations'!$B$28*'Chemical Info'!J15*'Res-Rec Equations'!$B$61))*'Res-Rec Calculations'!F14,IF(AND('Chemical Info'!F15="Yes",'Chemical Info'!D15=""),'Res-Rec Equations'!$B$22*1000*'Res-Rec Equations'!$B$25*'Chemical Info'!J15*'Res-Rec Calculations'!F14,IF('Chemical Info'!D15="Yes",'Res-Rec Equations'!$B$22*1000*(('Res-Rec Equations'!$B$26*'Chemical Info'!J15*'Res-Rec Equations'!$B$59)+('Res-Rec Equations'!$B$27*'Chemical Info'!J15*'Res-Rec Equations'!$B$60)+('Res-Rec Equations'!$B$28*'Chemical Info'!J15*'Res-Rec Equations'!$B$61))*('Res-Rec Calculations'!C14+'Res-Rec Calculations'!F14),IF('Chemical Info'!D15="",'Res-Rec Equations'!$B$22*1000*'Res-Rec Equations'!$B$25*'Chemical Info'!J15*('Res-Rec Calculations'!C14+'Res-Rec Calculations'!F14))))))))</f>
        <v>NA</v>
      </c>
      <c r="L14" s="167" t="str">
        <f>IF(AND(H14="NA",I14="NA",J14="NA"),"NA",IF(H14="NA",'Res-Rec Equations'!$B$15*'Res-Rec Equations'!$B$16/J14,IF(J14="NA",'Res-Rec Equations'!$B$15*'Res-Rec Equations'!$B$16/(H14+I14),'Res-Rec Equations'!$B$15*'Res-Rec Equations'!$B$16/(H14+I14+J14))))</f>
        <v>NA</v>
      </c>
      <c r="M14" s="167" t="str">
        <f>IF(AND(H14="NA",I14="NA",K14="NA"),"NA",IF(H14="NA",'Res-Rec Equations'!$B$15*'Res-Rec Equations'!$B$16/K14,IF(K14="NA",'Res-Rec Equations'!$B$15*'Res-Rec Equations'!$B$16/(H14+I14),'Res-Rec Equations'!$B$15*'Res-Rec Equations'!$B$16/(H14+I14+K14))))</f>
        <v>NA</v>
      </c>
      <c r="N14" s="167" t="str">
        <f t="shared" si="0"/>
        <v>NA</v>
      </c>
      <c r="O14" s="371">
        <f>IF('Chemical Info'!L15="NA","NA",IF('Chemical Info'!E15="Yes",(('Res-Rec Equations'!$B$76*'Chemical Info'!AD15*'Res-Rec Equations'!$B$78*'Res-Rec Equations'!$B$79*'Res-Rec Equations'!$B$81)/('Res-Rec Equations'!$B$84*'Res-Rec Equations'!$B$85))/'Chemical Info'!L15,(('Res-Rec Equations'!$B$76*'Chemical Info'!AD15*'Res-Rec Equations'!$B$78*'Res-Rec Equations'!$B$79*'Res-Rec Equations'!$B$80)/('Res-Rec Equations'!$B$84*'Res-Rec Equations'!$B$85))/'Chemical Info'!L15))</f>
        <v>9.0037944562351273E-5</v>
      </c>
      <c r="P14" s="166">
        <f>IF('Chemical Info'!L15="NA","NA", IF('Chemical Info'!E15="Yes",0,((('Res-Rec Equations'!$B$87*'Res-Rec Equations'!$B$88*'Res-Rec Equations'!$B$78*'Res-Rec Equations'!$B$82*'Res-Rec Equations'!$B$79*'Chemical Info'!AB15)/('Res-Rec Equations'!$B$84*'Res-Rec Equations'!$B$85))/('Chemical Info'!L15*'Chemical Info'!AF15))))</f>
        <v>0</v>
      </c>
      <c r="Q14" s="166" t="str">
        <f>IF('Chemical Info'!N15="NA","NA",IF('Res-Rec Calculations'!E14="NA",(('Res-Rec Equations'!$B$83*'Res-Rec Equations'!$B$79*'Res-Rec Calculations'!C14)/('Res-Rec Equations'!$B$85))/('Chemical Info'!N15),IF('Chemical Info'!E15="Yes",(('Res-Rec Equations'!$B$83*'Res-Rec Equations'!$B$79*'Res-Rec Calculations'!E14)/('Res-Rec Equations'!$B$85))/('Chemical Info'!N15),(('Res-Rec Equations'!$B$83*'Res-Rec Equations'!$B$79*('Res-Rec Calculations'!C14+'Res-Rec Calculations'!E14))/('Res-Rec Equations'!$B$85))/('Chemical Info'!N15))))</f>
        <v>NA</v>
      </c>
      <c r="R14" s="166" t="str">
        <f>IF('Chemical Info'!N15="NA","NA",IF('Res-Rec Calculations'!F14="NA",(('Res-Rec Equations'!$B$83*'Res-Rec Equations'!$B$79*'Res-Rec Calculations'!C14)/('Res-Rec Equations'!$B$85))/('Chemical Info'!N15),IF('Chemical Info'!E15="Yes",(('Res-Rec Equations'!$B$83*'Res-Rec Equations'!$B$79*'Res-Rec Calculations'!F14)/('Res-Rec Equations'!$B$85))/('Chemical Info'!N15),(('Res-Rec Equations'!$B$83*'Res-Rec Equations'!$B$79*('Res-Rec Calculations'!C14+'Res-Rec Calculations'!F14))/('Res-Rec Equations'!$B$85))/('Chemical Info'!N15))))</f>
        <v>NA</v>
      </c>
      <c r="S14" s="167">
        <f>IF(AND(O14="NA",P14="NA",Q14="NA"),"NA",IF(O14="NA",'Res-Rec Equations'!$B$75/Q14,IF(Q14="NA",'Res-Rec Equations'!$B$75/(O14+P14),'Res-Rec Equations'!$B$75/(O14+P14+Q14))))</f>
        <v>2221.2857142857147</v>
      </c>
      <c r="T14" s="167">
        <f>IF(AND(O14="NA",P14="NA",R14="NA"),"NA",IF(O14="NA",'Res-Rec Equations'!$B$75/R14,IF(R14="NA",'Res-Rec Equations'!$B$75/(O14+P14),'Res-Rec Equations'!$B$75/(O14+P14+R14))))</f>
        <v>2221.2857142857147</v>
      </c>
      <c r="U14" s="168">
        <f t="shared" si="1"/>
        <v>2221.2857142857147</v>
      </c>
      <c r="V14" s="167">
        <f>IF('Chemical Info'!P15="NA","NA",(('Res-Rec Equations'!$B$185*'Res-Rec Equations'!$B$186)/('Res-Rec Equations'!$B$187*'Res-Rec Equations'!$B$188*(1/'Chemical Info'!P15))))</f>
        <v>184.6</v>
      </c>
      <c r="W14" s="379">
        <f t="shared" si="2"/>
        <v>180</v>
      </c>
      <c r="X14" s="372">
        <f t="shared" si="3"/>
        <v>2221.2857142857147</v>
      </c>
      <c r="Y14" s="62">
        <f t="shared" si="4"/>
        <v>2200</v>
      </c>
      <c r="Z14" s="100" t="str">
        <f t="shared" si="5"/>
        <v>Noncancer</v>
      </c>
      <c r="AA14" s="373"/>
    </row>
    <row r="15" spans="1:28">
      <c r="A15" s="415" t="s">
        <v>172</v>
      </c>
      <c r="B15" s="592" t="s">
        <v>173</v>
      </c>
      <c r="C15" s="367">
        <f>1/(('Res-Rec Equations'!$B$152*3600)/((0.036*(1-'Res-Rec Equations'!$B$153))*('Res-Rec Equations'!$B$154/'Res-Rec Equations'!$B$155)^3*'Res-Rec Equations'!$B$156))</f>
        <v>7.3567680901159717E-10</v>
      </c>
      <c r="D15" s="368">
        <f>(('Res-Rec Equations'!$B$132^(10/3)*'Chemical Info'!$AH16*'Chemical Info'!$AN16*41+'Res-Rec Equations'!$B$135^(10/3)*'Chemical Info'!$AJ16)/'Res-Rec Equations'!$B$137^2)/('Res-Rec Equations'!$B$139*'Chemical Info'!$AL16*'Res-Rec Equations'!$B$142+'Res-Rec Equations'!$B$135+'Res-Rec Equations'!$B$132*'Chemical Info'!$AN16*41)</f>
        <v>0</v>
      </c>
      <c r="E15" s="368" t="str">
        <f>IF(D15=0,"NA",1/(('Res-Rec Equations'!$B$103*(3.14*'Res-Rec Calculations'!$D15*'Res-Rec Equations'!$B$105)^(1/2)*0.0001)/(2*'Res-Rec Equations'!$B$106*'Res-Rec Calculations'!$D15)))</f>
        <v>NA</v>
      </c>
      <c r="F15" s="368" t="str">
        <f>IF(D15=0,"NA",(1/('Res-Rec Equations'!$B$117*('Res-Rec Equations'!$B$118*(31500000))/('Res-Rec Equations'!$B$119*'Res-Rec Equations'!$B$120*1000000))))</f>
        <v>NA</v>
      </c>
      <c r="G15" s="167" t="str">
        <f>IF('Chemical Info'!E16="Yes",('Chemical Info'!AP16/'Res-Rec Equations'!$B$168)*((('Chemical Info'!AL16*'Res-Rec Equations'!$B$170)*'Res-Rec Equations'!$B$168)+'Res-Rec Equations'!$B$171+('Chemical Info'!AN16*41)*'Res-Rec Equations'!$B$173),"NA")</f>
        <v>NA</v>
      </c>
      <c r="H15" s="112" t="str">
        <f>IF('Chemical Info'!H16="NA","NA",IF(AND('Chemical Info'!E16="Yes",'Chemical Info'!D16="Yes"),'Chemical Info'!H16*'Chemical Info'!AD16*'Res-Rec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Info'!E16="Yes",'Chemical Info'!D16=""),'Chemical Info'!H16*'Chemical Info'!AD16*'Res-Rec Equations'!$B$20*'Res-Rec Equations'!$B$23*((('Res-Rec Equations'!$B$26*'Res-Rec Equations'!$B$29)/'Res-Rec Equations'!$B$32)+(('Res-Rec Equations'!$B$27*'Res-Rec Equations'!$B$30)/'Res-Rec Equations'!$B$33)+(('Res-Rec Equations'!$B$28*'Res-Rec Equations'!$B$31)/'Res-Rec Equations'!$B$34)),IF(AND('Chemical Info'!E16="No",'Chemical Info'!D16="Yes"),'Chemical Info'!H16*'Chemical Info'!AD16*'Res-Rec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Info'!E16="No",'Chemical Info'!D16=""),'Chemical Info'!H16*'Chemical Info'!AD16*'Res-Rec Equations'!$B$19*'Res-Rec Equations'!$B$23*((('Res-Rec Equations'!$B$26*'Res-Rec Equations'!$B$29)/'Res-Rec Equations'!$B$32)+(('Res-Rec Equations'!$B$27*'Res-Rec Equations'!$B$30)/'Res-Rec Equations'!$B$33)+(('Res-Rec Equations'!$B$28*'Res-Rec Equations'!$B$31)/'Res-Rec Equations'!$B$34)))))))</f>
        <v>NA</v>
      </c>
      <c r="I15" s="166" t="str">
        <f>IF('Chemical Info'!H16="NA","NA",IF('Chemical Info'!E16="Yes",0,IF('Chemical Info'!D16="Yes",'Chemical Info'!H16/'Chemical Info'!AF16*('Res-Rec Equations'!$B$21*'Chemical Info'!AB16*'Res-Rec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Info'!H16/'Chemical Info'!AF16*('Res-Rec Equations'!$B$21*'Chemical Info'!AB16*'Res-Rec Equations'!$B$23)*((('Res-Rec Equations'!$B$26*'Res-Rec Equations'!$B$37*'Res-Rec Equations'!$B$40)/'Res-Rec Equations'!$B$32)+(('Res-Rec Equations'!$B$27*'Res-Rec Equations'!$B$38*'Res-Rec Equations'!$B$41)/'Res-Rec Equations'!$B$33)+(('Res-Rec Equations'!$B$28*'Res-Rec Equations'!$B$39*'Res-Rec Equations'!$B$42)/'Res-Rec Equations'!$B$34)))))</f>
        <v>NA</v>
      </c>
      <c r="J15" s="369" t="str">
        <f>IF('Chemical Info'!J16="NA","NA",IF(AND(E15="NA",'Chemical Info'!D16="Yes"),'Res-Rec Equations'!$B$22*1000*(('Res-Rec Equations'!$B$26*'Chemical Info'!J16*'Res-Rec Equations'!$B$59)+('Res-Rec Equations'!$B$27*'Chemical Info'!J16*'Res-Rec Equations'!$B$60)+('Res-Rec Equations'!$B$28*'Chemical Info'!J16*'Res-Rec Equations'!$B$61))*'Res-Rec Calculations'!C15,IF(AND(E15="NA",'Chemical Info'!D16=""),'Res-Rec Equations'!$B$22*1000*'Res-Rec Equations'!$B$25*'Chemical Info'!J16*'Res-Rec Calculations'!C15,IF(AND('Chemical Info'!E16="Yes",'Chemical Info'!D16="Yes"),'Res-Rec Equations'!$B$22*1000*(('Res-Rec Equations'!$B$26*'Chemical Info'!J16*'Res-Rec Equations'!$B$59)+('Res-Rec Equations'!$B$27*'Chemical Info'!J16*'Res-Rec Equations'!$B$60)+('Res-Rec Equations'!$B$28*'Chemical Info'!J16*'Res-Rec Equations'!$B$61))*'Res-Rec Calculations'!E15,IF(AND('Chemical Info'!E16="Yes",'Chemical Info'!D16=""),'Res-Rec Equations'!$B$22*1000*'Res-Rec Equations'!$B$25*'Chemical Info'!J16*'Res-Rec Calculations'!E15,IF('Chemical Info'!D16="Yes",'Res-Rec Equations'!$B$22*1000*(('Res-Rec Equations'!$B$26*'Chemical Info'!J16*'Res-Rec Equations'!$B$59)+('Res-Rec Equations'!$B$27*'Chemical Info'!J16*'Res-Rec Equations'!$B$60)+('Res-Rec Equations'!$B$28*'Chemical Info'!J16*'Res-Rec Equations'!$B$61))*('Res-Rec Calculations'!C15+'Res-Rec Calculations'!E15),IF('Chemical Info'!D16="",'Res-Rec Equations'!$B$22*1000*'Res-Rec Equations'!$B$25*'Chemical Info'!J16*('Res-Rec Calculations'!C15+'Res-Rec Calculations'!E15))))))))</f>
        <v>NA</v>
      </c>
      <c r="K15" s="370" t="str">
        <f>IF('Chemical Info'!J16="NA","NA",IF(AND(F15="NA",'Chemical Info'!D16="Yes"),'Res-Rec Equations'!$B$22*1000*(('Res-Rec Equations'!$B$26*'Chemical Info'!J16*'Res-Rec Equations'!$B$59)+('Res-Rec Equations'!$B$27*'Chemical Info'!J16*'Res-Rec Equations'!$B$60)+('Res-Rec Equations'!$B$28*'Chemical Info'!J16*'Res-Rec Equations'!$B$61))*'Res-Rec Calculations'!C15,IF(AND(F15="NA",'Chemical Info'!D16=""),'Res-Rec Equations'!$B$22*1000*'Res-Rec Equations'!$B$25*'Chemical Info'!J16*'Res-Rec Calculations'!C15,IF(AND('Chemical Info'!F16="Yes",'Chemical Info'!D16="Yes"),'Res-Rec Equations'!$B$22*1000*(('Res-Rec Equations'!$B$26*'Chemical Info'!J16*'Res-Rec Equations'!$B$59)+('Res-Rec Equations'!$B$27*'Chemical Info'!J16*'Res-Rec Equations'!$B$60)+('Res-Rec Equations'!$B$28*'Chemical Info'!J16*'Res-Rec Equations'!$B$61))*'Res-Rec Calculations'!F15,IF(AND('Chemical Info'!F16="Yes",'Chemical Info'!D16=""),'Res-Rec Equations'!$B$22*1000*'Res-Rec Equations'!$B$25*'Chemical Info'!J16*'Res-Rec Calculations'!F15,IF('Chemical Info'!D16="Yes",'Res-Rec Equations'!$B$22*1000*(('Res-Rec Equations'!$B$26*'Chemical Info'!J16*'Res-Rec Equations'!$B$59)+('Res-Rec Equations'!$B$27*'Chemical Info'!J16*'Res-Rec Equations'!$B$60)+('Res-Rec Equations'!$B$28*'Chemical Info'!J16*'Res-Rec Equations'!$B$61))*('Res-Rec Calculations'!C15+'Res-Rec Calculations'!F15),IF('Chemical Info'!D16="",'Res-Rec Equations'!$B$22*1000*'Res-Rec Equations'!$B$25*'Chemical Info'!J16*('Res-Rec Calculations'!C15+'Res-Rec Calculations'!F15))))))))</f>
        <v>NA</v>
      </c>
      <c r="L15" s="167" t="str">
        <f>IF(AND(H15="NA",I15="NA",J15="NA"),"NA",IF(H15="NA",'Res-Rec Equations'!$B$15*'Res-Rec Equations'!$B$16/J15,IF(J15="NA",'Res-Rec Equations'!$B$15*'Res-Rec Equations'!$B$16/(H15+I15),'Res-Rec Equations'!$B$15*'Res-Rec Equations'!$B$16/(H15+I15+J15))))</f>
        <v>NA</v>
      </c>
      <c r="M15" s="167" t="str">
        <f>IF(AND(H15="NA",I15="NA",K15="NA"),"NA",IF(H15="NA",'Res-Rec Equations'!$B$15*'Res-Rec Equations'!$B$16/K15,IF(K15="NA",'Res-Rec Equations'!$B$15*'Res-Rec Equations'!$B$16/(H15+I15),'Res-Rec Equations'!$B$15*'Res-Rec Equations'!$B$16/(H15+I15+K15))))</f>
        <v>NA</v>
      </c>
      <c r="N15" s="167" t="str">
        <f t="shared" si="0"/>
        <v>NA</v>
      </c>
      <c r="O15" s="371">
        <f>IF('Chemical Info'!L16="NA","NA",IF('Chemical Info'!E16="Yes",(('Res-Rec Equations'!$B$76*'Chemical Info'!AD16*'Res-Rec Equations'!$B$78*'Res-Rec Equations'!$B$79*'Res-Rec Equations'!$B$81)/('Res-Rec Equations'!$B$84*'Res-Rec Equations'!$B$85))/'Chemical Info'!L16,(('Res-Rec Equations'!$B$76*'Chemical Info'!AD16*'Res-Rec Equations'!$B$78*'Res-Rec Equations'!$B$79*'Res-Rec Equations'!$B$80)/('Res-Rec Equations'!$B$84*'Res-Rec Equations'!$B$85))/'Chemical Info'!L16))</f>
        <v>2.5570776255707762E-3</v>
      </c>
      <c r="P15" s="166">
        <f>IF('Chemical Info'!L16="NA","NA", IF('Chemical Info'!E16="Yes",0,((('Res-Rec Equations'!$B$87*'Res-Rec Equations'!$B$88*'Res-Rec Equations'!$B$78*'Res-Rec Equations'!$B$82*'Res-Rec Equations'!$B$79*'Chemical Info'!AB16)/('Res-Rec Equations'!$B$84*'Res-Rec Equations'!$B$85))/('Chemical Info'!L16*'Chemical Info'!AF16))))</f>
        <v>0</v>
      </c>
      <c r="Q15" s="166" t="str">
        <f>IF('Chemical Info'!N16="NA","NA",IF('Res-Rec Calculations'!E15="NA",(('Res-Rec Equations'!$B$83*'Res-Rec Equations'!$B$79*'Res-Rec Calculations'!C15)/('Res-Rec Equations'!$B$85))/('Chemical Info'!N16),IF('Chemical Info'!E16="Yes",(('Res-Rec Equations'!$B$83*'Res-Rec Equations'!$B$79*'Res-Rec Calculations'!E15)/('Res-Rec Equations'!$B$85))/('Chemical Info'!N16),(('Res-Rec Equations'!$B$83*'Res-Rec Equations'!$B$79*('Res-Rec Calculations'!C15+'Res-Rec Calculations'!E15))/('Res-Rec Equations'!$B$85))/('Chemical Info'!N16))))</f>
        <v>NA</v>
      </c>
      <c r="R15" s="166" t="str">
        <f>IF('Chemical Info'!N16="NA","NA",IF('Res-Rec Calculations'!F15="NA",(('Res-Rec Equations'!$B$83*'Res-Rec Equations'!$B$79*'Res-Rec Calculations'!C15)/('Res-Rec Equations'!$B$85))/('Chemical Info'!N16),IF('Chemical Info'!E16="Yes",(('Res-Rec Equations'!$B$83*'Res-Rec Equations'!$B$79*'Res-Rec Calculations'!F15)/('Res-Rec Equations'!$B$85))/('Chemical Info'!N16),(('Res-Rec Equations'!$B$83*'Res-Rec Equations'!$B$79*('Res-Rec Calculations'!C15+'Res-Rec Calculations'!F15))/('Res-Rec Equations'!$B$85))/('Chemical Info'!N16))))</f>
        <v>NA</v>
      </c>
      <c r="S15" s="167">
        <f>IF(AND(O15="NA",P15="NA",Q15="NA"),"NA",IF(O15="NA",'Res-Rec Equations'!$B$75/Q15,IF(Q15="NA",'Res-Rec Equations'!$B$75/(O15+P15),'Res-Rec Equations'!$B$75/(O15+P15+Q15))))</f>
        <v>78.214285714285722</v>
      </c>
      <c r="T15" s="167">
        <f>IF(AND(O15="NA",P15="NA",R15="NA"),"NA",IF(O15="NA",'Res-Rec Equations'!$B$75/R15,IF(R15="NA",'Res-Rec Equations'!$B$75/(O15+P15),'Res-Rec Equations'!$B$75/(O15+P15+R15))))</f>
        <v>78.214285714285722</v>
      </c>
      <c r="U15" s="168">
        <f t="shared" si="1"/>
        <v>78.214285714285722</v>
      </c>
      <c r="V15" s="167" t="str">
        <f>IF('Chemical Info'!P16="NA","NA",(('Res-Rec Equations'!$B$185*'Res-Rec Equations'!$B$186)/('Res-Rec Equations'!$B$187*'Res-Rec Equations'!$B$188*(1/'Chemical Info'!P16))))</f>
        <v>NA</v>
      </c>
      <c r="W15" s="379" t="str">
        <f t="shared" si="2"/>
        <v>NA</v>
      </c>
      <c r="X15" s="372">
        <f t="shared" si="3"/>
        <v>78.214285714285722</v>
      </c>
      <c r="Y15" s="62">
        <f t="shared" si="4"/>
        <v>78</v>
      </c>
      <c r="Z15" s="100" t="str">
        <f t="shared" si="5"/>
        <v>Noncancer</v>
      </c>
      <c r="AA15" s="373"/>
    </row>
    <row r="16" spans="1:28">
      <c r="A16" s="415" t="s">
        <v>94</v>
      </c>
      <c r="B16" s="592" t="s">
        <v>95</v>
      </c>
      <c r="C16" s="367">
        <f>1/(('Res-Rec Equations'!$B$152*3600)/((0.036*(1-'Res-Rec Equations'!$B$153))*('Res-Rec Equations'!$B$154/'Res-Rec Equations'!$B$155)^3*'Res-Rec Equations'!$B$156))</f>
        <v>7.3567680901159717E-10</v>
      </c>
      <c r="D16" s="368">
        <f>(('Res-Rec Equations'!$B$132^(10/3)*'Chemical Info'!$AH17*'Chemical Info'!$AN17*41+'Res-Rec Equations'!$B$135^(10/3)*'Chemical Info'!$AJ17)/'Res-Rec Equations'!$B$137^2)/('Res-Rec Equations'!$B$139*'Chemical Info'!$AL17*'Res-Rec Equations'!$B$142+'Res-Rec Equations'!$B$135+'Res-Rec Equations'!$B$132*'Chemical Info'!$AN17*41)</f>
        <v>3.7827244864121871E-4</v>
      </c>
      <c r="E16" s="368">
        <f>IF(D16=0,"NA",1/(('Res-Rec Equations'!$B$103*(3.14*'Res-Rec Calculations'!$D16*'Res-Rec Equations'!$B$105)^(1/2)*0.0001)/(2*'Res-Rec Equations'!$B$106*'Res-Rec Calculations'!$D16)))</f>
        <v>1.1416446326897102E-4</v>
      </c>
      <c r="F16" s="368">
        <f>IF(D16=0,"NA",(1/('Res-Rec Equations'!$B$117*('Res-Rec Equations'!$B$118*(31500000))/('Res-Rec Equations'!$B$119*'Res-Rec Equations'!$B$120*1000000))))</f>
        <v>6.1914410640015851E-5</v>
      </c>
      <c r="G16" s="167">
        <f>IF('Chemical Info'!E17="Yes",('Chemical Info'!AP17/'Res-Rec Equations'!$B$168)*((('Chemical Info'!AL17*'Res-Rec Equations'!$B$170)*'Res-Rec Equations'!$B$168)+'Res-Rec Equations'!$B$171+('Chemical Info'!AN17*41)*'Res-Rec Equations'!$B$173),"NA")</f>
        <v>117818.98666666665</v>
      </c>
      <c r="H16" s="112" t="str">
        <f>IF('Chemical Info'!H17="NA","NA",IF(AND('Chemical Info'!E17="Yes",'Chemical Info'!D17="Yes"),'Chemical Info'!H17*'Chemical Info'!AD17*'Res-Rec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Info'!E17="Yes",'Chemical Info'!D17=""),'Chemical Info'!H17*'Chemical Info'!AD17*'Res-Rec Equations'!$B$20*'Res-Rec Equations'!$B$23*((('Res-Rec Equations'!$B$26*'Res-Rec Equations'!$B$29)/'Res-Rec Equations'!$B$32)+(('Res-Rec Equations'!$B$27*'Res-Rec Equations'!$B$30)/'Res-Rec Equations'!$B$33)+(('Res-Rec Equations'!$B$28*'Res-Rec Equations'!$B$31)/'Res-Rec Equations'!$B$34)),IF(AND('Chemical Info'!E17="No",'Chemical Info'!D17="Yes"),'Chemical Info'!H17*'Chemical Info'!AD17*'Res-Rec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Info'!E17="No",'Chemical Info'!D17=""),'Chemical Info'!H17*'Chemical Info'!AD17*'Res-Rec Equations'!$B$19*'Res-Rec Equations'!$B$23*((('Res-Rec Equations'!$B$26*'Res-Rec Equations'!$B$29)/'Res-Rec Equations'!$B$32)+(('Res-Rec Equations'!$B$27*'Res-Rec Equations'!$B$30)/'Res-Rec Equations'!$B$33)+(('Res-Rec Equations'!$B$28*'Res-Rec Equations'!$B$31)/'Res-Rec Equations'!$B$34)))))))</f>
        <v>NA</v>
      </c>
      <c r="I16" s="166" t="str">
        <f>IF('Chemical Info'!H17="NA","NA",IF('Chemical Info'!E17="Yes",0,IF('Chemical Info'!D17="Yes",'Chemical Info'!H17/'Chemical Info'!AF17*('Res-Rec Equations'!$B$21*'Chemical Info'!AB17*'Res-Rec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Info'!H17/'Chemical Info'!AF17*('Res-Rec Equations'!$B$21*'Chemical Info'!AB17*'Res-Rec Equations'!$B$23)*((('Res-Rec Equations'!$B$26*'Res-Rec Equations'!$B$37*'Res-Rec Equations'!$B$40)/'Res-Rec Equations'!$B$32)+(('Res-Rec Equations'!$B$27*'Res-Rec Equations'!$B$38*'Res-Rec Equations'!$B$41)/'Res-Rec Equations'!$B$33)+(('Res-Rec Equations'!$B$28*'Res-Rec Equations'!$B$39*'Res-Rec Equations'!$B$42)/'Res-Rec Equations'!$B$34)))))</f>
        <v>NA</v>
      </c>
      <c r="J16" s="369" t="str">
        <f>IF('Chemical Info'!J17="NA","NA",IF(AND(E16="NA",'Chemical Info'!D17="Yes"),'Res-Rec Equations'!$B$22*1000*(('Res-Rec Equations'!$B$26*'Chemical Info'!J17*'Res-Rec Equations'!$B$59)+('Res-Rec Equations'!$B$27*'Chemical Info'!J17*'Res-Rec Equations'!$B$60)+('Res-Rec Equations'!$B$28*'Chemical Info'!J17*'Res-Rec Equations'!$B$61))*'Res-Rec Calculations'!C16,IF(AND(E16="NA",'Chemical Info'!D17=""),'Res-Rec Equations'!$B$22*1000*'Res-Rec Equations'!$B$25*'Chemical Info'!J17*'Res-Rec Calculations'!C16,IF(AND('Chemical Info'!E17="Yes",'Chemical Info'!D17="Yes"),'Res-Rec Equations'!$B$22*1000*(('Res-Rec Equations'!$B$26*'Chemical Info'!J17*'Res-Rec Equations'!$B$59)+('Res-Rec Equations'!$B$27*'Chemical Info'!J17*'Res-Rec Equations'!$B$60)+('Res-Rec Equations'!$B$28*'Chemical Info'!J17*'Res-Rec Equations'!$B$61))*'Res-Rec Calculations'!E16,IF(AND('Chemical Info'!E17="Yes",'Chemical Info'!D17=""),'Res-Rec Equations'!$B$22*1000*'Res-Rec Equations'!$B$25*'Chemical Info'!J17*'Res-Rec Calculations'!E16,IF('Chemical Info'!D17="Yes",'Res-Rec Equations'!$B$22*1000*(('Res-Rec Equations'!$B$26*'Chemical Info'!J17*'Res-Rec Equations'!$B$59)+('Res-Rec Equations'!$B$27*'Chemical Info'!J17*'Res-Rec Equations'!$B$60)+('Res-Rec Equations'!$B$28*'Chemical Info'!J17*'Res-Rec Equations'!$B$61))*('Res-Rec Calculations'!C16+'Res-Rec Calculations'!E16),IF('Chemical Info'!D17="",'Res-Rec Equations'!$B$22*1000*'Res-Rec Equations'!$B$25*'Chemical Info'!J17*('Res-Rec Calculations'!C16+'Res-Rec Calculations'!E16))))))))</f>
        <v>NA</v>
      </c>
      <c r="K16" s="370" t="str">
        <f>IF('Chemical Info'!J17="NA","NA",IF(AND(F16="NA",'Chemical Info'!D17="Yes"),'Res-Rec Equations'!$B$22*1000*(('Res-Rec Equations'!$B$26*'Chemical Info'!J17*'Res-Rec Equations'!$B$59)+('Res-Rec Equations'!$B$27*'Chemical Info'!J17*'Res-Rec Equations'!$B$60)+('Res-Rec Equations'!$B$28*'Chemical Info'!J17*'Res-Rec Equations'!$B$61))*'Res-Rec Calculations'!C16,IF(AND(F16="NA",'Chemical Info'!D17=""),'Res-Rec Equations'!$B$22*1000*'Res-Rec Equations'!$B$25*'Chemical Info'!J17*'Res-Rec Calculations'!C16,IF(AND('Chemical Info'!F17="Yes",'Chemical Info'!D17="Yes"),'Res-Rec Equations'!$B$22*1000*(('Res-Rec Equations'!$B$26*'Chemical Info'!J17*'Res-Rec Equations'!$B$59)+('Res-Rec Equations'!$B$27*'Chemical Info'!J17*'Res-Rec Equations'!$B$60)+('Res-Rec Equations'!$B$28*'Chemical Info'!J17*'Res-Rec Equations'!$B$61))*'Res-Rec Calculations'!F16,IF(AND('Chemical Info'!F17="Yes",'Chemical Info'!D17=""),'Res-Rec Equations'!$B$22*1000*'Res-Rec Equations'!$B$25*'Chemical Info'!J17*'Res-Rec Calculations'!F16,IF('Chemical Info'!D17="Yes",'Res-Rec Equations'!$B$22*1000*(('Res-Rec Equations'!$B$26*'Chemical Info'!J17*'Res-Rec Equations'!$B$59)+('Res-Rec Equations'!$B$27*'Chemical Info'!J17*'Res-Rec Equations'!$B$60)+('Res-Rec Equations'!$B$28*'Chemical Info'!J17*'Res-Rec Equations'!$B$61))*('Res-Rec Calculations'!C16+'Res-Rec Calculations'!F16),IF('Chemical Info'!D17="",'Res-Rec Equations'!$B$22*1000*'Res-Rec Equations'!$B$25*'Chemical Info'!J17*('Res-Rec Calculations'!C16+'Res-Rec Calculations'!F16))))))))</f>
        <v>NA</v>
      </c>
      <c r="L16" s="167" t="str">
        <f>IF(AND(H16="NA",I16="NA",J16="NA"),"NA",IF(H16="NA",'Res-Rec Equations'!$B$15*'Res-Rec Equations'!$B$16/J16,IF(J16="NA",'Res-Rec Equations'!$B$15*'Res-Rec Equations'!$B$16/(H16+I16),'Res-Rec Equations'!$B$15*'Res-Rec Equations'!$B$16/(H16+I16+J16))))</f>
        <v>NA</v>
      </c>
      <c r="M16" s="167" t="str">
        <f>IF(AND(H16="NA",I16="NA",K16="NA"),"NA",IF(H16="NA",'Res-Rec Equations'!$B$15*'Res-Rec Equations'!$B$16/K16,IF(K16="NA",'Res-Rec Equations'!$B$15*'Res-Rec Equations'!$B$16/(H16+I16),'Res-Rec Equations'!$B$15*'Res-Rec Equations'!$B$16/(H16+I16+K16))))</f>
        <v>NA</v>
      </c>
      <c r="N16" s="167" t="str">
        <f t="shared" si="0"/>
        <v>NA</v>
      </c>
      <c r="O16" s="371">
        <f>IF('Chemical Info'!L17="NA","NA",IF('Chemical Info'!E17="Yes",(('Res-Rec Equations'!$B$76*'Chemical Info'!AD17*'Res-Rec Equations'!$B$78*'Res-Rec Equations'!$B$79*'Res-Rec Equations'!$B$81)/('Res-Rec Equations'!$B$84*'Res-Rec Equations'!$B$85))/'Chemical Info'!L17,(('Res-Rec Equations'!$B$76*'Chemical Info'!AD17*'Res-Rec Equations'!$B$78*'Res-Rec Equations'!$B$79*'Res-Rec Equations'!$B$80)/('Res-Rec Equations'!$B$84*'Res-Rec Equations'!$B$85))/'Chemical Info'!L17))</f>
        <v>1.5220700152207002E-2</v>
      </c>
      <c r="P16" s="166">
        <f>IF('Chemical Info'!L17="NA","NA", IF('Chemical Info'!E17="Yes",0,((('Res-Rec Equations'!$B$87*'Res-Rec Equations'!$B$88*'Res-Rec Equations'!$B$78*'Res-Rec Equations'!$B$82*'Res-Rec Equations'!$B$79*'Chemical Info'!AB17)/('Res-Rec Equations'!$B$84*'Res-Rec Equations'!$B$85))/('Chemical Info'!L17*'Chemical Info'!AF17))))</f>
        <v>0</v>
      </c>
      <c r="Q16" s="166" t="str">
        <f>IF('Chemical Info'!N17="NA","NA",IF('Res-Rec Calculations'!E16="NA",(('Res-Rec Equations'!$B$83*'Res-Rec Equations'!$B$79*'Res-Rec Calculations'!C16)/('Res-Rec Equations'!$B$85))/('Chemical Info'!N17),IF('Chemical Info'!E17="Yes",(('Res-Rec Equations'!$B$83*'Res-Rec Equations'!$B$79*'Res-Rec Calculations'!E16)/('Res-Rec Equations'!$B$85))/('Chemical Info'!N17),(('Res-Rec Equations'!$B$83*'Res-Rec Equations'!$B$79*('Res-Rec Calculations'!C16+'Res-Rec Calculations'!E16))/('Res-Rec Equations'!$B$85))/('Chemical Info'!N17))))</f>
        <v>NA</v>
      </c>
      <c r="R16" s="166" t="str">
        <f>IF('Chemical Info'!N17="NA","NA",IF('Res-Rec Calculations'!F16="NA",(('Res-Rec Equations'!$B$83*'Res-Rec Equations'!$B$79*'Res-Rec Calculations'!C16)/('Res-Rec Equations'!$B$85))/('Chemical Info'!N17),IF('Chemical Info'!E17="Yes",(('Res-Rec Equations'!$B$83*'Res-Rec Equations'!$B$79*'Res-Rec Calculations'!F16)/('Res-Rec Equations'!$B$85))/('Chemical Info'!N17),(('Res-Rec Equations'!$B$83*'Res-Rec Equations'!$B$79*('Res-Rec Calculations'!C16+'Res-Rec Calculations'!F16))/('Res-Rec Equations'!$B$85))/('Chemical Info'!N17))))</f>
        <v>NA</v>
      </c>
      <c r="S16" s="167">
        <f>IF(AND(O16="NA",P16="NA",Q16="NA"),"NA",IF(O16="NA",'Res-Rec Equations'!$B$75/Q16,IF(Q16="NA",'Res-Rec Equations'!$B$75/(O16+P16),'Res-Rec Equations'!$B$75/(O16+P16+Q16))))</f>
        <v>13.14</v>
      </c>
      <c r="T16" s="167">
        <f>IF(AND(O16="NA",P16="NA",R16="NA"),"NA",IF(O16="NA",'Res-Rec Equations'!$B$75/R16,IF(R16="NA",'Res-Rec Equations'!$B$75/(O16+P16),'Res-Rec Equations'!$B$75/(O16+P16+R16))))</f>
        <v>13.14</v>
      </c>
      <c r="U16" s="168">
        <f t="shared" si="1"/>
        <v>13.14</v>
      </c>
      <c r="V16" s="167">
        <f>IF('Chemical Info'!P17="NA","NA",(('Res-Rec Equations'!$B$185*'Res-Rec Equations'!$B$186)/('Res-Rec Equations'!$B$187*'Res-Rec Equations'!$B$188*(1/'Chemical Info'!P17))))</f>
        <v>7.2799999999999994</v>
      </c>
      <c r="W16" s="379">
        <f t="shared" si="2"/>
        <v>7.3</v>
      </c>
      <c r="X16" s="372">
        <f t="shared" si="3"/>
        <v>13.14</v>
      </c>
      <c r="Y16" s="62">
        <f t="shared" si="4"/>
        <v>13</v>
      </c>
      <c r="Z16" s="100" t="str">
        <f t="shared" si="5"/>
        <v>Noncancer</v>
      </c>
      <c r="AA16" s="373"/>
    </row>
    <row r="17" spans="1:28">
      <c r="A17" s="415" t="s">
        <v>97</v>
      </c>
      <c r="B17" s="592" t="s">
        <v>98</v>
      </c>
      <c r="C17" s="367">
        <f>1/(('Res-Rec Equations'!$B$152*3600)/((0.036*(1-'Res-Rec Equations'!$B$153))*('Res-Rec Equations'!$B$154/'Res-Rec Equations'!$B$155)^3*'Res-Rec Equations'!$B$156))</f>
        <v>7.3567680901159717E-10</v>
      </c>
      <c r="D17" s="368">
        <f>(('Res-Rec Equations'!$B$132^(10/3)*'Chemical Info'!$AH18*'Chemical Info'!$AN18*41+'Res-Rec Equations'!$B$135^(10/3)*'Chemical Info'!$AJ18)/'Res-Rec Equations'!$B$137^2)/('Res-Rec Equations'!$B$139*'Chemical Info'!$AL18*'Res-Rec Equations'!$B$142+'Res-Rec Equations'!$B$135+'Res-Rec Equations'!$B$132*'Chemical Info'!$AN18*41)</f>
        <v>0</v>
      </c>
      <c r="E17" s="368" t="str">
        <f>IF(D17=0,"NA",1/(('Res-Rec Equations'!$B$103*(3.14*'Res-Rec Calculations'!$D17*'Res-Rec Equations'!$B$105)^(1/2)*0.0001)/(2*'Res-Rec Equations'!$B$106*'Res-Rec Calculations'!$D17)))</f>
        <v>NA</v>
      </c>
      <c r="F17" s="368" t="str">
        <f>IF(D17=0,"NA",(1/('Res-Rec Equations'!$B$117*('Res-Rec Equations'!$B$118*(31500000))/('Res-Rec Equations'!$B$119*'Res-Rec Equations'!$B$120*1000000))))</f>
        <v>NA</v>
      </c>
      <c r="G17" s="167" t="str">
        <f>IF('Chemical Info'!E18="Yes",('Chemical Info'!AP18/'Res-Rec Equations'!$B$168)*((('Chemical Info'!AL18*'Res-Rec Equations'!$B$170)*'Res-Rec Equations'!$B$168)+'Res-Rec Equations'!$B$171+('Chemical Info'!AN18*41)*'Res-Rec Equations'!$B$173),"NA")</f>
        <v>NA</v>
      </c>
      <c r="H17" s="112" t="str">
        <f>IF('Chemical Info'!H18="NA","NA",IF(AND('Chemical Info'!E18="Yes",'Chemical Info'!D18="Yes"),'Chemical Info'!H18*'Chemical Info'!AD18*'Res-Rec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Info'!E18="Yes",'Chemical Info'!D18=""),'Chemical Info'!H18*'Chemical Info'!AD18*'Res-Rec Equations'!$B$20*'Res-Rec Equations'!$B$23*((('Res-Rec Equations'!$B$26*'Res-Rec Equations'!$B$29)/'Res-Rec Equations'!$B$32)+(('Res-Rec Equations'!$B$27*'Res-Rec Equations'!$B$30)/'Res-Rec Equations'!$B$33)+(('Res-Rec Equations'!$B$28*'Res-Rec Equations'!$B$31)/'Res-Rec Equations'!$B$34)),IF(AND('Chemical Info'!E18="No",'Chemical Info'!D18="Yes"),'Chemical Info'!H18*'Chemical Info'!AD18*'Res-Rec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Info'!E18="No",'Chemical Info'!D18=""),'Chemical Info'!H18*'Chemical Info'!AD18*'Res-Rec Equations'!$B$19*'Res-Rec Equations'!$B$23*((('Res-Rec Equations'!$B$26*'Res-Rec Equations'!$B$29)/'Res-Rec Equations'!$B$32)+(('Res-Rec Equations'!$B$27*'Res-Rec Equations'!$B$30)/'Res-Rec Equations'!$B$33)+(('Res-Rec Equations'!$B$28*'Res-Rec Equations'!$B$31)/'Res-Rec Equations'!$B$34)))))))</f>
        <v>NA</v>
      </c>
      <c r="I17" s="166" t="str">
        <f>IF('Chemical Info'!H18="NA","NA",IF('Chemical Info'!E18="Yes",0,IF('Chemical Info'!D18="Yes",'Chemical Info'!H18/'Chemical Info'!AF18*('Res-Rec Equations'!$B$21*'Chemical Info'!AB18*'Res-Rec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Info'!H18/'Chemical Info'!AF18*('Res-Rec Equations'!$B$21*'Chemical Info'!AB18*'Res-Rec Equations'!$B$23)*((('Res-Rec Equations'!$B$26*'Res-Rec Equations'!$B$37*'Res-Rec Equations'!$B$40)/'Res-Rec Equations'!$B$32)+(('Res-Rec Equations'!$B$27*'Res-Rec Equations'!$B$38*'Res-Rec Equations'!$B$41)/'Res-Rec Equations'!$B$33)+(('Res-Rec Equations'!$B$28*'Res-Rec Equations'!$B$39*'Res-Rec Equations'!$B$42)/'Res-Rec Equations'!$B$34)))))</f>
        <v>NA</v>
      </c>
      <c r="J17" s="369" t="str">
        <f>IF('Chemical Info'!J18="NA","NA",IF(AND(E17="NA",'Chemical Info'!D18="Yes"),'Res-Rec Equations'!$B$22*1000*(('Res-Rec Equations'!$B$26*'Chemical Info'!J18*'Res-Rec Equations'!$B$59)+('Res-Rec Equations'!$B$27*'Chemical Info'!J18*'Res-Rec Equations'!$B$60)+('Res-Rec Equations'!$B$28*'Chemical Info'!J18*'Res-Rec Equations'!$B$61))*'Res-Rec Calculations'!C17,IF(AND(E17="NA",'Chemical Info'!D18=""),'Res-Rec Equations'!$B$22*1000*'Res-Rec Equations'!$B$25*'Chemical Info'!J18*'Res-Rec Calculations'!C17,IF(AND('Chemical Info'!E18="Yes",'Chemical Info'!D18="Yes"),'Res-Rec Equations'!$B$22*1000*(('Res-Rec Equations'!$B$26*'Chemical Info'!J18*'Res-Rec Equations'!$B$59)+('Res-Rec Equations'!$B$27*'Chemical Info'!J18*'Res-Rec Equations'!$B$60)+('Res-Rec Equations'!$B$28*'Chemical Info'!J18*'Res-Rec Equations'!$B$61))*'Res-Rec Calculations'!E17,IF(AND('Chemical Info'!E18="Yes",'Chemical Info'!D18=""),'Res-Rec Equations'!$B$22*1000*'Res-Rec Equations'!$B$25*'Chemical Info'!J18*'Res-Rec Calculations'!E17,IF('Chemical Info'!D18="Yes",'Res-Rec Equations'!$B$22*1000*(('Res-Rec Equations'!$B$26*'Chemical Info'!J18*'Res-Rec Equations'!$B$59)+('Res-Rec Equations'!$B$27*'Chemical Info'!J18*'Res-Rec Equations'!$B$60)+('Res-Rec Equations'!$B$28*'Chemical Info'!J18*'Res-Rec Equations'!$B$61))*('Res-Rec Calculations'!C17+'Res-Rec Calculations'!E17),IF('Chemical Info'!D18="",'Res-Rec Equations'!$B$22*1000*'Res-Rec Equations'!$B$25*'Chemical Info'!J18*('Res-Rec Calculations'!C17+'Res-Rec Calculations'!E17))))))))</f>
        <v>NA</v>
      </c>
      <c r="K17" s="370" t="str">
        <f>IF('Chemical Info'!J18="NA","NA",IF(AND(F17="NA",'Chemical Info'!D18="Yes"),'Res-Rec Equations'!$B$22*1000*(('Res-Rec Equations'!$B$26*'Chemical Info'!J18*'Res-Rec Equations'!$B$59)+('Res-Rec Equations'!$B$27*'Chemical Info'!J18*'Res-Rec Equations'!$B$60)+('Res-Rec Equations'!$B$28*'Chemical Info'!J18*'Res-Rec Equations'!$B$61))*'Res-Rec Calculations'!C17,IF(AND(F17="NA",'Chemical Info'!D18=""),'Res-Rec Equations'!$B$22*1000*'Res-Rec Equations'!$B$25*'Chemical Info'!J18*'Res-Rec Calculations'!C17,IF(AND('Chemical Info'!F18="Yes",'Chemical Info'!D18="Yes"),'Res-Rec Equations'!$B$22*1000*(('Res-Rec Equations'!$B$26*'Chemical Info'!J18*'Res-Rec Equations'!$B$59)+('Res-Rec Equations'!$B$27*'Chemical Info'!J18*'Res-Rec Equations'!$B$60)+('Res-Rec Equations'!$B$28*'Chemical Info'!J18*'Res-Rec Equations'!$B$61))*'Res-Rec Calculations'!F17,IF(AND('Chemical Info'!F18="Yes",'Chemical Info'!D18=""),'Res-Rec Equations'!$B$22*1000*'Res-Rec Equations'!$B$25*'Chemical Info'!J18*'Res-Rec Calculations'!F17,IF('Chemical Info'!D18="Yes",'Res-Rec Equations'!$B$22*1000*(('Res-Rec Equations'!$B$26*'Chemical Info'!J18*'Res-Rec Equations'!$B$59)+('Res-Rec Equations'!$B$27*'Chemical Info'!J18*'Res-Rec Equations'!$B$60)+('Res-Rec Equations'!$B$28*'Chemical Info'!J18*'Res-Rec Equations'!$B$61))*('Res-Rec Calculations'!C17+'Res-Rec Calculations'!F17),IF('Chemical Info'!D18="",'Res-Rec Equations'!$B$22*1000*'Res-Rec Equations'!$B$25*'Chemical Info'!J18*('Res-Rec Calculations'!C17+'Res-Rec Calculations'!F17))))))))</f>
        <v>NA</v>
      </c>
      <c r="L17" s="167" t="str">
        <f>IF(AND(H17="NA",I17="NA",J17="NA"),"NA",IF(H17="NA",'Res-Rec Equations'!$B$15*'Res-Rec Equations'!$B$16/J17,IF(J17="NA",'Res-Rec Equations'!$B$15*'Res-Rec Equations'!$B$16/(H17+I17),'Res-Rec Equations'!$B$15*'Res-Rec Equations'!$B$16/(H17+I17+J17))))</f>
        <v>NA</v>
      </c>
      <c r="M17" s="167" t="str">
        <f>IF(AND(H17="NA",I17="NA",K17="NA"),"NA",IF(H17="NA",'Res-Rec Equations'!$B$15*'Res-Rec Equations'!$B$16/K17,IF(K17="NA",'Res-Rec Equations'!$B$15*'Res-Rec Equations'!$B$16/(H17+I17),'Res-Rec Equations'!$B$15*'Res-Rec Equations'!$B$16/(H17+I17+K17))))</f>
        <v>NA</v>
      </c>
      <c r="N17" s="167" t="str">
        <f t="shared" si="0"/>
        <v>NA</v>
      </c>
      <c r="O17" s="371">
        <f>IF('Chemical Info'!L18="NA","NA",IF('Chemical Info'!E18="Yes",(('Res-Rec Equations'!$B$76*'Chemical Info'!AD18*'Res-Rec Equations'!$B$78*'Res-Rec Equations'!$B$79*'Res-Rec Equations'!$B$81)/('Res-Rec Equations'!$B$84*'Res-Rec Equations'!$B$85))/'Chemical Info'!L18,(('Res-Rec Equations'!$B$76*'Chemical Info'!AD18*'Res-Rec Equations'!$B$78*'Res-Rec Equations'!$B$79*'Res-Rec Equations'!$B$80)/('Res-Rec Equations'!$B$84*'Res-Rec Equations'!$B$85))/'Chemical Info'!L18))</f>
        <v>2.1308980213089802E-4</v>
      </c>
      <c r="P17" s="166">
        <f>IF('Chemical Info'!L18="NA","NA", IF('Chemical Info'!E18="Yes",0,((('Res-Rec Equations'!$B$87*'Res-Rec Equations'!$B$88*'Res-Rec Equations'!$B$78*'Res-Rec Equations'!$B$82*'Res-Rec Equations'!$B$79*'Chemical Info'!AB18)/('Res-Rec Equations'!$B$84*'Res-Rec Equations'!$B$85))/('Chemical Info'!L18*'Chemical Info'!AF18))))</f>
        <v>0</v>
      </c>
      <c r="Q17" s="166">
        <f>IF('Chemical Info'!N18="NA","NA",IF('Res-Rec Calculations'!E17="NA",(('Res-Rec Equations'!$B$83*'Res-Rec Equations'!$B$79*'Res-Rec Calculations'!C17)/('Res-Rec Equations'!$B$85))/('Chemical Info'!N18),IF('Chemical Info'!E18="Yes",(('Res-Rec Equations'!$B$83*'Res-Rec Equations'!$B$79*'Res-Rec Calculations'!E17)/('Res-Rec Equations'!$B$85))/('Chemical Info'!N18),(('Res-Rec Equations'!$B$83*'Res-Rec Equations'!$B$79*('Res-Rec Calculations'!C17+'Res-Rec Calculations'!E17))/('Res-Rec Equations'!$B$85))/('Chemical Info'!N18))))</f>
        <v>3.8760632719262236E-8</v>
      </c>
      <c r="R17" s="166">
        <f>IF('Chemical Info'!N18="NA","NA",IF('Res-Rec Calculations'!F17="NA",(('Res-Rec Equations'!$B$83*'Res-Rec Equations'!$B$79*'Res-Rec Calculations'!C17)/('Res-Rec Equations'!$B$85))/('Chemical Info'!N18),IF('Chemical Info'!E18="Yes",(('Res-Rec Equations'!$B$83*'Res-Rec Equations'!$B$79*'Res-Rec Calculations'!F17)/('Res-Rec Equations'!$B$85))/('Chemical Info'!N18),(('Res-Rec Equations'!$B$83*'Res-Rec Equations'!$B$79*('Res-Rec Calculations'!C17+'Res-Rec Calculations'!F17))/('Res-Rec Equations'!$B$85))/('Chemical Info'!N18))))</f>
        <v>3.8760632719262236E-8</v>
      </c>
      <c r="S17" s="167">
        <f>IF(AND(O17="NA",P17="NA",Q17="NA"),"NA",IF(O17="NA",'Res-Rec Equations'!$B$75/Q17,IF(Q17="NA",'Res-Rec Equations'!$B$75/(O17+P17),'Res-Rec Equations'!$B$75/(O17+P17+Q17))))</f>
        <v>938.40073524927641</v>
      </c>
      <c r="T17" s="167">
        <f>IF(AND(O17="NA",P17="NA",R17="NA"),"NA",IF(O17="NA",'Res-Rec Equations'!$B$75/R17,IF(R17="NA",'Res-Rec Equations'!$B$75/(O17+P17),'Res-Rec Equations'!$B$75/(O17+P17+R17))))</f>
        <v>938.40073524927641</v>
      </c>
      <c r="U17" s="168">
        <f t="shared" si="1"/>
        <v>938.40073524927641</v>
      </c>
      <c r="V17" s="167">
        <f>IF('Chemical Info'!P18="NA","NA",(('Res-Rec Equations'!$B$185*'Res-Rec Equations'!$B$186)/('Res-Rec Equations'!$B$187*'Res-Rec Equations'!$B$188*(1/'Chemical Info'!P18))))</f>
        <v>650</v>
      </c>
      <c r="W17" s="379">
        <f t="shared" si="2"/>
        <v>650</v>
      </c>
      <c r="X17" s="372">
        <f t="shared" si="3"/>
        <v>938.40073524927641</v>
      </c>
      <c r="Y17" s="62">
        <f t="shared" si="4"/>
        <v>940</v>
      </c>
      <c r="Z17" s="100" t="str">
        <f t="shared" si="5"/>
        <v>Noncancer</v>
      </c>
      <c r="AA17" s="373"/>
    </row>
    <row r="18" spans="1:28">
      <c r="A18" s="413" t="s">
        <v>105</v>
      </c>
      <c r="B18" s="566" t="s">
        <v>106</v>
      </c>
      <c r="C18" s="367">
        <f>1/(('Res-Rec Equations'!$B$152*3600)/((0.036*(1-'Res-Rec Equations'!$B$153))*('Res-Rec Equations'!$B$154/'Res-Rec Equations'!$B$155)^3*'Res-Rec Equations'!$B$156))</f>
        <v>7.3567680901159717E-10</v>
      </c>
      <c r="D18" s="368">
        <f>(('Res-Rec Equations'!$B$132^(10/3)*'Chemical Info'!$AH19*'Chemical Info'!$AN19*41+'Res-Rec Equations'!$B$135^(10/3)*'Chemical Info'!$AJ19)/'Res-Rec Equations'!$B$137^2)/('Res-Rec Equations'!$B$139*'Chemical Info'!$AL19*'Res-Rec Equations'!$B$142+'Res-Rec Equations'!$B$135+'Res-Rec Equations'!$B$132*'Chemical Info'!$AN19*41)</f>
        <v>0</v>
      </c>
      <c r="E18" s="368" t="str">
        <f>IF(D18=0,"NA",1/(('Res-Rec Equations'!$B$103*(3.14*'Res-Rec Calculations'!$D18*'Res-Rec Equations'!$B$105)^(1/2)*0.0001)/(2*'Res-Rec Equations'!$B$106*'Res-Rec Calculations'!$D18)))</f>
        <v>NA</v>
      </c>
      <c r="F18" s="368" t="str">
        <f>IF(D18=0,"NA",(1/('Res-Rec Equations'!$B$117*('Res-Rec Equations'!$B$118*(31500000))/('Res-Rec Equations'!$B$119*'Res-Rec Equations'!$B$120*1000000))))</f>
        <v>NA</v>
      </c>
      <c r="G18" s="167" t="str">
        <f>IF('Chemical Info'!E19="Yes",('Chemical Info'!AP19/'Res-Rec Equations'!$B$168)*((('Chemical Info'!AL19*'Res-Rec Equations'!$B$170)*'Res-Rec Equations'!$B$168)+'Res-Rec Equations'!$B$171+('Chemical Info'!AN19*41)*'Res-Rec Equations'!$B$173),"NA")</f>
        <v>NA</v>
      </c>
      <c r="H18" s="112" t="str">
        <f>IF('Chemical Info'!H19="NA","NA",IF(AND('Chemical Info'!E19="Yes",'Chemical Info'!D19="Yes"),'Chemical Info'!H19*'Chemical Info'!AD19*'Res-Rec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Info'!E19="Yes",'Chemical Info'!D19=""),'Chemical Info'!H19*'Chemical Info'!AD19*'Res-Rec Equations'!$B$20*'Res-Rec Equations'!$B$23*((('Res-Rec Equations'!$B$26*'Res-Rec Equations'!$B$29)/'Res-Rec Equations'!$B$32)+(('Res-Rec Equations'!$B$27*'Res-Rec Equations'!$B$30)/'Res-Rec Equations'!$B$33)+(('Res-Rec Equations'!$B$28*'Res-Rec Equations'!$B$31)/'Res-Rec Equations'!$B$34)),IF(AND('Chemical Info'!E19="No",'Chemical Info'!D19="Yes"),'Chemical Info'!H19*'Chemical Info'!AD19*'Res-Rec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Info'!E19="No",'Chemical Info'!D19=""),'Chemical Info'!H19*'Chemical Info'!AD19*'Res-Rec Equations'!$B$19*'Res-Rec Equations'!$B$23*((('Res-Rec Equations'!$B$26*'Res-Rec Equations'!$B$29)/'Res-Rec Equations'!$B$32)+(('Res-Rec Equations'!$B$27*'Res-Rec Equations'!$B$30)/'Res-Rec Equations'!$B$33)+(('Res-Rec Equations'!$B$28*'Res-Rec Equations'!$B$31)/'Res-Rec Equations'!$B$34)))))))</f>
        <v>NA</v>
      </c>
      <c r="I18" s="166" t="str">
        <f>IF('Chemical Info'!H19="NA","NA",IF('Chemical Info'!E19="Yes",0,IF('Chemical Info'!D19="Yes",'Chemical Info'!H19/'Chemical Info'!AF19*('Res-Rec Equations'!$B$21*'Chemical Info'!AB19*'Res-Rec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Info'!H19/'Chemical Info'!AF19*('Res-Rec Equations'!$B$21*'Chemical Info'!AB19*'Res-Rec Equations'!$B$23)*((('Res-Rec Equations'!$B$26*'Res-Rec Equations'!$B$37*'Res-Rec Equations'!$B$40)/'Res-Rec Equations'!$B$32)+(('Res-Rec Equations'!$B$27*'Res-Rec Equations'!$B$38*'Res-Rec Equations'!$B$41)/'Res-Rec Equations'!$B$33)+(('Res-Rec Equations'!$B$28*'Res-Rec Equations'!$B$39*'Res-Rec Equations'!$B$42)/'Res-Rec Equations'!$B$34)))))</f>
        <v>NA</v>
      </c>
      <c r="J18" s="369" t="str">
        <f>IF('Chemical Info'!J19="NA","NA",IF(AND(E18="NA",'Chemical Info'!D19="Yes"),'Res-Rec Equations'!$B$22*1000*(('Res-Rec Equations'!$B$26*'Chemical Info'!J19*'Res-Rec Equations'!$B$59)+('Res-Rec Equations'!$B$27*'Chemical Info'!J19*'Res-Rec Equations'!$B$60)+('Res-Rec Equations'!$B$28*'Chemical Info'!J19*'Res-Rec Equations'!$B$61))*'Res-Rec Calculations'!C18,IF(AND(E18="NA",'Chemical Info'!D19=""),'Res-Rec Equations'!$B$22*1000*'Res-Rec Equations'!$B$25*'Chemical Info'!J19*'Res-Rec Calculations'!C18,IF(AND('Chemical Info'!E19="Yes",'Chemical Info'!D19="Yes"),'Res-Rec Equations'!$B$22*1000*(('Res-Rec Equations'!$B$26*'Chemical Info'!J19*'Res-Rec Equations'!$B$59)+('Res-Rec Equations'!$B$27*'Chemical Info'!J19*'Res-Rec Equations'!$B$60)+('Res-Rec Equations'!$B$28*'Chemical Info'!J19*'Res-Rec Equations'!$B$61))*'Res-Rec Calculations'!E18,IF(AND('Chemical Info'!E19="Yes",'Chemical Info'!D19=""),'Res-Rec Equations'!$B$22*1000*'Res-Rec Equations'!$B$25*'Chemical Info'!J19*'Res-Rec Calculations'!E18,IF('Chemical Info'!D19="Yes",'Res-Rec Equations'!$B$22*1000*(('Res-Rec Equations'!$B$26*'Chemical Info'!J19*'Res-Rec Equations'!$B$59)+('Res-Rec Equations'!$B$27*'Chemical Info'!J19*'Res-Rec Equations'!$B$60)+('Res-Rec Equations'!$B$28*'Chemical Info'!J19*'Res-Rec Equations'!$B$61))*('Res-Rec Calculations'!C18+'Res-Rec Calculations'!E18),IF('Chemical Info'!D19="",'Res-Rec Equations'!$B$22*1000*'Res-Rec Equations'!$B$25*'Chemical Info'!J19*('Res-Rec Calculations'!C18+'Res-Rec Calculations'!E18))))))))</f>
        <v>NA</v>
      </c>
      <c r="K18" s="370" t="str">
        <f>IF('Chemical Info'!J19="NA","NA",IF(AND(F18="NA",'Chemical Info'!D19="Yes"),'Res-Rec Equations'!$B$22*1000*(('Res-Rec Equations'!$B$26*'Chemical Info'!J19*'Res-Rec Equations'!$B$59)+('Res-Rec Equations'!$B$27*'Chemical Info'!J19*'Res-Rec Equations'!$B$60)+('Res-Rec Equations'!$B$28*'Chemical Info'!J19*'Res-Rec Equations'!$B$61))*'Res-Rec Calculations'!C18,IF(AND(F18="NA",'Chemical Info'!D19=""),'Res-Rec Equations'!$B$22*1000*'Res-Rec Equations'!$B$25*'Chemical Info'!J19*'Res-Rec Calculations'!C18,IF(AND('Chemical Info'!F19="Yes",'Chemical Info'!D19="Yes"),'Res-Rec Equations'!$B$22*1000*(('Res-Rec Equations'!$B$26*'Chemical Info'!J19*'Res-Rec Equations'!$B$59)+('Res-Rec Equations'!$B$27*'Chemical Info'!J19*'Res-Rec Equations'!$B$60)+('Res-Rec Equations'!$B$28*'Chemical Info'!J19*'Res-Rec Equations'!$B$61))*'Res-Rec Calculations'!F18,IF(AND('Chemical Info'!F19="Yes",'Chemical Info'!D19=""),'Res-Rec Equations'!$B$22*1000*'Res-Rec Equations'!$B$25*'Chemical Info'!J19*'Res-Rec Calculations'!F18,IF('Chemical Info'!D19="Yes",'Res-Rec Equations'!$B$22*1000*(('Res-Rec Equations'!$B$26*'Chemical Info'!J19*'Res-Rec Equations'!$B$59)+('Res-Rec Equations'!$B$27*'Chemical Info'!J19*'Res-Rec Equations'!$B$60)+('Res-Rec Equations'!$B$28*'Chemical Info'!J19*'Res-Rec Equations'!$B$61))*('Res-Rec Calculations'!C18+'Res-Rec Calculations'!F18),IF('Chemical Info'!D19="",'Res-Rec Equations'!$B$22*1000*'Res-Rec Equations'!$B$25*'Chemical Info'!J19*('Res-Rec Calculations'!C18+'Res-Rec Calculations'!F18))))))))</f>
        <v>NA</v>
      </c>
      <c r="L18" s="167" t="str">
        <f>IF(AND(H18="NA",I18="NA",J18="NA"),"NA",IF(H18="NA",'Res-Rec Equations'!$B$15*'Res-Rec Equations'!$B$16/J18,IF(J18="NA",'Res-Rec Equations'!$B$15*'Res-Rec Equations'!$B$16/(H18+I18),'Res-Rec Equations'!$B$15*'Res-Rec Equations'!$B$16/(H18+I18+J18))))</f>
        <v>NA</v>
      </c>
      <c r="M18" s="167" t="str">
        <f>IF(AND(H18="NA",I18="NA",K18="NA"),"NA",IF(H18="NA",'Res-Rec Equations'!$B$15*'Res-Rec Equations'!$B$16/K18,IF(K18="NA",'Res-Rec Equations'!$B$15*'Res-Rec Equations'!$B$16/(H18+I18),'Res-Rec Equations'!$B$15*'Res-Rec Equations'!$B$16/(H18+I18+K18))))</f>
        <v>NA</v>
      </c>
      <c r="N18" s="167" t="str">
        <f t="shared" si="0"/>
        <v>NA</v>
      </c>
      <c r="O18" s="371">
        <f>IF('Chemical Info'!L19="NA","NA",IF('Chemical Info'!E19="Yes",(('Res-Rec Equations'!$B$76*'Chemical Info'!AD19*'Res-Rec Equations'!$B$78*'Res-Rec Equations'!$B$79*'Res-Rec Equations'!$B$81)/('Res-Rec Equations'!$B$84*'Res-Rec Equations'!$B$85))/'Chemical Info'!L19,(('Res-Rec Equations'!$B$76*'Chemical Info'!AD19*'Res-Rec Equations'!$B$78*'Res-Rec Equations'!$B$79*'Res-Rec Equations'!$B$80)/('Res-Rec Equations'!$B$84*'Res-Rec Equations'!$B$85))/'Chemical Info'!L19))</f>
        <v>1.8264840182648402E-5</v>
      </c>
      <c r="P18" s="166">
        <f>IF('Chemical Info'!L19="NA","NA", IF('Chemical Info'!E19="Yes",0,((('Res-Rec Equations'!$B$87*'Res-Rec Equations'!$B$88*'Res-Rec Equations'!$B$78*'Res-Rec Equations'!$B$82*'Res-Rec Equations'!$B$79*'Chemical Info'!AB19)/('Res-Rec Equations'!$B$84*'Res-Rec Equations'!$B$85))/('Chemical Info'!L19*'Chemical Info'!AF19))))</f>
        <v>0</v>
      </c>
      <c r="Q18" s="166" t="str">
        <f>IF('Chemical Info'!N19="NA","NA",IF('Res-Rec Calculations'!E18="NA",(('Res-Rec Equations'!$B$83*'Res-Rec Equations'!$B$79*'Res-Rec Calculations'!C18)/('Res-Rec Equations'!$B$85))/('Chemical Info'!N19),IF('Chemical Info'!E19="Yes",(('Res-Rec Equations'!$B$83*'Res-Rec Equations'!$B$79*'Res-Rec Calculations'!E18)/('Res-Rec Equations'!$B$85))/('Chemical Info'!N19),(('Res-Rec Equations'!$B$83*'Res-Rec Equations'!$B$79*('Res-Rec Calculations'!C18+'Res-Rec Calculations'!E18))/('Res-Rec Equations'!$B$85))/('Chemical Info'!N19))))</f>
        <v>NA</v>
      </c>
      <c r="R18" s="166" t="str">
        <f>IF('Chemical Info'!N19="NA","NA",IF('Res-Rec Calculations'!F18="NA",(('Res-Rec Equations'!$B$83*'Res-Rec Equations'!$B$79*'Res-Rec Calculations'!C18)/('Res-Rec Equations'!$B$85))/('Chemical Info'!N19),IF('Chemical Info'!E19="Yes",(('Res-Rec Equations'!$B$83*'Res-Rec Equations'!$B$79*'Res-Rec Calculations'!F18)/('Res-Rec Equations'!$B$85))/('Chemical Info'!N19),(('Res-Rec Equations'!$B$83*'Res-Rec Equations'!$B$79*('Res-Rec Calculations'!C18+'Res-Rec Calculations'!F18))/('Res-Rec Equations'!$B$85))/('Chemical Info'!N19))))</f>
        <v>NA</v>
      </c>
      <c r="S18" s="167">
        <f>IF(AND(O18="NA",P18="NA",Q18="NA"),"NA",IF(O18="NA",'Res-Rec Equations'!$B$75/Q18,IF(Q18="NA",'Res-Rec Equations'!$B$75/(O18+P18),'Res-Rec Equations'!$B$75/(O18+P18+Q18))))</f>
        <v>10950</v>
      </c>
      <c r="T18" s="167">
        <f>IF(AND(O18="NA",P18="NA",R18="NA"),"NA",IF(O18="NA",'Res-Rec Equations'!$B$75/R18,IF(R18="NA",'Res-Rec Equations'!$B$75/(O18+P18),'Res-Rec Equations'!$B$75/(O18+P18+R18))))</f>
        <v>10950</v>
      </c>
      <c r="U18" s="168">
        <f t="shared" si="1"/>
        <v>10950</v>
      </c>
      <c r="V18" s="167" t="str">
        <f>IF('Chemical Info'!P19="NA","NA",(('Res-Rec Equations'!$B$185*'Res-Rec Equations'!$B$186)/('Res-Rec Equations'!$B$187*'Res-Rec Equations'!$B$188*(1/'Chemical Info'!P19))))</f>
        <v>NA</v>
      </c>
      <c r="W18" s="379" t="str">
        <f t="shared" si="2"/>
        <v>NA</v>
      </c>
      <c r="X18" s="372">
        <f t="shared" si="3"/>
        <v>10950</v>
      </c>
      <c r="Y18" s="62">
        <f t="shared" si="4"/>
        <v>11000</v>
      </c>
      <c r="Z18" s="100" t="str">
        <f t="shared" si="5"/>
        <v>Noncancer</v>
      </c>
      <c r="AA18" s="373"/>
    </row>
    <row r="19" spans="1:28" s="420" customFormat="1">
      <c r="A19" s="413" t="s">
        <v>107</v>
      </c>
      <c r="B19" s="566" t="s">
        <v>108</v>
      </c>
      <c r="C19" s="367">
        <f>1/(('Res-Rec Equations'!$B$152*3600)/((0.036*(1-'Res-Rec Equations'!$B$153))*('Res-Rec Equations'!$B$154/'Res-Rec Equations'!$B$155)^3*'Res-Rec Equations'!$B$156))</f>
        <v>7.3567680901159717E-10</v>
      </c>
      <c r="D19" s="416">
        <f>(('Res-Rec Equations'!$B$132^(10/3)*'Chemical Info'!$AH20*'Chemical Info'!$AN20*41+'Res-Rec Equations'!$B$135^(10/3)*'Chemical Info'!$AJ20)/'Res-Rec Equations'!$B$137^2)/('Res-Rec Equations'!$B$139*'Chemical Info'!$AL20*'Res-Rec Equations'!$B$142+'Res-Rec Equations'!$B$135+'Res-Rec Equations'!$B$132*'Chemical Info'!$AN20*41)</f>
        <v>0</v>
      </c>
      <c r="E19" s="416" t="str">
        <f>IF(D19=0,"NA",1/(('Res-Rec Equations'!$B$103*(3.14*'Res-Rec Calculations'!$D19*'Res-Rec Equations'!$B$105)^(1/2)*0.0001)/(2*'Res-Rec Equations'!$B$106*'Res-Rec Calculations'!$D19)))</f>
        <v>NA</v>
      </c>
      <c r="F19" s="416" t="str">
        <f>IF(D19=0,"NA",(1/('Res-Rec Equations'!$B$117*('Res-Rec Equations'!$B$118*(31500000))/('Res-Rec Equations'!$B$119*'Res-Rec Equations'!$B$120*1000000))))</f>
        <v>NA</v>
      </c>
      <c r="G19" s="417" t="str">
        <f>IF('Chemical Info'!E20="Yes",('Chemical Info'!AP20/'Res-Rec Equations'!$B$168)*((('Chemical Info'!AL20*'Res-Rec Equations'!$B$170)*'Res-Rec Equations'!$B$168)+'Res-Rec Equations'!$B$171+('Chemical Info'!AN20*41)*'Res-Rec Equations'!$B$173),"NA")</f>
        <v>NA</v>
      </c>
      <c r="H19" s="161" t="str">
        <f>IF('Chemical Info'!H20="NA","NA",IF(AND('Chemical Info'!E20="Yes",'Chemical Info'!D20="Yes"),'Chemical Info'!H20*'Chemical Info'!AD20*'Res-Rec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Info'!E20="Yes",'Chemical Info'!D20=""),'Chemical Info'!H20*'Chemical Info'!AD20*'Res-Rec Equations'!$B$20*'Res-Rec Equations'!$B$23*((('Res-Rec Equations'!$B$26*'Res-Rec Equations'!$B$29)/'Res-Rec Equations'!$B$32)+(('Res-Rec Equations'!$B$27*'Res-Rec Equations'!$B$30)/'Res-Rec Equations'!$B$33)+(('Res-Rec Equations'!$B$28*'Res-Rec Equations'!$B$31)/'Res-Rec Equations'!$B$34)),IF(AND('Chemical Info'!E20="No",'Chemical Info'!D20="Yes"),'Chemical Info'!H20*'Chemical Info'!AD20*'Res-Rec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Info'!E20="No",'Chemical Info'!D20=""),'Chemical Info'!H20*'Chemical Info'!AD20*'Res-Rec Equations'!$B$19*'Res-Rec Equations'!$B$23*((('Res-Rec Equations'!$B$26*'Res-Rec Equations'!$B$29)/'Res-Rec Equations'!$B$32)+(('Res-Rec Equations'!$B$27*'Res-Rec Equations'!$B$30)/'Res-Rec Equations'!$B$33)+(('Res-Rec Equations'!$B$28*'Res-Rec Equations'!$B$31)/'Res-Rec Equations'!$B$34)))))))</f>
        <v>NA</v>
      </c>
      <c r="I19" s="369" t="str">
        <f>IF('Chemical Info'!H20="NA","NA",IF('Chemical Info'!E20="Yes",0,IF('Chemical Info'!D20="Yes",'Chemical Info'!H20/'Chemical Info'!AF20*('Res-Rec Equations'!$B$21*'Chemical Info'!AB20*'Res-Rec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Info'!H20/'Chemical Info'!AF20*('Res-Rec Equations'!$B$21*'Chemical Info'!AB20*'Res-Rec Equations'!$B$23)*((('Res-Rec Equations'!$B$26*'Res-Rec Equations'!$B$37*'Res-Rec Equations'!$B$40)/'Res-Rec Equations'!$B$32)+(('Res-Rec Equations'!$B$27*'Res-Rec Equations'!$B$38*'Res-Rec Equations'!$B$41)/'Res-Rec Equations'!$B$33)+(('Res-Rec Equations'!$B$28*'Res-Rec Equations'!$B$39*'Res-Rec Equations'!$B$42)/'Res-Rec Equations'!$B$34)))))</f>
        <v>NA</v>
      </c>
      <c r="J19" s="369" t="str">
        <f>IF('Chemical Info'!J20="NA","NA",IF(AND(E19="NA",'Chemical Info'!D20="Yes"),'Res-Rec Equations'!$B$22*1000*(('Res-Rec Equations'!$B$26*'Chemical Info'!J20*'Res-Rec Equations'!$B$59)+('Res-Rec Equations'!$B$27*'Chemical Info'!J20*'Res-Rec Equations'!$B$60)+('Res-Rec Equations'!$B$28*'Chemical Info'!J20*'Res-Rec Equations'!$B$61))*'Res-Rec Calculations'!C19,IF(AND(E19="NA",'Chemical Info'!D20=""),'Res-Rec Equations'!$B$22*1000*'Res-Rec Equations'!$B$25*'Chemical Info'!J20*'Res-Rec Calculations'!C19,IF(AND('Chemical Info'!E20="Yes",'Chemical Info'!D20="Yes"),'Res-Rec Equations'!$B$22*1000*(('Res-Rec Equations'!$B$26*'Chemical Info'!J20*'Res-Rec Equations'!$B$59)+('Res-Rec Equations'!$B$27*'Chemical Info'!J20*'Res-Rec Equations'!$B$60)+('Res-Rec Equations'!$B$28*'Chemical Info'!J20*'Res-Rec Equations'!$B$61))*'Res-Rec Calculations'!E19,IF(AND('Chemical Info'!E20="Yes",'Chemical Info'!D20=""),'Res-Rec Equations'!$B$22*1000*'Res-Rec Equations'!$B$25*'Chemical Info'!J20*'Res-Rec Calculations'!E19,IF('Chemical Info'!D20="Yes",'Res-Rec Equations'!$B$22*1000*(('Res-Rec Equations'!$B$26*'Chemical Info'!J20*'Res-Rec Equations'!$B$59)+('Res-Rec Equations'!$B$27*'Chemical Info'!J20*'Res-Rec Equations'!$B$60)+('Res-Rec Equations'!$B$28*'Chemical Info'!J20*'Res-Rec Equations'!$B$61))*('Res-Rec Calculations'!C19+'Res-Rec Calculations'!E19),IF('Chemical Info'!D20="",'Res-Rec Equations'!$B$22*1000*'Res-Rec Equations'!$B$25*'Chemical Info'!J20*('Res-Rec Calculations'!C19+'Res-Rec Calculations'!E19))))))))</f>
        <v>NA</v>
      </c>
      <c r="K19" s="370" t="str">
        <f>IF('Chemical Info'!J20="NA","NA",IF(AND(F19="NA",'Chemical Info'!D20="Yes"),'Res-Rec Equations'!$B$22*1000*(('Res-Rec Equations'!$B$26*'Chemical Info'!J20*'Res-Rec Equations'!$B$59)+('Res-Rec Equations'!$B$27*'Chemical Info'!J20*'Res-Rec Equations'!$B$60)+('Res-Rec Equations'!$B$28*'Chemical Info'!J20*'Res-Rec Equations'!$B$61))*'Res-Rec Calculations'!C19,IF(AND(F19="NA",'Chemical Info'!D20=""),'Res-Rec Equations'!$B$22*1000*'Res-Rec Equations'!$B$25*'Chemical Info'!J20*'Res-Rec Calculations'!C19,IF(AND('Chemical Info'!F20="Yes",'Chemical Info'!D20="Yes"),'Res-Rec Equations'!$B$22*1000*(('Res-Rec Equations'!$B$26*'Chemical Info'!J20*'Res-Rec Equations'!$B$59)+('Res-Rec Equations'!$B$27*'Chemical Info'!J20*'Res-Rec Equations'!$B$60)+('Res-Rec Equations'!$B$28*'Chemical Info'!J20*'Res-Rec Equations'!$B$61))*'Res-Rec Calculations'!F19,IF(AND('Chemical Info'!F20="Yes",'Chemical Info'!D20=""),'Res-Rec Equations'!$B$22*1000*'Res-Rec Equations'!$B$25*'Chemical Info'!J20*'Res-Rec Calculations'!F19,IF('Chemical Info'!D20="Yes",'Res-Rec Equations'!$B$22*1000*(('Res-Rec Equations'!$B$26*'Chemical Info'!J20*'Res-Rec Equations'!$B$59)+('Res-Rec Equations'!$B$27*'Chemical Info'!J20*'Res-Rec Equations'!$B$60)+('Res-Rec Equations'!$B$28*'Chemical Info'!J20*'Res-Rec Equations'!$B$61))*('Res-Rec Calculations'!C19+'Res-Rec Calculations'!F19),IF('Chemical Info'!D20="",'Res-Rec Equations'!$B$22*1000*'Res-Rec Equations'!$B$25*'Chemical Info'!J20*('Res-Rec Calculations'!C19+'Res-Rec Calculations'!F19))))))))</f>
        <v>NA</v>
      </c>
      <c r="L19" s="417" t="str">
        <f>IF(AND(H19="NA",I19="NA",J19="NA"),"NA",IF(H19="NA",'Res-Rec Equations'!$B$15*'Res-Rec Equations'!$B$16/J19,IF(J19="NA",'Res-Rec Equations'!$B$15*'Res-Rec Equations'!$B$16/(H19+I19),'Res-Rec Equations'!$B$15*'Res-Rec Equations'!$B$16/(H19+I19+J19))))</f>
        <v>NA</v>
      </c>
      <c r="M19" s="417" t="str">
        <f>IF(AND(H19="NA",I19="NA",K19="NA"),"NA",IF(H19="NA",'Res-Rec Equations'!$B$15*'Res-Rec Equations'!$B$16/K19,IF(K19="NA",'Res-Rec Equations'!$B$15*'Res-Rec Equations'!$B$16/(H19+I19),'Res-Rec Equations'!$B$15*'Res-Rec Equations'!$B$16/(H19+I19+K19))))</f>
        <v>NA</v>
      </c>
      <c r="N19" s="417" t="str">
        <f t="shared" si="0"/>
        <v>NA</v>
      </c>
      <c r="O19" s="418" t="str">
        <f>IF('Chemical Info'!L20="NA","NA",IF('Chemical Info'!E20="Yes",(('Res-Rec Equations'!$B$76*'Chemical Info'!AD20*'Res-Rec Equations'!$B$78*'Res-Rec Equations'!$B$79*'Res-Rec Equations'!$B$81)/('Res-Rec Equations'!$B$84*'Res-Rec Equations'!$B$85))/'Chemical Info'!L20,(('Res-Rec Equations'!$B$76*'Chemical Info'!AD20*'Res-Rec Equations'!$B$78*'Res-Rec Equations'!$B$79*'Res-Rec Equations'!$B$80)/('Res-Rec Equations'!$B$84*'Res-Rec Equations'!$B$85))/'Chemical Info'!L20))</f>
        <v>NA</v>
      </c>
      <c r="P19" s="369" t="str">
        <f>IF('Chemical Info'!L20="NA","NA", IF('Chemical Info'!E20="Yes",0,((('Res-Rec Equations'!$B$87*'Res-Rec Equations'!$B$88*'Res-Rec Equations'!$B$78*'Res-Rec Equations'!$B$82*'Res-Rec Equations'!$B$79*'Chemical Info'!AB20)/('Res-Rec Equations'!$B$84*'Res-Rec Equations'!$B$85))/('Chemical Info'!L20*'Chemical Info'!AF20))))</f>
        <v>NA</v>
      </c>
      <c r="Q19" s="166" t="str">
        <f>IF('Chemical Info'!N20="NA","NA",IF('Res-Rec Calculations'!E19="NA",(('Res-Rec Equations'!$B$83*'Res-Rec Equations'!$B$79*'Res-Rec Calculations'!C19)/('Res-Rec Equations'!$B$85))/('Chemical Info'!N20),IF('Chemical Info'!E20="Yes",(('Res-Rec Equations'!$B$83*'Res-Rec Equations'!$B$79*'Res-Rec Calculations'!E19)/('Res-Rec Equations'!$B$85))/('Chemical Info'!N20),(('Res-Rec Equations'!$B$83*'Res-Rec Equations'!$B$79*('Res-Rec Calculations'!C19+'Res-Rec Calculations'!E19))/('Res-Rec Equations'!$B$85))/('Chemical Info'!N20))))</f>
        <v>NA</v>
      </c>
      <c r="R19" s="166" t="str">
        <f>IF('Chemical Info'!N20="NA","NA",IF('Res-Rec Calculations'!F19="NA",(('Res-Rec Equations'!$B$83*'Res-Rec Equations'!$B$79*'Res-Rec Calculations'!C19)/('Res-Rec Equations'!$B$85))/('Chemical Info'!N20),IF('Chemical Info'!E20="Yes",(('Res-Rec Equations'!$B$83*'Res-Rec Equations'!$B$79*'Res-Rec Calculations'!F19)/('Res-Rec Equations'!$B$85))/('Chemical Info'!N20),(('Res-Rec Equations'!$B$83*'Res-Rec Equations'!$B$79*('Res-Rec Calculations'!C19+'Res-Rec Calculations'!F19))/('Res-Rec Equations'!$B$85))/('Chemical Info'!N20))))</f>
        <v>NA</v>
      </c>
      <c r="S19" s="417" t="str">
        <f>IF(AND(O19="NA",P19="NA",Q19="NA"),"NA",IF(O19="NA",'Res-Rec Equations'!$B$75/Q19,IF(Q19="NA",'Res-Rec Equations'!$B$75/(O19+P19),'Res-Rec Equations'!$B$75/(O19+P19+Q19))))</f>
        <v>NA</v>
      </c>
      <c r="T19" s="417" t="str">
        <f>IF(AND(O19="NA",P19="NA",R19="NA"),"NA",IF(O19="NA",'Res-Rec Equations'!$B$75/R19,IF(R19="NA",'Res-Rec Equations'!$B$75/(O19+P19),'Res-Rec Equations'!$B$75/(O19+P19+R19))))</f>
        <v>NA</v>
      </c>
      <c r="U19" s="419" t="str">
        <f t="shared" si="1"/>
        <v>NA</v>
      </c>
      <c r="V19" s="167" t="str">
        <f>IF('Chemical Info'!P20="NA","NA",(('Res-Rec Equations'!$B$185*'Res-Rec Equations'!$B$186)/('Res-Rec Equations'!$B$187*'Res-Rec Equations'!$B$188*(1/'Chemical Info'!P20))))</f>
        <v>NA</v>
      </c>
      <c r="W19" s="379" t="str">
        <f t="shared" si="2"/>
        <v>NA</v>
      </c>
      <c r="X19" s="372" t="str">
        <f t="shared" si="3"/>
        <v>NA</v>
      </c>
      <c r="Y19" s="62">
        <v>200</v>
      </c>
      <c r="Z19" s="100" t="s">
        <v>334</v>
      </c>
      <c r="AA19" s="413" t="s">
        <v>584</v>
      </c>
    </row>
    <row r="20" spans="1:28">
      <c r="A20" s="413" t="s">
        <v>109</v>
      </c>
      <c r="B20" s="566" t="s">
        <v>110</v>
      </c>
      <c r="C20" s="367">
        <f>1/(('Res-Rec Equations'!$B$152*3600)/((0.036*(1-'Res-Rec Equations'!$B$153))*('Res-Rec Equations'!$B$154/'Res-Rec Equations'!$B$155)^3*'Res-Rec Equations'!$B$156))</f>
        <v>7.3567680901159717E-10</v>
      </c>
      <c r="D20" s="368">
        <f>(('Res-Rec Equations'!$B$132^(10/3)*'Chemical Info'!$AH21*'Chemical Info'!$AN21*41+'Res-Rec Equations'!$B$135^(10/3)*'Chemical Info'!$AJ21)/'Res-Rec Equations'!$B$137^2)/('Res-Rec Equations'!$B$139*'Chemical Info'!$AL21*'Res-Rec Equations'!$B$142+'Res-Rec Equations'!$B$135+'Res-Rec Equations'!$B$132*'Chemical Info'!$AN21*41)</f>
        <v>0</v>
      </c>
      <c r="E20" s="368" t="str">
        <f>IF(D20=0,"NA",1/(('Res-Rec Equations'!$B$103*(3.14*'Res-Rec Calculations'!$D20*'Res-Rec Equations'!$B$105)^(1/2)*0.0001)/(2*'Res-Rec Equations'!$B$106*'Res-Rec Calculations'!$D20)))</f>
        <v>NA</v>
      </c>
      <c r="F20" s="368" t="str">
        <f>IF(D20=0,"NA",(1/('Res-Rec Equations'!$B$117*('Res-Rec Equations'!$B$118*(31500000))/('Res-Rec Equations'!$B$119*'Res-Rec Equations'!$B$120*1000000))))</f>
        <v>NA</v>
      </c>
      <c r="G20" s="167" t="str">
        <f>IF('Chemical Info'!E21="Yes",('Chemical Info'!AP21/'Res-Rec Equations'!$B$168)*((('Chemical Info'!AL21*'Res-Rec Equations'!$B$170)*'Res-Rec Equations'!$B$168)+'Res-Rec Equations'!$B$171+('Chemical Info'!AN21*41)*'Res-Rec Equations'!$B$173),"NA")</f>
        <v>NA</v>
      </c>
      <c r="H20" s="112" t="str">
        <f>IF('Chemical Info'!H21="NA","NA",IF(AND('Chemical Info'!E21="Yes",'Chemical Info'!D21="Yes"),'Chemical Info'!H21*'Chemical Info'!AD21*'Res-Rec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Info'!E21="Yes",'Chemical Info'!D21=""),'Chemical Info'!H21*'Chemical Info'!AD21*'Res-Rec Equations'!$B$20*'Res-Rec Equations'!$B$23*((('Res-Rec Equations'!$B$26*'Res-Rec Equations'!$B$29)/'Res-Rec Equations'!$B$32)+(('Res-Rec Equations'!$B$27*'Res-Rec Equations'!$B$30)/'Res-Rec Equations'!$B$33)+(('Res-Rec Equations'!$B$28*'Res-Rec Equations'!$B$31)/'Res-Rec Equations'!$B$34)),IF(AND('Chemical Info'!E21="No",'Chemical Info'!D21="Yes"),'Chemical Info'!H21*'Chemical Info'!AD21*'Res-Rec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Info'!E21="No",'Chemical Info'!D21=""),'Chemical Info'!H21*'Chemical Info'!AD21*'Res-Rec Equations'!$B$19*'Res-Rec Equations'!$B$23*((('Res-Rec Equations'!$B$26*'Res-Rec Equations'!$B$29)/'Res-Rec Equations'!$B$32)+(('Res-Rec Equations'!$B$27*'Res-Rec Equations'!$B$30)/'Res-Rec Equations'!$B$33)+(('Res-Rec Equations'!$B$28*'Res-Rec Equations'!$B$31)/'Res-Rec Equations'!$B$34)))))))</f>
        <v>NA</v>
      </c>
      <c r="I20" s="166" t="str">
        <f>IF('Chemical Info'!H21="NA","NA",IF('Chemical Info'!E21="Yes",0,IF('Chemical Info'!D21="Yes",'Chemical Info'!H21/'Chemical Info'!AF21*('Res-Rec Equations'!$B$21*'Chemical Info'!AB21*'Res-Rec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Info'!H21/'Chemical Info'!AF21*('Res-Rec Equations'!$B$21*'Chemical Info'!AB21*'Res-Rec Equations'!$B$23)*((('Res-Rec Equations'!$B$26*'Res-Rec Equations'!$B$37*'Res-Rec Equations'!$B$40)/'Res-Rec Equations'!$B$32)+(('Res-Rec Equations'!$B$27*'Res-Rec Equations'!$B$38*'Res-Rec Equations'!$B$41)/'Res-Rec Equations'!$B$33)+(('Res-Rec Equations'!$B$28*'Res-Rec Equations'!$B$39*'Res-Rec Equations'!$B$42)/'Res-Rec Equations'!$B$34)))))</f>
        <v>NA</v>
      </c>
      <c r="J20" s="369" t="str">
        <f>IF('Chemical Info'!J21="NA","NA",IF(AND(E20="NA",'Chemical Info'!D21="Yes"),'Res-Rec Equations'!$B$22*1000*(('Res-Rec Equations'!$B$26*'Chemical Info'!J21*'Res-Rec Equations'!$B$59)+('Res-Rec Equations'!$B$27*'Chemical Info'!J21*'Res-Rec Equations'!$B$60)+('Res-Rec Equations'!$B$28*'Chemical Info'!J21*'Res-Rec Equations'!$B$61))*'Res-Rec Calculations'!C20,IF(AND(E20="NA",'Chemical Info'!D21=""),'Res-Rec Equations'!$B$22*1000*'Res-Rec Equations'!$B$25*'Chemical Info'!J21*'Res-Rec Calculations'!C20,IF(AND('Chemical Info'!E21="Yes",'Chemical Info'!D21="Yes"),'Res-Rec Equations'!$B$22*1000*(('Res-Rec Equations'!$B$26*'Chemical Info'!J21*'Res-Rec Equations'!$B$59)+('Res-Rec Equations'!$B$27*'Chemical Info'!J21*'Res-Rec Equations'!$B$60)+('Res-Rec Equations'!$B$28*'Chemical Info'!J21*'Res-Rec Equations'!$B$61))*'Res-Rec Calculations'!E20,IF(AND('Chemical Info'!E21="Yes",'Chemical Info'!D21=""),'Res-Rec Equations'!$B$22*1000*'Res-Rec Equations'!$B$25*'Chemical Info'!J21*'Res-Rec Calculations'!E20,IF('Chemical Info'!D21="Yes",'Res-Rec Equations'!$B$22*1000*(('Res-Rec Equations'!$B$26*'Chemical Info'!J21*'Res-Rec Equations'!$B$59)+('Res-Rec Equations'!$B$27*'Chemical Info'!J21*'Res-Rec Equations'!$B$60)+('Res-Rec Equations'!$B$28*'Chemical Info'!J21*'Res-Rec Equations'!$B$61))*('Res-Rec Calculations'!C20+'Res-Rec Calculations'!E20),IF('Chemical Info'!D21="",'Res-Rec Equations'!$B$22*1000*'Res-Rec Equations'!$B$25*'Chemical Info'!J21*('Res-Rec Calculations'!C20+'Res-Rec Calculations'!E20))))))))</f>
        <v>NA</v>
      </c>
      <c r="K20" s="370" t="str">
        <f>IF('Chemical Info'!J21="NA","NA",IF(AND(F20="NA",'Chemical Info'!D21="Yes"),'Res-Rec Equations'!$B$22*1000*(('Res-Rec Equations'!$B$26*'Chemical Info'!J21*'Res-Rec Equations'!$B$59)+('Res-Rec Equations'!$B$27*'Chemical Info'!J21*'Res-Rec Equations'!$B$60)+('Res-Rec Equations'!$B$28*'Chemical Info'!J21*'Res-Rec Equations'!$B$61))*'Res-Rec Calculations'!C20,IF(AND(F20="NA",'Chemical Info'!D21=""),'Res-Rec Equations'!$B$22*1000*'Res-Rec Equations'!$B$25*'Chemical Info'!J21*'Res-Rec Calculations'!C20,IF(AND('Chemical Info'!F21="Yes",'Chemical Info'!D21="Yes"),'Res-Rec Equations'!$B$22*1000*(('Res-Rec Equations'!$B$26*'Chemical Info'!J21*'Res-Rec Equations'!$B$59)+('Res-Rec Equations'!$B$27*'Chemical Info'!J21*'Res-Rec Equations'!$B$60)+('Res-Rec Equations'!$B$28*'Chemical Info'!J21*'Res-Rec Equations'!$B$61))*'Res-Rec Calculations'!F20,IF(AND('Chemical Info'!F21="Yes",'Chemical Info'!D21=""),'Res-Rec Equations'!$B$22*1000*'Res-Rec Equations'!$B$25*'Chemical Info'!J21*'Res-Rec Calculations'!F20,IF('Chemical Info'!D21="Yes",'Res-Rec Equations'!$B$22*1000*(('Res-Rec Equations'!$B$26*'Chemical Info'!J21*'Res-Rec Equations'!$B$59)+('Res-Rec Equations'!$B$27*'Chemical Info'!J21*'Res-Rec Equations'!$B$60)+('Res-Rec Equations'!$B$28*'Chemical Info'!J21*'Res-Rec Equations'!$B$61))*('Res-Rec Calculations'!C20+'Res-Rec Calculations'!F20),IF('Chemical Info'!D21="",'Res-Rec Equations'!$B$22*1000*'Res-Rec Equations'!$B$25*'Chemical Info'!J21*('Res-Rec Calculations'!C20+'Res-Rec Calculations'!F20))))))))</f>
        <v>NA</v>
      </c>
      <c r="L20" s="167" t="str">
        <f>IF(AND(H20="NA",I20="NA",J20="NA"),"NA",IF(H20="NA",'Res-Rec Equations'!$B$15*'Res-Rec Equations'!$B$16/J20,IF(J20="NA",'Res-Rec Equations'!$B$15*'Res-Rec Equations'!$B$16/(H20+I20),'Res-Rec Equations'!$B$15*'Res-Rec Equations'!$B$16/(H20+I20+J20))))</f>
        <v>NA</v>
      </c>
      <c r="M20" s="167" t="str">
        <f>IF(AND(H20="NA",I20="NA",K20="NA"),"NA",IF(H20="NA",'Res-Rec Equations'!$B$15*'Res-Rec Equations'!$B$16/K20,IF(K20="NA",'Res-Rec Equations'!$B$15*'Res-Rec Equations'!$B$16/(H20+I20),'Res-Rec Equations'!$B$15*'Res-Rec Equations'!$B$16/(H20+I20+K20))))</f>
        <v>NA</v>
      </c>
      <c r="N20" s="167" t="str">
        <f t="shared" si="0"/>
        <v>NA</v>
      </c>
      <c r="O20" s="371">
        <f>IF('Chemical Info'!L21="NA","NA",IF('Chemical Info'!E21="Yes",(('Res-Rec Equations'!$B$76*'Chemical Info'!AD21*'Res-Rec Equations'!$B$78*'Res-Rec Equations'!$B$79*'Res-Rec Equations'!$B$81)/('Res-Rec Equations'!$B$84*'Res-Rec Equations'!$B$85))/'Chemical Info'!L21,(('Res-Rec Equations'!$B$76*'Chemical Info'!AD21*'Res-Rec Equations'!$B$78*'Res-Rec Equations'!$B$79*'Res-Rec Equations'!$B$80)/('Res-Rec Equations'!$B$84*'Res-Rec Equations'!$B$85))/'Chemical Info'!L21))</f>
        <v>6.3926940639269401E-3</v>
      </c>
      <c r="P20" s="166">
        <f>IF('Chemical Info'!L21="NA","NA", IF('Chemical Info'!E21="Yes",0,((('Res-Rec Equations'!$B$87*'Res-Rec Equations'!$B$88*'Res-Rec Equations'!$B$78*'Res-Rec Equations'!$B$82*'Res-Rec Equations'!$B$79*'Chemical Info'!AB21)/('Res-Rec Equations'!$B$84*'Res-Rec Equations'!$B$85))/('Chemical Info'!L21*'Chemical Info'!AF21))))</f>
        <v>0</v>
      </c>
      <c r="Q20" s="166" t="str">
        <f>IF('Chemical Info'!N21="NA","NA",IF('Res-Rec Calculations'!E20="NA",(('Res-Rec Equations'!$B$83*'Res-Rec Equations'!$B$79*'Res-Rec Calculations'!C20)/('Res-Rec Equations'!$B$85))/('Chemical Info'!N21),IF('Chemical Info'!E21="Yes",(('Res-Rec Equations'!$B$83*'Res-Rec Equations'!$B$79*'Res-Rec Calculations'!E20)/('Res-Rec Equations'!$B$85))/('Chemical Info'!N21),(('Res-Rec Equations'!$B$83*'Res-Rec Equations'!$B$79*('Res-Rec Calculations'!C20+'Res-Rec Calculations'!E20))/('Res-Rec Equations'!$B$85))/('Chemical Info'!N21))))</f>
        <v>NA</v>
      </c>
      <c r="R20" s="166" t="str">
        <f>IF('Chemical Info'!N21="NA","NA",IF('Res-Rec Calculations'!F20="NA",(('Res-Rec Equations'!$B$83*'Res-Rec Equations'!$B$79*'Res-Rec Calculations'!C20)/('Res-Rec Equations'!$B$85))/('Chemical Info'!N21),IF('Chemical Info'!E21="Yes",(('Res-Rec Equations'!$B$83*'Res-Rec Equations'!$B$79*'Res-Rec Calculations'!F20)/('Res-Rec Equations'!$B$85))/('Chemical Info'!N21),(('Res-Rec Equations'!$B$83*'Res-Rec Equations'!$B$79*('Res-Rec Calculations'!C20+'Res-Rec Calculations'!F20))/('Res-Rec Equations'!$B$85))/('Chemical Info'!N21))))</f>
        <v>NA</v>
      </c>
      <c r="S20" s="167">
        <f>IF(AND(O20="NA",P20="NA",Q20="NA"),"NA",IF(O20="NA",'Res-Rec Equations'!$B$75/Q20,IF(Q20="NA",'Res-Rec Equations'!$B$75/(O20+P20),'Res-Rec Equations'!$B$75/(O20+P20+Q20))))</f>
        <v>31.285714285714292</v>
      </c>
      <c r="T20" s="167">
        <f>IF(AND(O20="NA",P20="NA",R20="NA"),"NA",IF(O20="NA",'Res-Rec Equations'!$B$75/R20,IF(R20="NA",'Res-Rec Equations'!$B$75/(O20+P20),'Res-Rec Equations'!$B$75/(O20+P20+R20))))</f>
        <v>31.285714285714292</v>
      </c>
      <c r="U20" s="168">
        <f t="shared" si="1"/>
        <v>31.285714285714292</v>
      </c>
      <c r="V20" s="167" t="str">
        <f>IF('Chemical Info'!P21="NA","NA",(('Res-Rec Equations'!$B$185*'Res-Rec Equations'!$B$186)/('Res-Rec Equations'!$B$187*'Res-Rec Equations'!$B$188*(1/'Chemical Info'!P21))))</f>
        <v>NA</v>
      </c>
      <c r="W20" s="379" t="str">
        <f t="shared" si="2"/>
        <v>NA</v>
      </c>
      <c r="X20" s="372">
        <f t="shared" ref="X20:X33" si="6">IF(AND(N20="NA",U20="NA",G20="NA"),"NA",MIN(N20,U20,G20))</f>
        <v>31.285714285714292</v>
      </c>
      <c r="Y20" s="62">
        <f t="shared" si="4"/>
        <v>31</v>
      </c>
      <c r="Z20" s="100" t="str">
        <f t="shared" ref="Z20:Z33" si="7">IF(Y20=100000,"Max Limit",IF(X20=G20,"Csat",IF(X20=N20,"Cancer",IF(X20=V20,"Acute",IF(X20=U20,"Noncancer","")))))</f>
        <v>Noncancer</v>
      </c>
      <c r="AA20" s="373"/>
    </row>
    <row r="21" spans="1:28">
      <c r="A21" s="413" t="s">
        <v>111</v>
      </c>
      <c r="B21" s="566" t="s">
        <v>112</v>
      </c>
      <c r="C21" s="367">
        <f>1/(('Res-Rec Equations'!$B$152*3600)/((0.036*(1-'Res-Rec Equations'!$B$153))*('Res-Rec Equations'!$B$154/'Res-Rec Equations'!$B$155)^3*'Res-Rec Equations'!$B$156))</f>
        <v>7.3567680901159717E-10</v>
      </c>
      <c r="D21" s="368">
        <f>(('Res-Rec Equations'!$B$132^(10/3)*'Chemical Info'!$AH22*'Chemical Info'!$AN22*41+'Res-Rec Equations'!$B$135^(10/3)*'Chemical Info'!$AJ22)/'Res-Rec Equations'!$B$137^2)/('Res-Rec Equations'!$B$139*'Chemical Info'!$AL22*'Res-Rec Equations'!$B$142+'Res-Rec Equations'!$B$135+'Res-Rec Equations'!$B$132*'Chemical Info'!$AN22*41)</f>
        <v>0</v>
      </c>
      <c r="E21" s="368" t="str">
        <f>IF(D21=0,"NA",1/(('Res-Rec Equations'!$B$103*(3.14*'Res-Rec Calculations'!$D21*'Res-Rec Equations'!$B$105)^(1/2)*0.0001)/(2*'Res-Rec Equations'!$B$106*'Res-Rec Calculations'!$D21)))</f>
        <v>NA</v>
      </c>
      <c r="F21" s="368" t="str">
        <f>IF(D21=0,"NA",(1/('Res-Rec Equations'!$B$117*('Res-Rec Equations'!$B$118*(31500000))/('Res-Rec Equations'!$B$119*'Res-Rec Equations'!$B$120*1000000))))</f>
        <v>NA</v>
      </c>
      <c r="G21" s="167" t="str">
        <f>IF('Chemical Info'!E22="Yes",('Chemical Info'!AP22/'Res-Rec Equations'!$B$168)*((('Chemical Info'!AL22*'Res-Rec Equations'!$B$170)*'Res-Rec Equations'!$B$168)+'Res-Rec Equations'!$B$171+('Chemical Info'!AN22*41)*'Res-Rec Equations'!$B$173),"NA")</f>
        <v>NA</v>
      </c>
      <c r="H21" s="112" t="str">
        <f>IF('Chemical Info'!H22="NA","NA",IF(AND('Chemical Info'!E22="Yes",'Chemical Info'!D22="Yes"),'Chemical Info'!H22*'Chemical Info'!AD22*'Res-Rec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Info'!E22="Yes",'Chemical Info'!D22=""),'Chemical Info'!H22*'Chemical Info'!AD22*'Res-Rec Equations'!$B$20*'Res-Rec Equations'!$B$23*((('Res-Rec Equations'!$B$26*'Res-Rec Equations'!$B$29)/'Res-Rec Equations'!$B$32)+(('Res-Rec Equations'!$B$27*'Res-Rec Equations'!$B$30)/'Res-Rec Equations'!$B$33)+(('Res-Rec Equations'!$B$28*'Res-Rec Equations'!$B$31)/'Res-Rec Equations'!$B$34)),IF(AND('Chemical Info'!E22="No",'Chemical Info'!D22="Yes"),'Chemical Info'!H22*'Chemical Info'!AD22*'Res-Rec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Info'!E22="No",'Chemical Info'!D22=""),'Chemical Info'!H22*'Chemical Info'!AD22*'Res-Rec Equations'!$B$19*'Res-Rec Equations'!$B$23*((('Res-Rec Equations'!$B$26*'Res-Rec Equations'!$B$29)/'Res-Rec Equations'!$B$32)+(('Res-Rec Equations'!$B$27*'Res-Rec Equations'!$B$30)/'Res-Rec Equations'!$B$33)+(('Res-Rec Equations'!$B$28*'Res-Rec Equations'!$B$31)/'Res-Rec Equations'!$B$34)))))))</f>
        <v>NA</v>
      </c>
      <c r="I21" s="166" t="str">
        <f>IF('Chemical Info'!H22="NA","NA",IF('Chemical Info'!E22="Yes",0,IF('Chemical Info'!D22="Yes",'Chemical Info'!H22/'Chemical Info'!AF22*('Res-Rec Equations'!$B$21*'Chemical Info'!AB22*'Res-Rec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Info'!H22/'Chemical Info'!AF22*('Res-Rec Equations'!$B$21*'Chemical Info'!AB22*'Res-Rec Equations'!$B$23)*((('Res-Rec Equations'!$B$26*'Res-Rec Equations'!$B$37*'Res-Rec Equations'!$B$40)/'Res-Rec Equations'!$B$32)+(('Res-Rec Equations'!$B$27*'Res-Rec Equations'!$B$38*'Res-Rec Equations'!$B$41)/'Res-Rec Equations'!$B$33)+(('Res-Rec Equations'!$B$28*'Res-Rec Equations'!$B$39*'Res-Rec Equations'!$B$42)/'Res-Rec Equations'!$B$34)))))</f>
        <v>NA</v>
      </c>
      <c r="J21" s="369" t="str">
        <f>IF('Chemical Info'!J22="NA","NA",IF(AND(E21="NA",'Chemical Info'!D22="Yes"),'Res-Rec Equations'!$B$22*1000*(('Res-Rec Equations'!$B$26*'Chemical Info'!J22*'Res-Rec Equations'!$B$59)+('Res-Rec Equations'!$B$27*'Chemical Info'!J22*'Res-Rec Equations'!$B$60)+('Res-Rec Equations'!$B$28*'Chemical Info'!J22*'Res-Rec Equations'!$B$61))*'Res-Rec Calculations'!C21,IF(AND(E21="NA",'Chemical Info'!D22=""),'Res-Rec Equations'!$B$22*1000*'Res-Rec Equations'!$B$25*'Chemical Info'!J22*'Res-Rec Calculations'!C21,IF(AND('Chemical Info'!E22="Yes",'Chemical Info'!D22="Yes"),'Res-Rec Equations'!$B$22*1000*(('Res-Rec Equations'!$B$26*'Chemical Info'!J22*'Res-Rec Equations'!$B$59)+('Res-Rec Equations'!$B$27*'Chemical Info'!J22*'Res-Rec Equations'!$B$60)+('Res-Rec Equations'!$B$28*'Chemical Info'!J22*'Res-Rec Equations'!$B$61))*'Res-Rec Calculations'!E21,IF(AND('Chemical Info'!E22="Yes",'Chemical Info'!D22=""),'Res-Rec Equations'!$B$22*1000*'Res-Rec Equations'!$B$25*'Chemical Info'!J22*'Res-Rec Calculations'!E21,IF('Chemical Info'!D22="Yes",'Res-Rec Equations'!$B$22*1000*(('Res-Rec Equations'!$B$26*'Chemical Info'!J22*'Res-Rec Equations'!$B$59)+('Res-Rec Equations'!$B$27*'Chemical Info'!J22*'Res-Rec Equations'!$B$60)+('Res-Rec Equations'!$B$28*'Chemical Info'!J22*'Res-Rec Equations'!$B$61))*('Res-Rec Calculations'!C21+'Res-Rec Calculations'!E21),IF('Chemical Info'!D22="",'Res-Rec Equations'!$B$22*1000*'Res-Rec Equations'!$B$25*'Chemical Info'!J22*('Res-Rec Calculations'!C21+'Res-Rec Calculations'!E21))))))))</f>
        <v>NA</v>
      </c>
      <c r="K21" s="370" t="str">
        <f>IF('Chemical Info'!J22="NA","NA",IF(AND(F21="NA",'Chemical Info'!D22="Yes"),'Res-Rec Equations'!$B$22*1000*(('Res-Rec Equations'!$B$26*'Chemical Info'!J22*'Res-Rec Equations'!$B$59)+('Res-Rec Equations'!$B$27*'Chemical Info'!J22*'Res-Rec Equations'!$B$60)+('Res-Rec Equations'!$B$28*'Chemical Info'!J22*'Res-Rec Equations'!$B$61))*'Res-Rec Calculations'!C21,IF(AND(F21="NA",'Chemical Info'!D22=""),'Res-Rec Equations'!$B$22*1000*'Res-Rec Equations'!$B$25*'Chemical Info'!J22*'Res-Rec Calculations'!C21,IF(AND('Chemical Info'!F22="Yes",'Chemical Info'!D22="Yes"),'Res-Rec Equations'!$B$22*1000*(('Res-Rec Equations'!$B$26*'Chemical Info'!J22*'Res-Rec Equations'!$B$59)+('Res-Rec Equations'!$B$27*'Chemical Info'!J22*'Res-Rec Equations'!$B$60)+('Res-Rec Equations'!$B$28*'Chemical Info'!J22*'Res-Rec Equations'!$B$61))*'Res-Rec Calculations'!F21,IF(AND('Chemical Info'!F22="Yes",'Chemical Info'!D22=""),'Res-Rec Equations'!$B$22*1000*'Res-Rec Equations'!$B$25*'Chemical Info'!J22*'Res-Rec Calculations'!F21,IF('Chemical Info'!D22="Yes",'Res-Rec Equations'!$B$22*1000*(('Res-Rec Equations'!$B$26*'Chemical Info'!J22*'Res-Rec Equations'!$B$59)+('Res-Rec Equations'!$B$27*'Chemical Info'!J22*'Res-Rec Equations'!$B$60)+('Res-Rec Equations'!$B$28*'Chemical Info'!J22*'Res-Rec Equations'!$B$61))*('Res-Rec Calculations'!C21+'Res-Rec Calculations'!F21),IF('Chemical Info'!D22="",'Res-Rec Equations'!$B$22*1000*'Res-Rec Equations'!$B$25*'Chemical Info'!J22*('Res-Rec Calculations'!C21+'Res-Rec Calculations'!F21))))))))</f>
        <v>NA</v>
      </c>
      <c r="L21" s="167" t="str">
        <f>IF(AND(H21="NA",I21="NA",J21="NA"),"NA",IF(H21="NA",'Res-Rec Equations'!$B$15*'Res-Rec Equations'!$B$16/J21,IF(J21="NA",'Res-Rec Equations'!$B$15*'Res-Rec Equations'!$B$16/(H21+I21),'Res-Rec Equations'!$B$15*'Res-Rec Equations'!$B$16/(H21+I21+J21))))</f>
        <v>NA</v>
      </c>
      <c r="M21" s="167" t="str">
        <f>IF(AND(H21="NA",I21="NA",K21="NA"),"NA",IF(H21="NA",'Res-Rec Equations'!$B$15*'Res-Rec Equations'!$B$16/K21,IF(K21="NA",'Res-Rec Equations'!$B$15*'Res-Rec Equations'!$B$16/(H21+I21),'Res-Rec Equations'!$B$15*'Res-Rec Equations'!$B$16/(H21+I21+K21))))</f>
        <v>NA</v>
      </c>
      <c r="N21" s="167" t="str">
        <f t="shared" si="0"/>
        <v>NA</v>
      </c>
      <c r="O21" s="371">
        <f>IF('Chemical Info'!L22="NA","NA",IF('Chemical Info'!E22="Yes",(('Res-Rec Equations'!$B$76*'Chemical Info'!AD22*'Res-Rec Equations'!$B$78*'Res-Rec Equations'!$B$79*'Res-Rec Equations'!$B$81)/('Res-Rec Equations'!$B$84*'Res-Rec Equations'!$B$85))/'Chemical Info'!L22,(('Res-Rec Equations'!$B$76*'Chemical Info'!AD22*'Res-Rec Equations'!$B$78*'Res-Rec Equations'!$B$79*'Res-Rec Equations'!$B$80)/('Res-Rec Equations'!$B$84*'Res-Rec Equations'!$B$85))/'Chemical Info'!L22))</f>
        <v>2.7202953463518895E-4</v>
      </c>
      <c r="P21" s="166">
        <f>IF('Chemical Info'!L22="NA","NA", IF('Chemical Info'!E22="Yes",0,((('Res-Rec Equations'!$B$87*'Res-Rec Equations'!$B$88*'Res-Rec Equations'!$B$78*'Res-Rec Equations'!$B$82*'Res-Rec Equations'!$B$79*'Chemical Info'!AB22)/('Res-Rec Equations'!$B$84*'Res-Rec Equations'!$B$85))/('Chemical Info'!L22*'Chemical Info'!AF22))))</f>
        <v>0</v>
      </c>
      <c r="Q21" s="166">
        <f>IF('Chemical Info'!N22="NA","NA",IF('Res-Rec Calculations'!E21="NA",(('Res-Rec Equations'!$B$83*'Res-Rec Equations'!$B$79*'Res-Rec Calculations'!C21)/('Res-Rec Equations'!$B$85))/('Chemical Info'!N22),IF('Chemical Info'!E22="Yes",(('Res-Rec Equations'!$B$83*'Res-Rec Equations'!$B$79*'Res-Rec Calculations'!E21)/('Res-Rec Equations'!$B$85))/('Chemical Info'!N22),(('Res-Rec Equations'!$B$83*'Res-Rec Equations'!$B$79*('Res-Rec Calculations'!C21+'Res-Rec Calculations'!E21))/('Res-Rec Equations'!$B$85))/('Chemical Info'!N22))))</f>
        <v>2.5194411267520453E-6</v>
      </c>
      <c r="R21" s="166">
        <f>IF('Chemical Info'!N22="NA","NA",IF('Res-Rec Calculations'!F21="NA",(('Res-Rec Equations'!$B$83*'Res-Rec Equations'!$B$79*'Res-Rec Calculations'!C21)/('Res-Rec Equations'!$B$85))/('Chemical Info'!N22),IF('Chemical Info'!E22="Yes",(('Res-Rec Equations'!$B$83*'Res-Rec Equations'!$B$79*'Res-Rec Calculations'!F21)/('Res-Rec Equations'!$B$85))/('Chemical Info'!N22),(('Res-Rec Equations'!$B$83*'Res-Rec Equations'!$B$79*('Res-Rec Calculations'!C21+'Res-Rec Calculations'!F21))/('Res-Rec Equations'!$B$85))/('Chemical Info'!N22))))</f>
        <v>2.5194411267520453E-6</v>
      </c>
      <c r="S21" s="167">
        <f>IF(AND(O21="NA",P21="NA",Q21="NA"),"NA",IF(O21="NA",'Res-Rec Equations'!$B$75/Q21,IF(Q21="NA",'Res-Rec Equations'!$B$75/(O21+P21),'Res-Rec Equations'!$B$75/(O21+P21+Q21))))</f>
        <v>728.46747814283697</v>
      </c>
      <c r="T21" s="167">
        <f>IF(AND(O21="NA",P21="NA",R21="NA"),"NA",IF(O21="NA",'Res-Rec Equations'!$B$75/R21,IF(R21="NA",'Res-Rec Equations'!$B$75/(O21+P21),'Res-Rec Equations'!$B$75/(O21+P21+R21))))</f>
        <v>728.46747814283697</v>
      </c>
      <c r="U21" s="168">
        <f t="shared" si="1"/>
        <v>728.46747814283697</v>
      </c>
      <c r="V21" s="167" t="str">
        <f>IF('Chemical Info'!P22="NA","NA",(('Res-Rec Equations'!$B$185*'Res-Rec Equations'!$B$186)/('Res-Rec Equations'!$B$187*'Res-Rec Equations'!$B$188*(1/'Chemical Info'!P22))))</f>
        <v>NA</v>
      </c>
      <c r="W21" s="379" t="str">
        <f t="shared" si="2"/>
        <v>NA</v>
      </c>
      <c r="X21" s="372">
        <f t="shared" si="6"/>
        <v>728.46747814283697</v>
      </c>
      <c r="Y21" s="62">
        <f t="shared" si="4"/>
        <v>730</v>
      </c>
      <c r="Z21" s="100" t="str">
        <f t="shared" si="7"/>
        <v>Noncancer</v>
      </c>
      <c r="AA21" s="373"/>
    </row>
    <row r="22" spans="1:28">
      <c r="A22" s="413" t="s">
        <v>74</v>
      </c>
      <c r="B22" s="590" t="s">
        <v>75</v>
      </c>
      <c r="C22" s="367">
        <f>1/(('Res-Rec Equations'!$B$152*3600)/((0.036*(1-'Res-Rec Equations'!$B$153))*('Res-Rec Equations'!$B$154/'Res-Rec Equations'!$B$155)^3*'Res-Rec Equations'!$B$156))</f>
        <v>7.3567680901159717E-10</v>
      </c>
      <c r="D22" s="368">
        <f>(('Res-Rec Equations'!$B$132^(10/3)*'Chemical Info'!$AH23*'Chemical Info'!$AN23*41+'Res-Rec Equations'!$B$135^(10/3)*'Chemical Info'!$AJ23)/'Res-Rec Equations'!$B$137^2)/('Res-Rec Equations'!$B$139*'Chemical Info'!$AL23*'Res-Rec Equations'!$B$142+'Res-Rec Equations'!$B$135+'Res-Rec Equations'!$B$132*'Chemical Info'!$AN23*41)</f>
        <v>1.0577244577059752E-5</v>
      </c>
      <c r="E22" s="368">
        <f>IF(D22=0,"NA",1/(('Res-Rec Equations'!$B$103*(3.14*'Res-Rec Calculations'!$D22*'Res-Rec Equations'!$B$105)^(1/2)*0.0001)/(2*'Res-Rec Equations'!$B$106*'Res-Rec Calculations'!$D22)))</f>
        <v>1.9090392480281306E-5</v>
      </c>
      <c r="F22" s="368">
        <f>IF(D22=0,"NA",(1/('Res-Rec Equations'!$B$117*('Res-Rec Equations'!$B$118*(31500000))/('Res-Rec Equations'!$B$119*'Res-Rec Equations'!$B$120*1000000))))</f>
        <v>6.1914410640015851E-5</v>
      </c>
      <c r="G22" s="167">
        <f>IF('Chemical Info'!E23="Yes",('Chemical Info'!AP23/'Res-Rec Equations'!$B$168)*((('Chemical Info'!AL23*'Res-Rec Equations'!$B$170)*'Res-Rec Equations'!$B$168)+'Res-Rec Equations'!$B$171+('Chemical Info'!AN23*41)*'Res-Rec Equations'!$B$173),"NA")</f>
        <v>3.1299592224000001</v>
      </c>
      <c r="H22" s="112" t="str">
        <f>IF('Chemical Info'!H23="NA","NA",IF(AND('Chemical Info'!E23="Yes",'Chemical Info'!D23="Yes"),'Chemical Info'!H23*'Chemical Info'!AD23*'Res-Rec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Info'!E23="Yes",'Chemical Info'!D23=""),'Chemical Info'!H23*'Chemical Info'!AD23*'Res-Rec Equations'!$B$20*'Res-Rec Equations'!$B$23*((('Res-Rec Equations'!$B$26*'Res-Rec Equations'!$B$29)/'Res-Rec Equations'!$B$32)+(('Res-Rec Equations'!$B$27*'Res-Rec Equations'!$B$30)/'Res-Rec Equations'!$B$33)+(('Res-Rec Equations'!$B$28*'Res-Rec Equations'!$B$31)/'Res-Rec Equations'!$B$34)),IF(AND('Chemical Info'!E23="No",'Chemical Info'!D23="Yes"),'Chemical Info'!H23*'Chemical Info'!AD23*'Res-Rec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Info'!E23="No",'Chemical Info'!D23=""),'Chemical Info'!H23*'Chemical Info'!AD23*'Res-Rec Equations'!$B$19*'Res-Rec Equations'!$B$23*((('Res-Rec Equations'!$B$26*'Res-Rec Equations'!$B$29)/'Res-Rec Equations'!$B$32)+(('Res-Rec Equations'!$B$27*'Res-Rec Equations'!$B$30)/'Res-Rec Equations'!$B$33)+(('Res-Rec Equations'!$B$28*'Res-Rec Equations'!$B$31)/'Res-Rec Equations'!$B$34)))))))</f>
        <v>NA</v>
      </c>
      <c r="I22" s="166" t="str">
        <f>IF('Chemical Info'!H23="NA","NA",IF('Chemical Info'!E23="Yes",0,IF('Chemical Info'!D23="Yes",'Chemical Info'!H23/'Chemical Info'!AF23*('Res-Rec Equations'!$B$21*'Chemical Info'!AB23*'Res-Rec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Info'!H23/'Chemical Info'!AF23*('Res-Rec Equations'!$B$21*'Chemical Info'!AB23*'Res-Rec Equations'!$B$23)*((('Res-Rec Equations'!$B$26*'Res-Rec Equations'!$B$37*'Res-Rec Equations'!$B$40)/'Res-Rec Equations'!$B$32)+(('Res-Rec Equations'!$B$27*'Res-Rec Equations'!$B$38*'Res-Rec Equations'!$B$41)/'Res-Rec Equations'!$B$33)+(('Res-Rec Equations'!$B$28*'Res-Rec Equations'!$B$39*'Res-Rec Equations'!$B$42)/'Res-Rec Equations'!$B$34)))))</f>
        <v>NA</v>
      </c>
      <c r="J22" s="369" t="str">
        <f>IF('Chemical Info'!J23="NA","NA",IF(AND(E22="NA",'Chemical Info'!D23="Yes"),'Res-Rec Equations'!$B$22*1000*(('Res-Rec Equations'!$B$26*'Chemical Info'!J23*'Res-Rec Equations'!$B$59)+('Res-Rec Equations'!$B$27*'Chemical Info'!J23*'Res-Rec Equations'!$B$60)+('Res-Rec Equations'!$B$28*'Chemical Info'!J23*'Res-Rec Equations'!$B$61))*'Res-Rec Calculations'!C22,IF(AND(E22="NA",'Chemical Info'!D23=""),'Res-Rec Equations'!$B$22*1000*'Res-Rec Equations'!$B$25*'Chemical Info'!J23*'Res-Rec Calculations'!C22,IF(AND('Chemical Info'!E23="Yes",'Chemical Info'!D23="Yes"),'Res-Rec Equations'!$B$22*1000*(('Res-Rec Equations'!$B$26*'Chemical Info'!J23*'Res-Rec Equations'!$B$59)+('Res-Rec Equations'!$B$27*'Chemical Info'!J23*'Res-Rec Equations'!$B$60)+('Res-Rec Equations'!$B$28*'Chemical Info'!J23*'Res-Rec Equations'!$B$61))*'Res-Rec Calculations'!E22,IF(AND('Chemical Info'!E23="Yes",'Chemical Info'!D23=""),'Res-Rec Equations'!$B$22*1000*'Res-Rec Equations'!$B$25*'Chemical Info'!J23*'Res-Rec Calculations'!E22,IF('Chemical Info'!D23="Yes",'Res-Rec Equations'!$B$22*1000*(('Res-Rec Equations'!$B$26*'Chemical Info'!J23*'Res-Rec Equations'!$B$59)+('Res-Rec Equations'!$B$27*'Chemical Info'!J23*'Res-Rec Equations'!$B$60)+('Res-Rec Equations'!$B$28*'Chemical Info'!J23*'Res-Rec Equations'!$B$61))*('Res-Rec Calculations'!C22+'Res-Rec Calculations'!E22),IF('Chemical Info'!D23="",'Res-Rec Equations'!$B$22*1000*'Res-Rec Equations'!$B$25*'Chemical Info'!J23*('Res-Rec Calculations'!C22+'Res-Rec Calculations'!E22))))))))</f>
        <v>NA</v>
      </c>
      <c r="K22" s="370" t="str">
        <f>IF('Chemical Info'!J23="NA","NA",IF(AND(F22="NA",'Chemical Info'!D23="Yes"),'Res-Rec Equations'!$B$22*1000*(('Res-Rec Equations'!$B$26*'Chemical Info'!J23*'Res-Rec Equations'!$B$59)+('Res-Rec Equations'!$B$27*'Chemical Info'!J23*'Res-Rec Equations'!$B$60)+('Res-Rec Equations'!$B$28*'Chemical Info'!J23*'Res-Rec Equations'!$B$61))*'Res-Rec Calculations'!C22,IF(AND(F22="NA",'Chemical Info'!D23=""),'Res-Rec Equations'!$B$22*1000*'Res-Rec Equations'!$B$25*'Chemical Info'!J23*'Res-Rec Calculations'!C22,IF(AND('Chemical Info'!F23="Yes",'Chemical Info'!D23="Yes"),'Res-Rec Equations'!$B$22*1000*(('Res-Rec Equations'!$B$26*'Chemical Info'!J23*'Res-Rec Equations'!$B$59)+('Res-Rec Equations'!$B$27*'Chemical Info'!J23*'Res-Rec Equations'!$B$60)+('Res-Rec Equations'!$B$28*'Chemical Info'!J23*'Res-Rec Equations'!$B$61))*'Res-Rec Calculations'!F22,IF(AND('Chemical Info'!F23="Yes",'Chemical Info'!D23=""),'Res-Rec Equations'!$B$22*1000*'Res-Rec Equations'!$B$25*'Chemical Info'!J23*'Res-Rec Calculations'!F22,IF('Chemical Info'!D23="Yes",'Res-Rec Equations'!$B$22*1000*(('Res-Rec Equations'!$B$26*'Chemical Info'!J23*'Res-Rec Equations'!$B$59)+('Res-Rec Equations'!$B$27*'Chemical Info'!J23*'Res-Rec Equations'!$B$60)+('Res-Rec Equations'!$B$28*'Chemical Info'!J23*'Res-Rec Equations'!$B$61))*('Res-Rec Calculations'!C22+'Res-Rec Calculations'!F22),IF('Chemical Info'!D23="",'Res-Rec Equations'!$B$22*1000*'Res-Rec Equations'!$B$25*'Chemical Info'!J23*('Res-Rec Calculations'!C22+'Res-Rec Calculations'!F22))))))))</f>
        <v>NA</v>
      </c>
      <c r="L22" s="167" t="str">
        <f>IF(AND(H22="NA",I22="NA",J22="NA"),"NA",IF(H22="NA",'Res-Rec Equations'!$B$15*'Res-Rec Equations'!$B$16/J22,IF(J22="NA",'Res-Rec Equations'!$B$15*'Res-Rec Equations'!$B$16/(H22+I22),'Res-Rec Equations'!$B$15*'Res-Rec Equations'!$B$16/(H22+I22+J22))))</f>
        <v>NA</v>
      </c>
      <c r="M22" s="167" t="str">
        <f>IF(AND(H22="NA",I22="NA",K22="NA"),"NA",IF(H22="NA",'Res-Rec Equations'!$B$15*'Res-Rec Equations'!$B$16/K22,IF(K22="NA",'Res-Rec Equations'!$B$15*'Res-Rec Equations'!$B$16/(H22+I22),'Res-Rec Equations'!$B$15*'Res-Rec Equations'!$B$16/(H22+I22+K22))))</f>
        <v>NA</v>
      </c>
      <c r="N22" s="167" t="str">
        <f t="shared" si="0"/>
        <v>NA</v>
      </c>
      <c r="O22" s="371">
        <f>IF('Chemical Info'!L23="NA","NA",IF('Chemical Info'!E23="Yes",(('Res-Rec Equations'!$B$76*'Chemical Info'!AD23*'Res-Rec Equations'!$B$78*'Res-Rec Equations'!$B$79*'Res-Rec Equations'!$B$81)/('Res-Rec Equations'!$B$84*'Res-Rec Equations'!$B$85))/'Chemical Info'!L23,(('Res-Rec Equations'!$B$76*'Chemical Info'!AD23*'Res-Rec Equations'!$B$78*'Res-Rec Equations'!$B$79*'Res-Rec Equations'!$B$80)/('Res-Rec Equations'!$B$84*'Res-Rec Equations'!$B$85))/'Chemical Info'!L23))</f>
        <v>3.0441400304414005E-2</v>
      </c>
      <c r="P22" s="166">
        <f>IF('Chemical Info'!L23="NA","NA", IF('Chemical Info'!E23="Yes",0,((('Res-Rec Equations'!$B$87*'Res-Rec Equations'!$B$88*'Res-Rec Equations'!$B$78*'Res-Rec Equations'!$B$82*'Res-Rec Equations'!$B$79*'Chemical Info'!AB23)/('Res-Rec Equations'!$B$84*'Res-Rec Equations'!$B$85))/('Chemical Info'!L23*'Chemical Info'!AF23))))</f>
        <v>0</v>
      </c>
      <c r="Q22" s="166">
        <f>IF('Chemical Info'!N23="NA","NA",IF('Res-Rec Calculations'!E22="NA",(('Res-Rec Equations'!$B$83*'Res-Rec Equations'!$B$79*'Res-Rec Calculations'!C22)/('Res-Rec Equations'!$B$85))/('Chemical Info'!N23),IF('Chemical Info'!E23="Yes",(('Res-Rec Equations'!$B$83*'Res-Rec Equations'!$B$79*'Res-Rec Calculations'!E22)/('Res-Rec Equations'!$B$85))/('Chemical Info'!N23),(('Res-Rec Equations'!$B$83*'Res-Rec Equations'!$B$79*('Res-Rec Calculations'!C22+'Res-Rec Calculations'!E22))/('Res-Rec Equations'!$B$85))/('Chemical Info'!N23))))</f>
        <v>4.3585370959546364E-2</v>
      </c>
      <c r="R22" s="166">
        <f>IF('Chemical Info'!N23="NA","NA",IF('Res-Rec Calculations'!F22="NA",(('Res-Rec Equations'!$B$83*'Res-Rec Equations'!$B$79*'Res-Rec Calculations'!C22)/('Res-Rec Equations'!$B$85))/('Chemical Info'!N23),IF('Chemical Info'!E23="Yes",(('Res-Rec Equations'!$B$83*'Res-Rec Equations'!$B$79*'Res-Rec Calculations'!F22)/('Res-Rec Equations'!$B$85))/('Chemical Info'!N23),(('Res-Rec Equations'!$B$83*'Res-Rec Equations'!$B$79*('Res-Rec Calculations'!C22+'Res-Rec Calculations'!F22))/('Res-Rec Equations'!$B$85))/('Chemical Info'!N23))))</f>
        <v>0.14135710191784442</v>
      </c>
      <c r="S22" s="167">
        <f>IF(AND(O22="NA",P22="NA",Q22="NA"),"NA",IF(O22="NA",'Res-Rec Equations'!$B$75/Q22,IF(Q22="NA",'Res-Rec Equations'!$B$75/(O22+P22),'Res-Rec Equations'!$B$75/(O22+P22+Q22))))</f>
        <v>2.7017252891775003</v>
      </c>
      <c r="T22" s="167">
        <f>IF(AND(O22="NA",P22="NA",R22="NA"),"NA",IF(O22="NA",'Res-Rec Equations'!$B$75/R22,IF(R22="NA",'Res-Rec Equations'!$B$75/(O22+P22),'Res-Rec Equations'!$B$75/(O22+P22+R22))))</f>
        <v>1.1641545031705625</v>
      </c>
      <c r="U22" s="168">
        <f t="shared" si="1"/>
        <v>2.7017252891775003</v>
      </c>
      <c r="V22" s="167" t="str">
        <f>IF('Chemical Info'!P23="NA","NA",(('Res-Rec Equations'!$B$185*'Res-Rec Equations'!$B$186)/('Res-Rec Equations'!$B$187*'Res-Rec Equations'!$B$188*(1/'Chemical Info'!P23))))</f>
        <v>NA</v>
      </c>
      <c r="W22" s="379" t="str">
        <f t="shared" si="2"/>
        <v>NA</v>
      </c>
      <c r="X22" s="372">
        <f t="shared" si="6"/>
        <v>2.7017252891775003</v>
      </c>
      <c r="Y22" s="62">
        <f t="shared" si="4"/>
        <v>2.7</v>
      </c>
      <c r="Z22" s="100" t="str">
        <f t="shared" si="7"/>
        <v>Noncancer</v>
      </c>
      <c r="AA22" s="373"/>
    </row>
    <row r="23" spans="1:28">
      <c r="A23" s="413" t="s">
        <v>159</v>
      </c>
      <c r="B23" s="590" t="s">
        <v>73</v>
      </c>
      <c r="C23" s="367">
        <f>1/(('Res-Rec Equations'!$B$152*3600)/((0.036*(1-'Res-Rec Equations'!$B$153))*('Res-Rec Equations'!$B$154/'Res-Rec Equations'!$B$155)^3*'Res-Rec Equations'!$B$156))</f>
        <v>7.3567680901159717E-10</v>
      </c>
      <c r="D23" s="368">
        <f>(('Res-Rec Equations'!$B$132^(10/3)*'Chemical Info'!$AH24*'Chemical Info'!$AN24*41+'Res-Rec Equations'!$B$135^(10/3)*'Chemical Info'!$AJ24)/'Res-Rec Equations'!$B$137^2)/('Res-Rec Equations'!$B$139*'Chemical Info'!$AL24*'Res-Rec Equations'!$B$142+'Res-Rec Equations'!$B$135+'Res-Rec Equations'!$B$132*'Chemical Info'!$AN24*41)</f>
        <v>0</v>
      </c>
      <c r="E23" s="368" t="str">
        <f>IF(D23=0,"NA",1/(('Res-Rec Equations'!$B$103*(3.14*'Res-Rec Calculations'!$D23*'Res-Rec Equations'!$B$105)^(1/2)*0.0001)/(2*'Res-Rec Equations'!$B$106*'Res-Rec Calculations'!$D23)))</f>
        <v>NA</v>
      </c>
      <c r="F23" s="368" t="str">
        <f>IF(D23=0,"NA",(1/('Res-Rec Equations'!$B$117*('Res-Rec Equations'!$B$118*(31500000))/('Res-Rec Equations'!$B$119*'Res-Rec Equations'!$B$120*1000000))))</f>
        <v>NA</v>
      </c>
      <c r="G23" s="167" t="str">
        <f>IF('Chemical Info'!E24="Yes",('Chemical Info'!AP24/'Res-Rec Equations'!$B$168)*((('Chemical Info'!AL24*'Res-Rec Equations'!$B$170)*'Res-Rec Equations'!$B$168)+'Res-Rec Equations'!$B$171+('Chemical Info'!AN24*41)*'Res-Rec Equations'!$B$173),"NA")</f>
        <v>NA</v>
      </c>
      <c r="H23" s="112" t="str">
        <f>IF('Chemical Info'!H24="NA","NA",IF(AND('Chemical Info'!E24="Yes",'Chemical Info'!D24="Yes"),'Chemical Info'!H24*'Chemical Info'!AD24*'Res-Rec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Info'!E24="Yes",'Chemical Info'!D24=""),'Chemical Info'!H24*'Chemical Info'!AD24*'Res-Rec Equations'!$B$20*'Res-Rec Equations'!$B$23*((('Res-Rec Equations'!$B$26*'Res-Rec Equations'!$B$29)/'Res-Rec Equations'!$B$32)+(('Res-Rec Equations'!$B$27*'Res-Rec Equations'!$B$30)/'Res-Rec Equations'!$B$33)+(('Res-Rec Equations'!$B$28*'Res-Rec Equations'!$B$31)/'Res-Rec Equations'!$B$34)),IF(AND('Chemical Info'!E24="No",'Chemical Info'!D24="Yes"),'Chemical Info'!H24*'Chemical Info'!AD24*'Res-Rec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Info'!E24="No",'Chemical Info'!D24=""),'Chemical Info'!H24*'Chemical Info'!AD24*'Res-Rec Equations'!$B$19*'Res-Rec Equations'!$B$23*((('Res-Rec Equations'!$B$26*'Res-Rec Equations'!$B$29)/'Res-Rec Equations'!$B$32)+(('Res-Rec Equations'!$B$27*'Res-Rec Equations'!$B$30)/'Res-Rec Equations'!$B$33)+(('Res-Rec Equations'!$B$28*'Res-Rec Equations'!$B$31)/'Res-Rec Equations'!$B$34)))))))</f>
        <v>NA</v>
      </c>
      <c r="I23" s="166" t="str">
        <f>IF('Chemical Info'!H24="NA","NA",IF('Chemical Info'!E24="Yes",0,IF('Chemical Info'!D24="Yes",'Chemical Info'!H24/'Chemical Info'!AF24*('Res-Rec Equations'!$B$21*'Chemical Info'!AB24*'Res-Rec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Info'!H24/'Chemical Info'!AF24*('Res-Rec Equations'!$B$21*'Chemical Info'!AB24*'Res-Rec Equations'!$B$23)*((('Res-Rec Equations'!$B$26*'Res-Rec Equations'!$B$37*'Res-Rec Equations'!$B$40)/'Res-Rec Equations'!$B$32)+(('Res-Rec Equations'!$B$27*'Res-Rec Equations'!$B$38*'Res-Rec Equations'!$B$41)/'Res-Rec Equations'!$B$33)+(('Res-Rec Equations'!$B$28*'Res-Rec Equations'!$B$39*'Res-Rec Equations'!$B$42)/'Res-Rec Equations'!$B$34)))))</f>
        <v>NA</v>
      </c>
      <c r="J23" s="369" t="str">
        <f>IF('Chemical Info'!J24="NA","NA",IF(AND(E23="NA",'Chemical Info'!D24="Yes"),'Res-Rec Equations'!$B$22*1000*(('Res-Rec Equations'!$B$26*'Chemical Info'!J24*'Res-Rec Equations'!$B$59)+('Res-Rec Equations'!$B$27*'Chemical Info'!J24*'Res-Rec Equations'!$B$60)+('Res-Rec Equations'!$B$28*'Chemical Info'!J24*'Res-Rec Equations'!$B$61))*'Res-Rec Calculations'!C23,IF(AND(E23="NA",'Chemical Info'!D24=""),'Res-Rec Equations'!$B$22*1000*'Res-Rec Equations'!$B$25*'Chemical Info'!J24*'Res-Rec Calculations'!C23,IF(AND('Chemical Info'!E24="Yes",'Chemical Info'!D24="Yes"),'Res-Rec Equations'!$B$22*1000*(('Res-Rec Equations'!$B$26*'Chemical Info'!J24*'Res-Rec Equations'!$B$59)+('Res-Rec Equations'!$B$27*'Chemical Info'!J24*'Res-Rec Equations'!$B$60)+('Res-Rec Equations'!$B$28*'Chemical Info'!J24*'Res-Rec Equations'!$B$61))*'Res-Rec Calculations'!E23,IF(AND('Chemical Info'!E24="Yes",'Chemical Info'!D24=""),'Res-Rec Equations'!$B$22*1000*'Res-Rec Equations'!$B$25*'Chemical Info'!J24*'Res-Rec Calculations'!E23,IF('Chemical Info'!D24="Yes",'Res-Rec Equations'!$B$22*1000*(('Res-Rec Equations'!$B$26*'Chemical Info'!J24*'Res-Rec Equations'!$B$59)+('Res-Rec Equations'!$B$27*'Chemical Info'!J24*'Res-Rec Equations'!$B$60)+('Res-Rec Equations'!$B$28*'Chemical Info'!J24*'Res-Rec Equations'!$B$61))*('Res-Rec Calculations'!C23+'Res-Rec Calculations'!E23),IF('Chemical Info'!D24="",'Res-Rec Equations'!$B$22*1000*'Res-Rec Equations'!$B$25*'Chemical Info'!J24*('Res-Rec Calculations'!C23+'Res-Rec Calculations'!E23))))))))</f>
        <v>NA</v>
      </c>
      <c r="K23" s="370" t="str">
        <f>IF('Chemical Info'!J24="NA","NA",IF(AND(F23="NA",'Chemical Info'!D24="Yes"),'Res-Rec Equations'!$B$22*1000*(('Res-Rec Equations'!$B$26*'Chemical Info'!J24*'Res-Rec Equations'!$B$59)+('Res-Rec Equations'!$B$27*'Chemical Info'!J24*'Res-Rec Equations'!$B$60)+('Res-Rec Equations'!$B$28*'Chemical Info'!J24*'Res-Rec Equations'!$B$61))*'Res-Rec Calculations'!C23,IF(AND(F23="NA",'Chemical Info'!D24=""),'Res-Rec Equations'!$B$22*1000*'Res-Rec Equations'!$B$25*'Chemical Info'!J24*'Res-Rec Calculations'!C23,IF(AND('Chemical Info'!F24="Yes",'Chemical Info'!D24="Yes"),'Res-Rec Equations'!$B$22*1000*(('Res-Rec Equations'!$B$26*'Chemical Info'!J24*'Res-Rec Equations'!$B$59)+('Res-Rec Equations'!$B$27*'Chemical Info'!J24*'Res-Rec Equations'!$B$60)+('Res-Rec Equations'!$B$28*'Chemical Info'!J24*'Res-Rec Equations'!$B$61))*'Res-Rec Calculations'!F23,IF(AND('Chemical Info'!F24="Yes",'Chemical Info'!D24=""),'Res-Rec Equations'!$B$22*1000*'Res-Rec Equations'!$B$25*'Chemical Info'!J24*'Res-Rec Calculations'!F23,IF('Chemical Info'!D24="Yes",'Res-Rec Equations'!$B$22*1000*(('Res-Rec Equations'!$B$26*'Chemical Info'!J24*'Res-Rec Equations'!$B$59)+('Res-Rec Equations'!$B$27*'Chemical Info'!J24*'Res-Rec Equations'!$B$60)+('Res-Rec Equations'!$B$28*'Chemical Info'!J24*'Res-Rec Equations'!$B$61))*('Res-Rec Calculations'!C23+'Res-Rec Calculations'!F23),IF('Chemical Info'!D24="",'Res-Rec Equations'!$B$22*1000*'Res-Rec Equations'!$B$25*'Chemical Info'!J24*('Res-Rec Calculations'!C23+'Res-Rec Calculations'!F23))))))))</f>
        <v>NA</v>
      </c>
      <c r="L23" s="167" t="str">
        <f>IF(AND(H23="NA",I23="NA",J23="NA"),"NA",IF(H23="NA",'Res-Rec Equations'!$B$15*'Res-Rec Equations'!$B$16/J23,IF(J23="NA",'Res-Rec Equations'!$B$15*'Res-Rec Equations'!$B$16/(H23+I23),'Res-Rec Equations'!$B$15*'Res-Rec Equations'!$B$16/(H23+I23+J23))))</f>
        <v>NA</v>
      </c>
      <c r="M23" s="167" t="str">
        <f>IF(AND(H23="NA",I23="NA",K23="NA"),"NA",IF(H23="NA",'Res-Rec Equations'!$B$15*'Res-Rec Equations'!$B$16/K23,IF(K23="NA",'Res-Rec Equations'!$B$15*'Res-Rec Equations'!$B$16/(H23+I23),'Res-Rec Equations'!$B$15*'Res-Rec Equations'!$B$16/(H23+I23+K23))))</f>
        <v>NA</v>
      </c>
      <c r="N23" s="167" t="str">
        <f t="shared" si="0"/>
        <v>NA</v>
      </c>
      <c r="O23" s="371">
        <f>IF('Chemical Info'!L24="NA","NA",IF('Chemical Info'!E24="Yes",(('Res-Rec Equations'!$B$76*'Chemical Info'!AD24*'Res-Rec Equations'!$B$78*'Res-Rec Equations'!$B$79*'Res-Rec Equations'!$B$81)/('Res-Rec Equations'!$B$84*'Res-Rec Equations'!$B$85))/'Chemical Info'!L24,(('Res-Rec Equations'!$B$76*'Chemical Info'!AD24*'Res-Rec Equations'!$B$78*'Res-Rec Equations'!$B$79*'Res-Rec Equations'!$B$80)/('Res-Rec Equations'!$B$84*'Res-Rec Equations'!$B$85))/'Chemical Info'!L24))</f>
        <v>0.12785388127853881</v>
      </c>
      <c r="P23" s="166">
        <f>IF('Chemical Info'!L24="NA","NA", IF('Chemical Info'!E24="Yes",0,((('Res-Rec Equations'!$B$87*'Res-Rec Equations'!$B$88*'Res-Rec Equations'!$B$78*'Res-Rec Equations'!$B$82*'Res-Rec Equations'!$B$79*'Chemical Info'!AB24)/('Res-Rec Equations'!$B$84*'Res-Rec Equations'!$B$85))/('Chemical Info'!L24*'Chemical Info'!AF24))))</f>
        <v>2.1671232876712326E-2</v>
      </c>
      <c r="Q23" s="166" t="str">
        <f>IF('Chemical Info'!N24="NA","NA",IF('Res-Rec Calculations'!E23="NA",(('Res-Rec Equations'!$B$83*'Res-Rec Equations'!$B$79*'Res-Rec Calculations'!C23)/('Res-Rec Equations'!$B$85))/('Chemical Info'!N24),IF('Chemical Info'!E24="Yes",(('Res-Rec Equations'!$B$83*'Res-Rec Equations'!$B$79*'Res-Rec Calculations'!E23)/('Res-Rec Equations'!$B$85))/('Chemical Info'!N24),(('Res-Rec Equations'!$B$83*'Res-Rec Equations'!$B$79*('Res-Rec Calculations'!C23+'Res-Rec Calculations'!E23))/('Res-Rec Equations'!$B$85))/('Chemical Info'!N24))))</f>
        <v>NA</v>
      </c>
      <c r="R23" s="166" t="str">
        <f>IF('Chemical Info'!N24="NA","NA",IF('Res-Rec Calculations'!F23="NA",(('Res-Rec Equations'!$B$83*'Res-Rec Equations'!$B$79*'Res-Rec Calculations'!C23)/('Res-Rec Equations'!$B$85))/('Chemical Info'!N24),IF('Chemical Info'!E24="Yes",(('Res-Rec Equations'!$B$83*'Res-Rec Equations'!$B$79*'Res-Rec Calculations'!F23)/('Res-Rec Equations'!$B$85))/('Chemical Info'!N24),(('Res-Rec Equations'!$B$83*'Res-Rec Equations'!$B$79*('Res-Rec Calculations'!C23+'Res-Rec Calculations'!F23))/('Res-Rec Equations'!$B$85))/('Chemical Info'!N24))))</f>
        <v>NA</v>
      </c>
      <c r="S23" s="167">
        <f>IF(AND(O23="NA",P23="NA",Q23="NA"),"NA",IF(O23="NA",'Res-Rec Equations'!$B$75/Q23,IF(Q23="NA",'Res-Rec Equations'!$B$75/(O23+P23),'Res-Rec Equations'!$B$75/(O23+P23+Q23))))</f>
        <v>1.3375679472301962</v>
      </c>
      <c r="T23" s="167">
        <f>IF(AND(O23="NA",P23="NA",R23="NA"),"NA",IF(O23="NA",'Res-Rec Equations'!$B$75/R23,IF(R23="NA",'Res-Rec Equations'!$B$75/(O23+P23),'Res-Rec Equations'!$B$75/(O23+P23+R23))))</f>
        <v>1.3375679472301962</v>
      </c>
      <c r="U23" s="168">
        <f t="shared" si="1"/>
        <v>1.3375679472301962</v>
      </c>
      <c r="V23" s="167" t="str">
        <f>IF('Chemical Info'!P24="NA","NA",(('Res-Rec Equations'!$B$185*'Res-Rec Equations'!$B$186)/('Res-Rec Equations'!$B$187*'Res-Rec Equations'!$B$188*(1/'Chemical Info'!P24))))</f>
        <v>NA</v>
      </c>
      <c r="W23" s="379" t="str">
        <f t="shared" si="2"/>
        <v>NA</v>
      </c>
      <c r="X23" s="372">
        <f t="shared" si="6"/>
        <v>1.3375679472301962</v>
      </c>
      <c r="Y23" s="62">
        <f t="shared" si="4"/>
        <v>1.3</v>
      </c>
      <c r="Z23" s="100" t="str">
        <f t="shared" si="7"/>
        <v>Noncancer</v>
      </c>
      <c r="AA23" s="373"/>
    </row>
    <row r="24" spans="1:28">
      <c r="A24" s="413" t="s">
        <v>1106</v>
      </c>
      <c r="B24" s="590" t="s">
        <v>1144</v>
      </c>
      <c r="C24" s="367">
        <f>1/(('Res-Rec Equations'!$B$152*3600)/((0.036*(1-'Res-Rec Equations'!$B$153))*('Res-Rec Equations'!$B$154/'Res-Rec Equations'!$B$155)^3*'Res-Rec Equations'!$B$156))</f>
        <v>7.3567680901159717E-10</v>
      </c>
      <c r="D24" s="368">
        <f>(('Res-Rec Equations'!$B$132^(10/3)*'Chemical Info'!$AH25*'Chemical Info'!$AN25*41+'Res-Rec Equations'!$B$135^(10/3)*'Chemical Info'!$AJ25)/'Res-Rec Equations'!$B$137^2)/('Res-Rec Equations'!$B$139*'Chemical Info'!$AL25*'Res-Rec Equations'!$B$142+'Res-Rec Equations'!$B$135+'Res-Rec Equations'!$B$132*'Chemical Info'!$AN25*41)</f>
        <v>0</v>
      </c>
      <c r="E24" s="368" t="str">
        <f>IF(D24=0,"NA",1/(('Res-Rec Equations'!$B$103*(3.14*'Res-Rec Calculations'!$D24*'Res-Rec Equations'!$B$105)^(1/2)*0.0001)/(2*'Res-Rec Equations'!$B$106*'Res-Rec Calculations'!$D24)))</f>
        <v>NA</v>
      </c>
      <c r="F24" s="368" t="str">
        <f>IF(D24=0,"NA",(1/('Res-Rec Equations'!$B$117*('Res-Rec Equations'!$B$118*(31500000))/('Res-Rec Equations'!$B$119*'Res-Rec Equations'!$B$120*1000000))))</f>
        <v>NA</v>
      </c>
      <c r="G24" s="167" t="str">
        <f>IF('Chemical Info'!E25="Yes",('Chemical Info'!AP25/'Res-Rec Equations'!$B$168)*((('Chemical Info'!AL25*'Res-Rec Equations'!$B$170)*'Res-Rec Equations'!$B$168)+'Res-Rec Equations'!$B$171+('Chemical Info'!AN25*41)*'Res-Rec Equations'!$B$173),"NA")</f>
        <v>NA</v>
      </c>
      <c r="H24" s="112" t="str">
        <f>IF('Chemical Info'!H25="NA","NA",IF(AND('Chemical Info'!E25="Yes",'Chemical Info'!D25="Yes"),'Chemical Info'!H25*'Chemical Info'!AD25*'Res-Rec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Info'!E25="Yes",'Chemical Info'!D25=""),'Chemical Info'!H25*'Chemical Info'!AD25*'Res-Rec Equations'!$B$20*'Res-Rec Equations'!$B$23*((('Res-Rec Equations'!$B$26*'Res-Rec Equations'!$B$29)/'Res-Rec Equations'!$B$32)+(('Res-Rec Equations'!$B$27*'Res-Rec Equations'!$B$30)/'Res-Rec Equations'!$B$33)+(('Res-Rec Equations'!$B$28*'Res-Rec Equations'!$B$31)/'Res-Rec Equations'!$B$34)),IF(AND('Chemical Info'!E25="No",'Chemical Info'!D25="Yes"),'Chemical Info'!H25*'Chemical Info'!AD25*'Res-Rec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Info'!E25="No",'Chemical Info'!D25=""),'Chemical Info'!H25*'Chemical Info'!AD25*'Res-Rec Equations'!$B$19*'Res-Rec Equations'!$B$23*((('Res-Rec Equations'!$B$26*'Res-Rec Equations'!$B$29)/'Res-Rec Equations'!$B$32)+(('Res-Rec Equations'!$B$27*'Res-Rec Equations'!$B$30)/'Res-Rec Equations'!$B$33)+(('Res-Rec Equations'!$B$28*'Res-Rec Equations'!$B$31)/'Res-Rec Equations'!$B$34)))))))</f>
        <v>NA</v>
      </c>
      <c r="I24" s="166" t="str">
        <f>IF('Chemical Info'!H25="NA","NA",IF('Chemical Info'!E25="Yes",0,IF('Chemical Info'!D25="Yes",'Chemical Info'!H25/'Chemical Info'!AF25*('Res-Rec Equations'!$B$21*'Chemical Info'!AB25*'Res-Rec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Info'!H25/'Chemical Info'!AF25*('Res-Rec Equations'!$B$21*'Chemical Info'!AB25*'Res-Rec Equations'!$B$23)*((('Res-Rec Equations'!$B$26*'Res-Rec Equations'!$B$37*'Res-Rec Equations'!$B$40)/'Res-Rec Equations'!$B$32)+(('Res-Rec Equations'!$B$27*'Res-Rec Equations'!$B$38*'Res-Rec Equations'!$B$41)/'Res-Rec Equations'!$B$33)+(('Res-Rec Equations'!$B$28*'Res-Rec Equations'!$B$39*'Res-Rec Equations'!$B$42)/'Res-Rec Equations'!$B$34)))))</f>
        <v>NA</v>
      </c>
      <c r="J24" s="369" t="str">
        <f>IF('Chemical Info'!J25="NA","NA",IF(AND(E24="NA",'Chemical Info'!D25="Yes"),'Res-Rec Equations'!$B$22*1000*(('Res-Rec Equations'!$B$26*'Chemical Info'!J25*'Res-Rec Equations'!$B$59)+('Res-Rec Equations'!$B$27*'Chemical Info'!J25*'Res-Rec Equations'!$B$60)+('Res-Rec Equations'!$B$28*'Chemical Info'!J25*'Res-Rec Equations'!$B$61))*'Res-Rec Calculations'!C24,IF(AND(E24="NA",'Chemical Info'!D25=""),'Res-Rec Equations'!$B$22*1000*'Res-Rec Equations'!$B$25*'Chemical Info'!J25*'Res-Rec Calculations'!C24,IF(AND('Chemical Info'!E25="Yes",'Chemical Info'!D25="Yes"),'Res-Rec Equations'!$B$22*1000*(('Res-Rec Equations'!$B$26*'Chemical Info'!J25*'Res-Rec Equations'!$B$59)+('Res-Rec Equations'!$B$27*'Chemical Info'!J25*'Res-Rec Equations'!$B$60)+('Res-Rec Equations'!$B$28*'Chemical Info'!J25*'Res-Rec Equations'!$B$61))*'Res-Rec Calculations'!E24,IF(AND('Chemical Info'!E25="Yes",'Chemical Info'!D25=""),'Res-Rec Equations'!$B$22*1000*'Res-Rec Equations'!$B$25*'Chemical Info'!J25*'Res-Rec Calculations'!E24,IF('Chemical Info'!D25="Yes",'Res-Rec Equations'!$B$22*1000*(('Res-Rec Equations'!$B$26*'Chemical Info'!J25*'Res-Rec Equations'!$B$59)+('Res-Rec Equations'!$B$27*'Chemical Info'!J25*'Res-Rec Equations'!$B$60)+('Res-Rec Equations'!$B$28*'Chemical Info'!J25*'Res-Rec Equations'!$B$61))*('Res-Rec Calculations'!C24+'Res-Rec Calculations'!E24),IF('Chemical Info'!D25="",'Res-Rec Equations'!$B$22*1000*'Res-Rec Equations'!$B$25*'Chemical Info'!J25*('Res-Rec Calculations'!C24+'Res-Rec Calculations'!E24))))))))</f>
        <v>NA</v>
      </c>
      <c r="K24" s="370" t="str">
        <f>IF('Chemical Info'!J25="NA","NA",IF(AND(F24="NA",'Chemical Info'!D25="Yes"),'Res-Rec Equations'!$B$22*1000*(('Res-Rec Equations'!$B$26*'Chemical Info'!J25*'Res-Rec Equations'!$B$59)+('Res-Rec Equations'!$B$27*'Chemical Info'!J25*'Res-Rec Equations'!$B$60)+('Res-Rec Equations'!$B$28*'Chemical Info'!J25*'Res-Rec Equations'!$B$61))*'Res-Rec Calculations'!C24,IF(AND(F24="NA",'Chemical Info'!D25=""),'Res-Rec Equations'!$B$22*1000*'Res-Rec Equations'!$B$25*'Chemical Info'!J25*'Res-Rec Calculations'!C24,IF(AND('Chemical Info'!F25="Yes",'Chemical Info'!D25="Yes"),'Res-Rec Equations'!$B$22*1000*(('Res-Rec Equations'!$B$26*'Chemical Info'!J25*'Res-Rec Equations'!$B$59)+('Res-Rec Equations'!$B$27*'Chemical Info'!J25*'Res-Rec Equations'!$B$60)+('Res-Rec Equations'!$B$28*'Chemical Info'!J25*'Res-Rec Equations'!$B$61))*'Res-Rec Calculations'!F24,IF(AND('Chemical Info'!F25="Yes",'Chemical Info'!D25=""),'Res-Rec Equations'!$B$22*1000*'Res-Rec Equations'!$B$25*'Chemical Info'!J25*'Res-Rec Calculations'!F24,IF('Chemical Info'!D25="Yes",'Res-Rec Equations'!$B$22*1000*(('Res-Rec Equations'!$B$26*'Chemical Info'!J25*'Res-Rec Equations'!$B$59)+('Res-Rec Equations'!$B$27*'Chemical Info'!J25*'Res-Rec Equations'!$B$60)+('Res-Rec Equations'!$B$28*'Chemical Info'!J25*'Res-Rec Equations'!$B$61))*('Res-Rec Calculations'!C24+'Res-Rec Calculations'!F24),IF('Chemical Info'!D25="",'Res-Rec Equations'!$B$22*1000*'Res-Rec Equations'!$B$25*'Chemical Info'!J25*('Res-Rec Calculations'!C24+'Res-Rec Calculations'!F24))))))))</f>
        <v>NA</v>
      </c>
      <c r="L24" s="167" t="str">
        <f>IF(AND(H24="NA",I24="NA",J24="NA"),"NA",IF(H24="NA",'Res-Rec Equations'!$B$15*'Res-Rec Equations'!$B$16/J24,IF(J24="NA",'Res-Rec Equations'!$B$15*'Res-Rec Equations'!$B$16/(H24+I24),'Res-Rec Equations'!$B$15*'Res-Rec Equations'!$B$16/(H24+I24+J24))))</f>
        <v>NA</v>
      </c>
      <c r="M24" s="167" t="str">
        <f>IF(AND(H24="NA",I24="NA",K24="NA"),"NA",IF(H24="NA",'Res-Rec Equations'!$B$15*'Res-Rec Equations'!$B$16/K24,IF(K24="NA",'Res-Rec Equations'!$B$15*'Res-Rec Equations'!$B$16/(H24+I24),'Res-Rec Equations'!$B$15*'Res-Rec Equations'!$B$16/(H24+I24+K24))))</f>
        <v>NA</v>
      </c>
      <c r="N24" s="167" t="str">
        <f t="shared" ref="N24" si="8">IF(AND(L24="NA",M24="NA"),"NA",MAX(L24,M24))</f>
        <v>NA</v>
      </c>
      <c r="O24" s="371">
        <f>IF('Chemical Info'!L25="NA","NA",IF('Chemical Info'!E25="Yes",(('Res-Rec Equations'!$B$76*'Chemical Info'!AD25*'Res-Rec Equations'!$B$78*'Res-Rec Equations'!$B$79*'Res-Rec Equations'!$B$81)/('Res-Rec Equations'!$B$84*'Res-Rec Equations'!$B$85))/'Chemical Info'!L25,(('Res-Rec Equations'!$B$76*'Chemical Info'!AD25*'Res-Rec Equations'!$B$78*'Res-Rec Equations'!$B$79*'Res-Rec Equations'!$B$80)/('Res-Rec Equations'!$B$84*'Res-Rec Equations'!$B$85))/'Chemical Info'!L25))</f>
        <v>2.5570776255707762E-3</v>
      </c>
      <c r="P24" s="166">
        <f>IF('Chemical Info'!L25="NA","NA", IF('Chemical Info'!E25="Yes",0,((('Res-Rec Equations'!$B$87*'Res-Rec Equations'!$B$88*'Res-Rec Equations'!$B$78*'Res-Rec Equations'!$B$82*'Res-Rec Equations'!$B$79*'Chemical Info'!AB25)/('Res-Rec Equations'!$B$84*'Res-Rec Equations'!$B$85))/('Chemical Info'!L25*'Chemical Info'!AF25))))</f>
        <v>0</v>
      </c>
      <c r="Q24" s="166">
        <f>IF('Chemical Info'!N25="NA","NA",IF('Res-Rec Calculations'!E24="NA",(('Res-Rec Equations'!$B$83*'Res-Rec Equations'!$B$79*'Res-Rec Calculations'!C24)/('Res-Rec Equations'!$B$85))/('Chemical Info'!N25),IF('Chemical Info'!E25="Yes",(('Res-Rec Equations'!$B$83*'Res-Rec Equations'!$B$79*'Res-Rec Calculations'!E24)/('Res-Rec Equations'!$B$85))/('Chemical Info'!N25),(('Res-Rec Equations'!$B$83*'Res-Rec Equations'!$B$79*('Res-Rec Calculations'!C24+'Res-Rec Calculations'!E24))/('Res-Rec Equations'!$B$85))/('Chemical Info'!N25))))</f>
        <v>2.5194411267520454E-7</v>
      </c>
      <c r="R24" s="166">
        <f>IF('Chemical Info'!N25="NA","NA",IF('Res-Rec Calculations'!F24="NA",(('Res-Rec Equations'!$B$83*'Res-Rec Equations'!$B$79*'Res-Rec Calculations'!C24)/('Res-Rec Equations'!$B$85))/('Chemical Info'!N25),IF('Chemical Info'!E25="Yes",(('Res-Rec Equations'!$B$83*'Res-Rec Equations'!$B$79*'Res-Rec Calculations'!F24)/('Res-Rec Equations'!$B$85))/('Chemical Info'!N25),(('Res-Rec Equations'!$B$83*'Res-Rec Equations'!$B$79*('Res-Rec Calculations'!C24+'Res-Rec Calculations'!F24))/('Res-Rec Equations'!$B$85))/('Chemical Info'!N25))))</f>
        <v>2.5194411267520454E-7</v>
      </c>
      <c r="S24" s="167">
        <f>IF(AND(O24="NA",P24="NA",Q24="NA"),"NA",IF(O24="NA",'Res-Rec Equations'!$B$75/Q24,IF(Q24="NA",'Res-Rec Equations'!$B$75/(O24+P24),'Res-Rec Equations'!$B$75/(O24+P24+Q24))))</f>
        <v>78.206580165088454</v>
      </c>
      <c r="T24" s="167">
        <f>IF(AND(O24="NA",P24="NA",R24="NA"),"NA",IF(O24="NA",'Res-Rec Equations'!$B$75/R24,IF(R24="NA",'Res-Rec Equations'!$B$75/(O24+P24),'Res-Rec Equations'!$B$75/(O24+P24+R24))))</f>
        <v>78.206580165088454</v>
      </c>
      <c r="U24" s="168">
        <f t="shared" ref="U24" si="9">IF(AND(S24="NA",T24="NA"),"NA",MAX(S24,T24))</f>
        <v>78.206580165088454</v>
      </c>
      <c r="V24" s="167" t="str">
        <f>IF('Chemical Info'!P25="NA","NA",(('Res-Rec Equations'!$B$185*'Res-Rec Equations'!$B$186)/('Res-Rec Equations'!$B$187*'Res-Rec Equations'!$B$188*(1/'Chemical Info'!P25))))</f>
        <v>NA</v>
      </c>
      <c r="W24" s="379" t="str">
        <f t="shared" ref="W24" si="10">IF(V24="NA","NA",IF(V24&gt;100000,100000,IF(ISNUMBER(ROUND(V24*1000000,2-LEN(INT(V24*1000000)))/1000000),ROUND(V24*1000000,2-LEN(INT(V24*1000000)))/1000000,"NA")))</f>
        <v>NA</v>
      </c>
      <c r="X24" s="372">
        <f t="shared" ref="X24" si="11">IF(AND(N24="NA",U24="NA",G24="NA"),"NA",MIN(N24,U24,G24))</f>
        <v>78.206580165088454</v>
      </c>
      <c r="Y24" s="62">
        <f t="shared" ref="Y24" si="12">IF(X24&gt;100000,100000,IF(ISNUMBER(ROUND(X24*1000000,2-LEN(INT(X24*1000000)))/1000000),ROUND(X24*1000000,2-LEN(INT(X24*1000000)))/1000000,"NA"))</f>
        <v>78</v>
      </c>
      <c r="Z24" s="100" t="str">
        <f t="shared" ref="Z24" si="13">IF(Y24=100000,"Max Limit",IF(X24=G24,"Csat",IF(X24=N24,"Cancer",IF(X24=V24,"Acute",IF(X24=U24,"Noncancer","")))))</f>
        <v>Noncancer</v>
      </c>
      <c r="AA24" s="373"/>
    </row>
    <row r="25" spans="1:28" ht="12">
      <c r="A25" s="413" t="s">
        <v>572</v>
      </c>
      <c r="B25" s="566" t="s">
        <v>114</v>
      </c>
      <c r="C25" s="367">
        <f>1/(('Res-Rec Equations'!$B$152*3600)/((0.036*(1-'Res-Rec Equations'!$B$153))*('Res-Rec Equations'!$B$154/'Res-Rec Equations'!$B$155)^3*'Res-Rec Equations'!$B$156))</f>
        <v>7.3567680901159717E-10</v>
      </c>
      <c r="D25" s="368">
        <f>(('Res-Rec Equations'!$B$132^(10/3)*'Chemical Info'!$AH26*'Chemical Info'!$AN26*41+'Res-Rec Equations'!$B$135^(10/3)*'Chemical Info'!$AJ26)/'Res-Rec Equations'!$B$137^2)/('Res-Rec Equations'!$B$139*'Chemical Info'!$AL26*'Res-Rec Equations'!$B$142+'Res-Rec Equations'!$B$135+'Res-Rec Equations'!$B$132*'Chemical Info'!$AN26*41)</f>
        <v>0</v>
      </c>
      <c r="E25" s="368" t="str">
        <f>IF(D25=0,"NA",1/(('Res-Rec Equations'!$B$103*(3.14*'Res-Rec Calculations'!$D25*'Res-Rec Equations'!$B$105)^(1/2)*0.0001)/(2*'Res-Rec Equations'!$B$106*'Res-Rec Calculations'!$D25)))</f>
        <v>NA</v>
      </c>
      <c r="F25" s="368" t="str">
        <f>IF(D25=0,"NA",(1/('Res-Rec Equations'!$B$117*('Res-Rec Equations'!$B$118*(31500000))/('Res-Rec Equations'!$B$119*'Res-Rec Equations'!$B$120*1000000))))</f>
        <v>NA</v>
      </c>
      <c r="G25" s="167" t="str">
        <f>IF('Chemical Info'!E26="Yes",('Chemical Info'!AP26/'Res-Rec Equations'!$B$168)*((('Chemical Info'!AL26*'Res-Rec Equations'!$B$170)*'Res-Rec Equations'!$B$168)+'Res-Rec Equations'!$B$171+('Chemical Info'!AN26*41)*'Res-Rec Equations'!$B$173),"NA")</f>
        <v>NA</v>
      </c>
      <c r="H25" s="112" t="str">
        <f>IF('Chemical Info'!H26="NA","NA",IF(AND('Chemical Info'!E26="Yes",'Chemical Info'!D26="Yes"),'Chemical Info'!H26*'Chemical Info'!AD26*'Res-Rec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Info'!E26="Yes",'Chemical Info'!D26=""),'Chemical Info'!H26*'Chemical Info'!AD26*'Res-Rec Equations'!$B$20*'Res-Rec Equations'!$B$23*((('Res-Rec Equations'!$B$26*'Res-Rec Equations'!$B$29)/'Res-Rec Equations'!$B$32)+(('Res-Rec Equations'!$B$27*'Res-Rec Equations'!$B$30)/'Res-Rec Equations'!$B$33)+(('Res-Rec Equations'!$B$28*'Res-Rec Equations'!$B$31)/'Res-Rec Equations'!$B$34)),IF(AND('Chemical Info'!E26="No",'Chemical Info'!D26="Yes"),'Chemical Info'!H26*'Chemical Info'!AD26*'Res-Rec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Info'!E26="No",'Chemical Info'!D26=""),'Chemical Info'!H26*'Chemical Info'!AD26*'Res-Rec Equations'!$B$19*'Res-Rec Equations'!$B$23*((('Res-Rec Equations'!$B$26*'Res-Rec Equations'!$B$29)/'Res-Rec Equations'!$B$32)+(('Res-Rec Equations'!$B$27*'Res-Rec Equations'!$B$30)/'Res-Rec Equations'!$B$33)+(('Res-Rec Equations'!$B$28*'Res-Rec Equations'!$B$31)/'Res-Rec Equations'!$B$34)))))))</f>
        <v>NA</v>
      </c>
      <c r="I25" s="166" t="str">
        <f>IF('Chemical Info'!H26="NA","NA",IF('Chemical Info'!E26="Yes",0,IF('Chemical Info'!D26="Yes",'Chemical Info'!H26/'Chemical Info'!AF26*('Res-Rec Equations'!$B$21*'Chemical Info'!AB26*'Res-Rec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Info'!H26/'Chemical Info'!AF26*('Res-Rec Equations'!$B$21*'Chemical Info'!AB26*'Res-Rec Equations'!$B$23)*((('Res-Rec Equations'!$B$26*'Res-Rec Equations'!$B$37*'Res-Rec Equations'!$B$40)/'Res-Rec Equations'!$B$32)+(('Res-Rec Equations'!$B$27*'Res-Rec Equations'!$B$38*'Res-Rec Equations'!$B$41)/'Res-Rec Equations'!$B$33)+(('Res-Rec Equations'!$B$28*'Res-Rec Equations'!$B$39*'Res-Rec Equations'!$B$42)/'Res-Rec Equations'!$B$34)))))</f>
        <v>NA</v>
      </c>
      <c r="J25" s="369">
        <f>IF('Chemical Info'!J26="NA","NA",IF(AND(E25="NA",'Chemical Info'!D26="Yes"),'Res-Rec Equations'!$B$22*1000*(('Res-Rec Equations'!$B$26*'Chemical Info'!J26*'Res-Rec Equations'!$B$59)+('Res-Rec Equations'!$B$27*'Chemical Info'!J26*'Res-Rec Equations'!$B$60)+('Res-Rec Equations'!$B$28*'Chemical Info'!J26*'Res-Rec Equations'!$B$61))*'Res-Rec Calculations'!C25,IF(AND(E25="NA",'Chemical Info'!D26=""),'Res-Rec Equations'!$B$22*1000*'Res-Rec Equations'!$B$25*'Chemical Info'!J26*'Res-Rec Calculations'!C25,IF(AND('Chemical Info'!E26="Yes",'Chemical Info'!D26="Yes"),'Res-Rec Equations'!$B$22*1000*(('Res-Rec Equations'!$B$26*'Chemical Info'!J26*'Res-Rec Equations'!$B$59)+('Res-Rec Equations'!$B$27*'Chemical Info'!J26*'Res-Rec Equations'!$B$60)+('Res-Rec Equations'!$B$28*'Chemical Info'!J26*'Res-Rec Equations'!$B$61))*'Res-Rec Calculations'!E25,IF(AND('Chemical Info'!E26="Yes",'Chemical Info'!D26=""),'Res-Rec Equations'!$B$22*1000*'Res-Rec Equations'!$B$25*'Chemical Info'!J26*'Res-Rec Calculations'!E25,IF('Chemical Info'!D26="Yes",'Res-Rec Equations'!$B$22*1000*(('Res-Rec Equations'!$B$26*'Chemical Info'!J26*'Res-Rec Equations'!$B$59)+('Res-Rec Equations'!$B$27*'Chemical Info'!J26*'Res-Rec Equations'!$B$60)+('Res-Rec Equations'!$B$28*'Chemical Info'!J26*'Res-Rec Equations'!$B$61))*('Res-Rec Calculations'!C25+'Res-Rec Calculations'!E25),IF('Chemical Info'!D26="",'Res-Rec Equations'!$B$22*1000*'Res-Rec Equations'!$B$25*'Chemical Info'!J26*('Res-Rec Calculations'!C25+'Res-Rec Calculations'!E25))))))))</f>
        <v>1.1476558220580915E-6</v>
      </c>
      <c r="K25" s="370">
        <f>IF('Chemical Info'!J26="NA","NA",IF(AND(F25="NA",'Chemical Info'!D26="Yes"),'Res-Rec Equations'!$B$22*1000*(('Res-Rec Equations'!$B$26*'Chemical Info'!J26*'Res-Rec Equations'!$B$59)+('Res-Rec Equations'!$B$27*'Chemical Info'!J26*'Res-Rec Equations'!$B$60)+('Res-Rec Equations'!$B$28*'Chemical Info'!J26*'Res-Rec Equations'!$B$61))*'Res-Rec Calculations'!C25,IF(AND(F25="NA",'Chemical Info'!D26=""),'Res-Rec Equations'!$B$22*1000*'Res-Rec Equations'!$B$25*'Chemical Info'!J26*'Res-Rec Calculations'!C25,IF(AND('Chemical Info'!F26="Yes",'Chemical Info'!D26="Yes"),'Res-Rec Equations'!$B$22*1000*(('Res-Rec Equations'!$B$26*'Chemical Info'!J26*'Res-Rec Equations'!$B$59)+('Res-Rec Equations'!$B$27*'Chemical Info'!J26*'Res-Rec Equations'!$B$60)+('Res-Rec Equations'!$B$28*'Chemical Info'!J26*'Res-Rec Equations'!$B$61))*'Res-Rec Calculations'!F25,IF(AND('Chemical Info'!F26="Yes",'Chemical Info'!D26=""),'Res-Rec Equations'!$B$22*1000*'Res-Rec Equations'!$B$25*'Chemical Info'!J26*'Res-Rec Calculations'!F25,IF('Chemical Info'!D26="Yes",'Res-Rec Equations'!$B$22*1000*(('Res-Rec Equations'!$B$26*'Chemical Info'!J26*'Res-Rec Equations'!$B$59)+('Res-Rec Equations'!$B$27*'Chemical Info'!J26*'Res-Rec Equations'!$B$60)+('Res-Rec Equations'!$B$28*'Chemical Info'!J26*'Res-Rec Equations'!$B$61))*('Res-Rec Calculations'!C25+'Res-Rec Calculations'!F25),IF('Chemical Info'!D26="",'Res-Rec Equations'!$B$22*1000*'Res-Rec Equations'!$B$25*'Chemical Info'!J26*('Res-Rec Calculations'!C25+'Res-Rec Calculations'!F25))))))))</f>
        <v>1.1476558220580915E-6</v>
      </c>
      <c r="L25" s="167">
        <f>IF(AND(H25="NA",I25="NA",J25="NA"),"NA",IF(H25="NA",'Res-Rec Equations'!$B$15*'Res-Rec Equations'!$B$16/J25,IF(J25="NA",'Res-Rec Equations'!$B$15*'Res-Rec Equations'!$B$16/(H25+I25),'Res-Rec Equations'!$B$15*'Res-Rec Equations'!$B$16/(H25+I25+J25))))</f>
        <v>222627.72086304741</v>
      </c>
      <c r="M25" s="167">
        <f>IF(AND(H25="NA",I25="NA",K25="NA"),"NA",IF(H25="NA",'Res-Rec Equations'!$B$15*'Res-Rec Equations'!$B$16/K25,IF(K25="NA",'Res-Rec Equations'!$B$15*'Res-Rec Equations'!$B$16/(H25+I25),'Res-Rec Equations'!$B$15*'Res-Rec Equations'!$B$16/(H25+I25+K25))))</f>
        <v>222627.72086304741</v>
      </c>
      <c r="N25" s="167">
        <f t="shared" si="0"/>
        <v>222627.72086304741</v>
      </c>
      <c r="O25" s="371">
        <f>IF('Chemical Info'!L26="NA","NA",IF('Chemical Info'!E26="Yes",(('Res-Rec Equations'!$B$76*'Chemical Info'!AD26*'Res-Rec Equations'!$B$78*'Res-Rec Equations'!$B$79*'Res-Rec Equations'!$B$81)/('Res-Rec Equations'!$B$84*'Res-Rec Equations'!$B$85))/'Chemical Info'!L26,(('Res-Rec Equations'!$B$76*'Chemical Info'!AD26*'Res-Rec Equations'!$B$78*'Res-Rec Equations'!$B$79*'Res-Rec Equations'!$B$80)/('Res-Rec Equations'!$B$84*'Res-Rec Equations'!$B$85))/'Chemical Info'!L26))</f>
        <v>1.1415525114155251E-3</v>
      </c>
      <c r="P25" s="166">
        <f>IF('Chemical Info'!L26="NA","NA", IF('Chemical Info'!E26="Yes",0,((('Res-Rec Equations'!$B$87*'Res-Rec Equations'!$B$88*'Res-Rec Equations'!$B$78*'Res-Rec Equations'!$B$82*'Res-Rec Equations'!$B$79*'Chemical Info'!AB26)/('Res-Rec Equations'!$B$84*'Res-Rec Equations'!$B$85))/('Chemical Info'!L26*'Chemical Info'!AF26))))</f>
        <v>0</v>
      </c>
      <c r="Q25" s="166">
        <f>IF('Chemical Info'!N26="NA","NA",IF('Res-Rec Calculations'!E25="NA",(('Res-Rec Equations'!$B$83*'Res-Rec Equations'!$B$79*'Res-Rec Calculations'!C25)/('Res-Rec Equations'!$B$85))/('Chemical Info'!N26),IF('Chemical Info'!E26="Yes",(('Res-Rec Equations'!$B$83*'Res-Rec Equations'!$B$79*'Res-Rec Calculations'!E25)/('Res-Rec Equations'!$B$85))/('Chemical Info'!N26),(('Res-Rec Equations'!$B$83*'Res-Rec Equations'!$B$79*('Res-Rec Calculations'!C25+'Res-Rec Calculations'!E25))/('Res-Rec Equations'!$B$85))/('Chemical Info'!N26))))</f>
        <v>3.5992016096457789E-5</v>
      </c>
      <c r="R25" s="166">
        <f>IF('Chemical Info'!N26="NA","NA",IF('Res-Rec Calculations'!F25="NA",(('Res-Rec Equations'!$B$83*'Res-Rec Equations'!$B$79*'Res-Rec Calculations'!C25)/('Res-Rec Equations'!$B$85))/('Chemical Info'!N26),IF('Chemical Info'!E26="Yes",(('Res-Rec Equations'!$B$83*'Res-Rec Equations'!$B$79*'Res-Rec Calculations'!F25)/('Res-Rec Equations'!$B$85))/('Chemical Info'!N26),(('Res-Rec Equations'!$B$83*'Res-Rec Equations'!$B$79*('Res-Rec Calculations'!C25+'Res-Rec Calculations'!F25))/('Res-Rec Equations'!$B$85))/('Chemical Info'!N26))))</f>
        <v>3.5992016096457789E-5</v>
      </c>
      <c r="S25" s="167">
        <f>IF(AND(O25="NA",P25="NA",Q25="NA"),"NA",IF(O25="NA",'Res-Rec Equations'!$B$75/Q25,IF(Q25="NA",'Res-Rec Equations'!$B$75/(O25+P25),'Res-Rec Equations'!$B$75/(O25+P25+Q25))))</f>
        <v>169.84495730499225</v>
      </c>
      <c r="T25" s="167">
        <f>IF(AND(O25="NA",P25="NA",R25="NA"),"NA",IF(O25="NA",'Res-Rec Equations'!$B$75/R25,IF(R25="NA",'Res-Rec Equations'!$B$75/(O25+P25),'Res-Rec Equations'!$B$75/(O25+P25+R25))))</f>
        <v>169.84495730499225</v>
      </c>
      <c r="U25" s="168">
        <f t="shared" si="1"/>
        <v>169.84495730499225</v>
      </c>
      <c r="V25" s="167">
        <f>IF('Chemical Info'!P26="NA","NA",(('Res-Rec Equations'!$B$185*'Res-Rec Equations'!$B$186)/('Res-Rec Equations'!$B$187*'Res-Rec Equations'!$B$188*(1/'Chemical Info'!P26))))</f>
        <v>260</v>
      </c>
      <c r="W25" s="379">
        <f t="shared" si="2"/>
        <v>260</v>
      </c>
      <c r="X25" s="372">
        <f t="shared" si="6"/>
        <v>169.84495730499225</v>
      </c>
      <c r="Y25" s="62">
        <f t="shared" si="4"/>
        <v>170</v>
      </c>
      <c r="Z25" s="100" t="str">
        <f t="shared" si="7"/>
        <v>Noncancer</v>
      </c>
      <c r="AA25" s="373"/>
    </row>
    <row r="26" spans="1:28">
      <c r="A26" s="413" t="s">
        <v>184</v>
      </c>
      <c r="B26" s="566" t="s">
        <v>185</v>
      </c>
      <c r="C26" s="367">
        <f>1/(('Res-Rec Equations'!$B$152*3600)/((0.036*(1-'Res-Rec Equations'!$B$153))*('Res-Rec Equations'!$B$154/'Res-Rec Equations'!$B$155)^3*'Res-Rec Equations'!$B$156))</f>
        <v>7.3567680901159717E-10</v>
      </c>
      <c r="D26" s="368">
        <f>(('Res-Rec Equations'!$B$132^(10/3)*'Chemical Info'!$AH27*'Chemical Info'!$AN27*41+'Res-Rec Equations'!$B$135^(10/3)*'Chemical Info'!$AJ27)/'Res-Rec Equations'!$B$137^2)/('Res-Rec Equations'!$B$139*'Chemical Info'!$AL27*'Res-Rec Equations'!$B$142+'Res-Rec Equations'!$B$135+'Res-Rec Equations'!$B$132*'Chemical Info'!$AN27*41)</f>
        <v>0</v>
      </c>
      <c r="E26" s="368" t="str">
        <f>IF(D26=0,"NA",1/(('Res-Rec Equations'!$B$103*(3.14*'Res-Rec Calculations'!$D26*'Res-Rec Equations'!$B$105)^(1/2)*0.0001)/(2*'Res-Rec Equations'!$B$106*'Res-Rec Calculations'!$D26)))</f>
        <v>NA</v>
      </c>
      <c r="F26" s="368" t="str">
        <f>IF(D26=0,"NA",(1/('Res-Rec Equations'!$B$117*('Res-Rec Equations'!$B$118*(31500000))/('Res-Rec Equations'!$B$119*'Res-Rec Equations'!$B$120*1000000))))</f>
        <v>NA</v>
      </c>
      <c r="G26" s="167" t="str">
        <f>IF('Chemical Info'!E27="Yes",('Chemical Info'!AP27/'Res-Rec Equations'!$B$168)*((('Chemical Info'!AL27*'Res-Rec Equations'!$B$170)*'Res-Rec Equations'!$B$168)+'Res-Rec Equations'!$B$171+('Chemical Info'!AN27*41)*'Res-Rec Equations'!$B$173),"NA")</f>
        <v>NA</v>
      </c>
      <c r="H26" s="112" t="str">
        <f>IF('Chemical Info'!H27="NA","NA",IF(AND('Chemical Info'!E27="Yes",'Chemical Info'!D27="Yes"),'Chemical Info'!H27*'Chemical Info'!AD27*'Res-Rec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Info'!E27="Yes",'Chemical Info'!D27=""),'Chemical Info'!H27*'Chemical Info'!AD27*'Res-Rec Equations'!$B$20*'Res-Rec Equations'!$B$23*((('Res-Rec Equations'!$B$26*'Res-Rec Equations'!$B$29)/'Res-Rec Equations'!$B$32)+(('Res-Rec Equations'!$B$27*'Res-Rec Equations'!$B$30)/'Res-Rec Equations'!$B$33)+(('Res-Rec Equations'!$B$28*'Res-Rec Equations'!$B$31)/'Res-Rec Equations'!$B$34)),IF(AND('Chemical Info'!E27="No",'Chemical Info'!D27="Yes"),'Chemical Info'!H27*'Chemical Info'!AD27*'Res-Rec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Info'!E27="No",'Chemical Info'!D27=""),'Chemical Info'!H27*'Chemical Info'!AD27*'Res-Rec Equations'!$B$19*'Res-Rec Equations'!$B$23*((('Res-Rec Equations'!$B$26*'Res-Rec Equations'!$B$29)/'Res-Rec Equations'!$B$32)+(('Res-Rec Equations'!$B$27*'Res-Rec Equations'!$B$30)/'Res-Rec Equations'!$B$33)+(('Res-Rec Equations'!$B$28*'Res-Rec Equations'!$B$31)/'Res-Rec Equations'!$B$34)))))))</f>
        <v>NA</v>
      </c>
      <c r="I26" s="166" t="str">
        <f>IF('Chemical Info'!H27="NA","NA",IF('Chemical Info'!E27="Yes",0,IF('Chemical Info'!D27="Yes",'Chemical Info'!H27/'Chemical Info'!AF27*('Res-Rec Equations'!$B$21*'Chemical Info'!AB27*'Res-Rec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Info'!H27/'Chemical Info'!AF27*('Res-Rec Equations'!$B$21*'Chemical Info'!AB27*'Res-Rec Equations'!$B$23)*((('Res-Rec Equations'!$B$26*'Res-Rec Equations'!$B$37*'Res-Rec Equations'!$B$40)/'Res-Rec Equations'!$B$32)+(('Res-Rec Equations'!$B$27*'Res-Rec Equations'!$B$38*'Res-Rec Equations'!$B$41)/'Res-Rec Equations'!$B$33)+(('Res-Rec Equations'!$B$28*'Res-Rec Equations'!$B$39*'Res-Rec Equations'!$B$42)/'Res-Rec Equations'!$B$34)))))</f>
        <v>NA</v>
      </c>
      <c r="J26" s="369" t="str">
        <f>IF('Chemical Info'!J27="NA","NA",IF(AND(E26="NA",'Chemical Info'!D27="Yes"),'Res-Rec Equations'!$B$22*1000*(('Res-Rec Equations'!$B$26*'Chemical Info'!J27*'Res-Rec Equations'!$B$59)+('Res-Rec Equations'!$B$27*'Chemical Info'!J27*'Res-Rec Equations'!$B$60)+('Res-Rec Equations'!$B$28*'Chemical Info'!J27*'Res-Rec Equations'!$B$61))*'Res-Rec Calculations'!C26,IF(AND(E26="NA",'Chemical Info'!D27=""),'Res-Rec Equations'!$B$22*1000*'Res-Rec Equations'!$B$25*'Chemical Info'!J27*'Res-Rec Calculations'!C26,IF(AND('Chemical Info'!E27="Yes",'Chemical Info'!D27="Yes"),'Res-Rec Equations'!$B$22*1000*(('Res-Rec Equations'!$B$26*'Chemical Info'!J27*'Res-Rec Equations'!$B$59)+('Res-Rec Equations'!$B$27*'Chemical Info'!J27*'Res-Rec Equations'!$B$60)+('Res-Rec Equations'!$B$28*'Chemical Info'!J27*'Res-Rec Equations'!$B$61))*'Res-Rec Calculations'!E26,IF(AND('Chemical Info'!E27="Yes",'Chemical Info'!D27=""),'Res-Rec Equations'!$B$22*1000*'Res-Rec Equations'!$B$25*'Chemical Info'!J27*'Res-Rec Calculations'!E26,IF('Chemical Info'!D27="Yes",'Res-Rec Equations'!$B$22*1000*(('Res-Rec Equations'!$B$26*'Chemical Info'!J27*'Res-Rec Equations'!$B$59)+('Res-Rec Equations'!$B$27*'Chemical Info'!J27*'Res-Rec Equations'!$B$60)+('Res-Rec Equations'!$B$28*'Chemical Info'!J27*'Res-Rec Equations'!$B$61))*('Res-Rec Calculations'!C26+'Res-Rec Calculations'!E26),IF('Chemical Info'!D27="",'Res-Rec Equations'!$B$22*1000*'Res-Rec Equations'!$B$25*'Chemical Info'!J27*('Res-Rec Calculations'!C26+'Res-Rec Calculations'!E26))))))))</f>
        <v>NA</v>
      </c>
      <c r="K26" s="370" t="str">
        <f>IF('Chemical Info'!J27="NA","NA",IF(AND(F26="NA",'Chemical Info'!D27="Yes"),'Res-Rec Equations'!$B$22*1000*(('Res-Rec Equations'!$B$26*'Chemical Info'!J27*'Res-Rec Equations'!$B$59)+('Res-Rec Equations'!$B$27*'Chemical Info'!J27*'Res-Rec Equations'!$B$60)+('Res-Rec Equations'!$B$28*'Chemical Info'!J27*'Res-Rec Equations'!$B$61))*'Res-Rec Calculations'!C26,IF(AND(F26="NA",'Chemical Info'!D27=""),'Res-Rec Equations'!$B$22*1000*'Res-Rec Equations'!$B$25*'Chemical Info'!J27*'Res-Rec Calculations'!C26,IF(AND('Chemical Info'!F27="Yes",'Chemical Info'!D27="Yes"),'Res-Rec Equations'!$B$22*1000*(('Res-Rec Equations'!$B$26*'Chemical Info'!J27*'Res-Rec Equations'!$B$59)+('Res-Rec Equations'!$B$27*'Chemical Info'!J27*'Res-Rec Equations'!$B$60)+('Res-Rec Equations'!$B$28*'Chemical Info'!J27*'Res-Rec Equations'!$B$61))*'Res-Rec Calculations'!F26,IF(AND('Chemical Info'!F27="Yes",'Chemical Info'!D27=""),'Res-Rec Equations'!$B$22*1000*'Res-Rec Equations'!$B$25*'Chemical Info'!J27*'Res-Rec Calculations'!F26,IF('Chemical Info'!D27="Yes",'Res-Rec Equations'!$B$22*1000*(('Res-Rec Equations'!$B$26*'Chemical Info'!J27*'Res-Rec Equations'!$B$59)+('Res-Rec Equations'!$B$27*'Chemical Info'!J27*'Res-Rec Equations'!$B$60)+('Res-Rec Equations'!$B$28*'Chemical Info'!J27*'Res-Rec Equations'!$B$61))*('Res-Rec Calculations'!C26+'Res-Rec Calculations'!F26),IF('Chemical Info'!D27="",'Res-Rec Equations'!$B$22*1000*'Res-Rec Equations'!$B$25*'Chemical Info'!J27*('Res-Rec Calculations'!C26+'Res-Rec Calculations'!F26))))))))</f>
        <v>NA</v>
      </c>
      <c r="L26" s="167" t="str">
        <f>IF(AND(H26="NA",I26="NA",J26="NA"),"NA",IF(H26="NA",'Res-Rec Equations'!$B$15*'Res-Rec Equations'!$B$16/J26,IF(J26="NA",'Res-Rec Equations'!$B$15*'Res-Rec Equations'!$B$16/(H26+I26),'Res-Rec Equations'!$B$15*'Res-Rec Equations'!$B$16/(H26+I26+J26))))</f>
        <v>NA</v>
      </c>
      <c r="M26" s="167" t="str">
        <f>IF(AND(H26="NA",I26="NA",K26="NA"),"NA",IF(H26="NA",'Res-Rec Equations'!$B$15*'Res-Rec Equations'!$B$16/K26,IF(K26="NA",'Res-Rec Equations'!$B$15*'Res-Rec Equations'!$B$16/(H26+I26),'Res-Rec Equations'!$B$15*'Res-Rec Equations'!$B$16/(H26+I26+K26))))</f>
        <v>NA</v>
      </c>
      <c r="N26" s="167" t="str">
        <f t="shared" si="0"/>
        <v>NA</v>
      </c>
      <c r="O26" s="371">
        <f>IF('Chemical Info'!L27="NA","NA",IF('Chemical Info'!E27="Yes",(('Res-Rec Equations'!$B$76*'Chemical Info'!AD27*'Res-Rec Equations'!$B$78*'Res-Rec Equations'!$B$79*'Res-Rec Equations'!$B$81)/('Res-Rec Equations'!$B$84*'Res-Rec Equations'!$B$85))/'Chemical Info'!L27,(('Res-Rec Equations'!$B$76*'Chemical Info'!AD27*'Res-Rec Equations'!$B$78*'Res-Rec Equations'!$B$79*'Res-Rec Equations'!$B$80)/('Res-Rec Equations'!$B$84*'Res-Rec Equations'!$B$85))/'Chemical Info'!L27))</f>
        <v>2.5570776255707762E-3</v>
      </c>
      <c r="P26" s="166">
        <f>IF('Chemical Info'!L27="NA","NA", IF('Chemical Info'!E27="Yes",0,((('Res-Rec Equations'!$B$87*'Res-Rec Equations'!$B$88*'Res-Rec Equations'!$B$78*'Res-Rec Equations'!$B$82*'Res-Rec Equations'!$B$79*'Chemical Info'!AB27)/('Res-Rec Equations'!$B$84*'Res-Rec Equations'!$B$85))/('Chemical Info'!L27*'Chemical Info'!AF27))))</f>
        <v>0</v>
      </c>
      <c r="Q26" s="166">
        <f>IF('Chemical Info'!N27="NA","NA",IF('Res-Rec Calculations'!E26="NA",(('Res-Rec Equations'!$B$83*'Res-Rec Equations'!$B$79*'Res-Rec Calculations'!C26)/('Res-Rec Equations'!$B$85))/('Chemical Info'!N27),IF('Chemical Info'!E27="Yes",(('Res-Rec Equations'!$B$83*'Res-Rec Equations'!$B$79*'Res-Rec Calculations'!E26)/('Res-Rec Equations'!$B$85))/('Chemical Info'!N27),(('Res-Rec Equations'!$B$83*'Res-Rec Equations'!$B$79*('Res-Rec Calculations'!C26+'Res-Rec Calculations'!E26))/('Res-Rec Equations'!$B$85))/('Chemical Info'!N27))))</f>
        <v>2.5194411267520453E-8</v>
      </c>
      <c r="R26" s="166">
        <f>IF('Chemical Info'!N27="NA","NA",IF('Res-Rec Calculations'!F26="NA",(('Res-Rec Equations'!$B$83*'Res-Rec Equations'!$B$79*'Res-Rec Calculations'!C26)/('Res-Rec Equations'!$B$85))/('Chemical Info'!N27),IF('Chemical Info'!E27="Yes",(('Res-Rec Equations'!$B$83*'Res-Rec Equations'!$B$79*'Res-Rec Calculations'!F26)/('Res-Rec Equations'!$B$85))/('Chemical Info'!N27),(('Res-Rec Equations'!$B$83*'Res-Rec Equations'!$B$79*('Res-Rec Calculations'!C26+'Res-Rec Calculations'!F26))/('Res-Rec Equations'!$B$85))/('Chemical Info'!N27))))</f>
        <v>2.5194411267520453E-8</v>
      </c>
      <c r="S26" s="167">
        <f>IF(AND(O26="NA",P26="NA",Q26="NA"),"NA",IF(O26="NA",'Res-Rec Equations'!$B$75/Q26,IF(Q26="NA",'Res-Rec Equations'!$B$75/(O26+P26),'Res-Rec Equations'!$B$75/(O26+P26+Q26))))</f>
        <v>78.213515091037465</v>
      </c>
      <c r="T26" s="167">
        <f>IF(AND(O26="NA",P26="NA",R26="NA"),"NA",IF(O26="NA",'Res-Rec Equations'!$B$75/R26,IF(R26="NA",'Res-Rec Equations'!$B$75/(O26+P26),'Res-Rec Equations'!$B$75/(O26+P26+R26))))</f>
        <v>78.213515091037465</v>
      </c>
      <c r="U26" s="168">
        <f t="shared" si="1"/>
        <v>78.213515091037465</v>
      </c>
      <c r="V26" s="167" t="str">
        <f>IF('Chemical Info'!P27="NA","NA",(('Res-Rec Equations'!$B$185*'Res-Rec Equations'!$B$186)/('Res-Rec Equations'!$B$187*'Res-Rec Equations'!$B$188*(1/'Chemical Info'!P27))))</f>
        <v>NA</v>
      </c>
      <c r="W26" s="379" t="str">
        <f t="shared" si="2"/>
        <v>NA</v>
      </c>
      <c r="X26" s="372">
        <f t="shared" si="6"/>
        <v>78.213515091037465</v>
      </c>
      <c r="Y26" s="62">
        <f t="shared" si="4"/>
        <v>78</v>
      </c>
      <c r="Z26" s="100" t="str">
        <f t="shared" si="7"/>
        <v>Noncancer</v>
      </c>
      <c r="AA26" s="373"/>
    </row>
    <row r="27" spans="1:28">
      <c r="A27" s="413" t="s">
        <v>186</v>
      </c>
      <c r="B27" s="566" t="s">
        <v>187</v>
      </c>
      <c r="C27" s="367">
        <f>1/(('Res-Rec Equations'!$B$152*3600)/((0.036*(1-'Res-Rec Equations'!$B$153))*('Res-Rec Equations'!$B$154/'Res-Rec Equations'!$B$155)^3*'Res-Rec Equations'!$B$156))</f>
        <v>7.3567680901159717E-10</v>
      </c>
      <c r="D27" s="368">
        <f>(('Res-Rec Equations'!$B$132^(10/3)*'Chemical Info'!$AH28*'Chemical Info'!$AN28*41+'Res-Rec Equations'!$B$135^(10/3)*'Chemical Info'!$AJ28)/'Res-Rec Equations'!$B$137^2)/('Res-Rec Equations'!$B$139*'Chemical Info'!$AL28*'Res-Rec Equations'!$B$142+'Res-Rec Equations'!$B$135+'Res-Rec Equations'!$B$132*'Chemical Info'!$AN28*41)</f>
        <v>0</v>
      </c>
      <c r="E27" s="368" t="str">
        <f>IF(D27=0,"NA",1/(('Res-Rec Equations'!$B$103*(3.14*'Res-Rec Calculations'!$D27*'Res-Rec Equations'!$B$105)^(1/2)*0.0001)/(2*'Res-Rec Equations'!$B$106*'Res-Rec Calculations'!$D27)))</f>
        <v>NA</v>
      </c>
      <c r="F27" s="368" t="str">
        <f>IF(D27=0,"NA",(1/('Res-Rec Equations'!$B$117*('Res-Rec Equations'!$B$118*(31500000))/('Res-Rec Equations'!$B$119*'Res-Rec Equations'!$B$120*1000000))))</f>
        <v>NA</v>
      </c>
      <c r="G27" s="167" t="str">
        <f>IF('Chemical Info'!E28="Yes",('Chemical Info'!AP28/'Res-Rec Equations'!$B$168)*((('Chemical Info'!AL28*'Res-Rec Equations'!$B$170)*'Res-Rec Equations'!$B$168)+'Res-Rec Equations'!$B$171+('Chemical Info'!AN28*41)*'Res-Rec Equations'!$B$173),"NA")</f>
        <v>NA</v>
      </c>
      <c r="H27" s="112" t="str">
        <f>IF('Chemical Info'!H28="NA","NA",IF(AND('Chemical Info'!E28="Yes",'Chemical Info'!D28="Yes"),'Chemical Info'!H28*'Chemical Info'!AD28*'Res-Rec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Info'!E28="Yes",'Chemical Info'!D28=""),'Chemical Info'!H28*'Chemical Info'!AD28*'Res-Rec Equations'!$B$20*'Res-Rec Equations'!$B$23*((('Res-Rec Equations'!$B$26*'Res-Rec Equations'!$B$29)/'Res-Rec Equations'!$B$32)+(('Res-Rec Equations'!$B$27*'Res-Rec Equations'!$B$30)/'Res-Rec Equations'!$B$33)+(('Res-Rec Equations'!$B$28*'Res-Rec Equations'!$B$31)/'Res-Rec Equations'!$B$34)),IF(AND('Chemical Info'!E28="No",'Chemical Info'!D28="Yes"),'Chemical Info'!H28*'Chemical Info'!AD28*'Res-Rec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Info'!E28="No",'Chemical Info'!D28=""),'Chemical Info'!H28*'Chemical Info'!AD28*'Res-Rec Equations'!$B$19*'Res-Rec Equations'!$B$23*((('Res-Rec Equations'!$B$26*'Res-Rec Equations'!$B$29)/'Res-Rec Equations'!$B$32)+(('Res-Rec Equations'!$B$27*'Res-Rec Equations'!$B$30)/'Res-Rec Equations'!$B$33)+(('Res-Rec Equations'!$B$28*'Res-Rec Equations'!$B$31)/'Res-Rec Equations'!$B$34)))))))</f>
        <v>NA</v>
      </c>
      <c r="I27" s="166" t="str">
        <f>IF('Chemical Info'!H28="NA","NA",IF('Chemical Info'!E28="Yes",0,IF('Chemical Info'!D28="Yes",'Chemical Info'!H28/'Chemical Info'!AF28*('Res-Rec Equations'!$B$21*'Chemical Info'!AB28*'Res-Rec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Info'!H28/'Chemical Info'!AF28*('Res-Rec Equations'!$B$21*'Chemical Info'!AB28*'Res-Rec Equations'!$B$23)*((('Res-Rec Equations'!$B$26*'Res-Rec Equations'!$B$37*'Res-Rec Equations'!$B$40)/'Res-Rec Equations'!$B$32)+(('Res-Rec Equations'!$B$27*'Res-Rec Equations'!$B$38*'Res-Rec Equations'!$B$41)/'Res-Rec Equations'!$B$33)+(('Res-Rec Equations'!$B$28*'Res-Rec Equations'!$B$39*'Res-Rec Equations'!$B$42)/'Res-Rec Equations'!$B$34)))))</f>
        <v>NA</v>
      </c>
      <c r="J27" s="369" t="str">
        <f>IF('Chemical Info'!J28="NA","NA",IF(AND(E27="NA",'Chemical Info'!D28="Yes"),'Res-Rec Equations'!$B$22*1000*(('Res-Rec Equations'!$B$26*'Chemical Info'!J28*'Res-Rec Equations'!$B$59)+('Res-Rec Equations'!$B$27*'Chemical Info'!J28*'Res-Rec Equations'!$B$60)+('Res-Rec Equations'!$B$28*'Chemical Info'!J28*'Res-Rec Equations'!$B$61))*'Res-Rec Calculations'!C27,IF(AND(E27="NA",'Chemical Info'!D28=""),'Res-Rec Equations'!$B$22*1000*'Res-Rec Equations'!$B$25*'Chemical Info'!J28*'Res-Rec Calculations'!C27,IF(AND('Chemical Info'!E28="Yes",'Chemical Info'!D28="Yes"),'Res-Rec Equations'!$B$22*1000*(('Res-Rec Equations'!$B$26*'Chemical Info'!J28*'Res-Rec Equations'!$B$59)+('Res-Rec Equations'!$B$27*'Chemical Info'!J28*'Res-Rec Equations'!$B$60)+('Res-Rec Equations'!$B$28*'Chemical Info'!J28*'Res-Rec Equations'!$B$61))*'Res-Rec Calculations'!E27,IF(AND('Chemical Info'!E28="Yes",'Chemical Info'!D28=""),'Res-Rec Equations'!$B$22*1000*'Res-Rec Equations'!$B$25*'Chemical Info'!J28*'Res-Rec Calculations'!E27,IF('Chemical Info'!D28="Yes",'Res-Rec Equations'!$B$22*1000*(('Res-Rec Equations'!$B$26*'Chemical Info'!J28*'Res-Rec Equations'!$B$59)+('Res-Rec Equations'!$B$27*'Chemical Info'!J28*'Res-Rec Equations'!$B$60)+('Res-Rec Equations'!$B$28*'Chemical Info'!J28*'Res-Rec Equations'!$B$61))*('Res-Rec Calculations'!C27+'Res-Rec Calculations'!E27),IF('Chemical Info'!D28="",'Res-Rec Equations'!$B$22*1000*'Res-Rec Equations'!$B$25*'Chemical Info'!J28*('Res-Rec Calculations'!C27+'Res-Rec Calculations'!E27))))))))</f>
        <v>NA</v>
      </c>
      <c r="K27" s="370" t="str">
        <f>IF('Chemical Info'!J28="NA","NA",IF(AND(F27="NA",'Chemical Info'!D28="Yes"),'Res-Rec Equations'!$B$22*1000*(('Res-Rec Equations'!$B$26*'Chemical Info'!J28*'Res-Rec Equations'!$B$59)+('Res-Rec Equations'!$B$27*'Chemical Info'!J28*'Res-Rec Equations'!$B$60)+('Res-Rec Equations'!$B$28*'Chemical Info'!J28*'Res-Rec Equations'!$B$61))*'Res-Rec Calculations'!C27,IF(AND(F27="NA",'Chemical Info'!D28=""),'Res-Rec Equations'!$B$22*1000*'Res-Rec Equations'!$B$25*'Chemical Info'!J28*'Res-Rec Calculations'!C27,IF(AND('Chemical Info'!F28="Yes",'Chemical Info'!D28="Yes"),'Res-Rec Equations'!$B$22*1000*(('Res-Rec Equations'!$B$26*'Chemical Info'!J28*'Res-Rec Equations'!$B$59)+('Res-Rec Equations'!$B$27*'Chemical Info'!J28*'Res-Rec Equations'!$B$60)+('Res-Rec Equations'!$B$28*'Chemical Info'!J28*'Res-Rec Equations'!$B$61))*'Res-Rec Calculations'!F27,IF(AND('Chemical Info'!F28="Yes",'Chemical Info'!D28=""),'Res-Rec Equations'!$B$22*1000*'Res-Rec Equations'!$B$25*'Chemical Info'!J28*'Res-Rec Calculations'!F27,IF('Chemical Info'!D28="Yes",'Res-Rec Equations'!$B$22*1000*(('Res-Rec Equations'!$B$26*'Chemical Info'!J28*'Res-Rec Equations'!$B$59)+('Res-Rec Equations'!$B$27*'Chemical Info'!J28*'Res-Rec Equations'!$B$60)+('Res-Rec Equations'!$B$28*'Chemical Info'!J28*'Res-Rec Equations'!$B$61))*('Res-Rec Calculations'!C27+'Res-Rec Calculations'!F27),IF('Chemical Info'!D28="",'Res-Rec Equations'!$B$22*1000*'Res-Rec Equations'!$B$25*'Chemical Info'!J28*('Res-Rec Calculations'!C27+'Res-Rec Calculations'!F27))))))))</f>
        <v>NA</v>
      </c>
      <c r="L27" s="167" t="str">
        <f>IF(AND(H27="NA",I27="NA",J27="NA"),"NA",IF(H27="NA",'Res-Rec Equations'!$B$15*'Res-Rec Equations'!$B$16/J27,IF(J27="NA",'Res-Rec Equations'!$B$15*'Res-Rec Equations'!$B$16/(H27+I27),'Res-Rec Equations'!$B$15*'Res-Rec Equations'!$B$16/(H27+I27+J27))))</f>
        <v>NA</v>
      </c>
      <c r="M27" s="167" t="str">
        <f>IF(AND(H27="NA",I27="NA",K27="NA"),"NA",IF(H27="NA",'Res-Rec Equations'!$B$15*'Res-Rec Equations'!$B$16/K27,IF(K27="NA",'Res-Rec Equations'!$B$15*'Res-Rec Equations'!$B$16/(H27+I27),'Res-Rec Equations'!$B$15*'Res-Rec Equations'!$B$16/(H27+I27+K27))))</f>
        <v>NA</v>
      </c>
      <c r="N27" s="167" t="str">
        <f t="shared" si="0"/>
        <v>NA</v>
      </c>
      <c r="O27" s="371">
        <f>IF('Chemical Info'!L28="NA","NA",IF('Chemical Info'!E28="Yes",(('Res-Rec Equations'!$B$76*'Chemical Info'!AD28*'Res-Rec Equations'!$B$78*'Res-Rec Equations'!$B$79*'Res-Rec Equations'!$B$81)/('Res-Rec Equations'!$B$84*'Res-Rec Equations'!$B$85))/'Chemical Info'!L28,(('Res-Rec Equations'!$B$76*'Chemical Info'!AD28*'Res-Rec Equations'!$B$78*'Res-Rec Equations'!$B$79*'Res-Rec Equations'!$B$80)/('Res-Rec Equations'!$B$84*'Res-Rec Equations'!$B$85))/'Chemical Info'!L28))</f>
        <v>2.5570776255707762E-3</v>
      </c>
      <c r="P27" s="166">
        <f>IF('Chemical Info'!L28="NA","NA", IF('Chemical Info'!E28="Yes",0,((('Res-Rec Equations'!$B$87*'Res-Rec Equations'!$B$88*'Res-Rec Equations'!$B$78*'Res-Rec Equations'!$B$82*'Res-Rec Equations'!$B$79*'Chemical Info'!AB28)/('Res-Rec Equations'!$B$84*'Res-Rec Equations'!$B$85))/('Chemical Info'!L28*'Chemical Info'!AF28))))</f>
        <v>0</v>
      </c>
      <c r="Q27" s="166" t="str">
        <f>IF('Chemical Info'!N28="NA","NA",IF('Res-Rec Calculations'!E27="NA",(('Res-Rec Equations'!$B$83*'Res-Rec Equations'!$B$79*'Res-Rec Calculations'!C27)/('Res-Rec Equations'!$B$85))/('Chemical Info'!N28),IF('Chemical Info'!E28="Yes",(('Res-Rec Equations'!$B$83*'Res-Rec Equations'!$B$79*'Res-Rec Calculations'!E27)/('Res-Rec Equations'!$B$85))/('Chemical Info'!N28),(('Res-Rec Equations'!$B$83*'Res-Rec Equations'!$B$79*('Res-Rec Calculations'!C27+'Res-Rec Calculations'!E27))/('Res-Rec Equations'!$B$85))/('Chemical Info'!N28))))</f>
        <v>NA</v>
      </c>
      <c r="R27" s="166" t="str">
        <f>IF('Chemical Info'!N28="NA","NA",IF('Res-Rec Calculations'!F27="NA",(('Res-Rec Equations'!$B$83*'Res-Rec Equations'!$B$79*'Res-Rec Calculations'!C27)/('Res-Rec Equations'!$B$85))/('Chemical Info'!N28),IF('Chemical Info'!E28="Yes",(('Res-Rec Equations'!$B$83*'Res-Rec Equations'!$B$79*'Res-Rec Calculations'!F27)/('Res-Rec Equations'!$B$85))/('Chemical Info'!N28),(('Res-Rec Equations'!$B$83*'Res-Rec Equations'!$B$79*('Res-Rec Calculations'!C27+'Res-Rec Calculations'!F27))/('Res-Rec Equations'!$B$85))/('Chemical Info'!N28))))</f>
        <v>NA</v>
      </c>
      <c r="S27" s="167">
        <f>IF(AND(O27="NA",P27="NA",Q27="NA"),"NA",IF(O27="NA",'Res-Rec Equations'!$B$75/Q27,IF(Q27="NA",'Res-Rec Equations'!$B$75/(O27+P27),'Res-Rec Equations'!$B$75/(O27+P27+Q27))))</f>
        <v>78.214285714285722</v>
      </c>
      <c r="T27" s="167">
        <f>IF(AND(O27="NA",P27="NA",R27="NA"),"NA",IF(O27="NA",'Res-Rec Equations'!$B$75/R27,IF(R27="NA",'Res-Rec Equations'!$B$75/(O27+P27),'Res-Rec Equations'!$B$75/(O27+P27+R27))))</f>
        <v>78.214285714285722</v>
      </c>
      <c r="U27" s="168">
        <f t="shared" si="1"/>
        <v>78.214285714285722</v>
      </c>
      <c r="V27" s="167" t="str">
        <f>IF('Chemical Info'!P28="NA","NA",(('Res-Rec Equations'!$B$185*'Res-Rec Equations'!$B$186)/('Res-Rec Equations'!$B$187*'Res-Rec Equations'!$B$188*(1/'Chemical Info'!P28))))</f>
        <v>NA</v>
      </c>
      <c r="W27" s="379" t="str">
        <f t="shared" si="2"/>
        <v>NA</v>
      </c>
      <c r="X27" s="372">
        <f t="shared" si="6"/>
        <v>78.214285714285722</v>
      </c>
      <c r="Y27" s="62">
        <f t="shared" si="4"/>
        <v>78</v>
      </c>
      <c r="Z27" s="100" t="str">
        <f t="shared" si="7"/>
        <v>Noncancer</v>
      </c>
      <c r="AA27" s="373"/>
    </row>
    <row r="28" spans="1:28">
      <c r="A28" s="413" t="s">
        <v>188</v>
      </c>
      <c r="B28" s="566" t="s">
        <v>189</v>
      </c>
      <c r="C28" s="367">
        <f>1/(('Res-Rec Equations'!$B$152*3600)/((0.036*(1-'Res-Rec Equations'!$B$153))*('Res-Rec Equations'!$B$154/'Res-Rec Equations'!$B$155)^3*'Res-Rec Equations'!$B$156))</f>
        <v>7.3567680901159717E-10</v>
      </c>
      <c r="D28" s="368">
        <f>(('Res-Rec Equations'!$B$132^(10/3)*'Chemical Info'!$AH29*'Chemical Info'!$AN29*41+'Res-Rec Equations'!$B$135^(10/3)*'Chemical Info'!$AJ29)/'Res-Rec Equations'!$B$137^2)/('Res-Rec Equations'!$B$139*'Chemical Info'!$AL29*'Res-Rec Equations'!$B$142+'Res-Rec Equations'!$B$135+'Res-Rec Equations'!$B$132*'Chemical Info'!$AN29*41)</f>
        <v>0</v>
      </c>
      <c r="E28" s="368" t="str">
        <f>IF(D28=0,"NA",1/(('Res-Rec Equations'!$B$103*(3.14*'Res-Rec Calculations'!$D28*'Res-Rec Equations'!$B$105)^(1/2)*0.0001)/(2*'Res-Rec Equations'!$B$106*'Res-Rec Calculations'!$D28)))</f>
        <v>NA</v>
      </c>
      <c r="F28" s="368" t="str">
        <f>IF(D28=0,"NA",(1/('Res-Rec Equations'!$B$117*('Res-Rec Equations'!$B$118*(31500000))/('Res-Rec Equations'!$B$119*'Res-Rec Equations'!$B$120*1000000))))</f>
        <v>NA</v>
      </c>
      <c r="G28" s="167" t="str">
        <f>IF('Chemical Info'!E29="Yes",('Chemical Info'!AP29/'Res-Rec Equations'!$B$168)*((('Chemical Info'!AL29*'Res-Rec Equations'!$B$170)*'Res-Rec Equations'!$B$168)+'Res-Rec Equations'!$B$171+('Chemical Info'!AN29*41)*'Res-Rec Equations'!$B$173),"NA")</f>
        <v>NA</v>
      </c>
      <c r="H28" s="112" t="str">
        <f>IF('Chemical Info'!H29="NA","NA",IF(AND('Chemical Info'!E29="Yes",'Chemical Info'!D29="Yes"),'Chemical Info'!H29*'Chemical Info'!AD29*'Res-Rec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Info'!E29="Yes",'Chemical Info'!D29=""),'Chemical Info'!H29*'Chemical Info'!AD29*'Res-Rec Equations'!$B$20*'Res-Rec Equations'!$B$23*((('Res-Rec Equations'!$B$26*'Res-Rec Equations'!$B$29)/'Res-Rec Equations'!$B$32)+(('Res-Rec Equations'!$B$27*'Res-Rec Equations'!$B$30)/'Res-Rec Equations'!$B$33)+(('Res-Rec Equations'!$B$28*'Res-Rec Equations'!$B$31)/'Res-Rec Equations'!$B$34)),IF(AND('Chemical Info'!E29="No",'Chemical Info'!D29="Yes"),'Chemical Info'!H29*'Chemical Info'!AD29*'Res-Rec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Info'!E29="No",'Chemical Info'!D29=""),'Chemical Info'!H29*'Chemical Info'!AD29*'Res-Rec Equations'!$B$19*'Res-Rec Equations'!$B$23*((('Res-Rec Equations'!$B$26*'Res-Rec Equations'!$B$29)/'Res-Rec Equations'!$B$32)+(('Res-Rec Equations'!$B$27*'Res-Rec Equations'!$B$30)/'Res-Rec Equations'!$B$33)+(('Res-Rec Equations'!$B$28*'Res-Rec Equations'!$B$31)/'Res-Rec Equations'!$B$34)))))))</f>
        <v>NA</v>
      </c>
      <c r="I28" s="166" t="str">
        <f>IF('Chemical Info'!H29="NA","NA",IF('Chemical Info'!E29="Yes",0,IF('Chemical Info'!D29="Yes",'Chemical Info'!H29/'Chemical Info'!AF29*('Res-Rec Equations'!$B$21*'Chemical Info'!AB29*'Res-Rec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Info'!H29/'Chemical Info'!AF29*('Res-Rec Equations'!$B$21*'Chemical Info'!AB29*'Res-Rec Equations'!$B$23)*((('Res-Rec Equations'!$B$26*'Res-Rec Equations'!$B$37*'Res-Rec Equations'!$B$40)/'Res-Rec Equations'!$B$32)+(('Res-Rec Equations'!$B$27*'Res-Rec Equations'!$B$38*'Res-Rec Equations'!$B$41)/'Res-Rec Equations'!$B$33)+(('Res-Rec Equations'!$B$28*'Res-Rec Equations'!$B$39*'Res-Rec Equations'!$B$42)/'Res-Rec Equations'!$B$34)))))</f>
        <v>NA</v>
      </c>
      <c r="J28" s="369" t="str">
        <f>IF('Chemical Info'!J29="NA","NA",IF(AND(E28="NA",'Chemical Info'!D29="Yes"),'Res-Rec Equations'!$B$22*1000*(('Res-Rec Equations'!$B$26*'Chemical Info'!J29*'Res-Rec Equations'!$B$59)+('Res-Rec Equations'!$B$27*'Chemical Info'!J29*'Res-Rec Equations'!$B$60)+('Res-Rec Equations'!$B$28*'Chemical Info'!J29*'Res-Rec Equations'!$B$61))*'Res-Rec Calculations'!C28,IF(AND(E28="NA",'Chemical Info'!D29=""),'Res-Rec Equations'!$B$22*1000*'Res-Rec Equations'!$B$25*'Chemical Info'!J29*'Res-Rec Calculations'!C28,IF(AND('Chemical Info'!E29="Yes",'Chemical Info'!D29="Yes"),'Res-Rec Equations'!$B$22*1000*(('Res-Rec Equations'!$B$26*'Chemical Info'!J29*'Res-Rec Equations'!$B$59)+('Res-Rec Equations'!$B$27*'Chemical Info'!J29*'Res-Rec Equations'!$B$60)+('Res-Rec Equations'!$B$28*'Chemical Info'!J29*'Res-Rec Equations'!$B$61))*'Res-Rec Calculations'!E28,IF(AND('Chemical Info'!E29="Yes",'Chemical Info'!D29=""),'Res-Rec Equations'!$B$22*1000*'Res-Rec Equations'!$B$25*'Chemical Info'!J29*'Res-Rec Calculations'!E28,IF('Chemical Info'!D29="Yes",'Res-Rec Equations'!$B$22*1000*(('Res-Rec Equations'!$B$26*'Chemical Info'!J29*'Res-Rec Equations'!$B$59)+('Res-Rec Equations'!$B$27*'Chemical Info'!J29*'Res-Rec Equations'!$B$60)+('Res-Rec Equations'!$B$28*'Chemical Info'!J29*'Res-Rec Equations'!$B$61))*('Res-Rec Calculations'!C28+'Res-Rec Calculations'!E28),IF('Chemical Info'!D29="",'Res-Rec Equations'!$B$22*1000*'Res-Rec Equations'!$B$25*'Chemical Info'!J29*('Res-Rec Calculations'!C28+'Res-Rec Calculations'!E28))))))))</f>
        <v>NA</v>
      </c>
      <c r="K28" s="370" t="str">
        <f>IF('Chemical Info'!J29="NA","NA",IF(AND(F28="NA",'Chemical Info'!D29="Yes"),'Res-Rec Equations'!$B$22*1000*(('Res-Rec Equations'!$B$26*'Chemical Info'!J29*'Res-Rec Equations'!$B$59)+('Res-Rec Equations'!$B$27*'Chemical Info'!J29*'Res-Rec Equations'!$B$60)+('Res-Rec Equations'!$B$28*'Chemical Info'!J29*'Res-Rec Equations'!$B$61))*'Res-Rec Calculations'!C28,IF(AND(F28="NA",'Chemical Info'!D29=""),'Res-Rec Equations'!$B$22*1000*'Res-Rec Equations'!$B$25*'Chemical Info'!J29*'Res-Rec Calculations'!C28,IF(AND('Chemical Info'!F29="Yes",'Chemical Info'!D29="Yes"),'Res-Rec Equations'!$B$22*1000*(('Res-Rec Equations'!$B$26*'Chemical Info'!J29*'Res-Rec Equations'!$B$59)+('Res-Rec Equations'!$B$27*'Chemical Info'!J29*'Res-Rec Equations'!$B$60)+('Res-Rec Equations'!$B$28*'Chemical Info'!J29*'Res-Rec Equations'!$B$61))*'Res-Rec Calculations'!F28,IF(AND('Chemical Info'!F29="Yes",'Chemical Info'!D29=""),'Res-Rec Equations'!$B$22*1000*'Res-Rec Equations'!$B$25*'Chemical Info'!J29*'Res-Rec Calculations'!F28,IF('Chemical Info'!D29="Yes",'Res-Rec Equations'!$B$22*1000*(('Res-Rec Equations'!$B$26*'Chemical Info'!J29*'Res-Rec Equations'!$B$59)+('Res-Rec Equations'!$B$27*'Chemical Info'!J29*'Res-Rec Equations'!$B$60)+('Res-Rec Equations'!$B$28*'Chemical Info'!J29*'Res-Rec Equations'!$B$61))*('Res-Rec Calculations'!C28+'Res-Rec Calculations'!F28),IF('Chemical Info'!D29="",'Res-Rec Equations'!$B$22*1000*'Res-Rec Equations'!$B$25*'Chemical Info'!J29*('Res-Rec Calculations'!C28+'Res-Rec Calculations'!F28))))))))</f>
        <v>NA</v>
      </c>
      <c r="L28" s="167" t="str">
        <f>IF(AND(H28="NA",I28="NA",J28="NA"),"NA",IF(H28="NA",'Res-Rec Equations'!$B$15*'Res-Rec Equations'!$B$16/J28,IF(J28="NA",'Res-Rec Equations'!$B$15*'Res-Rec Equations'!$B$16/(H28+I28),'Res-Rec Equations'!$B$15*'Res-Rec Equations'!$B$16/(H28+I28+J28))))</f>
        <v>NA</v>
      </c>
      <c r="M28" s="167" t="str">
        <f>IF(AND(H28="NA",I28="NA",K28="NA"),"NA",IF(H28="NA",'Res-Rec Equations'!$B$15*'Res-Rec Equations'!$B$16/K28,IF(K28="NA",'Res-Rec Equations'!$B$15*'Res-Rec Equations'!$B$16/(H28+I28),'Res-Rec Equations'!$B$15*'Res-Rec Equations'!$B$16/(H28+I28+K28))))</f>
        <v>NA</v>
      </c>
      <c r="N28" s="167" t="str">
        <f t="shared" si="0"/>
        <v>NA</v>
      </c>
      <c r="O28" s="371">
        <f>IF('Chemical Info'!L29="NA","NA",IF('Chemical Info'!E29="Yes",(('Res-Rec Equations'!$B$76*'Chemical Info'!AD29*'Res-Rec Equations'!$B$78*'Res-Rec Equations'!$B$79*'Res-Rec Equations'!$B$81)/('Res-Rec Equations'!$B$84*'Res-Rec Equations'!$B$85))/'Chemical Info'!L29,(('Res-Rec Equations'!$B$76*'Chemical Info'!AD29*'Res-Rec Equations'!$B$78*'Res-Rec Equations'!$B$79*'Res-Rec Equations'!$B$80)/('Res-Rec Equations'!$B$84*'Res-Rec Equations'!$B$85))/'Chemical Info'!L29))</f>
        <v>2.9733460762450886E-5</v>
      </c>
      <c r="P28" s="166">
        <f>IF('Chemical Info'!L29="NA","NA", IF('Chemical Info'!E29="Yes",0,((('Res-Rec Equations'!$B$87*'Res-Rec Equations'!$B$88*'Res-Rec Equations'!$B$78*'Res-Rec Equations'!$B$82*'Res-Rec Equations'!$B$79*'Chemical Info'!AB29)/('Res-Rec Equations'!$B$84*'Res-Rec Equations'!$B$85))/('Chemical Info'!L29*'Chemical Info'!AF29))))</f>
        <v>0</v>
      </c>
      <c r="Q28" s="166" t="str">
        <f>IF('Chemical Info'!N29="NA","NA",IF('Res-Rec Calculations'!E28="NA",(('Res-Rec Equations'!$B$83*'Res-Rec Equations'!$B$79*'Res-Rec Calculations'!C28)/('Res-Rec Equations'!$B$85))/('Chemical Info'!N29),IF('Chemical Info'!E29="Yes",(('Res-Rec Equations'!$B$83*'Res-Rec Equations'!$B$79*'Res-Rec Calculations'!E28)/('Res-Rec Equations'!$B$85))/('Chemical Info'!N29),(('Res-Rec Equations'!$B$83*'Res-Rec Equations'!$B$79*('Res-Rec Calculations'!C28+'Res-Rec Calculations'!E28))/('Res-Rec Equations'!$B$85))/('Chemical Info'!N29))))</f>
        <v>NA</v>
      </c>
      <c r="R28" s="166" t="str">
        <f>IF('Chemical Info'!N29="NA","NA",IF('Res-Rec Calculations'!F28="NA",(('Res-Rec Equations'!$B$83*'Res-Rec Equations'!$B$79*'Res-Rec Calculations'!C28)/('Res-Rec Equations'!$B$85))/('Chemical Info'!N29),IF('Chemical Info'!E29="Yes",(('Res-Rec Equations'!$B$83*'Res-Rec Equations'!$B$79*'Res-Rec Calculations'!F28)/('Res-Rec Equations'!$B$85))/('Chemical Info'!N29),(('Res-Rec Equations'!$B$83*'Res-Rec Equations'!$B$79*('Res-Rec Calculations'!C28+'Res-Rec Calculations'!F28))/('Res-Rec Equations'!$B$85))/('Chemical Info'!N29))))</f>
        <v>NA</v>
      </c>
      <c r="S28" s="167">
        <f>IF(AND(O28="NA",P28="NA",Q28="NA"),"NA",IF(O28="NA",'Res-Rec Equations'!$B$75/Q28,IF(Q28="NA",'Res-Rec Equations'!$B$75/(O28+P28),'Res-Rec Equations'!$B$75/(O28+P28+Q28))))</f>
        <v>6726.4285714285716</v>
      </c>
      <c r="T28" s="167">
        <f>IF(AND(O28="NA",P28="NA",R28="NA"),"NA",IF(O28="NA",'Res-Rec Equations'!$B$75/R28,IF(R28="NA",'Res-Rec Equations'!$B$75/(O28+P28),'Res-Rec Equations'!$B$75/(O28+P28+R28))))</f>
        <v>6726.4285714285716</v>
      </c>
      <c r="U28" s="168">
        <f t="shared" si="1"/>
        <v>6726.4285714285716</v>
      </c>
      <c r="V28" s="167" t="str">
        <f>IF('Chemical Info'!P29="NA","NA",(('Res-Rec Equations'!$B$185*'Res-Rec Equations'!$B$186)/('Res-Rec Equations'!$B$187*'Res-Rec Equations'!$B$188*(1/'Chemical Info'!P29))))</f>
        <v>NA</v>
      </c>
      <c r="W28" s="379" t="str">
        <f t="shared" si="2"/>
        <v>NA</v>
      </c>
      <c r="X28" s="372">
        <f t="shared" si="6"/>
        <v>6726.4285714285716</v>
      </c>
      <c r="Y28" s="62">
        <f t="shared" si="4"/>
        <v>6700</v>
      </c>
      <c r="Z28" s="100" t="str">
        <f t="shared" si="7"/>
        <v>Noncancer</v>
      </c>
      <c r="AA28" s="373"/>
    </row>
    <row r="29" spans="1:28" s="420" customFormat="1">
      <c r="A29" s="413" t="s">
        <v>190</v>
      </c>
      <c r="B29" s="566" t="s">
        <v>114</v>
      </c>
      <c r="C29" s="367">
        <f>1/(('Res-Rec Equations'!$B$152*3600)/((0.036*(1-'Res-Rec Equations'!$B$153))*('Res-Rec Equations'!$B$154/'Res-Rec Equations'!$B$155)^3*'Res-Rec Equations'!$B$156))</f>
        <v>7.3567680901159717E-10</v>
      </c>
      <c r="D29" s="416">
        <f>(('Res-Rec Equations'!$B$132^(10/3)*'Chemical Info'!$AH30*'Chemical Info'!$AN30*41+'Res-Rec Equations'!$B$135^(10/3)*'Chemical Info'!$AJ30)/'Res-Rec Equations'!$B$137^2)/('Res-Rec Equations'!$B$139*'Chemical Info'!$AL30*'Res-Rec Equations'!$B$142+'Res-Rec Equations'!$B$135+'Res-Rec Equations'!$B$132*'Chemical Info'!$AN30*41)</f>
        <v>0</v>
      </c>
      <c r="E29" s="416" t="str">
        <f>IF(D29=0,"NA",1/(('Res-Rec Equations'!$B$103*(3.14*'Res-Rec Calculations'!$D29*'Res-Rec Equations'!$B$105)^(1/2)*0.0001)/(2*'Res-Rec Equations'!$B$106*'Res-Rec Calculations'!$D29)))</f>
        <v>NA</v>
      </c>
      <c r="F29" s="416" t="str">
        <f>IF(D29=0,"NA",(1/('Res-Rec Equations'!$B$117*('Res-Rec Equations'!$B$118*(31500000))/('Res-Rec Equations'!$B$119*'Res-Rec Equations'!$B$120*1000000))))</f>
        <v>NA</v>
      </c>
      <c r="G29" s="417" t="str">
        <f>IF('Chemical Info'!E30="Yes",('Chemical Info'!AP30/'Res-Rec Equations'!$B$168)*((('Chemical Info'!AL30*'Res-Rec Equations'!$B$170)*'Res-Rec Equations'!$B$168)+'Res-Rec Equations'!$B$171+('Chemical Info'!AN30*41)*'Res-Rec Equations'!$B$173),"NA")</f>
        <v>NA</v>
      </c>
      <c r="H29" s="161" t="str">
        <f>IF('Chemical Info'!H30="NA","NA",IF(AND('Chemical Info'!E30="Yes",'Chemical Info'!D30="Yes"),'Chemical Info'!H30*'Chemical Info'!AD30*'Res-Rec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Info'!E30="Yes",'Chemical Info'!D30=""),'Chemical Info'!H30*'Chemical Info'!AD30*'Res-Rec Equations'!$B$20*'Res-Rec Equations'!$B$23*((('Res-Rec Equations'!$B$26*'Res-Rec Equations'!$B$29)/'Res-Rec Equations'!$B$32)+(('Res-Rec Equations'!$B$27*'Res-Rec Equations'!$B$30)/'Res-Rec Equations'!$B$33)+(('Res-Rec Equations'!$B$28*'Res-Rec Equations'!$B$31)/'Res-Rec Equations'!$B$34)),IF(AND('Chemical Info'!E30="No",'Chemical Info'!D30="Yes"),'Chemical Info'!H30*'Chemical Info'!AD30*'Res-Rec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Info'!E30="No",'Chemical Info'!D30=""),'Chemical Info'!H30*'Chemical Info'!AD30*'Res-Rec Equations'!$B$19*'Res-Rec Equations'!$B$23*((('Res-Rec Equations'!$B$26*'Res-Rec Equations'!$B$29)/'Res-Rec Equations'!$B$32)+(('Res-Rec Equations'!$B$27*'Res-Rec Equations'!$B$30)/'Res-Rec Equations'!$B$33)+(('Res-Rec Equations'!$B$28*'Res-Rec Equations'!$B$31)/'Res-Rec Equations'!$B$34)))))))</f>
        <v>NA</v>
      </c>
      <c r="I29" s="369" t="str">
        <f>IF('Chemical Info'!H30="NA","NA",IF('Chemical Info'!E30="Yes",0,IF('Chemical Info'!D30="Yes",'Chemical Info'!H30/'Chemical Info'!AF30*('Res-Rec Equations'!$B$21*'Chemical Info'!AB30*'Res-Rec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Info'!H30/'Chemical Info'!AF30*('Res-Rec Equations'!$B$21*'Chemical Info'!AB30*'Res-Rec Equations'!$B$23)*((('Res-Rec Equations'!$B$26*'Res-Rec Equations'!$B$37*'Res-Rec Equations'!$B$40)/'Res-Rec Equations'!$B$32)+(('Res-Rec Equations'!$B$27*'Res-Rec Equations'!$B$38*'Res-Rec Equations'!$B$41)/'Res-Rec Equations'!$B$33)+(('Res-Rec Equations'!$B$28*'Res-Rec Equations'!$B$39*'Res-Rec Equations'!$B$42)/'Res-Rec Equations'!$B$34)))))</f>
        <v>NA</v>
      </c>
      <c r="J29" s="369" t="str">
        <f>IF('Chemical Info'!J30="NA","NA",IF(AND(E29="NA",'Chemical Info'!D30="Yes"),'Res-Rec Equations'!$B$22*1000*(('Res-Rec Equations'!$B$26*'Chemical Info'!J30*'Res-Rec Equations'!$B$59)+('Res-Rec Equations'!$B$27*'Chemical Info'!J30*'Res-Rec Equations'!$B$60)+('Res-Rec Equations'!$B$28*'Chemical Info'!J30*'Res-Rec Equations'!$B$61))*'Res-Rec Calculations'!C29,IF(AND(E29="NA",'Chemical Info'!D30=""),'Res-Rec Equations'!$B$22*1000*'Res-Rec Equations'!$B$25*'Chemical Info'!J30*'Res-Rec Calculations'!C29,IF(AND('Chemical Info'!E30="Yes",'Chemical Info'!D30="Yes"),'Res-Rec Equations'!$B$22*1000*(('Res-Rec Equations'!$B$26*'Chemical Info'!J30*'Res-Rec Equations'!$B$59)+('Res-Rec Equations'!$B$27*'Chemical Info'!J30*'Res-Rec Equations'!$B$60)+('Res-Rec Equations'!$B$28*'Chemical Info'!J30*'Res-Rec Equations'!$B$61))*'Res-Rec Calculations'!E29,IF(AND('Chemical Info'!E30="Yes",'Chemical Info'!D30=""),'Res-Rec Equations'!$B$22*1000*'Res-Rec Equations'!$B$25*'Chemical Info'!J30*'Res-Rec Calculations'!E29,IF('Chemical Info'!D30="Yes",'Res-Rec Equations'!$B$22*1000*(('Res-Rec Equations'!$B$26*'Chemical Info'!J30*'Res-Rec Equations'!$B$59)+('Res-Rec Equations'!$B$27*'Chemical Info'!J30*'Res-Rec Equations'!$B$60)+('Res-Rec Equations'!$B$28*'Chemical Info'!J30*'Res-Rec Equations'!$B$61))*('Res-Rec Calculations'!C29+'Res-Rec Calculations'!E29),IF('Chemical Info'!D30="",'Res-Rec Equations'!$B$22*1000*'Res-Rec Equations'!$B$25*'Chemical Info'!J30*('Res-Rec Calculations'!C29+'Res-Rec Calculations'!E29))))))))</f>
        <v>NA</v>
      </c>
      <c r="K29" s="370" t="str">
        <f>IF('Chemical Info'!J30="NA","NA",IF(AND(F29="NA",'Chemical Info'!D30="Yes"),'Res-Rec Equations'!$B$22*1000*(('Res-Rec Equations'!$B$26*'Chemical Info'!J30*'Res-Rec Equations'!$B$59)+('Res-Rec Equations'!$B$27*'Chemical Info'!J30*'Res-Rec Equations'!$B$60)+('Res-Rec Equations'!$B$28*'Chemical Info'!J30*'Res-Rec Equations'!$B$61))*'Res-Rec Calculations'!C29,IF(AND(F29="NA",'Chemical Info'!D30=""),'Res-Rec Equations'!$B$22*1000*'Res-Rec Equations'!$B$25*'Chemical Info'!J30*'Res-Rec Calculations'!C29,IF(AND('Chemical Info'!F30="Yes",'Chemical Info'!D30="Yes"),'Res-Rec Equations'!$B$22*1000*(('Res-Rec Equations'!$B$26*'Chemical Info'!J30*'Res-Rec Equations'!$B$59)+('Res-Rec Equations'!$B$27*'Chemical Info'!J30*'Res-Rec Equations'!$B$60)+('Res-Rec Equations'!$B$28*'Chemical Info'!J30*'Res-Rec Equations'!$B$61))*'Res-Rec Calculations'!F29,IF(AND('Chemical Info'!F30="Yes",'Chemical Info'!D30=""),'Res-Rec Equations'!$B$22*1000*'Res-Rec Equations'!$B$25*'Chemical Info'!J30*'Res-Rec Calculations'!F29,IF('Chemical Info'!D30="Yes",'Res-Rec Equations'!$B$22*1000*(('Res-Rec Equations'!$B$26*'Chemical Info'!J30*'Res-Rec Equations'!$B$59)+('Res-Rec Equations'!$B$27*'Chemical Info'!J30*'Res-Rec Equations'!$B$60)+('Res-Rec Equations'!$B$28*'Chemical Info'!J30*'Res-Rec Equations'!$B$61))*('Res-Rec Calculations'!C29+'Res-Rec Calculations'!F29),IF('Chemical Info'!D30="",'Res-Rec Equations'!$B$22*1000*'Res-Rec Equations'!$B$25*'Chemical Info'!J30*('Res-Rec Calculations'!C29+'Res-Rec Calculations'!F29))))))))</f>
        <v>NA</v>
      </c>
      <c r="L29" s="417" t="str">
        <f>IF(AND(H29="NA",I29="NA",J29="NA"),"NA",IF(H29="NA",'Res-Rec Equations'!$B$15*'Res-Rec Equations'!$B$16/J29,IF(J29="NA",'Res-Rec Equations'!$B$15*'Res-Rec Equations'!$B$16/(H29+I29),'Res-Rec Equations'!$B$15*'Res-Rec Equations'!$B$16/(H29+I29+J29))))</f>
        <v>NA</v>
      </c>
      <c r="M29" s="417" t="str">
        <f>IF(AND(H29="NA",I29="NA",K29="NA"),"NA",IF(H29="NA",'Res-Rec Equations'!$B$15*'Res-Rec Equations'!$B$16/K29,IF(K29="NA",'Res-Rec Equations'!$B$15*'Res-Rec Equations'!$B$16/(H29+I29),'Res-Rec Equations'!$B$15*'Res-Rec Equations'!$B$16/(H29+I29+K29))))</f>
        <v>NA</v>
      </c>
      <c r="N29" s="417" t="str">
        <f t="shared" si="0"/>
        <v>NA</v>
      </c>
      <c r="O29" s="418">
        <f>IF('Chemical Info'!L30="NA","NA",IF('Chemical Info'!E30="Yes",(('Res-Rec Equations'!$B$76*'Chemical Info'!AD30*'Res-Rec Equations'!$B$78*'Res-Rec Equations'!$B$79*'Res-Rec Equations'!$B$81)/('Res-Rec Equations'!$B$84*'Res-Rec Equations'!$B$85))/'Chemical Info'!L30,(('Res-Rec Equations'!$B$76*'Chemical Info'!AD30*'Res-Rec Equations'!$B$78*'Res-Rec Equations'!$B$79*'Res-Rec Equations'!$B$80)/('Res-Rec Equations'!$B$84*'Res-Rec Equations'!$B$85))/'Chemical Info'!L30))</f>
        <v>1.2785388127853881</v>
      </c>
      <c r="P29" s="369">
        <f>IF('Chemical Info'!L30="NA","NA", IF('Chemical Info'!E30="Yes",0,((('Res-Rec Equations'!$B$87*'Res-Rec Equations'!$B$88*'Res-Rec Equations'!$B$78*'Res-Rec Equations'!$B$82*'Res-Rec Equations'!$B$79*'Chemical Info'!AB30)/('Res-Rec Equations'!$B$84*'Res-Rec Equations'!$B$85))/('Chemical Info'!L30*'Chemical Info'!AF30))))</f>
        <v>0</v>
      </c>
      <c r="Q29" s="166" t="str">
        <f>IF('Chemical Info'!N30="NA","NA",IF('Res-Rec Calculations'!E29="NA",(('Res-Rec Equations'!$B$83*'Res-Rec Equations'!$B$79*'Res-Rec Calculations'!C29)/('Res-Rec Equations'!$B$85))/('Chemical Info'!N30),IF('Chemical Info'!E30="Yes",(('Res-Rec Equations'!$B$83*'Res-Rec Equations'!$B$79*'Res-Rec Calculations'!E29)/('Res-Rec Equations'!$B$85))/('Chemical Info'!N30),(('Res-Rec Equations'!$B$83*'Res-Rec Equations'!$B$79*('Res-Rec Calculations'!C29+'Res-Rec Calculations'!E29))/('Res-Rec Equations'!$B$85))/('Chemical Info'!N30))))</f>
        <v>NA</v>
      </c>
      <c r="R29" s="166" t="str">
        <f>IF('Chemical Info'!N30="NA","NA",IF('Res-Rec Calculations'!F29="NA",(('Res-Rec Equations'!$B$83*'Res-Rec Equations'!$B$79*'Res-Rec Calculations'!C29)/('Res-Rec Equations'!$B$85))/('Chemical Info'!N30),IF('Chemical Info'!E30="Yes",(('Res-Rec Equations'!$B$83*'Res-Rec Equations'!$B$79*'Res-Rec Calculations'!F29)/('Res-Rec Equations'!$B$85))/('Chemical Info'!N30),(('Res-Rec Equations'!$B$83*'Res-Rec Equations'!$B$79*('Res-Rec Calculations'!C29+'Res-Rec Calculations'!F29))/('Res-Rec Equations'!$B$85))/('Chemical Info'!N30))))</f>
        <v>NA</v>
      </c>
      <c r="S29" s="417">
        <f>IF(AND(O29="NA",P29="NA",Q29="NA"),"NA",IF(O29="NA",'Res-Rec Equations'!$B$75/Q29,IF(Q29="NA",'Res-Rec Equations'!$B$75/(O29+P29),'Res-Rec Equations'!$B$75/(O29+P29+Q29))))</f>
        <v>0.15642857142857144</v>
      </c>
      <c r="T29" s="417">
        <f>IF(AND(O29="NA",P29="NA",R29="NA"),"NA",IF(O29="NA",'Res-Rec Equations'!$B$75/R29,IF(R29="NA",'Res-Rec Equations'!$B$75/(O29+P29),'Res-Rec Equations'!$B$75/(O29+P29+R29))))</f>
        <v>0.15642857142857144</v>
      </c>
      <c r="U29" s="419">
        <f t="shared" si="1"/>
        <v>0.15642857142857144</v>
      </c>
      <c r="V29" s="167" t="str">
        <f>IF('Chemical Info'!P30="NA","NA",(('Res-Rec Equations'!$B$185*'Res-Rec Equations'!$B$186)/('Res-Rec Equations'!$B$187*'Res-Rec Equations'!$B$188*(1/'Chemical Info'!P30))))</f>
        <v>NA</v>
      </c>
      <c r="W29" s="379" t="str">
        <f t="shared" si="2"/>
        <v>NA</v>
      </c>
      <c r="X29" s="372">
        <f t="shared" si="6"/>
        <v>0.15642857142857144</v>
      </c>
      <c r="Y29" s="62">
        <f t="shared" si="4"/>
        <v>0.16</v>
      </c>
      <c r="Z29" s="100" t="str">
        <f t="shared" si="7"/>
        <v>Noncancer</v>
      </c>
      <c r="AA29" s="413"/>
      <c r="AB29" s="421"/>
    </row>
    <row r="30" spans="1:28">
      <c r="A30" s="413" t="s">
        <v>54</v>
      </c>
      <c r="B30" s="62" t="s">
        <v>114</v>
      </c>
      <c r="C30" s="367">
        <f>1/(('Res-Rec Equations'!$B$152*3600)/((0.036*(1-'Res-Rec Equations'!$B$153))*('Res-Rec Equations'!$B$154/'Res-Rec Equations'!$B$155)^3*'Res-Rec Equations'!$B$156))</f>
        <v>7.3567680901159717E-10</v>
      </c>
      <c r="D30" s="416">
        <f>(('Res-Rec Equations'!$B$132^(10/3)*'Chemical Info'!$AH31*'Chemical Info'!$AN31*41+'Res-Rec Equations'!$B$135^(10/3)*'Chemical Info'!$AJ31)/'Res-Rec Equations'!$B$137^2)/('Res-Rec Equations'!$B$139*'Chemical Info'!$AL31*'Res-Rec Equations'!$B$142+'Res-Rec Equations'!$B$135+'Res-Rec Equations'!$B$132*'Chemical Info'!$AN31*41)</f>
        <v>0</v>
      </c>
      <c r="E30" s="416" t="str">
        <f>IF(D30=0,"NA",1/(('Res-Rec Equations'!$B$103*(3.14*'Res-Rec Calculations'!$D30*'Res-Rec Equations'!$B$105)^(1/2)*0.0001)/(2*'Res-Rec Equations'!$B$106*'Res-Rec Calculations'!$D30)))</f>
        <v>NA</v>
      </c>
      <c r="F30" s="416" t="str">
        <f>IF(D30=0,"NA",(1/('Res-Rec Equations'!$B$117*('Res-Rec Equations'!$B$118*(31500000))/('Res-Rec Equations'!$B$119*'Res-Rec Equations'!$B$120*1000000))))</f>
        <v>NA</v>
      </c>
      <c r="G30" s="417" t="str">
        <f>IF('Chemical Info'!E31="Yes",('Chemical Info'!AP31/'Res-Rec Equations'!$B$168)*((('Chemical Info'!AL31*'Res-Rec Equations'!$B$170)*'Res-Rec Equations'!$B$168)+'Res-Rec Equations'!$B$171+('Chemical Info'!AN31*41)*'Res-Rec Equations'!$B$173),"NA")</f>
        <v>NA</v>
      </c>
      <c r="H30" s="161" t="str">
        <f>IF('Chemical Info'!H31="NA","NA",IF(AND('Chemical Info'!E31="Yes",'Chemical Info'!D31="Yes"),'Chemical Info'!H31*'Chemical Info'!AD31*'Res-Rec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Info'!E31="Yes",'Chemical Info'!D31=""),'Chemical Info'!H31*'Chemical Info'!AD31*'Res-Rec Equations'!$B$20*'Res-Rec Equations'!$B$23*((('Res-Rec Equations'!$B$26*'Res-Rec Equations'!$B$29)/'Res-Rec Equations'!$B$32)+(('Res-Rec Equations'!$B$27*'Res-Rec Equations'!$B$30)/'Res-Rec Equations'!$B$33)+(('Res-Rec Equations'!$B$28*'Res-Rec Equations'!$B$31)/'Res-Rec Equations'!$B$34)),IF(AND('Chemical Info'!E31="No",'Chemical Info'!D31="Yes"),'Chemical Info'!H31*'Chemical Info'!AD31*'Res-Rec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Info'!E31="No",'Chemical Info'!D31=""),'Chemical Info'!H31*'Chemical Info'!AD31*'Res-Rec Equations'!$B$19*'Res-Rec Equations'!$B$23*((('Res-Rec Equations'!$B$26*'Res-Rec Equations'!$B$29)/'Res-Rec Equations'!$B$32)+(('Res-Rec Equations'!$B$27*'Res-Rec Equations'!$B$30)/'Res-Rec Equations'!$B$33)+(('Res-Rec Equations'!$B$28*'Res-Rec Equations'!$B$31)/'Res-Rec Equations'!$B$34)))))))</f>
        <v>NA</v>
      </c>
      <c r="I30" s="369" t="str">
        <f>IF('Chemical Info'!H31="NA","NA",IF('Chemical Info'!E31="Yes",0,IF('Chemical Info'!D31="Yes",'Chemical Info'!H31/'Chemical Info'!AF31*('Res-Rec Equations'!$B$21*'Chemical Info'!AB31*'Res-Rec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Info'!H31/'Chemical Info'!AF31*('Res-Rec Equations'!$B$21*'Chemical Info'!AB31*'Res-Rec Equations'!$B$23)*((('Res-Rec Equations'!$B$26*'Res-Rec Equations'!$B$37*'Res-Rec Equations'!$B$40)/'Res-Rec Equations'!$B$32)+(('Res-Rec Equations'!$B$27*'Res-Rec Equations'!$B$38*'Res-Rec Equations'!$B$41)/'Res-Rec Equations'!$B$33)+(('Res-Rec Equations'!$B$28*'Res-Rec Equations'!$B$39*'Res-Rec Equations'!$B$42)/'Res-Rec Equations'!$B$34)))))</f>
        <v>NA</v>
      </c>
      <c r="J30" s="369" t="str">
        <f>IF('Chemical Info'!J31="NA","NA",IF(AND(E30="NA",'Chemical Info'!D31="Yes"),'Res-Rec Equations'!$B$22*1000*(('Res-Rec Equations'!$B$26*'Chemical Info'!J31*'Res-Rec Equations'!$B$59)+('Res-Rec Equations'!$B$27*'Chemical Info'!J31*'Res-Rec Equations'!$B$60)+('Res-Rec Equations'!$B$28*'Chemical Info'!J31*'Res-Rec Equations'!$B$61))*'Res-Rec Calculations'!C30,IF(AND(E30="NA",'Chemical Info'!D31=""),'Res-Rec Equations'!$B$22*1000*'Res-Rec Equations'!$B$25*'Chemical Info'!J31*'Res-Rec Calculations'!C30,IF(AND('Chemical Info'!E31="Yes",'Chemical Info'!D31="Yes"),'Res-Rec Equations'!$B$22*1000*(('Res-Rec Equations'!$B$26*'Chemical Info'!J31*'Res-Rec Equations'!$B$59)+('Res-Rec Equations'!$B$27*'Chemical Info'!J31*'Res-Rec Equations'!$B$60)+('Res-Rec Equations'!$B$28*'Chemical Info'!J31*'Res-Rec Equations'!$B$61))*'Res-Rec Calculations'!E30,IF(AND('Chemical Info'!E31="Yes",'Chemical Info'!D31=""),'Res-Rec Equations'!$B$22*1000*'Res-Rec Equations'!$B$25*'Chemical Info'!J31*'Res-Rec Calculations'!E30,IF('Chemical Info'!D31="Yes",'Res-Rec Equations'!$B$22*1000*(('Res-Rec Equations'!$B$26*'Chemical Info'!J31*'Res-Rec Equations'!$B$59)+('Res-Rec Equations'!$B$27*'Chemical Info'!J31*'Res-Rec Equations'!$B$60)+('Res-Rec Equations'!$B$28*'Chemical Info'!J31*'Res-Rec Equations'!$B$61))*('Res-Rec Calculations'!C30+'Res-Rec Calculations'!E30),IF('Chemical Info'!D31="",'Res-Rec Equations'!$B$22*1000*'Res-Rec Equations'!$B$25*'Chemical Info'!J31*('Res-Rec Calculations'!C30+'Res-Rec Calculations'!E30))))))))</f>
        <v>NA</v>
      </c>
      <c r="K30" s="370" t="str">
        <f>IF('Chemical Info'!J31="NA","NA",IF(AND(F30="NA",'Chemical Info'!D31="Yes"),'Res-Rec Equations'!$B$22*1000*(('Res-Rec Equations'!$B$26*'Chemical Info'!J31*'Res-Rec Equations'!$B$59)+('Res-Rec Equations'!$B$27*'Chemical Info'!J31*'Res-Rec Equations'!$B$60)+('Res-Rec Equations'!$B$28*'Chemical Info'!J31*'Res-Rec Equations'!$B$61))*'Res-Rec Calculations'!C30,IF(AND(F30="NA",'Chemical Info'!D31=""),'Res-Rec Equations'!$B$22*1000*'Res-Rec Equations'!$B$25*'Chemical Info'!J31*'Res-Rec Calculations'!C30,IF(AND('Chemical Info'!F31="Yes",'Chemical Info'!D31="Yes"),'Res-Rec Equations'!$B$22*1000*(('Res-Rec Equations'!$B$26*'Chemical Info'!J31*'Res-Rec Equations'!$B$59)+('Res-Rec Equations'!$B$27*'Chemical Info'!J31*'Res-Rec Equations'!$B$60)+('Res-Rec Equations'!$B$28*'Chemical Info'!J31*'Res-Rec Equations'!$B$61))*'Res-Rec Calculations'!F30,IF(AND('Chemical Info'!F31="Yes",'Chemical Info'!D31=""),'Res-Rec Equations'!$B$22*1000*'Res-Rec Equations'!$B$25*'Chemical Info'!J31*'Res-Rec Calculations'!F30,IF('Chemical Info'!D31="Yes",'Res-Rec Equations'!$B$22*1000*(('Res-Rec Equations'!$B$26*'Chemical Info'!J31*'Res-Rec Equations'!$B$59)+('Res-Rec Equations'!$B$27*'Chemical Info'!J31*'Res-Rec Equations'!$B$60)+('Res-Rec Equations'!$B$28*'Chemical Info'!J31*'Res-Rec Equations'!$B$61))*('Res-Rec Calculations'!C30+'Res-Rec Calculations'!F30),IF('Chemical Info'!D31="",'Res-Rec Equations'!$B$22*1000*'Res-Rec Equations'!$B$25*'Chemical Info'!J31*('Res-Rec Calculations'!C30+'Res-Rec Calculations'!F30))))))))</f>
        <v>NA</v>
      </c>
      <c r="L30" s="417" t="str">
        <f>IF(AND(H30="NA",I30="NA",J30="NA"),"NA",IF(H30="NA",'Res-Rec Equations'!$B$15*'Res-Rec Equations'!$B$16/J30,IF(J30="NA",'Res-Rec Equations'!$B$15*'Res-Rec Equations'!$B$16/(H30+I30),'Res-Rec Equations'!$B$15*'Res-Rec Equations'!$B$16/(H30+I30+J30))))</f>
        <v>NA</v>
      </c>
      <c r="M30" s="417" t="str">
        <f>IF(AND(H30="NA",I30="NA",K30="NA"),"NA",IF(H30="NA",'Res-Rec Equations'!$B$15*'Res-Rec Equations'!$B$16/K30,IF(K30="NA",'Res-Rec Equations'!$B$15*'Res-Rec Equations'!$B$16/(H30+I30),'Res-Rec Equations'!$B$15*'Res-Rec Equations'!$B$16/(H30+I30+K30))))</f>
        <v>NA</v>
      </c>
      <c r="N30" s="417" t="str">
        <f>IF(AND(L30="NA",M30="NA"),"NA",MAX(L30,M30))</f>
        <v>NA</v>
      </c>
      <c r="O30" s="418">
        <f>IF('Chemical Info'!L31="NA","NA",IF('Chemical Info'!E31="Yes",(('Res-Rec Equations'!$B$76*'Chemical Info'!AD31*'Res-Rec Equations'!$B$78*'Res-Rec Equations'!$B$79*'Res-Rec Equations'!$B$81)/('Res-Rec Equations'!$B$84*'Res-Rec Equations'!$B$85))/'Chemical Info'!L31,(('Res-Rec Equations'!$B$76*'Chemical Info'!AD31*'Res-Rec Equations'!$B$78*'Res-Rec Equations'!$B$79*'Res-Rec Equations'!$B$80)/('Res-Rec Equations'!$B$84*'Res-Rec Equations'!$B$85))/'Chemical Info'!L31))</f>
        <v>4.2617960426179601E-5</v>
      </c>
      <c r="P30" s="369">
        <f>IF('Chemical Info'!L31="NA","NA", IF('Chemical Info'!E31="Yes",0,((('Res-Rec Equations'!$B$87*'Res-Rec Equations'!$B$88*'Res-Rec Equations'!$B$78*'Res-Rec Equations'!$B$82*'Res-Rec Equations'!$B$79*'Chemical Info'!AB31)/('Res-Rec Equations'!$B$84*'Res-Rec Equations'!$B$85))/('Chemical Info'!L31*'Chemical Info'!AF31))))</f>
        <v>0</v>
      </c>
      <c r="Q30" s="166" t="str">
        <f>IF('Chemical Info'!N31="NA","NA",IF('Res-Rec Calculations'!E30="NA",(('Res-Rec Equations'!$B$83*'Res-Rec Equations'!$B$79*'Res-Rec Calculations'!C30)/('Res-Rec Equations'!$B$85))/('Chemical Info'!N31),IF('Chemical Info'!E31="Yes",(('Res-Rec Equations'!$B$83*'Res-Rec Equations'!$B$79*'Res-Rec Calculations'!E30)/('Res-Rec Equations'!$B$85))/('Chemical Info'!N31),(('Res-Rec Equations'!$B$83*'Res-Rec Equations'!$B$79*('Res-Rec Calculations'!C30+'Res-Rec Calculations'!E30))/('Res-Rec Equations'!$B$85))/('Chemical Info'!N31))))</f>
        <v>NA</v>
      </c>
      <c r="R30" s="166" t="str">
        <f>IF('Chemical Info'!N31="NA","NA",IF('Res-Rec Calculations'!F30="NA",(('Res-Rec Equations'!$B$83*'Res-Rec Equations'!$B$79*'Res-Rec Calculations'!C30)/('Res-Rec Equations'!$B$85))/('Chemical Info'!N31),IF('Chemical Info'!E31="Yes",(('Res-Rec Equations'!$B$83*'Res-Rec Equations'!$B$79*'Res-Rec Calculations'!F30)/('Res-Rec Equations'!$B$85))/('Chemical Info'!N31),(('Res-Rec Equations'!$B$83*'Res-Rec Equations'!$B$79*('Res-Rec Calculations'!C30+'Res-Rec Calculations'!F30))/('Res-Rec Equations'!$B$85))/('Chemical Info'!N31))))</f>
        <v>NA</v>
      </c>
      <c r="S30" s="417">
        <f>IF(AND(O30="NA",P30="NA",Q30="NA"),"NA",IF(O30="NA",'Res-Rec Equations'!$B$75/Q30,IF(Q30="NA",'Res-Rec Equations'!$B$75/(O30+P30),'Res-Rec Equations'!$B$75/(O30+P30+Q30))))</f>
        <v>4692.8571428571431</v>
      </c>
      <c r="T30" s="417">
        <f>IF(AND(O30="NA",P30="NA",R30="NA"),"NA",IF(O30="NA",'Res-Rec Equations'!$B$75/R30,IF(R30="NA",'Res-Rec Equations'!$B$75/(O30+P30),'Res-Rec Equations'!$B$75/(O30+P30+R30))))</f>
        <v>4692.8571428571431</v>
      </c>
      <c r="U30" s="419">
        <f>IF(AND(S30="NA",T30="NA"),"NA",MAX(S30,T30))</f>
        <v>4692.8571428571431</v>
      </c>
      <c r="V30" s="167" t="str">
        <f>IF('Chemical Info'!P31="NA","NA",(('Res-Rec Equations'!$B$185*'Res-Rec Equations'!$B$186)/('Res-Rec Equations'!$B$187*'Res-Rec Equations'!$B$188*(1/'Chemical Info'!P31))))</f>
        <v>NA</v>
      </c>
      <c r="W30" s="379" t="str">
        <f t="shared" si="2"/>
        <v>NA</v>
      </c>
      <c r="X30" s="372">
        <f t="shared" si="6"/>
        <v>4692.8571428571431</v>
      </c>
      <c r="Y30" s="62">
        <f>IF(X30&gt;100000,100000,IF(ISNUMBER(ROUND(X30*1000000,2-LEN(INT(X30*1000000)))/1000000),ROUND(X30*1000000,2-LEN(INT(X30*1000000)))/1000000,"NA"))</f>
        <v>4700</v>
      </c>
      <c r="Z30" s="100" t="str">
        <f>IF(Y30=100000,"Max Limit",IF(X30=G30,"Csat",IF(X30=N30,"Cancer",IF(X30=V30,"Acute",IF(X30=U30,"Noncancer","")))))</f>
        <v>Noncancer</v>
      </c>
      <c r="AA30" s="373"/>
    </row>
    <row r="31" spans="1:28" ht="12">
      <c r="A31" s="413" t="s">
        <v>573</v>
      </c>
      <c r="B31" s="566" t="s">
        <v>55</v>
      </c>
      <c r="C31" s="367">
        <f>1/(('Res-Rec Equations'!$B$152*3600)/((0.036*(1-'Res-Rec Equations'!$B$153))*('Res-Rec Equations'!$B$154/'Res-Rec Equations'!$B$155)^3*'Res-Rec Equations'!$B$156))</f>
        <v>7.3567680901159717E-10</v>
      </c>
      <c r="D31" s="368">
        <f>(('Res-Rec Equations'!$B$132^(10/3)*'Chemical Info'!$AH32*'Chemical Info'!$AN32*41+'Res-Rec Equations'!$B$135^(10/3)*'Chemical Info'!$AJ32)/'Res-Rec Equations'!$B$137^2)/('Res-Rec Equations'!$B$139*'Chemical Info'!$AL32*'Res-Rec Equations'!$B$142+'Res-Rec Equations'!$B$135+'Res-Rec Equations'!$B$132*'Chemical Info'!$AN32*41)</f>
        <v>0</v>
      </c>
      <c r="E31" s="368" t="str">
        <f>IF(D31=0,"NA",1/(('Res-Rec Equations'!$B$103*(3.14*'Res-Rec Calculations'!$D31*'Res-Rec Equations'!$B$105)^(1/2)*0.0001)/(2*'Res-Rec Equations'!$B$106*'Res-Rec Calculations'!$D31)))</f>
        <v>NA</v>
      </c>
      <c r="F31" s="368" t="str">
        <f>IF(D31=0,"NA",(1/('Res-Rec Equations'!$B$117*('Res-Rec Equations'!$B$118*(31500000))/('Res-Rec Equations'!$B$119*'Res-Rec Equations'!$B$120*1000000))))</f>
        <v>NA</v>
      </c>
      <c r="G31" s="167" t="s">
        <v>31</v>
      </c>
      <c r="H31" s="112" t="str">
        <f>IF('Chemical Info'!H32="NA","NA",IF(AND('Chemical Info'!E32="Yes",'Chemical Info'!D32="Yes"),'Chemical Info'!H32*'Chemical Info'!AD32*'Res-Rec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Info'!E32="Yes",'Chemical Info'!D32=""),'Chemical Info'!H32*'Chemical Info'!AD32*'Res-Rec Equations'!$B$20*'Res-Rec Equations'!$B$23*((('Res-Rec Equations'!$B$26*'Res-Rec Equations'!$B$29)/'Res-Rec Equations'!$B$32)+(('Res-Rec Equations'!$B$27*'Res-Rec Equations'!$B$30)/'Res-Rec Equations'!$B$33)+(('Res-Rec Equations'!$B$28*'Res-Rec Equations'!$B$31)/'Res-Rec Equations'!$B$34)),IF(AND('Chemical Info'!E32="No",'Chemical Info'!D32="Yes"),'Chemical Info'!H32*'Chemical Info'!AD32*'Res-Rec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Info'!E32="No",'Chemical Info'!D32=""),'Chemical Info'!H32*'Chemical Info'!AD32*'Res-Rec Equations'!$B$19*'Res-Rec Equations'!$B$23*((('Res-Rec Equations'!$B$26*'Res-Rec Equations'!$B$29)/'Res-Rec Equations'!$B$32)+(('Res-Rec Equations'!$B$27*'Res-Rec Equations'!$B$30)/'Res-Rec Equations'!$B$33)+(('Res-Rec Equations'!$B$28*'Res-Rec Equations'!$B$31)/'Res-Rec Equations'!$B$34)))))))</f>
        <v>NA</v>
      </c>
      <c r="I31" s="166" t="str">
        <f>IF('Chemical Info'!H32="NA","NA",IF('Chemical Info'!E32="Yes",0,IF('Chemical Info'!D32="Yes",'Chemical Info'!H32/'Chemical Info'!AF32*('Res-Rec Equations'!$B$21*'Chemical Info'!AB32*'Res-Rec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Info'!H32/'Chemical Info'!AF32*('Res-Rec Equations'!$B$21*'Chemical Info'!AB32*'Res-Rec Equations'!$B$23)*((('Res-Rec Equations'!$B$26*'Res-Rec Equations'!$B$37*'Res-Rec Equations'!$B$40)/'Res-Rec Equations'!$B$32)+(('Res-Rec Equations'!$B$27*'Res-Rec Equations'!$B$38*'Res-Rec Equations'!$B$41)/'Res-Rec Equations'!$B$33)+(('Res-Rec Equations'!$B$28*'Res-Rec Equations'!$B$39*'Res-Rec Equations'!$B$42)/'Res-Rec Equations'!$B$34)))))</f>
        <v>NA</v>
      </c>
      <c r="J31" s="369" t="str">
        <f>IF('Chemical Info'!J32="NA","NA",IF(AND(E31="NA",'Chemical Info'!D32="Yes"),'Res-Rec Equations'!$B$22*1000*(('Res-Rec Equations'!$B$26*'Chemical Info'!J32*'Res-Rec Equations'!$B$59)+('Res-Rec Equations'!$B$27*'Chemical Info'!J32*'Res-Rec Equations'!$B$60)+('Res-Rec Equations'!$B$28*'Chemical Info'!J32*'Res-Rec Equations'!$B$61))*'Res-Rec Calculations'!C31,IF(AND(E31="NA",'Chemical Info'!D32=""),'Res-Rec Equations'!$B$22*1000*'Res-Rec Equations'!$B$25*'Chemical Info'!J32*'Res-Rec Calculations'!C31,IF(AND('Chemical Info'!E32="Yes",'Chemical Info'!D32="Yes"),'Res-Rec Equations'!$B$22*1000*(('Res-Rec Equations'!$B$26*'Chemical Info'!J32*'Res-Rec Equations'!$B$59)+('Res-Rec Equations'!$B$27*'Chemical Info'!J32*'Res-Rec Equations'!$B$60)+('Res-Rec Equations'!$B$28*'Chemical Info'!J32*'Res-Rec Equations'!$B$61))*'Res-Rec Calculations'!E31,IF(AND('Chemical Info'!E32="Yes",'Chemical Info'!D32=""),'Res-Rec Equations'!$B$22*1000*'Res-Rec Equations'!$B$25*'Chemical Info'!J32*'Res-Rec Calculations'!E31,IF('Chemical Info'!D32="Yes",'Res-Rec Equations'!$B$22*1000*(('Res-Rec Equations'!$B$26*'Chemical Info'!J32*'Res-Rec Equations'!$B$59)+('Res-Rec Equations'!$B$27*'Chemical Info'!J32*'Res-Rec Equations'!$B$60)+('Res-Rec Equations'!$B$28*'Chemical Info'!J32*'Res-Rec Equations'!$B$61))*('Res-Rec Calculations'!C31+'Res-Rec Calculations'!E31),IF('Chemical Info'!D32="",'Res-Rec Equations'!$B$22*1000*'Res-Rec Equations'!$B$25*'Chemical Info'!J32*('Res-Rec Calculations'!C31+'Res-Rec Calculations'!E31))))))))</f>
        <v>NA</v>
      </c>
      <c r="K31" s="370" t="str">
        <f>IF('Chemical Info'!J32="NA","NA",IF(AND(F31="NA",'Chemical Info'!D32="Yes"),'Res-Rec Equations'!$B$22*1000*(('Res-Rec Equations'!$B$26*'Chemical Info'!J32*'Res-Rec Equations'!$B$59)+('Res-Rec Equations'!$B$27*'Chemical Info'!J32*'Res-Rec Equations'!$B$60)+('Res-Rec Equations'!$B$28*'Chemical Info'!J32*'Res-Rec Equations'!$B$61))*'Res-Rec Calculations'!C31,IF(AND(F31="NA",'Chemical Info'!D32=""),'Res-Rec Equations'!$B$22*1000*'Res-Rec Equations'!$B$25*'Chemical Info'!J32*'Res-Rec Calculations'!C31,IF(AND('Chemical Info'!F32="Yes",'Chemical Info'!D32="Yes"),'Res-Rec Equations'!$B$22*1000*(('Res-Rec Equations'!$B$26*'Chemical Info'!J32*'Res-Rec Equations'!$B$59)+('Res-Rec Equations'!$B$27*'Chemical Info'!J32*'Res-Rec Equations'!$B$60)+('Res-Rec Equations'!$B$28*'Chemical Info'!J32*'Res-Rec Equations'!$B$61))*'Res-Rec Calculations'!F31,IF(AND('Chemical Info'!F32="Yes",'Chemical Info'!D32=""),'Res-Rec Equations'!$B$22*1000*'Res-Rec Equations'!$B$25*'Chemical Info'!J32*'Res-Rec Calculations'!F31,IF('Chemical Info'!D32="Yes",'Res-Rec Equations'!$B$22*1000*(('Res-Rec Equations'!$B$26*'Chemical Info'!J32*'Res-Rec Equations'!$B$59)+('Res-Rec Equations'!$B$27*'Chemical Info'!J32*'Res-Rec Equations'!$B$60)+('Res-Rec Equations'!$B$28*'Chemical Info'!J32*'Res-Rec Equations'!$B$61))*('Res-Rec Calculations'!C31+'Res-Rec Calculations'!F31),IF('Chemical Info'!D32="",'Res-Rec Equations'!$B$22*1000*'Res-Rec Equations'!$B$25*'Chemical Info'!J32*('Res-Rec Calculations'!C31+'Res-Rec Calculations'!F31))))))))</f>
        <v>NA</v>
      </c>
      <c r="L31" s="167" t="str">
        <f>IF(AND(H31="NA",I31="NA",J31="NA"),"NA",IF(H31="NA",'Res-Rec Equations'!$B$15*'Res-Rec Equations'!$B$16/J31,IF(J31="NA",'Res-Rec Equations'!$B$15*'Res-Rec Equations'!$B$16/(H31+I31),'Res-Rec Equations'!$B$15*'Res-Rec Equations'!$B$16/(H31+I31+J31))))</f>
        <v>NA</v>
      </c>
      <c r="M31" s="167" t="str">
        <f>IF(AND(H31="NA",I31="NA",K31="NA"),"NA",IF(H31="NA",'Res-Rec Equations'!$B$15*'Res-Rec Equations'!$B$16/K31,IF(K31="NA",'Res-Rec Equations'!$B$15*'Res-Rec Equations'!$B$16/(H31+I31),'Res-Rec Equations'!$B$15*'Res-Rec Equations'!$B$16/(H31+I31+K31))))</f>
        <v>NA</v>
      </c>
      <c r="N31" s="167" t="str">
        <f t="shared" si="0"/>
        <v>NA</v>
      </c>
      <c r="O31" s="371" t="str">
        <f>IF('Chemical Info'!L32="NA","NA",IF('Chemical Info'!E32="Yes",(('Res-Rec Equations'!$B$76*'Chemical Info'!AD32*'Res-Rec Equations'!$B$78*'Res-Rec Equations'!$B$79*'Res-Rec Equations'!$B$81)/('Res-Rec Equations'!$B$84*'Res-Rec Equations'!$B$85))/'Chemical Info'!L32,(('Res-Rec Equations'!$B$76*'Chemical Info'!AD32*'Res-Rec Equations'!$B$78*'Res-Rec Equations'!$B$79*'Res-Rec Equations'!$B$80)/('Res-Rec Equations'!$B$84*'Res-Rec Equations'!$B$85))/'Chemical Info'!L32))</f>
        <v>NA</v>
      </c>
      <c r="P31" s="166" t="str">
        <f>IF('Chemical Info'!L32="NA","NA", IF('Chemical Info'!E32="Yes",0,((('Res-Rec Equations'!$B$87*'Res-Rec Equations'!$B$88*'Res-Rec Equations'!$B$78*'Res-Rec Equations'!$B$82*'Res-Rec Equations'!$B$79*'Chemical Info'!AB32)/('Res-Rec Equations'!$B$84*'Res-Rec Equations'!$B$85))/('Chemical Info'!L32*'Chemical Info'!AF32))))</f>
        <v>NA</v>
      </c>
      <c r="Q31" s="166">
        <f>IF('Chemical Info'!N32="NA","NA",IF('Res-Rec Calculations'!E31="NA",(('Res-Rec Equations'!$B$83*'Res-Rec Equations'!$B$79*'Res-Rec Calculations'!C31)/('Res-Rec Equations'!$B$85))/('Chemical Info'!N32),IF('Chemical Info'!E32="Yes",(('Res-Rec Equations'!$B$83*'Res-Rec Equations'!$B$79*'Res-Rec Calculations'!E31)/('Res-Rec Equations'!$B$85))/('Chemical Info'!N32),(('Res-Rec Equations'!$B$83*'Res-Rec Equations'!$B$79*('Res-Rec Calculations'!C31+'Res-Rec Calculations'!E31))/('Res-Rec Equations'!$B$85))/('Chemical Info'!N32))))</f>
        <v>5.0388822535040905E-6</v>
      </c>
      <c r="R31" s="166">
        <f>IF('Chemical Info'!N32="NA","NA",IF('Res-Rec Calculations'!F31="NA",(('Res-Rec Equations'!$B$83*'Res-Rec Equations'!$B$79*'Res-Rec Calculations'!C31)/('Res-Rec Equations'!$B$85))/('Chemical Info'!N32),IF('Chemical Info'!E32="Yes",(('Res-Rec Equations'!$B$83*'Res-Rec Equations'!$B$79*'Res-Rec Calculations'!F31)/('Res-Rec Equations'!$B$85))/('Chemical Info'!N32),(('Res-Rec Equations'!$B$83*'Res-Rec Equations'!$B$79*('Res-Rec Calculations'!C31+'Res-Rec Calculations'!F31))/('Res-Rec Equations'!$B$85))/('Chemical Info'!N32))))</f>
        <v>5.0388822535040905E-6</v>
      </c>
      <c r="S31" s="167">
        <f>IF(AND(O31="NA",P31="NA",Q31="NA"),"NA",IF(O31="NA",'Res-Rec Equations'!$B$75/Q31,IF(Q31="NA",'Res-Rec Equations'!$B$75/(O31+P31),'Res-Rec Equations'!$B$75/(O31+P31+Q31))))</f>
        <v>39691.342233869022</v>
      </c>
      <c r="T31" s="167">
        <f>IF(AND(O31="NA",P31="NA",R31="NA"),"NA",IF(O31="NA",'Res-Rec Equations'!$B$75/R31,IF(R31="NA",'Res-Rec Equations'!$B$75/(O31+P31),'Res-Rec Equations'!$B$75/(O31+P31+R31))))</f>
        <v>39691.342233869022</v>
      </c>
      <c r="U31" s="168">
        <f t="shared" si="1"/>
        <v>39691.342233869022</v>
      </c>
      <c r="V31" s="167" t="str">
        <f>IF('Chemical Info'!P32="NA","NA",(('Res-Rec Equations'!$B$185*'Res-Rec Equations'!$B$186)/('Res-Rec Equations'!$B$187*'Res-Rec Equations'!$B$188*(1/'Chemical Info'!P32))))</f>
        <v>NA</v>
      </c>
      <c r="W31" s="379" t="str">
        <f t="shared" si="2"/>
        <v>NA</v>
      </c>
      <c r="X31" s="372">
        <f t="shared" si="6"/>
        <v>39691.342233869022</v>
      </c>
      <c r="Y31" s="62">
        <f t="shared" si="4"/>
        <v>40000</v>
      </c>
      <c r="Z31" s="100" t="str">
        <f t="shared" si="7"/>
        <v>Noncancer</v>
      </c>
      <c r="AA31" s="373"/>
    </row>
    <row r="32" spans="1:28" ht="12">
      <c r="A32" s="413" t="s">
        <v>574</v>
      </c>
      <c r="B32" s="566" t="s">
        <v>243</v>
      </c>
      <c r="C32" s="367">
        <f>1/(('Res-Rec Equations'!$B$152*3600)/((0.036*(1-'Res-Rec Equations'!$B$153))*('Res-Rec Equations'!$B$154/'Res-Rec Equations'!$B$155)^3*'Res-Rec Equations'!$B$156))</f>
        <v>7.3567680901159717E-10</v>
      </c>
      <c r="D32" s="368">
        <f>(('Res-Rec Equations'!$B$132^(10/3)*'Chemical Info'!$AH33*'Chemical Info'!$AN33*41+'Res-Rec Equations'!$B$135^(10/3)*'Chemical Info'!$AJ33)/'Res-Rec Equations'!$B$137^2)/('Res-Rec Equations'!$B$139*'Chemical Info'!$AL33*'Res-Rec Equations'!$B$142+'Res-Rec Equations'!$B$135+'Res-Rec Equations'!$B$132*'Chemical Info'!$AN33*41)</f>
        <v>0</v>
      </c>
      <c r="E32" s="368" t="str">
        <f>IF(D32=0,"NA",1/(('Res-Rec Equations'!$B$103*(3.14*'Res-Rec Calculations'!$D32*'Res-Rec Equations'!$B$105)^(1/2)*0.0001)/(2*'Res-Rec Equations'!$B$106*'Res-Rec Calculations'!$D32)))</f>
        <v>NA</v>
      </c>
      <c r="F32" s="368" t="str">
        <f>IF(D32=0,"NA",(1/('Res-Rec Equations'!$B$117*('Res-Rec Equations'!$B$118*(31500000))/('Res-Rec Equations'!$B$119*'Res-Rec Equations'!$B$120*1000000))))</f>
        <v>NA</v>
      </c>
      <c r="G32" s="167" t="str">
        <f>IF('Chemical Info'!E33="Yes",('Chemical Info'!AP33/'Res-Rec Equations'!$B$168)*((('Chemical Info'!AL33*'Res-Rec Equations'!$B$170)*'Res-Rec Equations'!$B$168)+'Res-Rec Equations'!$B$171+('Chemical Info'!AN33*41)*'Res-Rec Equations'!$B$173),"NA")</f>
        <v>NA</v>
      </c>
      <c r="H32" s="112" t="str">
        <f>IF('Chemical Info'!H33="NA","NA",IF(AND('Chemical Info'!E33="Yes",'Chemical Info'!D33="Yes"),'Chemical Info'!H33*'Chemical Info'!AD33*'Res-Rec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Info'!E33="Yes",'Chemical Info'!D33=""),'Chemical Info'!H33*'Chemical Info'!AD33*'Res-Rec Equations'!$B$20*'Res-Rec Equations'!$B$23*((('Res-Rec Equations'!$B$26*'Res-Rec Equations'!$B$29)/'Res-Rec Equations'!$B$32)+(('Res-Rec Equations'!$B$27*'Res-Rec Equations'!$B$30)/'Res-Rec Equations'!$B$33)+(('Res-Rec Equations'!$B$28*'Res-Rec Equations'!$B$31)/'Res-Rec Equations'!$B$34)),IF(AND('Chemical Info'!E33="No",'Chemical Info'!D33="Yes"),'Chemical Info'!H33*'Chemical Info'!AD33*'Res-Rec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Info'!E33="No",'Chemical Info'!D33=""),'Chemical Info'!H33*'Chemical Info'!AD33*'Res-Rec Equations'!$B$19*'Res-Rec Equations'!$B$23*((('Res-Rec Equations'!$B$26*'Res-Rec Equations'!$B$29)/'Res-Rec Equations'!$B$32)+(('Res-Rec Equations'!$B$27*'Res-Rec Equations'!$B$30)/'Res-Rec Equations'!$B$33)+(('Res-Rec Equations'!$B$28*'Res-Rec Equations'!$B$31)/'Res-Rec Equations'!$B$34)))))))</f>
        <v>NA</v>
      </c>
      <c r="I32" s="166" t="str">
        <f>IF('Chemical Info'!H33="NA","NA",IF('Chemical Info'!E33="Yes",0,IF('Chemical Info'!D33="Yes",'Chemical Info'!H33/'Chemical Info'!AF33*('Res-Rec Equations'!$B$21*'Chemical Info'!AB33*'Res-Rec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Info'!H33/'Chemical Info'!AF33*('Res-Rec Equations'!$B$21*'Chemical Info'!AB33*'Res-Rec Equations'!$B$23)*((('Res-Rec Equations'!$B$26*'Res-Rec Equations'!$B$37*'Res-Rec Equations'!$B$40)/'Res-Rec Equations'!$B$32)+(('Res-Rec Equations'!$B$27*'Res-Rec Equations'!$B$38*'Res-Rec Equations'!$B$41)/'Res-Rec Equations'!$B$33)+(('Res-Rec Equations'!$B$28*'Res-Rec Equations'!$B$39*'Res-Rec Equations'!$B$42)/'Res-Rec Equations'!$B$34)))))</f>
        <v>NA</v>
      </c>
      <c r="J32" s="369" t="str">
        <f>IF('Chemical Info'!J33="NA","NA",IF(AND(E32="NA",'Chemical Info'!D33="Yes"),'Res-Rec Equations'!$B$22*1000*(('Res-Rec Equations'!$B$26*'Chemical Info'!J33*'Res-Rec Equations'!$B$59)+('Res-Rec Equations'!$B$27*'Chemical Info'!J33*'Res-Rec Equations'!$B$60)+('Res-Rec Equations'!$B$28*'Chemical Info'!J33*'Res-Rec Equations'!$B$61))*'Res-Rec Calculations'!C32,IF(AND(E32="NA",'Chemical Info'!D33=""),'Res-Rec Equations'!$B$22*1000*'Res-Rec Equations'!$B$25*'Chemical Info'!J33*'Res-Rec Calculations'!C32,IF(AND('Chemical Info'!E33="Yes",'Chemical Info'!D33="Yes"),'Res-Rec Equations'!$B$22*1000*(('Res-Rec Equations'!$B$26*'Chemical Info'!J33*'Res-Rec Equations'!$B$59)+('Res-Rec Equations'!$B$27*'Chemical Info'!J33*'Res-Rec Equations'!$B$60)+('Res-Rec Equations'!$B$28*'Chemical Info'!J33*'Res-Rec Equations'!$B$61))*'Res-Rec Calculations'!E32,IF(AND('Chemical Info'!E33="Yes",'Chemical Info'!D33=""),'Res-Rec Equations'!$B$22*1000*'Res-Rec Equations'!$B$25*'Chemical Info'!J33*'Res-Rec Calculations'!E32,IF('Chemical Info'!D33="Yes",'Res-Rec Equations'!$B$22*1000*(('Res-Rec Equations'!$B$26*'Chemical Info'!J33*'Res-Rec Equations'!$B$59)+('Res-Rec Equations'!$B$27*'Chemical Info'!J33*'Res-Rec Equations'!$B$60)+('Res-Rec Equations'!$B$28*'Chemical Info'!J33*'Res-Rec Equations'!$B$61))*('Res-Rec Calculations'!C32+'Res-Rec Calculations'!E32),IF('Chemical Info'!D33="",'Res-Rec Equations'!$B$22*1000*'Res-Rec Equations'!$B$25*'Chemical Info'!J33*('Res-Rec Calculations'!C32+'Res-Rec Calculations'!E32))))))))</f>
        <v>NA</v>
      </c>
      <c r="K32" s="370" t="str">
        <f>IF('Chemical Info'!J33="NA","NA",IF(AND(F32="NA",'Chemical Info'!D33="Yes"),'Res-Rec Equations'!$B$22*1000*(('Res-Rec Equations'!$B$26*'Chemical Info'!J33*'Res-Rec Equations'!$B$59)+('Res-Rec Equations'!$B$27*'Chemical Info'!J33*'Res-Rec Equations'!$B$60)+('Res-Rec Equations'!$B$28*'Chemical Info'!J33*'Res-Rec Equations'!$B$61))*'Res-Rec Calculations'!C32,IF(AND(F32="NA",'Chemical Info'!D33=""),'Res-Rec Equations'!$B$22*1000*'Res-Rec Equations'!$B$25*'Chemical Info'!J33*'Res-Rec Calculations'!C32,IF(AND('Chemical Info'!F33="Yes",'Chemical Info'!D33="Yes"),'Res-Rec Equations'!$B$22*1000*(('Res-Rec Equations'!$B$26*'Chemical Info'!J33*'Res-Rec Equations'!$B$59)+('Res-Rec Equations'!$B$27*'Chemical Info'!J33*'Res-Rec Equations'!$B$60)+('Res-Rec Equations'!$B$28*'Chemical Info'!J33*'Res-Rec Equations'!$B$61))*'Res-Rec Calculations'!F32,IF(AND('Chemical Info'!F33="Yes",'Chemical Info'!D33=""),'Res-Rec Equations'!$B$22*1000*'Res-Rec Equations'!$B$25*'Chemical Info'!J33*'Res-Rec Calculations'!F32,IF('Chemical Info'!D33="Yes",'Res-Rec Equations'!$B$22*1000*(('Res-Rec Equations'!$B$26*'Chemical Info'!J33*'Res-Rec Equations'!$B$59)+('Res-Rec Equations'!$B$27*'Chemical Info'!J33*'Res-Rec Equations'!$B$60)+('Res-Rec Equations'!$B$28*'Chemical Info'!J33*'Res-Rec Equations'!$B$61))*('Res-Rec Calculations'!C32+'Res-Rec Calculations'!F32),IF('Chemical Info'!D33="",'Res-Rec Equations'!$B$22*1000*'Res-Rec Equations'!$B$25*'Chemical Info'!J33*('Res-Rec Calculations'!C32+'Res-Rec Calculations'!F32))))))))</f>
        <v>NA</v>
      </c>
      <c r="L32" s="167" t="str">
        <f>IF(AND(H32="NA",I32="NA",J32="NA"),"NA",IF(H32="NA",'Res-Rec Equations'!$B$15*'Res-Rec Equations'!$B$16/J32,IF(J32="NA",'Res-Rec Equations'!$B$15*'Res-Rec Equations'!$B$16/(H32+I32),'Res-Rec Equations'!$B$15*'Res-Rec Equations'!$B$16/(H32+I32+J32))))</f>
        <v>NA</v>
      </c>
      <c r="M32" s="167" t="str">
        <f>IF(AND(H32="NA",I32="NA",K32="NA"),"NA",IF(H32="NA",'Res-Rec Equations'!$B$15*'Res-Rec Equations'!$B$16/K32,IF(K32="NA",'Res-Rec Equations'!$B$15*'Res-Rec Equations'!$B$16/(H32+I32),'Res-Rec Equations'!$B$15*'Res-Rec Equations'!$B$16/(H32+I32+K32))))</f>
        <v>NA</v>
      </c>
      <c r="N32" s="167" t="str">
        <f t="shared" si="0"/>
        <v>NA</v>
      </c>
      <c r="O32" s="371">
        <f>IF('Chemical Info'!L33="NA","NA",IF('Chemical Info'!E33="Yes",(('Res-Rec Equations'!$B$76*'Chemical Info'!AD33*'Res-Rec Equations'!$B$78*'Res-Rec Equations'!$B$79*'Res-Rec Equations'!$B$81)/('Res-Rec Equations'!$B$84*'Res-Rec Equations'!$B$85))/'Chemical Info'!L33,(('Res-Rec Equations'!$B$76*'Chemical Info'!AD33*'Res-Rec Equations'!$B$78*'Res-Rec Equations'!$B$79*'Res-Rec Equations'!$B$80)/('Res-Rec Equations'!$B$84*'Res-Rec Equations'!$B$85))/'Chemical Info'!L33))</f>
        <v>0.18264840182648404</v>
      </c>
      <c r="P32" s="166">
        <f>IF('Chemical Info'!L33="NA","NA", IF('Chemical Info'!E33="Yes",0,((('Res-Rec Equations'!$B$87*'Res-Rec Equations'!$B$88*'Res-Rec Equations'!$B$78*'Res-Rec Equations'!$B$82*'Res-Rec Equations'!$B$79*'Chemical Info'!AB33)/('Res-Rec Equations'!$B$84*'Res-Rec Equations'!$B$85))/('Chemical Info'!L33*'Chemical Info'!AF33))))</f>
        <v>0</v>
      </c>
      <c r="Q32" s="166">
        <f>IF('Chemical Info'!N33="NA","NA",IF('Res-Rec Calculations'!E32="NA",(('Res-Rec Equations'!$B$83*'Res-Rec Equations'!$B$79*'Res-Rec Calculations'!C32)/('Res-Rec Equations'!$B$85))/('Chemical Info'!N33),IF('Chemical Info'!E33="Yes",(('Res-Rec Equations'!$B$83*'Res-Rec Equations'!$B$79*'Res-Rec Calculations'!E32)/('Res-Rec Equations'!$B$85))/('Chemical Info'!N33),(('Res-Rec Equations'!$B$83*'Res-Rec Equations'!$B$79*('Res-Rec Calculations'!C32+'Res-Rec Calculations'!E32))/('Res-Rec Equations'!$B$85))/('Chemical Info'!N33))))</f>
        <v>5.0388822535040905E-6</v>
      </c>
      <c r="R32" s="166">
        <f>IF('Chemical Info'!N33="NA","NA",IF('Res-Rec Calculations'!F32="NA",(('Res-Rec Equations'!$B$83*'Res-Rec Equations'!$B$79*'Res-Rec Calculations'!C32)/('Res-Rec Equations'!$B$85))/('Chemical Info'!N33),IF('Chemical Info'!E33="Yes",(('Res-Rec Equations'!$B$83*'Res-Rec Equations'!$B$79*'Res-Rec Calculations'!F32)/('Res-Rec Equations'!$B$85))/('Chemical Info'!N33),(('Res-Rec Equations'!$B$83*'Res-Rec Equations'!$B$79*('Res-Rec Calculations'!C32+'Res-Rec Calculations'!F32))/('Res-Rec Equations'!$B$85))/('Chemical Info'!N33))))</f>
        <v>5.0388822535040905E-6</v>
      </c>
      <c r="S32" s="167">
        <f>IF(AND(O32="NA",P32="NA",Q32="NA"),"NA",IF(O32="NA",'Res-Rec Equations'!$B$75/Q32,IF(Q32="NA",'Res-Rec Equations'!$B$75/(O32+P32),'Res-Rec Equations'!$B$75/(O32+P32+Q32))))</f>
        <v>1.0949697921044017</v>
      </c>
      <c r="T32" s="167">
        <f>IF(AND(O32="NA",P32="NA",R32="NA"),"NA",IF(O32="NA",'Res-Rec Equations'!$B$75/R32,IF(R32="NA",'Res-Rec Equations'!$B$75/(O32+P32),'Res-Rec Equations'!$B$75/(O32+P32+R32))))</f>
        <v>1.0949697921044017</v>
      </c>
      <c r="U32" s="168">
        <f t="shared" si="1"/>
        <v>1.0949697921044017</v>
      </c>
      <c r="V32" s="167" t="str">
        <f>IF('Chemical Info'!P33="NA","NA",(('Res-Rec Equations'!$B$185*'Res-Rec Equations'!$B$186)/('Res-Rec Equations'!$B$187*'Res-Rec Equations'!$B$188*(1/'Chemical Info'!P33))))</f>
        <v>NA</v>
      </c>
      <c r="W32" s="379" t="str">
        <f t="shared" si="2"/>
        <v>NA</v>
      </c>
      <c r="X32" s="372">
        <f t="shared" si="6"/>
        <v>1.0949697921044017</v>
      </c>
      <c r="Y32" s="62">
        <f t="shared" si="4"/>
        <v>1.1000000000000001</v>
      </c>
      <c r="Z32" s="100" t="str">
        <f t="shared" si="7"/>
        <v>Noncancer</v>
      </c>
      <c r="AA32" s="373"/>
    </row>
    <row r="33" spans="1:28" s="422" customFormat="1" ht="12">
      <c r="A33" s="413" t="s">
        <v>575</v>
      </c>
      <c r="B33" s="566" t="s">
        <v>56</v>
      </c>
      <c r="C33" s="367">
        <f>1/(('Res-Rec Equations'!$B$152*3600)/((0.036*(1-'Res-Rec Equations'!$B$153))*('Res-Rec Equations'!$B$154/'Res-Rec Equations'!$B$155)^3*'Res-Rec Equations'!$B$156))</f>
        <v>7.3567680901159717E-10</v>
      </c>
      <c r="D33" s="368">
        <f>(('Res-Rec Equations'!$B$132^(10/3)*'Chemical Info'!$AH34*'Chemical Info'!$AN34*41+'Res-Rec Equations'!$B$135^(10/3)*'Chemical Info'!$AJ34)/'Res-Rec Equations'!$B$137^2)/('Res-Rec Equations'!$B$139*'Chemical Info'!$AL34*'Res-Rec Equations'!$B$142+'Res-Rec Equations'!$B$135+'Res-Rec Equations'!$B$132*'Chemical Info'!$AN34*41)</f>
        <v>0</v>
      </c>
      <c r="E33" s="368" t="str">
        <f>IF(D33=0,"NA",1/(('Res-Rec Equations'!$B$103*(3.14*'Res-Rec Calculations'!$D33*'Res-Rec Equations'!$B$105)^(1/2)*0.0001)/(2*'Res-Rec Equations'!$B$106*'Res-Rec Calculations'!$D33)))</f>
        <v>NA</v>
      </c>
      <c r="F33" s="368" t="str">
        <f>IF(D33=0,"NA",(1/('Res-Rec Equations'!$B$117*('Res-Rec Equations'!$B$118*(31500000))/('Res-Rec Equations'!$B$119*'Res-Rec Equations'!$B$120*1000000))))</f>
        <v>NA</v>
      </c>
      <c r="G33" s="167" t="str">
        <f>IF('Chemical Info'!E34="Yes",('Chemical Info'!AP34/'Res-Rec Equations'!$B$168)*((('Chemical Info'!AL34*'Res-Rec Equations'!$B$170)*'Res-Rec Equations'!$B$168)+'Res-Rec Equations'!$B$171+('Chemical Info'!AN34*41)*'Res-Rec Equations'!$B$173),"NA")</f>
        <v>NA</v>
      </c>
      <c r="H33" s="112" t="str">
        <f>IF('Chemical Info'!H34="NA","NA",IF(AND('Chemical Info'!E34="Yes",'Chemical Info'!D34="Yes"),'Chemical Info'!H34*'Chemical Info'!AD34*'Res-Rec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Info'!E34="Yes",'Chemical Info'!D34=""),'Chemical Info'!H34*'Chemical Info'!AD34*'Res-Rec Equations'!$B$20*'Res-Rec Equations'!$B$23*((('Res-Rec Equations'!$B$26*'Res-Rec Equations'!$B$29)/'Res-Rec Equations'!$B$32)+(('Res-Rec Equations'!$B$27*'Res-Rec Equations'!$B$30)/'Res-Rec Equations'!$B$33)+(('Res-Rec Equations'!$B$28*'Res-Rec Equations'!$B$31)/'Res-Rec Equations'!$B$34)),IF(AND('Chemical Info'!E34="No",'Chemical Info'!D34="Yes"),'Chemical Info'!H34*'Chemical Info'!AD34*'Res-Rec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Info'!E34="No",'Chemical Info'!D34=""),'Chemical Info'!H34*'Chemical Info'!AD34*'Res-Rec Equations'!$B$19*'Res-Rec Equations'!$B$23*((('Res-Rec Equations'!$B$26*'Res-Rec Equations'!$B$29)/'Res-Rec Equations'!$B$32)+(('Res-Rec Equations'!$B$27*'Res-Rec Equations'!$B$30)/'Res-Rec Equations'!$B$33)+(('Res-Rec Equations'!$B$28*'Res-Rec Equations'!$B$31)/'Res-Rec Equations'!$B$34)))))))</f>
        <v>NA</v>
      </c>
      <c r="I33" s="166" t="str">
        <f>IF('Chemical Info'!H34="NA","NA",IF('Chemical Info'!E34="Yes",0,IF('Chemical Info'!D34="Yes",'Chemical Info'!H34/'Chemical Info'!AF34*('Res-Rec Equations'!$B$21*'Chemical Info'!AB34*'Res-Rec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Info'!H34/'Chemical Info'!AF34*('Res-Rec Equations'!$B$21*'Chemical Info'!AB34*'Res-Rec Equations'!$B$23)*((('Res-Rec Equations'!$B$26*'Res-Rec Equations'!$B$37*'Res-Rec Equations'!$B$40)/'Res-Rec Equations'!$B$32)+(('Res-Rec Equations'!$B$27*'Res-Rec Equations'!$B$38*'Res-Rec Equations'!$B$41)/'Res-Rec Equations'!$B$33)+(('Res-Rec Equations'!$B$28*'Res-Rec Equations'!$B$39*'Res-Rec Equations'!$B$42)/'Res-Rec Equations'!$B$34)))))</f>
        <v>NA</v>
      </c>
      <c r="J33" s="369" t="str">
        <f>IF('Chemical Info'!J34="NA","NA",IF(AND(E33="NA",'Chemical Info'!D34="Yes"),'Res-Rec Equations'!$B$22*1000*(('Res-Rec Equations'!$B$26*'Chemical Info'!J34*'Res-Rec Equations'!$B$59)+('Res-Rec Equations'!$B$27*'Chemical Info'!J34*'Res-Rec Equations'!$B$60)+('Res-Rec Equations'!$B$28*'Chemical Info'!J34*'Res-Rec Equations'!$B$61))*'Res-Rec Calculations'!C33,IF(AND(E33="NA",'Chemical Info'!D34=""),'Res-Rec Equations'!$B$22*1000*'Res-Rec Equations'!$B$25*'Chemical Info'!J34*'Res-Rec Calculations'!C33,IF(AND('Chemical Info'!E34="Yes",'Chemical Info'!D34="Yes"),'Res-Rec Equations'!$B$22*1000*(('Res-Rec Equations'!$B$26*'Chemical Info'!J34*'Res-Rec Equations'!$B$59)+('Res-Rec Equations'!$B$27*'Chemical Info'!J34*'Res-Rec Equations'!$B$60)+('Res-Rec Equations'!$B$28*'Chemical Info'!J34*'Res-Rec Equations'!$B$61))*'Res-Rec Calculations'!E33,IF(AND('Chemical Info'!E34="Yes",'Chemical Info'!D34=""),'Res-Rec Equations'!$B$22*1000*'Res-Rec Equations'!$B$25*'Chemical Info'!J34*'Res-Rec Calculations'!E33,IF('Chemical Info'!D34="Yes",'Res-Rec Equations'!$B$22*1000*(('Res-Rec Equations'!$B$26*'Chemical Info'!J34*'Res-Rec Equations'!$B$59)+('Res-Rec Equations'!$B$27*'Chemical Info'!J34*'Res-Rec Equations'!$B$60)+('Res-Rec Equations'!$B$28*'Chemical Info'!J34*'Res-Rec Equations'!$B$61))*('Res-Rec Calculations'!C33+'Res-Rec Calculations'!E33),IF('Chemical Info'!D34="",'Res-Rec Equations'!$B$22*1000*'Res-Rec Equations'!$B$25*'Chemical Info'!J34*('Res-Rec Calculations'!C33+'Res-Rec Calculations'!E33))))))))</f>
        <v>NA</v>
      </c>
      <c r="K33" s="370" t="str">
        <f>IF('Chemical Info'!J34="NA","NA",IF(AND(F33="NA",'Chemical Info'!D34="Yes"),'Res-Rec Equations'!$B$22*1000*(('Res-Rec Equations'!$B$26*'Chemical Info'!J34*'Res-Rec Equations'!$B$59)+('Res-Rec Equations'!$B$27*'Chemical Info'!J34*'Res-Rec Equations'!$B$60)+('Res-Rec Equations'!$B$28*'Chemical Info'!J34*'Res-Rec Equations'!$B$61))*'Res-Rec Calculations'!C33,IF(AND(F33="NA",'Chemical Info'!D34=""),'Res-Rec Equations'!$B$22*1000*'Res-Rec Equations'!$B$25*'Chemical Info'!J34*'Res-Rec Calculations'!C33,IF(AND('Chemical Info'!F34="Yes",'Chemical Info'!D34="Yes"),'Res-Rec Equations'!$B$22*1000*(('Res-Rec Equations'!$B$26*'Chemical Info'!J34*'Res-Rec Equations'!$B$59)+('Res-Rec Equations'!$B$27*'Chemical Info'!J34*'Res-Rec Equations'!$B$60)+('Res-Rec Equations'!$B$28*'Chemical Info'!J34*'Res-Rec Equations'!$B$61))*'Res-Rec Calculations'!F33,IF(AND('Chemical Info'!F34="Yes",'Chemical Info'!D34=""),'Res-Rec Equations'!$B$22*1000*'Res-Rec Equations'!$B$25*'Chemical Info'!J34*'Res-Rec Calculations'!F33,IF('Chemical Info'!D34="Yes",'Res-Rec Equations'!$B$22*1000*(('Res-Rec Equations'!$B$26*'Chemical Info'!J34*'Res-Rec Equations'!$B$59)+('Res-Rec Equations'!$B$27*'Chemical Info'!J34*'Res-Rec Equations'!$B$60)+('Res-Rec Equations'!$B$28*'Chemical Info'!J34*'Res-Rec Equations'!$B$61))*('Res-Rec Calculations'!C33+'Res-Rec Calculations'!F33),IF('Chemical Info'!D34="",'Res-Rec Equations'!$B$22*1000*'Res-Rec Equations'!$B$25*'Chemical Info'!J34*('Res-Rec Calculations'!C33+'Res-Rec Calculations'!F33))))))))</f>
        <v>NA</v>
      </c>
      <c r="L33" s="167" t="str">
        <f>IF(AND(H33="NA",I33="NA",J33="NA"),"NA",IF(H33="NA",'Res-Rec Equations'!$B$15*'Res-Rec Equations'!$B$16/J33,IF(J33="NA",'Res-Rec Equations'!$B$15*'Res-Rec Equations'!$B$16/(H33+I33),'Res-Rec Equations'!$B$15*'Res-Rec Equations'!$B$16/(H33+I33+J33))))</f>
        <v>NA</v>
      </c>
      <c r="M33" s="166" t="str">
        <f>IF(AND(H33="NA",I33="NA",K33="NA"),"NA",IF(H33="NA",'Res-Rec Equations'!$B$15*'Res-Rec Equations'!$B$16/K33,IF(K33="NA",'Res-Rec Equations'!$B$15*'Res-Rec Equations'!$B$16/(H33+I33),'Res-Rec Equations'!$B$15*'Res-Rec Equations'!$B$16/(H33+I33+K33))))</f>
        <v>NA</v>
      </c>
      <c r="N33" s="167" t="str">
        <f t="shared" si="0"/>
        <v>NA</v>
      </c>
      <c r="O33" s="371">
        <f>IF('Chemical Info'!L34="NA","NA",IF('Chemical Info'!E34="Yes",(('Res-Rec Equations'!$B$76*'Chemical Info'!AD34*'Res-Rec Equations'!$B$78*'Res-Rec Equations'!$B$79*'Res-Rec Equations'!$B$81)/('Res-Rec Equations'!$B$84*'Res-Rec Equations'!$B$85))/'Chemical Info'!L34,(('Res-Rec Equations'!$B$76*'Chemical Info'!AD34*'Res-Rec Equations'!$B$78*'Res-Rec Equations'!$B$79*'Res-Rec Equations'!$B$80)/('Res-Rec Equations'!$B$84*'Res-Rec Equations'!$B$85))/'Chemical Info'!L34))</f>
        <v>4.2617960426179601E-5</v>
      </c>
      <c r="P33" s="166">
        <f>IF('Chemical Info'!L34="NA","NA", IF('Chemical Info'!E34="Yes",0,((('Res-Rec Equations'!$B$87*'Res-Rec Equations'!$B$88*'Res-Rec Equations'!$B$78*'Res-Rec Equations'!$B$82*'Res-Rec Equations'!$B$79*'Chemical Info'!AB34)/('Res-Rec Equations'!$B$84*'Res-Rec Equations'!$B$85))/('Chemical Info'!L34*'Chemical Info'!AF34))))</f>
        <v>0</v>
      </c>
      <c r="Q33" s="166" t="str">
        <f>IF('Chemical Info'!N34="NA","NA",IF('Res-Rec Calculations'!E33="NA",(('Res-Rec Equations'!$B$83*'Res-Rec Equations'!$B$79*'Res-Rec Calculations'!C33)/('Res-Rec Equations'!$B$85))/('Chemical Info'!N34),IF('Chemical Info'!E34="Yes",(('Res-Rec Equations'!$B$83*'Res-Rec Equations'!$B$79*'Res-Rec Calculations'!E33)/('Res-Rec Equations'!$B$85))/('Chemical Info'!N34),(('Res-Rec Equations'!$B$83*'Res-Rec Equations'!$B$79*('Res-Rec Calculations'!C33+'Res-Rec Calculations'!E33))/('Res-Rec Equations'!$B$85))/('Chemical Info'!N34))))</f>
        <v>NA</v>
      </c>
      <c r="R33" s="166" t="str">
        <f>IF('Chemical Info'!N34="NA","NA",IF('Res-Rec Calculations'!F33="NA",(('Res-Rec Equations'!$B$83*'Res-Rec Equations'!$B$79*'Res-Rec Calculations'!C33)/('Res-Rec Equations'!$B$85))/('Chemical Info'!N34),IF('Chemical Info'!E34="Yes",(('Res-Rec Equations'!$B$83*'Res-Rec Equations'!$B$79*'Res-Rec Calculations'!F33)/('Res-Rec Equations'!$B$85))/('Chemical Info'!N34),(('Res-Rec Equations'!$B$83*'Res-Rec Equations'!$B$79*('Res-Rec Calculations'!C33+'Res-Rec Calculations'!F33))/('Res-Rec Equations'!$B$85))/('Chemical Info'!N34))))</f>
        <v>NA</v>
      </c>
      <c r="S33" s="166">
        <f>IF(AND(O33="NA",P33="NA",Q33="NA"),"NA",IF(O33="NA",'Res-Rec Equations'!$B$75/Q33,IF(Q33="NA",'Res-Rec Equations'!$B$75/(O33+P33),'Res-Rec Equations'!$B$75/(O33+P33+Q33))))</f>
        <v>4692.8571428571431</v>
      </c>
      <c r="T33" s="167">
        <f>IF(AND(O33="NA",P33="NA",R33="NA"),"NA",IF(O33="NA",'Res-Rec Equations'!$B$75/R33,IF(R33="NA",'Res-Rec Equations'!$B$75/(O33+P33),'Res-Rec Equations'!$B$75/(O33+P33+R33))))</f>
        <v>4692.8571428571431</v>
      </c>
      <c r="U33" s="168">
        <f t="shared" si="1"/>
        <v>4692.8571428571431</v>
      </c>
      <c r="V33" s="167" t="str">
        <f>IF('Chemical Info'!P34="NA","NA",(('Res-Rec Equations'!$B$185*'Res-Rec Equations'!$B$186)/('Res-Rec Equations'!$B$187*'Res-Rec Equations'!$B$188*(1/'Chemical Info'!P34))))</f>
        <v>NA</v>
      </c>
      <c r="W33" s="379" t="str">
        <f t="shared" si="2"/>
        <v>NA</v>
      </c>
      <c r="X33" s="372">
        <f t="shared" si="6"/>
        <v>4692.8571428571431</v>
      </c>
      <c r="Y33" s="62">
        <f t="shared" si="4"/>
        <v>4700</v>
      </c>
      <c r="Z33" s="100" t="str">
        <f t="shared" si="7"/>
        <v>Noncancer</v>
      </c>
      <c r="AA33" s="373"/>
    </row>
    <row r="34" spans="1:28">
      <c r="A34" s="565" t="s">
        <v>364</v>
      </c>
      <c r="B34" s="593"/>
      <c r="C34" s="386"/>
      <c r="D34" s="406"/>
      <c r="E34" s="406"/>
      <c r="F34" s="406"/>
      <c r="G34" s="386"/>
      <c r="H34" s="386"/>
      <c r="I34" s="386"/>
      <c r="J34" s="386"/>
      <c r="K34" s="386"/>
      <c r="L34" s="386"/>
      <c r="M34" s="386"/>
      <c r="N34" s="386"/>
      <c r="O34" s="386"/>
      <c r="P34" s="386"/>
      <c r="Q34" s="386"/>
      <c r="R34" s="386"/>
      <c r="S34" s="386"/>
      <c r="T34" s="386"/>
      <c r="U34" s="386"/>
      <c r="V34" s="386"/>
      <c r="W34" s="423"/>
      <c r="X34" s="409"/>
      <c r="Y34" s="400"/>
      <c r="Z34" s="400"/>
      <c r="AA34" s="410"/>
    </row>
    <row r="35" spans="1:28">
      <c r="A35" s="413" t="s">
        <v>195</v>
      </c>
      <c r="B35" s="566" t="s">
        <v>196</v>
      </c>
      <c r="C35" s="367">
        <f>1/(('Res-Rec Equations'!$B$152*3600)/((0.036*(1-'Res-Rec Equations'!$B$153))*('Res-Rec Equations'!$B$154/'Res-Rec Equations'!$B$155)^3*'Res-Rec Equations'!$B$156))</f>
        <v>7.3567680901159717E-10</v>
      </c>
      <c r="D35" s="368">
        <f>(('Res-Rec Equations'!$B$132^(10/3)*'Chemical Info'!$AH36*'Chemical Info'!$AN36*41+'Res-Rec Equations'!$B$135^(10/3)*'Chemical Info'!$AJ36)/'Res-Rec Equations'!$B$137^2)/('Res-Rec Equations'!$B$139*'Chemical Info'!$AL36*'Res-Rec Equations'!$B$142+'Res-Rec Equations'!$B$135+'Res-Rec Equations'!$B$132*'Chemical Info'!$AN36*41)</f>
        <v>6.8155405074730161E-5</v>
      </c>
      <c r="E35" s="368">
        <f>IF(D35=0,"NA",1/(('Res-Rec Equations'!$B$103*(3.14*'Res-Rec Calculations'!$D35*'Res-Rec Equations'!$B$105)^(1/2)*0.0001)/(2*'Res-Rec Equations'!$B$106*'Res-Rec Calculations'!$D35)))</f>
        <v>4.8459478430128994E-5</v>
      </c>
      <c r="F35" s="368">
        <f>IF(D35=0,"NA",(1/('Res-Rec Equations'!$B$117*('Res-Rec Equations'!$B$118*(31500000))/('Res-Rec Equations'!$B$119*'Res-Rec Equations'!$B$120*1000000))))</f>
        <v>6.1914410640015851E-5</v>
      </c>
      <c r="G35" s="167">
        <f>IF('Chemical Info'!E36="Yes",('Chemical Info'!AP36/'Res-Rec Equations'!$B$168)*((('Chemical Info'!AL36*'Res-Rec Equations'!$B$170)*'Res-Rec Equations'!$B$168)+'Res-Rec Equations'!$B$171+('Chemical Info'!AN36*41)*'Res-Rec Equations'!$B$173),"NA")</f>
        <v>114451.86666666665</v>
      </c>
      <c r="H35" s="112" t="str">
        <f>IF('Chemical Info'!H36="NA","NA",IF(AND('Chemical Info'!E36="Yes",'Chemical Info'!D36="Yes"),'Chemical Info'!H36*'Chemical Info'!AD36*'Res-Rec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Info'!E36="Yes",'Chemical Info'!D36=""),'Chemical Info'!H36*'Chemical Info'!AD36*'Res-Rec Equations'!$B$20*'Res-Rec Equations'!$B$23*((('Res-Rec Equations'!$B$26*'Res-Rec Equations'!$B$29)/'Res-Rec Equations'!$B$32)+(('Res-Rec Equations'!$B$27*'Res-Rec Equations'!$B$30)/'Res-Rec Equations'!$B$33)+(('Res-Rec Equations'!$B$28*'Res-Rec Equations'!$B$31)/'Res-Rec Equations'!$B$34)),IF(AND('Chemical Info'!E36="No",'Chemical Info'!D36="Yes"),'Chemical Info'!H36*'Chemical Info'!AD36*'Res-Rec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Info'!E36="No",'Chemical Info'!D36=""),'Chemical Info'!H36*'Chemical Info'!AD36*'Res-Rec Equations'!$B$19*'Res-Rec Equations'!$B$23*((('Res-Rec Equations'!$B$26*'Res-Rec Equations'!$B$29)/'Res-Rec Equations'!$B$32)+(('Res-Rec Equations'!$B$27*'Res-Rec Equations'!$B$30)/'Res-Rec Equations'!$B$33)+(('Res-Rec Equations'!$B$28*'Res-Rec Equations'!$B$31)/'Res-Rec Equations'!$B$34)))))))</f>
        <v>NA</v>
      </c>
      <c r="I35" s="166" t="str">
        <f>IF('Chemical Info'!H36="NA","NA",IF('Chemical Info'!E36="Yes",0,IF('Chemical Info'!D36="Yes",'Chemical Info'!H36/'Chemical Info'!AF36*('Res-Rec Equations'!$B$21*'Chemical Info'!AB36*'Res-Rec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Info'!H36/'Chemical Info'!AF36*('Res-Rec Equations'!$B$21*'Chemical Info'!AB36*'Res-Rec Equations'!$B$23)*((('Res-Rec Equations'!$B$26*'Res-Rec Equations'!$B$37*'Res-Rec Equations'!$B$40)/'Res-Rec Equations'!$B$32)+(('Res-Rec Equations'!$B$27*'Res-Rec Equations'!$B$38*'Res-Rec Equations'!$B$41)/'Res-Rec Equations'!$B$33)+(('Res-Rec Equations'!$B$28*'Res-Rec Equations'!$B$39*'Res-Rec Equations'!$B$42)/'Res-Rec Equations'!$B$34)))))</f>
        <v>NA</v>
      </c>
      <c r="J35" s="369" t="str">
        <f>IF('Chemical Info'!J36="NA","NA",IF(AND(E35="NA",'Chemical Info'!D36="Yes"),'Res-Rec Equations'!$B$22*1000*(('Res-Rec Equations'!$B$26*'Chemical Info'!J36*'Res-Rec Equations'!$B$59)+('Res-Rec Equations'!$B$27*'Chemical Info'!J36*'Res-Rec Equations'!$B$60)+('Res-Rec Equations'!$B$28*'Chemical Info'!J36*'Res-Rec Equations'!$B$61))*'Res-Rec Calculations'!C35,IF(AND(E35="NA",'Chemical Info'!D36=""),'Res-Rec Equations'!$B$22*1000*'Res-Rec Equations'!$B$25*'Chemical Info'!J36*'Res-Rec Calculations'!C35,IF(AND('Chemical Info'!E36="Yes",'Chemical Info'!D36="Yes"),'Res-Rec Equations'!$B$22*1000*(('Res-Rec Equations'!$B$26*'Chemical Info'!J36*'Res-Rec Equations'!$B$59)+('Res-Rec Equations'!$B$27*'Chemical Info'!J36*'Res-Rec Equations'!$B$60)+('Res-Rec Equations'!$B$28*'Chemical Info'!J36*'Res-Rec Equations'!$B$61))*'Res-Rec Calculations'!E35,IF(AND('Chemical Info'!E36="Yes",'Chemical Info'!D36=""),'Res-Rec Equations'!$B$22*1000*'Res-Rec Equations'!$B$25*'Chemical Info'!J36*'Res-Rec Calculations'!E35,IF('Chemical Info'!D36="Yes",'Res-Rec Equations'!$B$22*1000*(('Res-Rec Equations'!$B$26*'Chemical Info'!J36*'Res-Rec Equations'!$B$59)+('Res-Rec Equations'!$B$27*'Chemical Info'!J36*'Res-Rec Equations'!$B$60)+('Res-Rec Equations'!$B$28*'Chemical Info'!J36*'Res-Rec Equations'!$B$61))*('Res-Rec Calculations'!C35+'Res-Rec Calculations'!E35),IF('Chemical Info'!D36="",'Res-Rec Equations'!$B$22*1000*'Res-Rec Equations'!$B$25*'Chemical Info'!J36*('Res-Rec Calculations'!C35+'Res-Rec Calculations'!E35))))))))</f>
        <v>NA</v>
      </c>
      <c r="K35" s="370" t="str">
        <f>IF('Chemical Info'!J36="NA","NA",IF(AND(F35="NA",'Chemical Info'!D36="Yes"),'Res-Rec Equations'!$B$22*1000*(('Res-Rec Equations'!$B$26*'Chemical Info'!J36*'Res-Rec Equations'!$B$59)+('Res-Rec Equations'!$B$27*'Chemical Info'!J36*'Res-Rec Equations'!$B$60)+('Res-Rec Equations'!$B$28*'Chemical Info'!J36*'Res-Rec Equations'!$B$61))*'Res-Rec Calculations'!C35,IF(AND(F35="NA",'Chemical Info'!D36=""),'Res-Rec Equations'!$B$22*1000*'Res-Rec Equations'!$B$25*'Chemical Info'!J36*'Res-Rec Calculations'!C35,IF(AND('Chemical Info'!F36="Yes",'Chemical Info'!D36="Yes"),'Res-Rec Equations'!$B$22*1000*(('Res-Rec Equations'!$B$26*'Chemical Info'!J36*'Res-Rec Equations'!$B$59)+('Res-Rec Equations'!$B$27*'Chemical Info'!J36*'Res-Rec Equations'!$B$60)+('Res-Rec Equations'!$B$28*'Chemical Info'!J36*'Res-Rec Equations'!$B$61))*'Res-Rec Calculations'!F35,IF(AND('Chemical Info'!F36="Yes",'Chemical Info'!D36=""),'Res-Rec Equations'!$B$22*1000*'Res-Rec Equations'!$B$25*'Chemical Info'!J36*'Res-Rec Calculations'!F35,IF('Chemical Info'!D36="Yes",'Res-Rec Equations'!$B$22*1000*(('Res-Rec Equations'!$B$26*'Chemical Info'!J36*'Res-Rec Equations'!$B$59)+('Res-Rec Equations'!$B$27*'Chemical Info'!J36*'Res-Rec Equations'!$B$60)+('Res-Rec Equations'!$B$28*'Chemical Info'!J36*'Res-Rec Equations'!$B$61))*('Res-Rec Calculations'!C35+'Res-Rec Calculations'!F35),IF('Chemical Info'!D36="",'Res-Rec Equations'!$B$22*1000*'Res-Rec Equations'!$B$25*'Chemical Info'!J36*('Res-Rec Calculations'!C35+'Res-Rec Calculations'!F35))))))))</f>
        <v>NA</v>
      </c>
      <c r="L35" s="167" t="str">
        <f>IF(AND(H35="NA",I35="NA",J35="NA"),"NA",IF(H35="NA",'Res-Rec Equations'!$B$15*'Res-Rec Equations'!$B$16/J35,IF(J35="NA",'Res-Rec Equations'!$B$15*'Res-Rec Equations'!$B$16/(H35+I35),'Res-Rec Equations'!$B$15*'Res-Rec Equations'!$B$16/(H35+I35+J35))))</f>
        <v>NA</v>
      </c>
      <c r="M35" s="167" t="str">
        <f>IF(AND(H35="NA",I35="NA",K35="NA"),"NA",IF(H35="NA",'Res-Rec Equations'!$B$15*'Res-Rec Equations'!$B$16/K35,IF(K35="NA",'Res-Rec Equations'!$B$15*'Res-Rec Equations'!$B$16/(H35+I35),'Res-Rec Equations'!$B$15*'Res-Rec Equations'!$B$16/(H35+I35+K35))))</f>
        <v>NA</v>
      </c>
      <c r="N35" s="167" t="str">
        <f t="shared" ref="N35:N98" si="14">IF(AND(L35="NA",M35="NA"),"NA",MAX(L35,M35))</f>
        <v>NA</v>
      </c>
      <c r="O35" s="371">
        <f>IF('Chemical Info'!L36="NA","NA",IF('Chemical Info'!E36="Yes",(('Res-Rec Equations'!$B$76*'Chemical Info'!AD36*'Res-Rec Equations'!$B$78*'Res-Rec Equations'!$B$79*'Res-Rec Equations'!$B$81)/('Res-Rec Equations'!$B$84*'Res-Rec Equations'!$B$85))/'Chemical Info'!L36,(('Res-Rec Equations'!$B$76*'Chemical Info'!AD36*'Res-Rec Equations'!$B$78*'Res-Rec Equations'!$B$79*'Res-Rec Equations'!$B$80)/('Res-Rec Equations'!$B$84*'Res-Rec Equations'!$B$85))/'Chemical Info'!L36))</f>
        <v>1.3235391436701742E-5</v>
      </c>
      <c r="P35" s="166">
        <f>IF('Chemical Info'!L36="NA","NA", IF('Chemical Info'!E36="Yes",0,((('Res-Rec Equations'!$B$87*'Res-Rec Equations'!$B$88*'Res-Rec Equations'!$B$78*'Res-Rec Equations'!$B$82*'Res-Rec Equations'!$B$79*'Chemical Info'!AB36)/('Res-Rec Equations'!$B$84*'Res-Rec Equations'!$B$85))/('Chemical Info'!L36*'Chemical Info'!AF36))))</f>
        <v>0</v>
      </c>
      <c r="Q35" s="166" t="str">
        <f>IF('Chemical Info'!N36="NA","NA",IF('Res-Rec Calculations'!E35="NA",(('Res-Rec Equations'!$B$83*'Res-Rec Equations'!$B$79*'Res-Rec Calculations'!C35)/('Res-Rec Equations'!$B$85))/('Chemical Info'!N36),IF('Chemical Info'!E36="Yes",(('Res-Rec Equations'!$B$83*'Res-Rec Equations'!$B$79*'Res-Rec Calculations'!E35)/('Res-Rec Equations'!$B$85))/('Chemical Info'!N36),(('Res-Rec Equations'!$B$83*'Res-Rec Equations'!$B$79*('Res-Rec Calculations'!C35+'Res-Rec Calculations'!E35))/('Res-Rec Equations'!$B$85))/('Chemical Info'!N36))))</f>
        <v>NA</v>
      </c>
      <c r="R35" s="166" t="str">
        <f>IF('Chemical Info'!N36="NA","NA",IF('Res-Rec Calculations'!F35="NA",(('Res-Rec Equations'!$B$83*'Res-Rec Equations'!$B$79*'Res-Rec Calculations'!C35)/('Res-Rec Equations'!$B$85))/('Chemical Info'!N36),IF('Chemical Info'!E36="Yes",(('Res-Rec Equations'!$B$83*'Res-Rec Equations'!$B$79*'Res-Rec Calculations'!F35)/('Res-Rec Equations'!$B$85))/('Chemical Info'!N36),(('Res-Rec Equations'!$B$83*'Res-Rec Equations'!$B$79*('Res-Rec Calculations'!C35+'Res-Rec Calculations'!F35))/('Res-Rec Equations'!$B$85))/('Chemical Info'!N36))))</f>
        <v>NA</v>
      </c>
      <c r="S35" s="167">
        <f>IF(AND(O35="NA",P35="NA",Q35="NA"),"NA",IF(O35="NA",'Res-Rec Equations'!$B$75/Q35,IF(Q35="NA",'Res-Rec Equations'!$B$75/(O35+P35),'Res-Rec Equations'!$B$75/(O35+P35+Q35))))</f>
        <v>15111</v>
      </c>
      <c r="T35" s="167">
        <f>IF(AND(O35="NA",P35="NA",R35="NA"),"NA",IF(O35="NA",'Res-Rec Equations'!$B$75/R35,IF(R35="NA",'Res-Rec Equations'!$B$75/(O35+P35),'Res-Rec Equations'!$B$75/(O35+P35+R35))))</f>
        <v>15111</v>
      </c>
      <c r="U35" s="168">
        <f t="shared" ref="U35:U98" si="15">IF(AND(S35="NA",T35="NA"),"NA",MAX(S35,T35))</f>
        <v>15111</v>
      </c>
      <c r="V35" s="167" t="str">
        <f>IF('Chemical Info'!P36="NA","NA",(('Res-Rec Equations'!$B$185*'Res-Rec Equations'!$B$186)/('Res-Rec Equations'!$B$187*'Res-Rec Equations'!$B$188*(1/'Chemical Info'!P36))))</f>
        <v>NA</v>
      </c>
      <c r="W35" s="379" t="str">
        <f t="shared" ref="W35:W98" si="16">IF(V35="NA","NA",IF(V35&gt;100000,100000,IF(ISNUMBER(ROUND(V35*1000000,2-LEN(INT(V35*1000000)))/1000000),ROUND(V35*1000000,2-LEN(INT(V35*1000000)))/1000000,"NA")))</f>
        <v>NA</v>
      </c>
      <c r="X35" s="372">
        <f t="shared" ref="X35:X98" si="17">IF(AND(N35="NA",U35="NA",G35="NA"),"NA",MIN(N35,U35,G35))</f>
        <v>15111</v>
      </c>
      <c r="Y35" s="62">
        <f t="shared" ref="Y35:Y98" si="18">IF(X35&gt;100000,100000,IF(ISNUMBER(ROUND(X35*1000000,2-LEN(INT(X35*1000000)))/1000000),ROUND(X35*1000000,2-LEN(INT(X35*1000000)))/1000000,"NA"))</f>
        <v>15000</v>
      </c>
      <c r="Z35" s="100" t="str">
        <f t="shared" ref="Z35:Z98" si="19">IF(Y35=100000,"Max Limit",IF(X35=G35,"Csat",IF(X35=N35,"Cancer",IF(X35=V35,"Acute",IF(X35=U35,"Noncancer","")))))</f>
        <v>Noncancer</v>
      </c>
      <c r="AA35" s="373"/>
    </row>
    <row r="36" spans="1:28">
      <c r="A36" s="413" t="s">
        <v>1161</v>
      </c>
      <c r="B36" s="566" t="s">
        <v>1162</v>
      </c>
      <c r="C36" s="367">
        <f>1/(('Res-Rec Equations'!$B$152*3600)/((0.036*(1-'Res-Rec Equations'!$B$153))*('Res-Rec Equations'!$B$154/'Res-Rec Equations'!$B$155)^3*'Res-Rec Equations'!$B$156))</f>
        <v>7.3567680901159717E-10</v>
      </c>
      <c r="D36" s="368">
        <f>(('Res-Rec Equations'!$B$132^(10/3)*'Chemical Info'!$AH37*'Chemical Info'!$AN37*41+'Res-Rec Equations'!$B$135^(10/3)*'Chemical Info'!$AJ37)/'Res-Rec Equations'!$B$137^2)/('Res-Rec Equations'!$B$139*'Chemical Info'!$AL37*'Res-Rec Equations'!$B$142+'Res-Rec Equations'!$B$135+'Res-Rec Equations'!$B$132*'Chemical Info'!$AN37*41)</f>
        <v>2.1547606096755894E-4</v>
      </c>
      <c r="E36" s="368">
        <f>IF(D36=0,"NA",1/(('Res-Rec Equations'!$B$103*(3.14*'Res-Rec Calculations'!$D36*'Res-Rec Equations'!$B$105)^(1/2)*0.0001)/(2*'Res-Rec Equations'!$B$106*'Res-Rec Calculations'!$D36)))</f>
        <v>8.6164445544727804E-5</v>
      </c>
      <c r="F36" s="368">
        <f>IF(D36=0,"NA",(1/('Res-Rec Equations'!$B$117*('Res-Rec Equations'!$B$118*(31500000))/('Res-Rec Equations'!$B$119*'Res-Rec Equations'!$B$120*1000000))))</f>
        <v>6.1914410640015851E-5</v>
      </c>
      <c r="G36" s="167">
        <f>IF('Chemical Info'!E37="Yes",('Chemical Info'!AP37/'Res-Rec Equations'!$B$168)*((('Chemical Info'!AL37*'Res-Rec Equations'!$B$170)*'Res-Rec Equations'!$B$168)+'Res-Rec Equations'!$B$171+('Chemical Info'!AN37*41)*'Res-Rec Equations'!$B$173),"NA")</f>
        <v>10481.216823999999</v>
      </c>
      <c r="H36" s="112">
        <f>IF('Chemical Info'!H37="NA","NA",IF(AND('Chemical Info'!E37="Yes",'Chemical Info'!D37="Yes"),'Chemical Info'!H37*'Chemical Info'!AD37*'Res-Rec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Info'!E37="Yes",'Chemical Info'!D37=""),'Chemical Info'!H37*'Chemical Info'!AD37*'Res-Rec Equations'!$B$20*'Res-Rec Equations'!$B$23*((('Res-Rec Equations'!$B$26*'Res-Rec Equations'!$B$29)/'Res-Rec Equations'!$B$32)+(('Res-Rec Equations'!$B$27*'Res-Rec Equations'!$B$30)/'Res-Rec Equations'!$B$33)+(('Res-Rec Equations'!$B$28*'Res-Rec Equations'!$B$31)/'Res-Rec Equations'!$B$34)),IF(AND('Chemical Info'!E37="No",'Chemical Info'!D37="Yes"),'Chemical Info'!H37*'Chemical Info'!AD37*'Res-Rec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Info'!E37="No",'Chemical Info'!D37=""),'Chemical Info'!H37*'Chemical Info'!AD37*'Res-Rec Equations'!$B$19*'Res-Rec Equations'!$B$23*((('Res-Rec Equations'!$B$26*'Res-Rec Equations'!$B$29)/'Res-Rec Equations'!$B$32)+(('Res-Rec Equations'!$B$27*'Res-Rec Equations'!$B$30)/'Res-Rec Equations'!$B$33)+(('Res-Rec Equations'!$B$28*'Res-Rec Equations'!$B$31)/'Res-Rec Equations'!$B$34)))))))</f>
        <v>1.7392532005689902E-2</v>
      </c>
      <c r="I36" s="166">
        <f>IF('Chemical Info'!H37="NA","NA",IF('Chemical Info'!E37="Yes",0,IF('Chemical Info'!D37="Yes",'Chemical Info'!H37/'Chemical Info'!AF37*('Res-Rec Equations'!$B$21*'Chemical Info'!AB37*'Res-Rec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Info'!H37/'Chemical Info'!AF37*('Res-Rec Equations'!$B$21*'Chemical Info'!AB37*'Res-Rec Equations'!$B$23)*((('Res-Rec Equations'!$B$26*'Res-Rec Equations'!$B$37*'Res-Rec Equations'!$B$40)/'Res-Rec Equations'!$B$32)+(('Res-Rec Equations'!$B$27*'Res-Rec Equations'!$B$38*'Res-Rec Equations'!$B$41)/'Res-Rec Equations'!$B$33)+(('Res-Rec Equations'!$B$28*'Res-Rec Equations'!$B$39*'Res-Rec Equations'!$B$42)/'Res-Rec Equations'!$B$34)))))</f>
        <v>0</v>
      </c>
      <c r="J36" s="369">
        <f>IF('Chemical Info'!J37="NA","NA",IF(AND(E36="NA",'Chemical Info'!D37="Yes"),'Res-Rec Equations'!$B$22*1000*(('Res-Rec Equations'!$B$26*'Chemical Info'!J37*'Res-Rec Equations'!$B$59)+('Res-Rec Equations'!$B$27*'Chemical Info'!J37*'Res-Rec Equations'!$B$60)+('Res-Rec Equations'!$B$28*'Chemical Info'!J37*'Res-Rec Equations'!$B$61))*'Res-Rec Calculations'!C36,IF(AND(E36="NA",'Chemical Info'!D37=""),'Res-Rec Equations'!$B$22*1000*'Res-Rec Equations'!$B$25*'Chemical Info'!J37*'Res-Rec Calculations'!C36,IF(AND('Chemical Info'!E37="Yes",'Chemical Info'!D37="Yes"),'Res-Rec Equations'!$B$22*1000*(('Res-Rec Equations'!$B$26*'Chemical Info'!J37*'Res-Rec Equations'!$B$59)+('Res-Rec Equations'!$B$27*'Chemical Info'!J37*'Res-Rec Equations'!$B$60)+('Res-Rec Equations'!$B$28*'Chemical Info'!J37*'Res-Rec Equations'!$B$61))*'Res-Rec Calculations'!E36,IF(AND('Chemical Info'!E37="Yes",'Chemical Info'!D37=""),'Res-Rec Equations'!$B$22*1000*'Res-Rec Equations'!$B$25*'Chemical Info'!J37*'Res-Rec Calculations'!E36,IF('Chemical Info'!D37="Yes",'Res-Rec Equations'!$B$22*1000*(('Res-Rec Equations'!$B$26*'Chemical Info'!J37*'Res-Rec Equations'!$B$59)+('Res-Rec Equations'!$B$27*'Chemical Info'!J37*'Res-Rec Equations'!$B$60)+('Res-Rec Equations'!$B$28*'Chemical Info'!J37*'Res-Rec Equations'!$B$61))*('Res-Rec Calculations'!C36+'Res-Rec Calculations'!E36),IF('Chemical Info'!D37="",'Res-Rec Equations'!$B$22*1000*'Res-Rec Equations'!$B$25*'Chemical Info'!J37*('Res-Rec Calculations'!C36+'Res-Rec Calculations'!E36))))))))</f>
        <v>3.8084684930769691E-2</v>
      </c>
      <c r="K36" s="370">
        <f>IF('Chemical Info'!J37="NA","NA",IF(AND(F36="NA",'Chemical Info'!D37="Yes"),'Res-Rec Equations'!$B$22*1000*(('Res-Rec Equations'!$B$26*'Chemical Info'!J37*'Res-Rec Equations'!$B$59)+('Res-Rec Equations'!$B$27*'Chemical Info'!J37*'Res-Rec Equations'!$B$60)+('Res-Rec Equations'!$B$28*'Chemical Info'!J37*'Res-Rec Equations'!$B$61))*'Res-Rec Calculations'!C36,IF(AND(F36="NA",'Chemical Info'!D37=""),'Res-Rec Equations'!$B$22*1000*'Res-Rec Equations'!$B$25*'Chemical Info'!J37*'Res-Rec Calculations'!C36,IF(AND('Chemical Info'!F37="Yes",'Chemical Info'!D37="Yes"),'Res-Rec Equations'!$B$22*1000*(('Res-Rec Equations'!$B$26*'Chemical Info'!J37*'Res-Rec Equations'!$B$59)+('Res-Rec Equations'!$B$27*'Chemical Info'!J37*'Res-Rec Equations'!$B$60)+('Res-Rec Equations'!$B$28*'Chemical Info'!J37*'Res-Rec Equations'!$B$61))*'Res-Rec Calculations'!F36,IF(AND('Chemical Info'!F37="Yes",'Chemical Info'!D37=""),'Res-Rec Equations'!$B$22*1000*'Res-Rec Equations'!$B$25*'Chemical Info'!J37*'Res-Rec Calculations'!F36,IF('Chemical Info'!D37="Yes",'Res-Rec Equations'!$B$22*1000*(('Res-Rec Equations'!$B$26*'Chemical Info'!J37*'Res-Rec Equations'!$B$59)+('Res-Rec Equations'!$B$27*'Chemical Info'!J37*'Res-Rec Equations'!$B$60)+('Res-Rec Equations'!$B$28*'Chemical Info'!J37*'Res-Rec Equations'!$B$61))*('Res-Rec Calculations'!C36+'Res-Rec Calculations'!F36),IF('Chemical Info'!D37="",'Res-Rec Equations'!$B$22*1000*'Res-Rec Equations'!$B$25*'Chemical Info'!J37*('Res-Rec Calculations'!C36+'Res-Rec Calculations'!F36))))))))</f>
        <v>2.7366494672036588E-2</v>
      </c>
      <c r="L36" s="167">
        <f>IF(AND(H36="NA",I36="NA",J36="NA"),"NA",IF(H36="NA",'Res-Rec Equations'!$B$15*'Res-Rec Equations'!$B$16/J36,IF(J36="NA",'Res-Rec Equations'!$B$15*'Res-Rec Equations'!$B$16/(H36+I36),'Res-Rec Equations'!$B$15*'Res-Rec Equations'!$B$16/(H36+I36+J36))))</f>
        <v>4.6054941849847113</v>
      </c>
      <c r="M36" s="167">
        <f>IF(AND(H36="NA",I36="NA",K36="NA"),"NA",IF(H36="NA",'Res-Rec Equations'!$B$15*'Res-Rec Equations'!$B$16/K36,IF(K36="NA",'Res-Rec Equations'!$B$15*'Res-Rec Equations'!$B$16/(H36+I36),'Res-Rec Equations'!$B$15*'Res-Rec Equations'!$B$16/(H36+I36+K36))))</f>
        <v>5.7083457564805551</v>
      </c>
      <c r="N36" s="167">
        <f t="shared" ref="N36" si="20">IF(AND(L36="NA",M36="NA"),"NA",MAX(L36,M36))</f>
        <v>5.7083457564805551</v>
      </c>
      <c r="O36" s="371">
        <f>IF('Chemical Info'!L37="NA","NA",IF('Chemical Info'!E37="Yes",(('Res-Rec Equations'!$B$76*'Chemical Info'!AD37*'Res-Rec Equations'!$B$78*'Res-Rec Equations'!$B$79*'Res-Rec Equations'!$B$81)/('Res-Rec Equations'!$B$84*'Res-Rec Equations'!$B$85))/'Chemical Info'!L37,(('Res-Rec Equations'!$B$76*'Chemical Info'!AD37*'Res-Rec Equations'!$B$78*'Res-Rec Equations'!$B$79*'Res-Rec Equations'!$B$80)/('Res-Rec Equations'!$B$84*'Res-Rec Equations'!$B$85))/'Chemical Info'!L37))</f>
        <v>0.10147133434804667</v>
      </c>
      <c r="P36" s="166">
        <f>IF('Chemical Info'!L37="NA","NA", IF('Chemical Info'!E37="Yes",0,((('Res-Rec Equations'!$B$87*'Res-Rec Equations'!$B$88*'Res-Rec Equations'!$B$78*'Res-Rec Equations'!$B$82*'Res-Rec Equations'!$B$79*'Chemical Info'!AB37)/('Res-Rec Equations'!$B$84*'Res-Rec Equations'!$B$85))/('Chemical Info'!L37*'Chemical Info'!AF37))))</f>
        <v>0</v>
      </c>
      <c r="Q36" s="166">
        <f>IF('Chemical Info'!N37="NA","NA",IF('Res-Rec Calculations'!E36="NA",(('Res-Rec Equations'!$B$83*'Res-Rec Equations'!$B$79*'Res-Rec Calculations'!C36)/('Res-Rec Equations'!$B$85))/('Chemical Info'!N37),IF('Chemical Info'!E37="Yes",(('Res-Rec Equations'!$B$83*'Res-Rec Equations'!$B$79*'Res-Rec Calculations'!E36)/('Res-Rec Equations'!$B$85))/('Chemical Info'!N37),(('Res-Rec Equations'!$B$83*'Res-Rec Equations'!$B$79*('Res-Rec Calculations'!C36+'Res-Rec Calculations'!E36))/('Res-Rec Equations'!$B$85))/('Chemical Info'!N37))))</f>
        <v>2.9508371761893082E-2</v>
      </c>
      <c r="R36" s="166">
        <f>IF('Chemical Info'!N37="NA","NA",IF('Res-Rec Calculations'!F36="NA",(('Res-Rec Equations'!$B$83*'Res-Rec Equations'!$B$79*'Res-Rec Calculations'!C36)/('Res-Rec Equations'!$B$85))/('Chemical Info'!N37),IF('Chemical Info'!E37="Yes",(('Res-Rec Equations'!$B$83*'Res-Rec Equations'!$B$79*'Res-Rec Calculations'!F36)/('Res-Rec Equations'!$B$85))/('Chemical Info'!N37),(('Res-Rec Equations'!$B$83*'Res-Rec Equations'!$B$79*('Res-Rec Calculations'!C36+'Res-Rec Calculations'!F36))/('Res-Rec Equations'!$B$85))/('Chemical Info'!N37))))</f>
        <v>2.1203565287676661E-2</v>
      </c>
      <c r="S36" s="167">
        <f>IF(AND(O36="NA",P36="NA",Q36="NA"),"NA",IF(O36="NA",'Res-Rec Equations'!$B$75/Q36,IF(Q36="NA",'Res-Rec Equations'!$B$75/(O36+P36),'Res-Rec Equations'!$B$75/(O36+P36+Q36))))</f>
        <v>1.5269541056392892</v>
      </c>
      <c r="T36" s="167">
        <f>IF(AND(O36="NA",P36="NA",R36="NA"),"NA",IF(O36="NA",'Res-Rec Equations'!$B$75/R36,IF(R36="NA",'Res-Rec Equations'!$B$75/(O36+P36),'Res-Rec Equations'!$B$75/(O36+P36+R36))))</f>
        <v>1.6303253607208117</v>
      </c>
      <c r="U36" s="168">
        <f t="shared" ref="U36" si="21">IF(AND(S36="NA",T36="NA"),"NA",MAX(S36,T36))</f>
        <v>1.6303253607208117</v>
      </c>
      <c r="V36" s="167" t="str">
        <f>IF('Chemical Info'!P37="NA","NA",(('Res-Rec Equations'!$B$185*'Res-Rec Equations'!$B$186)/('Res-Rec Equations'!$B$187*'Res-Rec Equations'!$B$188*(1/'Chemical Info'!P37))))</f>
        <v>NA</v>
      </c>
      <c r="W36" s="379" t="str">
        <f t="shared" ref="W36" si="22">IF(V36="NA","NA",IF(V36&gt;100000,100000,IF(ISNUMBER(ROUND(V36*1000000,2-LEN(INT(V36*1000000)))/1000000),ROUND(V36*1000000,2-LEN(INT(V36*1000000)))/1000000,"NA")))</f>
        <v>NA</v>
      </c>
      <c r="X36" s="372">
        <f t="shared" ref="X36" si="23">IF(AND(N36="NA",U36="NA",G36="NA"),"NA",MIN(N36,U36,G36))</f>
        <v>1.6303253607208117</v>
      </c>
      <c r="Y36" s="62">
        <f t="shared" ref="Y36" si="24">IF(X36&gt;100000,100000,IF(ISNUMBER(ROUND(X36*1000000,2-LEN(INT(X36*1000000)))/1000000),ROUND(X36*1000000,2-LEN(INT(X36*1000000)))/1000000,"NA"))</f>
        <v>1.6</v>
      </c>
      <c r="Z36" s="100" t="str">
        <f t="shared" ref="Z36" si="25">IF(Y36=100000,"Max Limit",IF(X36=G36,"Csat",IF(X36=N36,"Cancer",IF(X36=V36,"Acute",IF(X36=U36,"Noncancer","")))))</f>
        <v>Noncancer</v>
      </c>
      <c r="AA36" s="373"/>
    </row>
    <row r="37" spans="1:28">
      <c r="A37" s="413" t="s">
        <v>1119</v>
      </c>
      <c r="B37" s="566" t="s">
        <v>1120</v>
      </c>
      <c r="C37" s="367">
        <f>1/(('Res-Rec Equations'!$B$152*3600)/((0.036*(1-'Res-Rec Equations'!$B$153))*('Res-Rec Equations'!$B$154/'Res-Rec Equations'!$B$155)^3*'Res-Rec Equations'!$B$156))</f>
        <v>7.3567680901159717E-10</v>
      </c>
      <c r="D37" s="368">
        <f>(('Res-Rec Equations'!$B$132^(10/3)*'Chemical Info'!$AH38*'Chemical Info'!$AN38*41+'Res-Rec Equations'!$B$135^(10/3)*'Chemical Info'!$AJ38)/'Res-Rec Equations'!$B$137^2)/('Res-Rec Equations'!$B$139*'Chemical Info'!$AL38*'Res-Rec Equations'!$B$142+'Res-Rec Equations'!$B$135+'Res-Rec Equations'!$B$132*'Chemical Info'!$AN38*41)</f>
        <v>5.0888834409588248E-3</v>
      </c>
      <c r="E37" s="368">
        <f>IF(D37=0,"NA",1/(('Res-Rec Equations'!$B$103*(3.14*'Res-Rec Calculations'!$D37*'Res-Rec Equations'!$B$105)^(1/2)*0.0001)/(2*'Res-Rec Equations'!$B$106*'Res-Rec Calculations'!$D37)))</f>
        <v>4.1873555219459088E-4</v>
      </c>
      <c r="F37" s="368">
        <f>IF(D37=0,"NA",(1/('Res-Rec Equations'!$B$117*('Res-Rec Equations'!$B$118*(31500000))/('Res-Rec Equations'!$B$119*'Res-Rec Equations'!$B$120*1000000))))</f>
        <v>6.1914410640015851E-5</v>
      </c>
      <c r="G37" s="167">
        <f>IF('Chemical Info'!E38="Yes",('Chemical Info'!AP38/'Res-Rec Equations'!$B$168)*((('Chemical Info'!AL38*'Res-Rec Equations'!$B$170)*'Res-Rec Equations'!$B$168)+'Res-Rec Equations'!$B$171+('Chemical Info'!AN38*41)*'Res-Rec Equations'!$B$173),"NA")</f>
        <v>1421.4210666666663</v>
      </c>
      <c r="H37" s="112">
        <f>IF('Chemical Info'!H38="NA","NA",IF(AND('Chemical Info'!E38="Yes",'Chemical Info'!D38="Yes"),'Chemical Info'!H38*'Chemical Info'!AD38*'Res-Rec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Info'!E38="Yes",'Chemical Info'!D38=""),'Chemical Info'!H38*'Chemical Info'!AD38*'Res-Rec Equations'!$B$20*'Res-Rec Equations'!$B$23*((('Res-Rec Equations'!$B$26*'Res-Rec Equations'!$B$29)/'Res-Rec Equations'!$B$32)+(('Res-Rec Equations'!$B$27*'Res-Rec Equations'!$B$30)/'Res-Rec Equations'!$B$33)+(('Res-Rec Equations'!$B$28*'Res-Rec Equations'!$B$31)/'Res-Rec Equations'!$B$34)),IF(AND('Chemical Info'!E38="No",'Chemical Info'!D38="Yes"),'Chemical Info'!H38*'Chemical Info'!AD38*'Res-Rec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Info'!E38="No",'Chemical Info'!D38=""),'Chemical Info'!H38*'Chemical Info'!AD38*'Res-Rec Equations'!$B$19*'Res-Rec Equations'!$B$23*((('Res-Rec Equations'!$B$26*'Res-Rec Equations'!$B$29)/'Res-Rec Equations'!$B$32)+(('Res-Rec Equations'!$B$27*'Res-Rec Equations'!$B$30)/'Res-Rec Equations'!$B$33)+(('Res-Rec Equations'!$B$28*'Res-Rec Equations'!$B$31)/'Res-Rec Equations'!$B$34)))))))</f>
        <v>6.7637624466571837E-4</v>
      </c>
      <c r="I37" s="166">
        <f>IF('Chemical Info'!H38="NA","NA",IF('Chemical Info'!E38="Yes",0,IF('Chemical Info'!D38="Yes",'Chemical Info'!H38/'Chemical Info'!AF38*('Res-Rec Equations'!$B$21*'Chemical Info'!AB38*'Res-Rec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Info'!H38/'Chemical Info'!AF38*('Res-Rec Equations'!$B$21*'Chemical Info'!AB38*'Res-Rec Equations'!$B$23)*((('Res-Rec Equations'!$B$26*'Res-Rec Equations'!$B$37*'Res-Rec Equations'!$B$40)/'Res-Rec Equations'!$B$32)+(('Res-Rec Equations'!$B$27*'Res-Rec Equations'!$B$38*'Res-Rec Equations'!$B$41)/'Res-Rec Equations'!$B$33)+(('Res-Rec Equations'!$B$28*'Res-Rec Equations'!$B$39*'Res-Rec Equations'!$B$42)/'Res-Rec Equations'!$B$34)))))</f>
        <v>0</v>
      </c>
      <c r="J37" s="369">
        <f>IF('Chemical Info'!J38="NA","NA",IF(AND(E37="NA",'Chemical Info'!D38="Yes"),'Res-Rec Equations'!$B$22*1000*(('Res-Rec Equations'!$B$26*'Chemical Info'!J38*'Res-Rec Equations'!$B$59)+('Res-Rec Equations'!$B$27*'Chemical Info'!J38*'Res-Rec Equations'!$B$60)+('Res-Rec Equations'!$B$28*'Chemical Info'!J38*'Res-Rec Equations'!$B$61))*'Res-Rec Calculations'!C37,IF(AND(E37="NA",'Chemical Info'!D38=""),'Res-Rec Equations'!$B$22*1000*'Res-Rec Equations'!$B$25*'Chemical Info'!J38*'Res-Rec Calculations'!C37,IF(AND('Chemical Info'!E38="Yes",'Chemical Info'!D38="Yes"),'Res-Rec Equations'!$B$22*1000*(('Res-Rec Equations'!$B$26*'Chemical Info'!J38*'Res-Rec Equations'!$B$59)+('Res-Rec Equations'!$B$27*'Chemical Info'!J38*'Res-Rec Equations'!$B$60)+('Res-Rec Equations'!$B$28*'Chemical Info'!J38*'Res-Rec Equations'!$B$61))*'Res-Rec Calculations'!E37,IF(AND('Chemical Info'!E38="Yes",'Chemical Info'!D38=""),'Res-Rec Equations'!$B$22*1000*'Res-Rec Equations'!$B$25*'Chemical Info'!J38*'Res-Rec Calculations'!E37,IF('Chemical Info'!D38="Yes",'Res-Rec Equations'!$B$22*1000*(('Res-Rec Equations'!$B$26*'Chemical Info'!J38*'Res-Rec Equations'!$B$59)+('Res-Rec Equations'!$B$27*'Chemical Info'!J38*'Res-Rec Equations'!$B$60)+('Res-Rec Equations'!$B$28*'Chemical Info'!J38*'Res-Rec Equations'!$B$61))*('Res-Rec Calculations'!C37+'Res-Rec Calculations'!E37),IF('Chemical Info'!D38="",'Res-Rec Equations'!$B$22*1000*'Res-Rec Equations'!$B$25*'Chemical Info'!J38*('Res-Rec Calculations'!C37+'Res-Rec Calculations'!E37))))))))</f>
        <v>1.6330686535589046E-2</v>
      </c>
      <c r="K37" s="370">
        <f>IF('Chemical Info'!J38="NA","NA",IF(AND(F37="NA",'Chemical Info'!D38="Yes"),'Res-Rec Equations'!$B$22*1000*(('Res-Rec Equations'!$B$26*'Chemical Info'!J38*'Res-Rec Equations'!$B$59)+('Res-Rec Equations'!$B$27*'Chemical Info'!J38*'Res-Rec Equations'!$B$60)+('Res-Rec Equations'!$B$28*'Chemical Info'!J38*'Res-Rec Equations'!$B$61))*'Res-Rec Calculations'!C37,IF(AND(F37="NA",'Chemical Info'!D38=""),'Res-Rec Equations'!$B$22*1000*'Res-Rec Equations'!$B$25*'Chemical Info'!J38*'Res-Rec Calculations'!C37,IF(AND('Chemical Info'!F38="Yes",'Chemical Info'!D38="Yes"),'Res-Rec Equations'!$B$22*1000*(('Res-Rec Equations'!$B$26*'Chemical Info'!J38*'Res-Rec Equations'!$B$59)+('Res-Rec Equations'!$B$27*'Chemical Info'!J38*'Res-Rec Equations'!$B$60)+('Res-Rec Equations'!$B$28*'Chemical Info'!J38*'Res-Rec Equations'!$B$61))*'Res-Rec Calculations'!F37,IF(AND('Chemical Info'!F38="Yes",'Chemical Info'!D38=""),'Res-Rec Equations'!$B$22*1000*'Res-Rec Equations'!$B$25*'Chemical Info'!J38*'Res-Rec Calculations'!F37,IF('Chemical Info'!D38="Yes",'Res-Rec Equations'!$B$22*1000*(('Res-Rec Equations'!$B$26*'Chemical Info'!J38*'Res-Rec Equations'!$B$59)+('Res-Rec Equations'!$B$27*'Chemical Info'!J38*'Res-Rec Equations'!$B$60)+('Res-Rec Equations'!$B$28*'Chemical Info'!J38*'Res-Rec Equations'!$B$61))*('Res-Rec Calculations'!C37+'Res-Rec Calculations'!F37),IF('Chemical Info'!D38="",'Res-Rec Equations'!$B$22*1000*'Res-Rec Equations'!$B$25*'Chemical Info'!J38*('Res-Rec Calculations'!C37+'Res-Rec Calculations'!F37))))))))</f>
        <v>2.4146907063561695E-3</v>
      </c>
      <c r="L37" s="167">
        <f>IF(AND(H37="NA",I37="NA",J37="NA"),"NA",IF(H37="NA",'Res-Rec Equations'!$B$15*'Res-Rec Equations'!$B$16/J37,IF(J37="NA",'Res-Rec Equations'!$B$15*'Res-Rec Equations'!$B$16/(H37+I37),'Res-Rec Equations'!$B$15*'Res-Rec Equations'!$B$16/(H37+I37+J37))))</f>
        <v>15.023170273507549</v>
      </c>
      <c r="M37" s="167">
        <f>IF(AND(H37="NA",I37="NA",K37="NA"),"NA",IF(H37="NA",'Res-Rec Equations'!$B$15*'Res-Rec Equations'!$B$16/K37,IF(K37="NA",'Res-Rec Equations'!$B$15*'Res-Rec Equations'!$B$16/(H37+I37),'Res-Rec Equations'!$B$15*'Res-Rec Equations'!$B$16/(H37+I37+K37))))</f>
        <v>82.657543187646993</v>
      </c>
      <c r="N37" s="167">
        <f t="shared" ref="N37" si="26">IF(AND(L37="NA",M37="NA"),"NA",MAX(L37,M37))</f>
        <v>82.657543187646993</v>
      </c>
      <c r="O37" s="371">
        <f>IF('Chemical Info'!L38="NA","NA",IF('Chemical Info'!E38="Yes",(('Res-Rec Equations'!$B$76*'Chemical Info'!AD38*'Res-Rec Equations'!$B$78*'Res-Rec Equations'!$B$79*'Res-Rec Equations'!$B$81)/('Res-Rec Equations'!$B$84*'Res-Rec Equations'!$B$85))/'Chemical Info'!L38,(('Res-Rec Equations'!$B$76*'Chemical Info'!AD38*'Res-Rec Equations'!$B$78*'Res-Rec Equations'!$B$79*'Res-Rec Equations'!$B$80)/('Res-Rec Equations'!$B$84*'Res-Rec Equations'!$B$85))/'Chemical Info'!L38))</f>
        <v>1.8264840182648402E-4</v>
      </c>
      <c r="P37" s="166">
        <f>IF('Chemical Info'!L38="NA","NA", IF('Chemical Info'!E38="Yes",0,((('Res-Rec Equations'!$B$87*'Res-Rec Equations'!$B$88*'Res-Rec Equations'!$B$78*'Res-Rec Equations'!$B$82*'Res-Rec Equations'!$B$79*'Chemical Info'!AB38)/('Res-Rec Equations'!$B$84*'Res-Rec Equations'!$B$85))/('Chemical Info'!L38*'Chemical Info'!AF38))))</f>
        <v>0</v>
      </c>
      <c r="Q37" s="166">
        <f>IF('Chemical Info'!N38="NA","NA",IF('Res-Rec Calculations'!E37="NA",(('Res-Rec Equations'!$B$83*'Res-Rec Equations'!$B$79*'Res-Rec Calculations'!C37)/('Res-Rec Equations'!$B$85))/('Chemical Info'!N38),IF('Chemical Info'!E38="Yes",(('Res-Rec Equations'!$B$83*'Res-Rec Equations'!$B$79*'Res-Rec Calculations'!E37)/('Res-Rec Equations'!$B$85))/('Chemical Info'!N38),(('Res-Rec Equations'!$B$83*'Res-Rec Equations'!$B$79*('Res-Rec Calculations'!C37+'Res-Rec Calculations'!E37))/('Res-Rec Equations'!$B$85))/('Chemical Info'!N38))))</f>
        <v>0.28680517273602113</v>
      </c>
      <c r="R37" s="166">
        <f>IF('Chemical Info'!N38="NA","NA",IF('Res-Rec Calculations'!F37="NA",(('Res-Rec Equations'!$B$83*'Res-Rec Equations'!$B$79*'Res-Rec Calculations'!C37)/('Res-Rec Equations'!$B$85))/('Chemical Info'!N38),IF('Chemical Info'!E38="Yes",(('Res-Rec Equations'!$B$83*'Res-Rec Equations'!$B$79*'Res-Rec Calculations'!F37)/('Res-Rec Equations'!$B$85))/('Chemical Info'!N38),(('Res-Rec Equations'!$B$83*'Res-Rec Equations'!$B$79*('Res-Rec Calculations'!C37+'Res-Rec Calculations'!F37))/('Res-Rec Equations'!$B$85))/('Chemical Info'!N38))))</f>
        <v>4.2407130575353322E-2</v>
      </c>
      <c r="S37" s="167">
        <f>IF(AND(O37="NA",P37="NA",Q37="NA"),"NA",IF(O37="NA",'Res-Rec Equations'!$B$75/Q37,IF(Q37="NA",'Res-Rec Equations'!$B$75/(O37+P37),'Res-Rec Equations'!$B$75/(O37+P37+Q37))))</f>
        <v>0.69689368422339737</v>
      </c>
      <c r="T37" s="167">
        <f>IF(AND(O37="NA",P37="NA",R37="NA"),"NA",IF(O37="NA",'Res-Rec Equations'!$B$75/R37,IF(R37="NA",'Res-Rec Equations'!$B$75/(O37+P37),'Res-Rec Equations'!$B$75/(O37+P37+R37))))</f>
        <v>4.6959623835372044</v>
      </c>
      <c r="U37" s="168">
        <f t="shared" ref="U37:U38" si="27">IF(AND(S37="NA",T37="NA"),"NA",MAX(S37,T37))</f>
        <v>4.6959623835372044</v>
      </c>
      <c r="V37" s="167" t="str">
        <f>IF('Chemical Info'!P38="NA","NA",(('Res-Rec Equations'!$B$185*'Res-Rec Equations'!$B$186)/('Res-Rec Equations'!$B$187*'Res-Rec Equations'!$B$188*(1/'Chemical Info'!P38))))</f>
        <v>NA</v>
      </c>
      <c r="W37" s="379" t="str">
        <f t="shared" ref="W37:W38" si="28">IF(V37="NA","NA",IF(V37&gt;100000,100000,IF(ISNUMBER(ROUND(V37*1000000,2-LEN(INT(V37*1000000)))/1000000),ROUND(V37*1000000,2-LEN(INT(V37*1000000)))/1000000,"NA")))</f>
        <v>NA</v>
      </c>
      <c r="X37" s="372">
        <f t="shared" ref="X37" si="29">IF(AND(N37="NA",U37="NA",G37="NA"),"NA",MIN(N37,U37,G37))</f>
        <v>4.6959623835372044</v>
      </c>
      <c r="Y37" s="62">
        <f t="shared" ref="Y37" si="30">IF(X37&gt;100000,100000,IF(ISNUMBER(ROUND(X37*1000000,2-LEN(INT(X37*1000000)))/1000000),ROUND(X37*1000000,2-LEN(INT(X37*1000000)))/1000000,"NA"))</f>
        <v>4.7</v>
      </c>
      <c r="Z37" s="100" t="str">
        <f t="shared" ref="Z37" si="31">IF(Y37=100000,"Max Limit",IF(X37=G37,"Csat",IF(X37=N37,"Cancer",IF(X37=V37,"Acute",IF(X37=U37,"Noncancer","")))))</f>
        <v>Noncancer</v>
      </c>
      <c r="AA37" s="373"/>
    </row>
    <row r="38" spans="1:28" s="420" customFormat="1">
      <c r="A38" s="413" t="s">
        <v>226</v>
      </c>
      <c r="B38" s="566" t="s">
        <v>227</v>
      </c>
      <c r="C38" s="367">
        <f>1/(('Res-Rec Equations'!$B$152*3600)/((0.036*(1-'Res-Rec Equations'!$B$153))*('Res-Rec Equations'!$B$154/'Res-Rec Equations'!$B$155)^3*'Res-Rec Equations'!$B$156))</f>
        <v>7.3567680901159717E-10</v>
      </c>
      <c r="D38" s="368">
        <f>(('Res-Rec Equations'!$B$132^(10/3)*'Chemical Info'!$AH39*'Chemical Info'!$AN39*41+'Res-Rec Equations'!$B$135^(10/3)*'Chemical Info'!$AJ39)/'Res-Rec Equations'!$B$137^2)/('Res-Rec Equations'!$B$139*'Chemical Info'!$AL39*'Res-Rec Equations'!$B$142+'Res-Rec Equations'!$B$135+'Res-Rec Equations'!$B$132*'Chemical Info'!$AN39*41)</f>
        <v>1.0182936376944313E-3</v>
      </c>
      <c r="E38" s="368">
        <f>IF(D38=0,"NA",1/(('Res-Rec Equations'!$B$103*(3.14*'Res-Rec Calculations'!$D38*'Res-Rec Equations'!$B$105)^(1/2)*0.0001)/(2*'Res-Rec Equations'!$B$106*'Res-Rec Calculations'!$D38)))</f>
        <v>1.8731178348136527E-4</v>
      </c>
      <c r="F38" s="368">
        <f>IF(D38=0,"NA",(1/('Res-Rec Equations'!$B$117*('Res-Rec Equations'!$B$118*(31500000))/('Res-Rec Equations'!$B$119*'Res-Rec Equations'!$B$120*1000000))))</f>
        <v>6.1914410640015851E-5</v>
      </c>
      <c r="G38" s="167">
        <f>IF('Chemical Info'!E39="Yes",('Chemical Info'!AP39/'Res-Rec Equations'!$B$168)*((('Chemical Info'!AL39*'Res-Rec Equations'!$B$170)*'Res-Rec Equations'!$B$168)+'Res-Rec Equations'!$B$171+('Chemical Info'!AN39*41)*'Res-Rec Equations'!$B$173),"NA")</f>
        <v>1820.9240400000001</v>
      </c>
      <c r="H38" s="112">
        <f>IF('Chemical Info'!H39="NA","NA",IF(AND('Chemical Info'!E39="Yes",'Chemical Info'!D39="Yes"),'Chemical Info'!H39*'Chemical Info'!AD39*'Res-Rec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Info'!E39="Yes",'Chemical Info'!D39=""),'Chemical Info'!H39*'Chemical Info'!AD39*'Res-Rec Equations'!$B$20*'Res-Rec Equations'!$B$23*((('Res-Rec Equations'!$B$26*'Res-Rec Equations'!$B$29)/'Res-Rec Equations'!$B$32)+(('Res-Rec Equations'!$B$27*'Res-Rec Equations'!$B$30)/'Res-Rec Equations'!$B$33)+(('Res-Rec Equations'!$B$28*'Res-Rec Equations'!$B$31)/'Res-Rec Equations'!$B$34)),IF(AND('Chemical Info'!E39="No",'Chemical Info'!D39="Yes"),'Chemical Info'!H39*'Chemical Info'!AD39*'Res-Rec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Info'!E39="No",'Chemical Info'!D39=""),'Chemical Info'!H39*'Chemical Info'!AD39*'Res-Rec Equations'!$B$19*'Res-Rec Equations'!$B$23*((('Res-Rec Equations'!$B$26*'Res-Rec Equations'!$B$29)/'Res-Rec Equations'!$B$32)+(('Res-Rec Equations'!$B$27*'Res-Rec Equations'!$B$30)/'Res-Rec Equations'!$B$33)+(('Res-Rec Equations'!$B$28*'Res-Rec Equations'!$B$31)/'Res-Rec Equations'!$B$34)))))))</f>
        <v>8.8025426742532002E-3</v>
      </c>
      <c r="I38" s="166">
        <f>IF('Chemical Info'!H39="NA","NA",IF('Chemical Info'!E39="Yes",0,IF('Chemical Info'!D39="Yes",'Chemical Info'!H39/'Chemical Info'!AF39*('Res-Rec Equations'!$B$21*'Chemical Info'!AB39*'Res-Rec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Info'!H39/'Chemical Info'!AF39*('Res-Rec Equations'!$B$21*'Chemical Info'!AB39*'Res-Rec Equations'!$B$23)*((('Res-Rec Equations'!$B$26*'Res-Rec Equations'!$B$37*'Res-Rec Equations'!$B$40)/'Res-Rec Equations'!$B$32)+(('Res-Rec Equations'!$B$27*'Res-Rec Equations'!$B$38*'Res-Rec Equations'!$B$41)/'Res-Rec Equations'!$B$33)+(('Res-Rec Equations'!$B$28*'Res-Rec Equations'!$B$39*'Res-Rec Equations'!$B$42)/'Res-Rec Equations'!$B$34)))))</f>
        <v>0</v>
      </c>
      <c r="J38" s="369">
        <f>IF('Chemical Info'!J39="NA","NA",IF(AND(E38="NA",'Chemical Info'!D39="Yes"),'Res-Rec Equations'!$B$22*1000*(('Res-Rec Equations'!$B$26*'Chemical Info'!J39*'Res-Rec Equations'!$B$59)+('Res-Rec Equations'!$B$27*'Chemical Info'!J39*'Res-Rec Equations'!$B$60)+('Res-Rec Equations'!$B$28*'Chemical Info'!J39*'Res-Rec Equations'!$B$61))*'Res-Rec Calculations'!C38,IF(AND(E38="NA",'Chemical Info'!D39=""),'Res-Rec Equations'!$B$22*1000*'Res-Rec Equations'!$B$25*'Chemical Info'!J39*'Res-Rec Calculations'!C38,IF(AND('Chemical Info'!E39="Yes",'Chemical Info'!D39="Yes"),'Res-Rec Equations'!$B$22*1000*(('Res-Rec Equations'!$B$26*'Chemical Info'!J39*'Res-Rec Equations'!$B$59)+('Res-Rec Equations'!$B$27*'Chemical Info'!J39*'Res-Rec Equations'!$B$60)+('Res-Rec Equations'!$B$28*'Chemical Info'!J39*'Res-Rec Equations'!$B$61))*'Res-Rec Calculations'!E38,IF(AND('Chemical Info'!E39="Yes",'Chemical Info'!D39=""),'Res-Rec Equations'!$B$22*1000*'Res-Rec Equations'!$B$25*'Chemical Info'!J39*'Res-Rec Calculations'!E38,IF('Chemical Info'!D39="Yes",'Res-Rec Equations'!$B$22*1000*(('Res-Rec Equations'!$B$26*'Chemical Info'!J39*'Res-Rec Equations'!$B$59)+('Res-Rec Equations'!$B$27*'Chemical Info'!J39*'Res-Rec Equations'!$B$60)+('Res-Rec Equations'!$B$28*'Chemical Info'!J39*'Res-Rec Equations'!$B$61))*('Res-Rec Calculations'!C38+'Res-Rec Calculations'!E38),IF('Chemical Info'!D39="",'Res-Rec Equations'!$B$22*1000*'Res-Rec Equations'!$B$25*'Chemical Info'!J39*('Res-Rec Calculations'!C38+'Res-Rec Calculations'!E38))))))))</f>
        <v>2.6298574400783686E-2</v>
      </c>
      <c r="K38" s="370">
        <f>IF('Chemical Info'!J39="NA","NA",IF(AND(F38="NA",'Chemical Info'!D39="Yes"),'Res-Rec Equations'!$B$22*1000*(('Res-Rec Equations'!$B$26*'Chemical Info'!J39*'Res-Rec Equations'!$B$59)+('Res-Rec Equations'!$B$27*'Chemical Info'!J39*'Res-Rec Equations'!$B$60)+('Res-Rec Equations'!$B$28*'Chemical Info'!J39*'Res-Rec Equations'!$B$61))*'Res-Rec Calculations'!C38,IF(AND(F38="NA",'Chemical Info'!D39=""),'Res-Rec Equations'!$B$22*1000*'Res-Rec Equations'!$B$25*'Chemical Info'!J39*'Res-Rec Calculations'!C38,IF(AND('Chemical Info'!F39="Yes",'Chemical Info'!D39="Yes"),'Res-Rec Equations'!$B$22*1000*(('Res-Rec Equations'!$B$26*'Chemical Info'!J39*'Res-Rec Equations'!$B$59)+('Res-Rec Equations'!$B$27*'Chemical Info'!J39*'Res-Rec Equations'!$B$60)+('Res-Rec Equations'!$B$28*'Chemical Info'!J39*'Res-Rec Equations'!$B$61))*'Res-Rec Calculations'!F38,IF(AND('Chemical Info'!F39="Yes",'Chemical Info'!D39=""),'Res-Rec Equations'!$B$22*1000*'Res-Rec Equations'!$B$25*'Chemical Info'!J39*'Res-Rec Calculations'!F38,IF('Chemical Info'!D39="Yes",'Res-Rec Equations'!$B$22*1000*(('Res-Rec Equations'!$B$26*'Chemical Info'!J39*'Res-Rec Equations'!$B$59)+('Res-Rec Equations'!$B$27*'Chemical Info'!J39*'Res-Rec Equations'!$B$60)+('Res-Rec Equations'!$B$28*'Chemical Info'!J39*'Res-Rec Equations'!$B$61))*('Res-Rec Calculations'!C38+'Res-Rec Calculations'!F38),IF('Chemical Info'!D39="",'Res-Rec Equations'!$B$22*1000*'Res-Rec Equations'!$B$25*'Chemical Info'!J39*('Res-Rec Calculations'!C38+'Res-Rec Calculations'!F38))))))))</f>
        <v>8.69288654288221E-3</v>
      </c>
      <c r="L38" s="167">
        <f>IF(AND(H38="NA",I38="NA",J38="NA"),"NA",IF(H38="NA",'Res-Rec Equations'!$B$15*'Res-Rec Equations'!$B$16/J38,IF(J38="NA",'Res-Rec Equations'!$B$15*'Res-Rec Equations'!$B$16/(H38+I38),'Res-Rec Equations'!$B$15*'Res-Rec Equations'!$B$16/(H38+I38+J38))))</f>
        <v>7.278970622325458</v>
      </c>
      <c r="M38" s="167">
        <f>IF(AND(H38="NA",I38="NA",K38="NA"),"NA",IF(H38="NA",'Res-Rec Equations'!$B$15*'Res-Rec Equations'!$B$16/K38,IF(K38="NA",'Res-Rec Equations'!$B$15*'Res-Rec Equations'!$B$16/(H38+I38),'Res-Rec Equations'!$B$15*'Res-Rec Equations'!$B$16/(H38+I38+K38))))</f>
        <v>14.603814335104031</v>
      </c>
      <c r="N38" s="167">
        <f t="shared" si="14"/>
        <v>14.603814335104031</v>
      </c>
      <c r="O38" s="371">
        <f>IF('Chemical Info'!L39="NA","NA",IF('Chemical Info'!E39="Yes",(('Res-Rec Equations'!$B$76*'Chemical Info'!AD39*'Res-Rec Equations'!$B$78*'Res-Rec Equations'!$B$79*'Res-Rec Equations'!$B$81)/('Res-Rec Equations'!$B$84*'Res-Rec Equations'!$B$85))/'Chemical Info'!L39,(('Res-Rec Equations'!$B$76*'Chemical Info'!AD39*'Res-Rec Equations'!$B$78*'Res-Rec Equations'!$B$79*'Res-Rec Equations'!$B$80)/('Res-Rec Equations'!$B$84*'Res-Rec Equations'!$B$85))/'Chemical Info'!L39))</f>
        <v>7.0249385317878478E-3</v>
      </c>
      <c r="P38" s="166">
        <f>IF('Chemical Info'!L39="NA","NA", IF('Chemical Info'!E39="Yes",0,((('Res-Rec Equations'!$B$87*'Res-Rec Equations'!$B$88*'Res-Rec Equations'!$B$78*'Res-Rec Equations'!$B$82*'Res-Rec Equations'!$B$79*'Chemical Info'!AB39)/('Res-Rec Equations'!$B$84*'Res-Rec Equations'!$B$85))/('Chemical Info'!L39*'Chemical Info'!AF39))))</f>
        <v>0</v>
      </c>
      <c r="Q38" s="166">
        <f>IF('Chemical Info'!N39="NA","NA",IF('Res-Rec Calculations'!E38="NA",(('Res-Rec Equations'!$B$83*'Res-Rec Equations'!$B$79*'Res-Rec Calculations'!C38)/('Res-Rec Equations'!$B$85))/('Chemical Info'!N39),IF('Chemical Info'!E39="Yes",(('Res-Rec Equations'!$B$83*'Res-Rec Equations'!$B$79*'Res-Rec Calculations'!E38)/('Res-Rec Equations'!$B$85))/('Chemical Info'!N39),(('Res-Rec Equations'!$B$83*'Res-Rec Equations'!$B$79*('Res-Rec Calculations'!C38+'Res-Rec Calculations'!E38))/('Res-Rec Equations'!$B$85))/('Chemical Info'!N39))))</f>
        <v>4.2765247370174717E-2</v>
      </c>
      <c r="R38" s="166">
        <f>IF('Chemical Info'!N39="NA","NA",IF('Res-Rec Calculations'!F38="NA",(('Res-Rec Equations'!$B$83*'Res-Rec Equations'!$B$79*'Res-Rec Calculations'!C38)/('Res-Rec Equations'!$B$85))/('Chemical Info'!N39),IF('Chemical Info'!E39="Yes",(('Res-Rec Equations'!$B$83*'Res-Rec Equations'!$B$79*'Res-Rec Calculations'!F38)/('Res-Rec Equations'!$B$85))/('Chemical Info'!N39),(('Res-Rec Equations'!$B$83*'Res-Rec Equations'!$B$79*('Res-Rec Calculations'!C38+'Res-Rec Calculations'!F38))/('Res-Rec Equations'!$B$85))/('Chemical Info'!N39))))</f>
        <v>1.413571019178444E-2</v>
      </c>
      <c r="S38" s="167">
        <f>IF(AND(O38="NA",P38="NA",Q38="NA"),"NA",IF(O38="NA",'Res-Rec Equations'!$B$75/Q38,IF(Q38="NA",'Res-Rec Equations'!$B$75/(O38+P38),'Res-Rec Equations'!$B$75/(O38+P38+Q38))))</f>
        <v>4.0168558597833375</v>
      </c>
      <c r="T38" s="167">
        <f>IF(AND(O38="NA",P38="NA",R38="NA"),"NA",IF(O38="NA",'Res-Rec Equations'!$B$75/R38,IF(R38="NA",'Res-Rec Equations'!$B$75/(O38+P38),'Res-Rec Equations'!$B$75/(O38+P38+R38))))</f>
        <v>9.4515060768059715</v>
      </c>
      <c r="U38" s="168">
        <f t="shared" si="27"/>
        <v>9.4515060768059715</v>
      </c>
      <c r="V38" s="167" t="str">
        <f>IF('Chemical Info'!P39="NA","NA",(('Res-Rec Equations'!$B$185*'Res-Rec Equations'!$B$186)/('Res-Rec Equations'!$B$187*'Res-Rec Equations'!$B$188*(1/'Chemical Info'!P39))))</f>
        <v>NA</v>
      </c>
      <c r="W38" s="379" t="str">
        <f t="shared" si="28"/>
        <v>NA</v>
      </c>
      <c r="X38" s="372">
        <f t="shared" si="17"/>
        <v>9.4515060768059715</v>
      </c>
      <c r="Y38" s="62">
        <f t="shared" si="18"/>
        <v>9.5</v>
      </c>
      <c r="Z38" s="100" t="str">
        <f t="shared" si="19"/>
        <v>Noncancer</v>
      </c>
      <c r="AA38" s="373"/>
    </row>
    <row r="39" spans="1:28" s="420" customFormat="1">
      <c r="A39" s="413" t="s">
        <v>1112</v>
      </c>
      <c r="B39" s="566" t="s">
        <v>1113</v>
      </c>
      <c r="C39" s="367">
        <f>1/(('Res-Rec Equations'!$B$152*3600)/((0.036*(1-'Res-Rec Equations'!$B$153))*('Res-Rec Equations'!$B$154/'Res-Rec Equations'!$B$155)^3*'Res-Rec Equations'!$B$156))</f>
        <v>7.3567680901159717E-10</v>
      </c>
      <c r="D39" s="368">
        <f>(('Res-Rec Equations'!$B$132^(10/3)*'Chemical Info'!$AH40*'Chemical Info'!$AN40*41+'Res-Rec Equations'!$B$135^(10/3)*'Chemical Info'!$AJ40)/'Res-Rec Equations'!$B$137^2)/('Res-Rec Equations'!$B$139*'Chemical Info'!$AL40*'Res-Rec Equations'!$B$142+'Res-Rec Equations'!$B$135+'Res-Rec Equations'!$B$132*'Chemical Info'!$AN40*41)</f>
        <v>1.8169845577580102E-4</v>
      </c>
      <c r="E39" s="368">
        <f>IF(D39=0,"NA",1/(('Res-Rec Equations'!$B$103*(3.14*'Res-Rec Calculations'!$D39*'Res-Rec Equations'!$B$105)^(1/2)*0.0001)/(2*'Res-Rec Equations'!$B$106*'Res-Rec Calculations'!$D39)))</f>
        <v>7.9123265366105007E-5</v>
      </c>
      <c r="F39" s="368">
        <f>IF(D39=0,"NA",(1/('Res-Rec Equations'!$B$117*('Res-Rec Equations'!$B$118*(31500000))/('Res-Rec Equations'!$B$119*'Res-Rec Equations'!$B$120*1000000))))</f>
        <v>6.1914410640015851E-5</v>
      </c>
      <c r="G39" s="167">
        <f>IF('Chemical Info'!E40="Yes",('Chemical Info'!AP40/'Res-Rec Equations'!$B$168)*((('Chemical Info'!AL40*'Res-Rec Equations'!$B$170)*'Res-Rec Equations'!$B$168)+'Res-Rec Equations'!$B$171+('Chemical Info'!AN40*41)*'Res-Rec Equations'!$B$173),"NA")</f>
        <v>678.94746506666661</v>
      </c>
      <c r="H39" s="112" t="str">
        <f>IF('Chemical Info'!H40="NA","NA",IF(AND('Chemical Info'!E40="Yes",'Chemical Info'!D40="Yes"),'Chemical Info'!H40*'Chemical Info'!AD40*'Res-Rec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Info'!E40="Yes",'Chemical Info'!D40=""),'Chemical Info'!H40*'Chemical Info'!AD40*'Res-Rec Equations'!$B$20*'Res-Rec Equations'!$B$23*((('Res-Rec Equations'!$B$26*'Res-Rec Equations'!$B$29)/'Res-Rec Equations'!$B$32)+(('Res-Rec Equations'!$B$27*'Res-Rec Equations'!$B$30)/'Res-Rec Equations'!$B$33)+(('Res-Rec Equations'!$B$28*'Res-Rec Equations'!$B$31)/'Res-Rec Equations'!$B$34)),IF(AND('Chemical Info'!E40="No",'Chemical Info'!D40="Yes"),'Chemical Info'!H40*'Chemical Info'!AD40*'Res-Rec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Info'!E40="No",'Chemical Info'!D40=""),'Chemical Info'!H40*'Chemical Info'!AD40*'Res-Rec Equations'!$B$19*'Res-Rec Equations'!$B$23*((('Res-Rec Equations'!$B$26*'Res-Rec Equations'!$B$29)/'Res-Rec Equations'!$B$32)+(('Res-Rec Equations'!$B$27*'Res-Rec Equations'!$B$30)/'Res-Rec Equations'!$B$33)+(('Res-Rec Equations'!$B$28*'Res-Rec Equations'!$B$31)/'Res-Rec Equations'!$B$34)))))))</f>
        <v>NA</v>
      </c>
      <c r="I39" s="166" t="str">
        <f>IF('Chemical Info'!H40="NA","NA",IF('Chemical Info'!E40="Yes",0,IF('Chemical Info'!D40="Yes",'Chemical Info'!H40/'Chemical Info'!AF40*('Res-Rec Equations'!$B$21*'Chemical Info'!AB40*'Res-Rec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Info'!H40/'Chemical Info'!AF40*('Res-Rec Equations'!$B$21*'Chemical Info'!AB40*'Res-Rec Equations'!$B$23)*((('Res-Rec Equations'!$B$26*'Res-Rec Equations'!$B$37*'Res-Rec Equations'!$B$40)/'Res-Rec Equations'!$B$32)+(('Res-Rec Equations'!$B$27*'Res-Rec Equations'!$B$38*'Res-Rec Equations'!$B$41)/'Res-Rec Equations'!$B$33)+(('Res-Rec Equations'!$B$28*'Res-Rec Equations'!$B$39*'Res-Rec Equations'!$B$42)/'Res-Rec Equations'!$B$34)))))</f>
        <v>NA</v>
      </c>
      <c r="J39" s="369" t="str">
        <f>IF('Chemical Info'!J40="NA","NA",IF(AND(E39="NA",'Chemical Info'!D40="Yes"),'Res-Rec Equations'!$B$22*1000*(('Res-Rec Equations'!$B$26*'Chemical Info'!J40*'Res-Rec Equations'!$B$59)+('Res-Rec Equations'!$B$27*'Chemical Info'!J40*'Res-Rec Equations'!$B$60)+('Res-Rec Equations'!$B$28*'Chemical Info'!J40*'Res-Rec Equations'!$B$61))*'Res-Rec Calculations'!C39,IF(AND(E39="NA",'Chemical Info'!D40=""),'Res-Rec Equations'!$B$22*1000*'Res-Rec Equations'!$B$25*'Chemical Info'!J40*'Res-Rec Calculations'!C39,IF(AND('Chemical Info'!E40="Yes",'Chemical Info'!D40="Yes"),'Res-Rec Equations'!$B$22*1000*(('Res-Rec Equations'!$B$26*'Chemical Info'!J40*'Res-Rec Equations'!$B$59)+('Res-Rec Equations'!$B$27*'Chemical Info'!J40*'Res-Rec Equations'!$B$60)+('Res-Rec Equations'!$B$28*'Chemical Info'!J40*'Res-Rec Equations'!$B$61))*'Res-Rec Calculations'!E39,IF(AND('Chemical Info'!E40="Yes",'Chemical Info'!D40=""),'Res-Rec Equations'!$B$22*1000*'Res-Rec Equations'!$B$25*'Chemical Info'!J40*'Res-Rec Calculations'!E39,IF('Chemical Info'!D40="Yes",'Res-Rec Equations'!$B$22*1000*(('Res-Rec Equations'!$B$26*'Chemical Info'!J40*'Res-Rec Equations'!$B$59)+('Res-Rec Equations'!$B$27*'Chemical Info'!J40*'Res-Rec Equations'!$B$60)+('Res-Rec Equations'!$B$28*'Chemical Info'!J40*'Res-Rec Equations'!$B$61))*('Res-Rec Calculations'!C39+'Res-Rec Calculations'!E39),IF('Chemical Info'!D40="",'Res-Rec Equations'!$B$22*1000*'Res-Rec Equations'!$B$25*'Chemical Info'!J40*('Res-Rec Calculations'!C39+'Res-Rec Calculations'!E39))))))))</f>
        <v>NA</v>
      </c>
      <c r="K39" s="370" t="str">
        <f>IF('Chemical Info'!J40="NA","NA",IF(AND(F39="NA",'Chemical Info'!D40="Yes"),'Res-Rec Equations'!$B$22*1000*(('Res-Rec Equations'!$B$26*'Chemical Info'!J40*'Res-Rec Equations'!$B$59)+('Res-Rec Equations'!$B$27*'Chemical Info'!J40*'Res-Rec Equations'!$B$60)+('Res-Rec Equations'!$B$28*'Chemical Info'!J40*'Res-Rec Equations'!$B$61))*'Res-Rec Calculations'!C39,IF(AND(F39="NA",'Chemical Info'!D40=""),'Res-Rec Equations'!$B$22*1000*'Res-Rec Equations'!$B$25*'Chemical Info'!J40*'Res-Rec Calculations'!C39,IF(AND('Chemical Info'!F40="Yes",'Chemical Info'!D40="Yes"),'Res-Rec Equations'!$B$22*1000*(('Res-Rec Equations'!$B$26*'Chemical Info'!J40*'Res-Rec Equations'!$B$59)+('Res-Rec Equations'!$B$27*'Chemical Info'!J40*'Res-Rec Equations'!$B$60)+('Res-Rec Equations'!$B$28*'Chemical Info'!J40*'Res-Rec Equations'!$B$61))*'Res-Rec Calculations'!F39,IF(AND('Chemical Info'!F40="Yes",'Chemical Info'!D40=""),'Res-Rec Equations'!$B$22*1000*'Res-Rec Equations'!$B$25*'Chemical Info'!J40*'Res-Rec Calculations'!F39,IF('Chemical Info'!D40="Yes",'Res-Rec Equations'!$B$22*1000*(('Res-Rec Equations'!$B$26*'Chemical Info'!J40*'Res-Rec Equations'!$B$59)+('Res-Rec Equations'!$B$27*'Chemical Info'!J40*'Res-Rec Equations'!$B$60)+('Res-Rec Equations'!$B$28*'Chemical Info'!J40*'Res-Rec Equations'!$B$61))*('Res-Rec Calculations'!C39+'Res-Rec Calculations'!F39),IF('Chemical Info'!D40="",'Res-Rec Equations'!$B$22*1000*'Res-Rec Equations'!$B$25*'Chemical Info'!J40*('Res-Rec Calculations'!C39+'Res-Rec Calculations'!F39))))))))</f>
        <v>NA</v>
      </c>
      <c r="L39" s="167" t="str">
        <f>IF(AND(H39="NA",I39="NA",J39="NA"),"NA",IF(H39="NA",'Res-Rec Equations'!$B$15*'Res-Rec Equations'!$B$16/J39,IF(J39="NA",'Res-Rec Equations'!$B$15*'Res-Rec Equations'!$B$16/(H39+I39),'Res-Rec Equations'!$B$15*'Res-Rec Equations'!$B$16/(H39+I39+J39))))</f>
        <v>NA</v>
      </c>
      <c r="M39" s="167" t="str">
        <f>IF(AND(H39="NA",I39="NA",K39="NA"),"NA",IF(H39="NA",'Res-Rec Equations'!$B$15*'Res-Rec Equations'!$B$16/K39,IF(K39="NA",'Res-Rec Equations'!$B$15*'Res-Rec Equations'!$B$16/(H39+I39),'Res-Rec Equations'!$B$15*'Res-Rec Equations'!$B$16/(H39+I39+K39))))</f>
        <v>NA</v>
      </c>
      <c r="N39" s="167" t="str">
        <f t="shared" ref="N39" si="32">IF(AND(L39="NA",M39="NA"),"NA",MAX(L39,M39))</f>
        <v>NA</v>
      </c>
      <c r="O39" s="371">
        <f>IF('Chemical Info'!L40="NA","NA",IF('Chemical Info'!E40="Yes",(('Res-Rec Equations'!$B$76*'Chemical Info'!AD40*'Res-Rec Equations'!$B$78*'Res-Rec Equations'!$B$79*'Res-Rec Equations'!$B$81)/('Res-Rec Equations'!$B$84*'Res-Rec Equations'!$B$85))/'Chemical Info'!L40,(('Res-Rec Equations'!$B$76*'Chemical Info'!AD40*'Res-Rec Equations'!$B$78*'Res-Rec Equations'!$B$79*'Res-Rec Equations'!$B$80)/('Res-Rec Equations'!$B$84*'Res-Rec Equations'!$B$85))/'Chemical Info'!L40))</f>
        <v>1.1415525114155251E-3</v>
      </c>
      <c r="P39" s="166">
        <f>IF('Chemical Info'!L40="NA","NA", IF('Chemical Info'!E40="Yes",0,((('Res-Rec Equations'!$B$87*'Res-Rec Equations'!$B$88*'Res-Rec Equations'!$B$78*'Res-Rec Equations'!$B$82*'Res-Rec Equations'!$B$79*'Chemical Info'!AB40)/('Res-Rec Equations'!$B$84*'Res-Rec Equations'!$B$85))/('Chemical Info'!L40*'Chemical Info'!AF40))))</f>
        <v>0</v>
      </c>
      <c r="Q39" s="166">
        <f>IF('Chemical Info'!N40="NA","NA",IF('Res-Rec Calculations'!E39="NA",(('Res-Rec Equations'!$B$83*'Res-Rec Equations'!$B$79*'Res-Rec Calculations'!C39)/('Res-Rec Equations'!$B$85))/('Chemical Info'!N40),IF('Chemical Info'!E40="Yes",(('Res-Rec Equations'!$B$83*'Res-Rec Equations'!$B$79*'Res-Rec Calculations'!E39)/('Res-Rec Equations'!$B$85))/('Chemical Info'!N40),(('Res-Rec Equations'!$B$83*'Res-Rec Equations'!$B$79*('Res-Rec Calculations'!C39+'Res-Rec Calculations'!E39))/('Res-Rec Equations'!$B$85))/('Chemical Info'!N40))))</f>
        <v>9.0323362290074208E-4</v>
      </c>
      <c r="R39" s="166">
        <f>IF('Chemical Info'!N40="NA","NA",IF('Res-Rec Calculations'!F39="NA",(('Res-Rec Equations'!$B$83*'Res-Rec Equations'!$B$79*'Res-Rec Calculations'!C39)/('Res-Rec Equations'!$B$85))/('Chemical Info'!N40),IF('Chemical Info'!E40="Yes",(('Res-Rec Equations'!$B$83*'Res-Rec Equations'!$B$79*'Res-Rec Calculations'!F39)/('Res-Rec Equations'!$B$85))/('Chemical Info'!N40),(('Res-Rec Equations'!$B$83*'Res-Rec Equations'!$B$79*('Res-Rec Calculations'!C39+'Res-Rec Calculations'!F39))/('Res-Rec Equations'!$B$85))/('Chemical Info'!N40))))</f>
        <v>7.0678550958922209E-4</v>
      </c>
      <c r="S39" s="167">
        <f>IF(AND(O39="NA",P39="NA",Q39="NA"),"NA",IF(O39="NA",'Res-Rec Equations'!$B$75/Q39,IF(Q39="NA",'Res-Rec Equations'!$B$75/(O39+P39),'Res-Rec Equations'!$B$75/(O39+P39+Q39))))</f>
        <v>97.809739925136839</v>
      </c>
      <c r="T39" s="167">
        <f>IF(AND(O39="NA",P39="NA",R39="NA"),"NA",IF(O39="NA",'Res-Rec Equations'!$B$75/R39,IF(R39="NA",'Res-Rec Equations'!$B$75/(O39+P39),'Res-Rec Equations'!$B$75/(O39+P39+R39))))</f>
        <v>108.20531619605002</v>
      </c>
      <c r="U39" s="168">
        <f t="shared" ref="U39" si="33">IF(AND(S39="NA",T39="NA"),"NA",MAX(S39,T39))</f>
        <v>108.20531619605002</v>
      </c>
      <c r="V39" s="167" t="str">
        <f>IF('Chemical Info'!P40="NA","NA",(('Res-Rec Equations'!$B$185*'Res-Rec Equations'!$B$186)/('Res-Rec Equations'!$B$187*'Res-Rec Equations'!$B$188*(1/'Chemical Info'!P40))))</f>
        <v>NA</v>
      </c>
      <c r="W39" s="379" t="str">
        <f t="shared" ref="W39" si="34">IF(V39="NA","NA",IF(V39&gt;100000,100000,IF(ISNUMBER(ROUND(V39*1000000,2-LEN(INT(V39*1000000)))/1000000),ROUND(V39*1000000,2-LEN(INT(V39*1000000)))/1000000,"NA")))</f>
        <v>NA</v>
      </c>
      <c r="X39" s="372">
        <f t="shared" ref="X39" si="35">IF(AND(N39="NA",U39="NA",G39="NA"),"NA",MIN(N39,U39,G39))</f>
        <v>108.20531619605002</v>
      </c>
      <c r="Y39" s="62">
        <f t="shared" ref="Y39" si="36">IF(X39&gt;100000,100000,IF(ISNUMBER(ROUND(X39*1000000,2-LEN(INT(X39*1000000)))/1000000),ROUND(X39*1000000,2-LEN(INT(X39*1000000)))/1000000,"NA"))</f>
        <v>110</v>
      </c>
      <c r="Z39" s="100" t="str">
        <f t="shared" ref="Z39" si="37">IF(Y39=100000,"Max Limit",IF(X39=G39,"Csat",IF(X39=N39,"Cancer",IF(X39=V39,"Acute",IF(X39=U39,"Noncancer","")))))</f>
        <v>Noncancer</v>
      </c>
      <c r="AA39" s="373"/>
    </row>
    <row r="40" spans="1:28">
      <c r="A40" s="413" t="s">
        <v>228</v>
      </c>
      <c r="B40" s="566" t="s">
        <v>229</v>
      </c>
      <c r="C40" s="367">
        <f>1/(('Res-Rec Equations'!$B$152*3600)/((0.036*(1-'Res-Rec Equations'!$B$153))*('Res-Rec Equations'!$B$154/'Res-Rec Equations'!$B$155)^3*'Res-Rec Equations'!$B$156))</f>
        <v>7.3567680901159717E-10</v>
      </c>
      <c r="D40" s="368">
        <f>(('Res-Rec Equations'!$B$132^(10/3)*'Chemical Info'!$AH41*'Chemical Info'!$AN41*41+'Res-Rec Equations'!$B$135^(10/3)*'Chemical Info'!$AJ41)/'Res-Rec Equations'!$B$137^2)/('Res-Rec Equations'!$B$139*'Chemical Info'!$AL41*'Res-Rec Equations'!$B$142+'Res-Rec Equations'!$B$135+'Res-Rec Equations'!$B$132*'Chemical Info'!$AN41*41)</f>
        <v>8.0968327320735741E-4</v>
      </c>
      <c r="E40" s="368">
        <f>IF(D40=0,"NA",1/(('Res-Rec Equations'!$B$103*(3.14*'Res-Rec Calculations'!$D40*'Res-Rec Equations'!$B$105)^(1/2)*0.0001)/(2*'Res-Rec Equations'!$B$106*'Res-Rec Calculations'!$D40)))</f>
        <v>1.6702680265009293E-4</v>
      </c>
      <c r="F40" s="368">
        <f>IF(D40=0,"NA",(1/('Res-Rec Equations'!$B$117*('Res-Rec Equations'!$B$118*(31500000))/('Res-Rec Equations'!$B$119*'Res-Rec Equations'!$B$120*1000000))))</f>
        <v>6.1914410640015851E-5</v>
      </c>
      <c r="G40" s="167">
        <f>IF('Chemical Info'!E41="Yes",('Chemical Info'!AP41/'Res-Rec Equations'!$B$168)*((('Chemical Info'!AL41*'Res-Rec Equations'!$B$170)*'Res-Rec Equations'!$B$168)+'Res-Rec Equations'!$B$171+('Chemical Info'!AN41*41)*'Res-Rec Equations'!$B$173),"NA")</f>
        <v>930.64955199999997</v>
      </c>
      <c r="H40" s="112">
        <f>IF('Chemical Info'!H41="NA","NA",IF(AND('Chemical Info'!E41="Yes",'Chemical Info'!D41="Yes"),'Chemical Info'!H41*'Chemical Info'!AD41*'Res-Rec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Info'!E41="Yes",'Chemical Info'!D41=""),'Chemical Info'!H41*'Chemical Info'!AD41*'Res-Rec Equations'!$B$20*'Res-Rec Equations'!$B$23*((('Res-Rec Equations'!$B$26*'Res-Rec Equations'!$B$29)/'Res-Rec Equations'!$B$32)+(('Res-Rec Equations'!$B$27*'Res-Rec Equations'!$B$30)/'Res-Rec Equations'!$B$33)+(('Res-Rec Equations'!$B$28*'Res-Rec Equations'!$B$31)/'Res-Rec Equations'!$B$34)),IF(AND('Chemical Info'!E41="No",'Chemical Info'!D41="Yes"),'Chemical Info'!H41*'Chemical Info'!AD41*'Res-Rec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Info'!E41="No",'Chemical Info'!D41=""),'Chemical Info'!H41*'Chemical Info'!AD41*'Res-Rec Equations'!$B$19*'Res-Rec Equations'!$B$23*((('Res-Rec Equations'!$B$26*'Res-Rec Equations'!$B$29)/'Res-Rec Equations'!$B$32)+(('Res-Rec Equations'!$B$27*'Res-Rec Equations'!$B$30)/'Res-Rec Equations'!$B$33)+(('Res-Rec Equations'!$B$28*'Res-Rec Equations'!$B$31)/'Res-Rec Equations'!$B$34)))))))</f>
        <v>1.1272937411095304E-3</v>
      </c>
      <c r="I40" s="166">
        <f>IF('Chemical Info'!H41="NA","NA",IF('Chemical Info'!E41="Yes",0,IF('Chemical Info'!D41="Yes",'Chemical Info'!H41/'Chemical Info'!AF41*('Res-Rec Equations'!$B$21*'Chemical Info'!AB41*'Res-Rec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Info'!H41/'Chemical Info'!AF41*('Res-Rec Equations'!$B$21*'Chemical Info'!AB41*'Res-Rec Equations'!$B$23)*((('Res-Rec Equations'!$B$26*'Res-Rec Equations'!$B$37*'Res-Rec Equations'!$B$40)/'Res-Rec Equations'!$B$32)+(('Res-Rec Equations'!$B$27*'Res-Rec Equations'!$B$38*'Res-Rec Equations'!$B$41)/'Res-Rec Equations'!$B$33)+(('Res-Rec Equations'!$B$28*'Res-Rec Equations'!$B$39*'Res-Rec Equations'!$B$42)/'Res-Rec Equations'!$B$34)))))</f>
        <v>0</v>
      </c>
      <c r="J40" s="369" t="str">
        <f>IF('Chemical Info'!J41="NA","NA",IF(AND(E40="NA",'Chemical Info'!D41="Yes"),'Res-Rec Equations'!$B$22*1000*(('Res-Rec Equations'!$B$26*'Chemical Info'!J41*'Res-Rec Equations'!$B$59)+('Res-Rec Equations'!$B$27*'Chemical Info'!J41*'Res-Rec Equations'!$B$60)+('Res-Rec Equations'!$B$28*'Chemical Info'!J41*'Res-Rec Equations'!$B$61))*'Res-Rec Calculations'!C40,IF(AND(E40="NA",'Chemical Info'!D41=""),'Res-Rec Equations'!$B$22*1000*'Res-Rec Equations'!$B$25*'Chemical Info'!J41*'Res-Rec Calculations'!C40,IF(AND('Chemical Info'!E41="Yes",'Chemical Info'!D41="Yes"),'Res-Rec Equations'!$B$22*1000*(('Res-Rec Equations'!$B$26*'Chemical Info'!J41*'Res-Rec Equations'!$B$59)+('Res-Rec Equations'!$B$27*'Chemical Info'!J41*'Res-Rec Equations'!$B$60)+('Res-Rec Equations'!$B$28*'Chemical Info'!J41*'Res-Rec Equations'!$B$61))*'Res-Rec Calculations'!E40,IF(AND('Chemical Info'!E41="Yes",'Chemical Info'!D41=""),'Res-Rec Equations'!$B$22*1000*'Res-Rec Equations'!$B$25*'Chemical Info'!J41*'Res-Rec Calculations'!E40,IF('Chemical Info'!D41="Yes",'Res-Rec Equations'!$B$22*1000*(('Res-Rec Equations'!$B$26*'Chemical Info'!J41*'Res-Rec Equations'!$B$59)+('Res-Rec Equations'!$B$27*'Chemical Info'!J41*'Res-Rec Equations'!$B$60)+('Res-Rec Equations'!$B$28*'Chemical Info'!J41*'Res-Rec Equations'!$B$61))*('Res-Rec Calculations'!C40+'Res-Rec Calculations'!E40),IF('Chemical Info'!D41="",'Res-Rec Equations'!$B$22*1000*'Res-Rec Equations'!$B$25*'Chemical Info'!J41*('Res-Rec Calculations'!C40+'Res-Rec Calculations'!E40))))))))</f>
        <v>NA</v>
      </c>
      <c r="K40" s="370" t="str">
        <f>IF('Chemical Info'!J41="NA","NA",IF(AND(F40="NA",'Chemical Info'!D41="Yes"),'Res-Rec Equations'!$B$22*1000*(('Res-Rec Equations'!$B$26*'Chemical Info'!J41*'Res-Rec Equations'!$B$59)+('Res-Rec Equations'!$B$27*'Chemical Info'!J41*'Res-Rec Equations'!$B$60)+('Res-Rec Equations'!$B$28*'Chemical Info'!J41*'Res-Rec Equations'!$B$61))*'Res-Rec Calculations'!C40,IF(AND(F40="NA",'Chemical Info'!D41=""),'Res-Rec Equations'!$B$22*1000*'Res-Rec Equations'!$B$25*'Chemical Info'!J41*'Res-Rec Calculations'!C40,IF(AND('Chemical Info'!F41="Yes",'Chemical Info'!D41="Yes"),'Res-Rec Equations'!$B$22*1000*(('Res-Rec Equations'!$B$26*'Chemical Info'!J41*'Res-Rec Equations'!$B$59)+('Res-Rec Equations'!$B$27*'Chemical Info'!J41*'Res-Rec Equations'!$B$60)+('Res-Rec Equations'!$B$28*'Chemical Info'!J41*'Res-Rec Equations'!$B$61))*'Res-Rec Calculations'!F40,IF(AND('Chemical Info'!F41="Yes",'Chemical Info'!D41=""),'Res-Rec Equations'!$B$22*1000*'Res-Rec Equations'!$B$25*'Chemical Info'!J41*'Res-Rec Calculations'!F40,IF('Chemical Info'!D41="Yes",'Res-Rec Equations'!$B$22*1000*(('Res-Rec Equations'!$B$26*'Chemical Info'!J41*'Res-Rec Equations'!$B$59)+('Res-Rec Equations'!$B$27*'Chemical Info'!J41*'Res-Rec Equations'!$B$60)+('Res-Rec Equations'!$B$28*'Chemical Info'!J41*'Res-Rec Equations'!$B$61))*('Res-Rec Calculations'!C40+'Res-Rec Calculations'!F40),IF('Chemical Info'!D41="",'Res-Rec Equations'!$B$22*1000*'Res-Rec Equations'!$B$25*'Chemical Info'!J41*('Res-Rec Calculations'!C40+'Res-Rec Calculations'!F40))))))))</f>
        <v>NA</v>
      </c>
      <c r="L40" s="167">
        <f>IF(AND(H40="NA",I40="NA",J40="NA"),"NA",IF(H40="NA",'Res-Rec Equations'!$B$15*'Res-Rec Equations'!$B$16/J40,IF(J40="NA",'Res-Rec Equations'!$B$15*'Res-Rec Equations'!$B$16/(H40+I40),'Res-Rec Equations'!$B$15*'Res-Rec Equations'!$B$16/(H40+I40+J40))))</f>
        <v>226.64900077288289</v>
      </c>
      <c r="M40" s="167">
        <f>IF(AND(H40="NA",I40="NA",K40="NA"),"NA",IF(H40="NA",'Res-Rec Equations'!$B$15*'Res-Rec Equations'!$B$16/K40,IF(K40="NA",'Res-Rec Equations'!$B$15*'Res-Rec Equations'!$B$16/(H40+I40),'Res-Rec Equations'!$B$15*'Res-Rec Equations'!$B$16/(H40+I40+K40))))</f>
        <v>226.64900077288289</v>
      </c>
      <c r="N40" s="167">
        <f t="shared" si="14"/>
        <v>226.64900077288289</v>
      </c>
      <c r="O40" s="371">
        <f>IF('Chemical Info'!L41="NA","NA",IF('Chemical Info'!E41="Yes",(('Res-Rec Equations'!$B$76*'Chemical Info'!AD41*'Res-Rec Equations'!$B$78*'Res-Rec Equations'!$B$79*'Res-Rec Equations'!$B$81)/('Res-Rec Equations'!$B$84*'Res-Rec Equations'!$B$85))/'Chemical Info'!L41,(('Res-Rec Equations'!$B$76*'Chemical Info'!AD41*'Res-Rec Equations'!$B$78*'Res-Rec Equations'!$B$79*'Res-Rec Equations'!$B$80)/('Res-Rec Equations'!$B$84*'Res-Rec Equations'!$B$85))/'Chemical Info'!L41))</f>
        <v>1.2176560121765602E-3</v>
      </c>
      <c r="P40" s="166">
        <f>IF('Chemical Info'!L41="NA","NA", IF('Chemical Info'!E41="Yes",0,((('Res-Rec Equations'!$B$87*'Res-Rec Equations'!$B$88*'Res-Rec Equations'!$B$78*'Res-Rec Equations'!$B$82*'Res-Rec Equations'!$B$79*'Chemical Info'!AB41)/('Res-Rec Equations'!$B$84*'Res-Rec Equations'!$B$85))/('Chemical Info'!L41*'Chemical Info'!AF41))))</f>
        <v>0</v>
      </c>
      <c r="Q40" s="166" t="str">
        <f>IF('Chemical Info'!N41="NA","NA",IF('Res-Rec Calculations'!E40="NA",(('Res-Rec Equations'!$B$83*'Res-Rec Equations'!$B$79*'Res-Rec Calculations'!C40)/('Res-Rec Equations'!$B$85))/('Chemical Info'!N41),IF('Chemical Info'!E41="Yes",(('Res-Rec Equations'!$B$83*'Res-Rec Equations'!$B$79*'Res-Rec Calculations'!E40)/('Res-Rec Equations'!$B$85))/('Chemical Info'!N41),(('Res-Rec Equations'!$B$83*'Res-Rec Equations'!$B$79*('Res-Rec Calculations'!C40+'Res-Rec Calculations'!E40))/('Res-Rec Equations'!$B$85))/('Chemical Info'!N41))))</f>
        <v>NA</v>
      </c>
      <c r="R40" s="166" t="str">
        <f>IF('Chemical Info'!N41="NA","NA",IF('Res-Rec Calculations'!F40="NA",(('Res-Rec Equations'!$B$83*'Res-Rec Equations'!$B$79*'Res-Rec Calculations'!C40)/('Res-Rec Equations'!$B$85))/('Chemical Info'!N41),IF('Chemical Info'!E41="Yes",(('Res-Rec Equations'!$B$83*'Res-Rec Equations'!$B$79*'Res-Rec Calculations'!F40)/('Res-Rec Equations'!$B$85))/('Chemical Info'!N41),(('Res-Rec Equations'!$B$83*'Res-Rec Equations'!$B$79*('Res-Rec Calculations'!C40+'Res-Rec Calculations'!F40))/('Res-Rec Equations'!$B$85))/('Chemical Info'!N41))))</f>
        <v>NA</v>
      </c>
      <c r="S40" s="167">
        <f>IF(AND(O40="NA",P40="NA",Q40="NA"),"NA",IF(O40="NA",'Res-Rec Equations'!$B$75/Q40,IF(Q40="NA",'Res-Rec Equations'!$B$75/(O40+P40),'Res-Rec Equations'!$B$75/(O40+P40+Q40))))</f>
        <v>164.25</v>
      </c>
      <c r="T40" s="167">
        <f>IF(AND(O40="NA",P40="NA",R40="NA"),"NA",IF(O40="NA",'Res-Rec Equations'!$B$75/R40,IF(R40="NA",'Res-Rec Equations'!$B$75/(O40+P40),'Res-Rec Equations'!$B$75/(O40+P40+R40))))</f>
        <v>164.25</v>
      </c>
      <c r="U40" s="168">
        <f t="shared" si="15"/>
        <v>164.25</v>
      </c>
      <c r="V40" s="167" t="str">
        <f>IF('Chemical Info'!P41="NA","NA",(('Res-Rec Equations'!$B$185*'Res-Rec Equations'!$B$186)/('Res-Rec Equations'!$B$187*'Res-Rec Equations'!$B$188*(1/'Chemical Info'!P41))))</f>
        <v>NA</v>
      </c>
      <c r="W40" s="379" t="str">
        <f t="shared" si="16"/>
        <v>NA</v>
      </c>
      <c r="X40" s="372">
        <f t="shared" si="17"/>
        <v>164.25</v>
      </c>
      <c r="Y40" s="62">
        <f t="shared" si="18"/>
        <v>160</v>
      </c>
      <c r="Z40" s="100" t="str">
        <f t="shared" si="19"/>
        <v>Noncancer</v>
      </c>
      <c r="AA40" s="373"/>
    </row>
    <row r="41" spans="1:28">
      <c r="A41" s="413" t="s">
        <v>319</v>
      </c>
      <c r="B41" s="566" t="s">
        <v>202</v>
      </c>
      <c r="C41" s="367">
        <f>1/(('Res-Rec Equations'!$B$152*3600)/((0.036*(1-'Res-Rec Equations'!$B$153))*('Res-Rec Equations'!$B$154/'Res-Rec Equations'!$B$155)^3*'Res-Rec Equations'!$B$156))</f>
        <v>7.3567680901159717E-10</v>
      </c>
      <c r="D41" s="368">
        <f>(('Res-Rec Equations'!$B$132^(10/3)*'Chemical Info'!$AH42*'Chemical Info'!$AN42*41+'Res-Rec Equations'!$B$135^(10/3)*'Chemical Info'!$AJ42)/'Res-Rec Equations'!$B$137^2)/('Res-Rec Equations'!$B$139*'Chemical Info'!$AL42*'Res-Rec Equations'!$B$142+'Res-Rec Equations'!$B$135+'Res-Rec Equations'!$B$132*'Chemical Info'!$AN42*41)</f>
        <v>6.5293750910721373E-3</v>
      </c>
      <c r="E41" s="368">
        <f>IF(D41=0,"NA",1/(('Res-Rec Equations'!$B$103*(3.14*'Res-Rec Calculations'!$D41*'Res-Rec Equations'!$B$105)^(1/2)*0.0001)/(2*'Res-Rec Equations'!$B$106*'Res-Rec Calculations'!$D41)))</f>
        <v>4.7431230639620865E-4</v>
      </c>
      <c r="F41" s="368">
        <f>IF(D41=0,"NA",(1/('Res-Rec Equations'!$B$117*('Res-Rec Equations'!$B$118*(31500000))/('Res-Rec Equations'!$B$119*'Res-Rec Equations'!$B$120*1000000))))</f>
        <v>6.1914410640015851E-5</v>
      </c>
      <c r="G41" s="167">
        <f>IF('Chemical Info'!E42="Yes",('Chemical Info'!AP42/'Res-Rec Equations'!$B$168)*((('Chemical Info'!AL42*'Res-Rec Equations'!$B$170)*'Res-Rec Equations'!$B$168)+'Res-Rec Equations'!$B$171+('Chemical Info'!AN42*41)*'Res-Rec Equations'!$B$173),"NA")</f>
        <v>3579.5310933333335</v>
      </c>
      <c r="H41" s="112" t="str">
        <f>IF('Chemical Info'!H42="NA","NA",IF(AND('Chemical Info'!E42="Yes",'Chemical Info'!D42="Yes"),'Chemical Info'!H42*'Chemical Info'!AD42*'Res-Rec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Info'!E42="Yes",'Chemical Info'!D42=""),'Chemical Info'!H42*'Chemical Info'!AD42*'Res-Rec Equations'!$B$20*'Res-Rec Equations'!$B$23*((('Res-Rec Equations'!$B$26*'Res-Rec Equations'!$B$29)/'Res-Rec Equations'!$B$32)+(('Res-Rec Equations'!$B$27*'Res-Rec Equations'!$B$30)/'Res-Rec Equations'!$B$33)+(('Res-Rec Equations'!$B$28*'Res-Rec Equations'!$B$31)/'Res-Rec Equations'!$B$34)),IF(AND('Chemical Info'!E42="No",'Chemical Info'!D42="Yes"),'Chemical Info'!H42*'Chemical Info'!AD42*'Res-Rec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Info'!E42="No",'Chemical Info'!D42=""),'Chemical Info'!H42*'Chemical Info'!AD42*'Res-Rec Equations'!$B$19*'Res-Rec Equations'!$B$23*((('Res-Rec Equations'!$B$26*'Res-Rec Equations'!$B$29)/'Res-Rec Equations'!$B$32)+(('Res-Rec Equations'!$B$27*'Res-Rec Equations'!$B$30)/'Res-Rec Equations'!$B$33)+(('Res-Rec Equations'!$B$28*'Res-Rec Equations'!$B$31)/'Res-Rec Equations'!$B$34)))))))</f>
        <v>NA</v>
      </c>
      <c r="I41" s="166" t="str">
        <f>IF('Chemical Info'!H42="NA","NA",IF('Chemical Info'!E42="Yes",0,IF('Chemical Info'!D42="Yes",'Chemical Info'!H42/'Chemical Info'!AF42*('Res-Rec Equations'!$B$21*'Chemical Info'!AB42*'Res-Rec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Info'!H42/'Chemical Info'!AF42*('Res-Rec Equations'!$B$21*'Chemical Info'!AB42*'Res-Rec Equations'!$B$23)*((('Res-Rec Equations'!$B$26*'Res-Rec Equations'!$B$37*'Res-Rec Equations'!$B$40)/'Res-Rec Equations'!$B$32)+(('Res-Rec Equations'!$B$27*'Res-Rec Equations'!$B$38*'Res-Rec Equations'!$B$41)/'Res-Rec Equations'!$B$33)+(('Res-Rec Equations'!$B$28*'Res-Rec Equations'!$B$39*'Res-Rec Equations'!$B$42)/'Res-Rec Equations'!$B$34)))))</f>
        <v>NA</v>
      </c>
      <c r="J41" s="369" t="str">
        <f>IF('Chemical Info'!J42="NA","NA",IF(AND(E41="NA",'Chemical Info'!D42="Yes"),'Res-Rec Equations'!$B$22*1000*(('Res-Rec Equations'!$B$26*'Chemical Info'!J42*'Res-Rec Equations'!$B$59)+('Res-Rec Equations'!$B$27*'Chemical Info'!J42*'Res-Rec Equations'!$B$60)+('Res-Rec Equations'!$B$28*'Chemical Info'!J42*'Res-Rec Equations'!$B$61))*'Res-Rec Calculations'!C41,IF(AND(E41="NA",'Chemical Info'!D42=""),'Res-Rec Equations'!$B$22*1000*'Res-Rec Equations'!$B$25*'Chemical Info'!J42*'Res-Rec Calculations'!C41,IF(AND('Chemical Info'!E42="Yes",'Chemical Info'!D42="Yes"),'Res-Rec Equations'!$B$22*1000*(('Res-Rec Equations'!$B$26*'Chemical Info'!J42*'Res-Rec Equations'!$B$59)+('Res-Rec Equations'!$B$27*'Chemical Info'!J42*'Res-Rec Equations'!$B$60)+('Res-Rec Equations'!$B$28*'Chemical Info'!J42*'Res-Rec Equations'!$B$61))*'Res-Rec Calculations'!E41,IF(AND('Chemical Info'!E42="Yes",'Chemical Info'!D42=""),'Res-Rec Equations'!$B$22*1000*'Res-Rec Equations'!$B$25*'Chemical Info'!J42*'Res-Rec Calculations'!E41,IF('Chemical Info'!D42="Yes",'Res-Rec Equations'!$B$22*1000*(('Res-Rec Equations'!$B$26*'Chemical Info'!J42*'Res-Rec Equations'!$B$59)+('Res-Rec Equations'!$B$27*'Chemical Info'!J42*'Res-Rec Equations'!$B$60)+('Res-Rec Equations'!$B$28*'Chemical Info'!J42*'Res-Rec Equations'!$B$61))*('Res-Rec Calculations'!C41+'Res-Rec Calculations'!E41),IF('Chemical Info'!D42="",'Res-Rec Equations'!$B$22*1000*'Res-Rec Equations'!$B$25*'Chemical Info'!J42*('Res-Rec Calculations'!C41+'Res-Rec Calculations'!E41))))))))</f>
        <v>NA</v>
      </c>
      <c r="K41" s="370" t="str">
        <f>IF('Chemical Info'!J42="NA","NA",IF(AND(F41="NA",'Chemical Info'!D42="Yes"),'Res-Rec Equations'!$B$22*1000*(('Res-Rec Equations'!$B$26*'Chemical Info'!J42*'Res-Rec Equations'!$B$59)+('Res-Rec Equations'!$B$27*'Chemical Info'!J42*'Res-Rec Equations'!$B$60)+('Res-Rec Equations'!$B$28*'Chemical Info'!J42*'Res-Rec Equations'!$B$61))*'Res-Rec Calculations'!C41,IF(AND(F41="NA",'Chemical Info'!D42=""),'Res-Rec Equations'!$B$22*1000*'Res-Rec Equations'!$B$25*'Chemical Info'!J42*'Res-Rec Calculations'!C41,IF(AND('Chemical Info'!F42="Yes",'Chemical Info'!D42="Yes"),'Res-Rec Equations'!$B$22*1000*(('Res-Rec Equations'!$B$26*'Chemical Info'!J42*'Res-Rec Equations'!$B$59)+('Res-Rec Equations'!$B$27*'Chemical Info'!J42*'Res-Rec Equations'!$B$60)+('Res-Rec Equations'!$B$28*'Chemical Info'!J42*'Res-Rec Equations'!$B$61))*'Res-Rec Calculations'!F41,IF(AND('Chemical Info'!F42="Yes",'Chemical Info'!D42=""),'Res-Rec Equations'!$B$22*1000*'Res-Rec Equations'!$B$25*'Chemical Info'!J42*'Res-Rec Calculations'!F41,IF('Chemical Info'!D42="Yes",'Res-Rec Equations'!$B$22*1000*(('Res-Rec Equations'!$B$26*'Chemical Info'!J42*'Res-Rec Equations'!$B$59)+('Res-Rec Equations'!$B$27*'Chemical Info'!J42*'Res-Rec Equations'!$B$60)+('Res-Rec Equations'!$B$28*'Chemical Info'!J42*'Res-Rec Equations'!$B$61))*('Res-Rec Calculations'!C41+'Res-Rec Calculations'!F41),IF('Chemical Info'!D42="",'Res-Rec Equations'!$B$22*1000*'Res-Rec Equations'!$B$25*'Chemical Info'!J42*('Res-Rec Calculations'!C41+'Res-Rec Calculations'!F41))))))))</f>
        <v>NA</v>
      </c>
      <c r="L41" s="167" t="str">
        <f>IF(AND(H41="NA",I41="NA",J41="NA"),"NA",IF(H41="NA",'Res-Rec Equations'!$B$15*'Res-Rec Equations'!$B$16/J41,IF(J41="NA",'Res-Rec Equations'!$B$15*'Res-Rec Equations'!$B$16/(H41+I41),'Res-Rec Equations'!$B$15*'Res-Rec Equations'!$B$16/(H41+I41+J41))))</f>
        <v>NA</v>
      </c>
      <c r="M41" s="167" t="str">
        <f>IF(AND(H41="NA",I41="NA",K41="NA"),"NA",IF(H41="NA",'Res-Rec Equations'!$B$15*'Res-Rec Equations'!$B$16/K41,IF(K41="NA",'Res-Rec Equations'!$B$15*'Res-Rec Equations'!$B$16/(H41+I41),'Res-Rec Equations'!$B$15*'Res-Rec Equations'!$B$16/(H41+I41+K41))))</f>
        <v>NA</v>
      </c>
      <c r="N41" s="167" t="str">
        <f t="shared" si="14"/>
        <v>NA</v>
      </c>
      <c r="O41" s="371">
        <f>IF('Chemical Info'!L42="NA","NA",IF('Chemical Info'!E42="Yes",(('Res-Rec Equations'!$B$76*'Chemical Info'!AD42*'Res-Rec Equations'!$B$78*'Res-Rec Equations'!$B$79*'Res-Rec Equations'!$B$81)/('Res-Rec Equations'!$B$84*'Res-Rec Equations'!$B$85))/'Chemical Info'!L42,(('Res-Rec Equations'!$B$76*'Chemical Info'!AD42*'Res-Rec Equations'!$B$78*'Res-Rec Equations'!$B$79*'Res-Rec Equations'!$B$80)/('Res-Rec Equations'!$B$84*'Res-Rec Equations'!$B$85))/'Chemical Info'!L42))</f>
        <v>6.5231572080887154E-3</v>
      </c>
      <c r="P41" s="166">
        <f>IF('Chemical Info'!L42="NA","NA", IF('Chemical Info'!E42="Yes",0,((('Res-Rec Equations'!$B$87*'Res-Rec Equations'!$B$88*'Res-Rec Equations'!$B$78*'Res-Rec Equations'!$B$82*'Res-Rec Equations'!$B$79*'Chemical Info'!AB42)/('Res-Rec Equations'!$B$84*'Res-Rec Equations'!$B$85))/('Chemical Info'!L42*'Chemical Info'!AF42))))</f>
        <v>0</v>
      </c>
      <c r="Q41" s="166">
        <f>IF('Chemical Info'!N42="NA","NA",IF('Res-Rec Calculations'!E41="NA",(('Res-Rec Equations'!$B$83*'Res-Rec Equations'!$B$79*'Res-Rec Calculations'!C41)/('Res-Rec Equations'!$B$85))/('Chemical Info'!N42),IF('Chemical Info'!E42="Yes",(('Res-Rec Equations'!$B$83*'Res-Rec Equations'!$B$79*'Res-Rec Calculations'!E41)/('Res-Rec Equations'!$B$85))/('Chemical Info'!N42),(('Res-Rec Equations'!$B$83*'Res-Rec Equations'!$B$79*('Res-Rec Calculations'!C41+'Res-Rec Calculations'!E41))/('Res-Rec Equations'!$B$85))/('Chemical Info'!N42))))</f>
        <v>8.12178606842823E-2</v>
      </c>
      <c r="R41" s="166">
        <f>IF('Chemical Info'!N42="NA","NA",IF('Res-Rec Calculations'!F41="NA",(('Res-Rec Equations'!$B$83*'Res-Rec Equations'!$B$79*'Res-Rec Calculations'!C41)/('Res-Rec Equations'!$B$85))/('Chemical Info'!N42),IF('Chemical Info'!E42="Yes",(('Res-Rec Equations'!$B$83*'Res-Rec Equations'!$B$79*'Res-Rec Calculations'!F41)/('Res-Rec Equations'!$B$85))/('Chemical Info'!N42),(('Res-Rec Equations'!$B$83*'Res-Rec Equations'!$B$79*('Res-Rec Calculations'!C41+'Res-Rec Calculations'!F41))/('Res-Rec Equations'!$B$85))/('Chemical Info'!N42))))</f>
        <v>1.060178264383833E-2</v>
      </c>
      <c r="S41" s="167">
        <f>IF(AND(O41="NA",P41="NA",Q41="NA"),"NA",IF(O41="NA",'Res-Rec Equations'!$B$75/Q41,IF(Q41="NA",'Res-Rec Equations'!$B$75/(O41+P41),'Res-Rec Equations'!$B$75/(O41+P41+Q41))))</f>
        <v>2.2794356026885092</v>
      </c>
      <c r="T41" s="167">
        <f>IF(AND(O41="NA",P41="NA",R41="NA"),"NA",IF(O41="NA",'Res-Rec Equations'!$B$75/R41,IF(R41="NA",'Res-Rec Equations'!$B$75/(O41+P41),'Res-Rec Equations'!$B$75/(O41+P41+R41))))</f>
        <v>11.67887313645042</v>
      </c>
      <c r="U41" s="168">
        <f t="shared" si="15"/>
        <v>11.67887313645042</v>
      </c>
      <c r="V41" s="167" t="str">
        <f>IF('Chemical Info'!P42="NA","NA",(('Res-Rec Equations'!$B$185*'Res-Rec Equations'!$B$186)/('Res-Rec Equations'!$B$187*'Res-Rec Equations'!$B$188*(1/'Chemical Info'!P42))))</f>
        <v>NA</v>
      </c>
      <c r="W41" s="379" t="str">
        <f t="shared" si="16"/>
        <v>NA</v>
      </c>
      <c r="X41" s="372">
        <f t="shared" si="17"/>
        <v>11.67887313645042</v>
      </c>
      <c r="Y41" s="62">
        <f t="shared" si="18"/>
        <v>12</v>
      </c>
      <c r="Z41" s="100" t="str">
        <f t="shared" si="19"/>
        <v>Noncancer</v>
      </c>
      <c r="AA41" s="373"/>
    </row>
    <row r="42" spans="1:28">
      <c r="A42" s="413" t="s">
        <v>1152</v>
      </c>
      <c r="B42" s="566" t="s">
        <v>1153</v>
      </c>
      <c r="C42" s="367">
        <f>1/(('Res-Rec Equations'!$B$152*3600)/((0.036*(1-'Res-Rec Equations'!$B$153))*('Res-Rec Equations'!$B$154/'Res-Rec Equations'!$B$155)^3*'Res-Rec Equations'!$B$156))</f>
        <v>7.3567680901159717E-10</v>
      </c>
      <c r="D42" s="368">
        <f>(('Res-Rec Equations'!$B$132^(10/3)*'Chemical Info'!$AH43*'Chemical Info'!$AN43*41+'Res-Rec Equations'!$B$135^(10/3)*'Chemical Info'!$AJ43)/'Res-Rec Equations'!$B$137^2)/('Res-Rec Equations'!$B$139*'Chemical Info'!$AL43*'Res-Rec Equations'!$B$142+'Res-Rec Equations'!$B$135+'Res-Rec Equations'!$B$132*'Chemical Info'!$AN43*41)</f>
        <v>1.4207034877703171E-5</v>
      </c>
      <c r="E42" s="368">
        <f>IF(D42=0,"NA",1/(('Res-Rec Equations'!$B$103*(3.14*'Res-Rec Calculations'!$D42*'Res-Rec Equations'!$B$105)^(1/2)*0.0001)/(2*'Res-Rec Equations'!$B$106*'Res-Rec Calculations'!$D42)))</f>
        <v>2.212484858252572E-5</v>
      </c>
      <c r="F42" s="368">
        <f>IF(D42=0,"NA",(1/('Res-Rec Equations'!$B$117*('Res-Rec Equations'!$B$118*(31500000))/('Res-Rec Equations'!$B$119*'Res-Rec Equations'!$B$120*1000000))))</f>
        <v>6.1914410640015851E-5</v>
      </c>
      <c r="G42" s="167">
        <f>IF('Chemical Info'!E43="Yes",('Chemical Info'!AP43/'Res-Rec Equations'!$B$168)*((('Chemical Info'!AL43*'Res-Rec Equations'!$B$170)*'Res-Rec Equations'!$B$168)+'Res-Rec Equations'!$B$171+('Chemical Info'!AN43*41)*'Res-Rec Equations'!$B$173),"NA")</f>
        <v>7640.4645147733336</v>
      </c>
      <c r="H42" s="112" t="str">
        <f>IF('Chemical Info'!H43="NA","NA",IF(AND('Chemical Info'!E43="Yes",'Chemical Info'!D43="Yes"),'Chemical Info'!H43*'Chemical Info'!AD43*'Res-Rec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Info'!E43="Yes",'Chemical Info'!D43=""),'Chemical Info'!H43*'Chemical Info'!AD43*'Res-Rec Equations'!$B$20*'Res-Rec Equations'!$B$23*((('Res-Rec Equations'!$B$26*'Res-Rec Equations'!$B$29)/'Res-Rec Equations'!$B$32)+(('Res-Rec Equations'!$B$27*'Res-Rec Equations'!$B$30)/'Res-Rec Equations'!$B$33)+(('Res-Rec Equations'!$B$28*'Res-Rec Equations'!$B$31)/'Res-Rec Equations'!$B$34)),IF(AND('Chemical Info'!E43="No",'Chemical Info'!D43="Yes"),'Chemical Info'!H43*'Chemical Info'!AD43*'Res-Rec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Info'!E43="No",'Chemical Info'!D43=""),'Chemical Info'!H43*'Chemical Info'!AD43*'Res-Rec Equations'!$B$19*'Res-Rec Equations'!$B$23*((('Res-Rec Equations'!$B$26*'Res-Rec Equations'!$B$29)/'Res-Rec Equations'!$B$32)+(('Res-Rec Equations'!$B$27*'Res-Rec Equations'!$B$30)/'Res-Rec Equations'!$B$33)+(('Res-Rec Equations'!$B$28*'Res-Rec Equations'!$B$31)/'Res-Rec Equations'!$B$34)))))))</f>
        <v>NA</v>
      </c>
      <c r="I42" s="166" t="str">
        <f>IF('Chemical Info'!H43="NA","NA",IF('Chemical Info'!E43="Yes",0,IF('Chemical Info'!D43="Yes",'Chemical Info'!H43/'Chemical Info'!AF43*('Res-Rec Equations'!$B$21*'Chemical Info'!AB43*'Res-Rec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Info'!H43/'Chemical Info'!AF43*('Res-Rec Equations'!$B$21*'Chemical Info'!AB43*'Res-Rec Equations'!$B$23)*((('Res-Rec Equations'!$B$26*'Res-Rec Equations'!$B$37*'Res-Rec Equations'!$B$40)/'Res-Rec Equations'!$B$32)+(('Res-Rec Equations'!$B$27*'Res-Rec Equations'!$B$38*'Res-Rec Equations'!$B$41)/'Res-Rec Equations'!$B$33)+(('Res-Rec Equations'!$B$28*'Res-Rec Equations'!$B$39*'Res-Rec Equations'!$B$42)/'Res-Rec Equations'!$B$34)))))</f>
        <v>NA</v>
      </c>
      <c r="J42" s="369" t="str">
        <f>IF('Chemical Info'!J43="NA","NA",IF(AND(E42="NA",'Chemical Info'!D43="Yes"),'Res-Rec Equations'!$B$22*1000*(('Res-Rec Equations'!$B$26*'Chemical Info'!J43*'Res-Rec Equations'!$B$59)+('Res-Rec Equations'!$B$27*'Chemical Info'!J43*'Res-Rec Equations'!$B$60)+('Res-Rec Equations'!$B$28*'Chemical Info'!J43*'Res-Rec Equations'!$B$61))*'Res-Rec Calculations'!C42,IF(AND(E42="NA",'Chemical Info'!D43=""),'Res-Rec Equations'!$B$22*1000*'Res-Rec Equations'!$B$25*'Chemical Info'!J43*'Res-Rec Calculations'!C42,IF(AND('Chemical Info'!E43="Yes",'Chemical Info'!D43="Yes"),'Res-Rec Equations'!$B$22*1000*(('Res-Rec Equations'!$B$26*'Chemical Info'!J43*'Res-Rec Equations'!$B$59)+('Res-Rec Equations'!$B$27*'Chemical Info'!J43*'Res-Rec Equations'!$B$60)+('Res-Rec Equations'!$B$28*'Chemical Info'!J43*'Res-Rec Equations'!$B$61))*'Res-Rec Calculations'!E42,IF(AND('Chemical Info'!E43="Yes",'Chemical Info'!D43=""),'Res-Rec Equations'!$B$22*1000*'Res-Rec Equations'!$B$25*'Chemical Info'!J43*'Res-Rec Calculations'!E42,IF('Chemical Info'!D43="Yes",'Res-Rec Equations'!$B$22*1000*(('Res-Rec Equations'!$B$26*'Chemical Info'!J43*'Res-Rec Equations'!$B$59)+('Res-Rec Equations'!$B$27*'Chemical Info'!J43*'Res-Rec Equations'!$B$60)+('Res-Rec Equations'!$B$28*'Chemical Info'!J43*'Res-Rec Equations'!$B$61))*('Res-Rec Calculations'!C42+'Res-Rec Calculations'!E42),IF('Chemical Info'!D43="",'Res-Rec Equations'!$B$22*1000*'Res-Rec Equations'!$B$25*'Chemical Info'!J43*('Res-Rec Calculations'!C42+'Res-Rec Calculations'!E42))))))))</f>
        <v>NA</v>
      </c>
      <c r="K42" s="370" t="str">
        <f>IF('Chemical Info'!J43="NA","NA",IF(AND(F42="NA",'Chemical Info'!D43="Yes"),'Res-Rec Equations'!$B$22*1000*(('Res-Rec Equations'!$B$26*'Chemical Info'!J43*'Res-Rec Equations'!$B$59)+('Res-Rec Equations'!$B$27*'Chemical Info'!J43*'Res-Rec Equations'!$B$60)+('Res-Rec Equations'!$B$28*'Chemical Info'!J43*'Res-Rec Equations'!$B$61))*'Res-Rec Calculations'!C42,IF(AND(F42="NA",'Chemical Info'!D43=""),'Res-Rec Equations'!$B$22*1000*'Res-Rec Equations'!$B$25*'Chemical Info'!J43*'Res-Rec Calculations'!C42,IF(AND('Chemical Info'!F43="Yes",'Chemical Info'!D43="Yes"),'Res-Rec Equations'!$B$22*1000*(('Res-Rec Equations'!$B$26*'Chemical Info'!J43*'Res-Rec Equations'!$B$59)+('Res-Rec Equations'!$B$27*'Chemical Info'!J43*'Res-Rec Equations'!$B$60)+('Res-Rec Equations'!$B$28*'Chemical Info'!J43*'Res-Rec Equations'!$B$61))*'Res-Rec Calculations'!F42,IF(AND('Chemical Info'!F43="Yes",'Chemical Info'!D43=""),'Res-Rec Equations'!$B$22*1000*'Res-Rec Equations'!$B$25*'Chemical Info'!J43*'Res-Rec Calculations'!F42,IF('Chemical Info'!D43="Yes",'Res-Rec Equations'!$B$22*1000*(('Res-Rec Equations'!$B$26*'Chemical Info'!J43*'Res-Rec Equations'!$B$59)+('Res-Rec Equations'!$B$27*'Chemical Info'!J43*'Res-Rec Equations'!$B$60)+('Res-Rec Equations'!$B$28*'Chemical Info'!J43*'Res-Rec Equations'!$B$61))*('Res-Rec Calculations'!C42+'Res-Rec Calculations'!F42),IF('Chemical Info'!D43="",'Res-Rec Equations'!$B$22*1000*'Res-Rec Equations'!$B$25*'Chemical Info'!J43*('Res-Rec Calculations'!C42+'Res-Rec Calculations'!F42))))))))</f>
        <v>NA</v>
      </c>
      <c r="L42" s="167" t="str">
        <f>IF(AND(H42="NA",I42="NA",J42="NA"),"NA",IF(H42="NA",'Res-Rec Equations'!$B$15*'Res-Rec Equations'!$B$16/J42,IF(J42="NA",'Res-Rec Equations'!$B$15*'Res-Rec Equations'!$B$16/(H42+I42),'Res-Rec Equations'!$B$15*'Res-Rec Equations'!$B$16/(H42+I42+J42))))</f>
        <v>NA</v>
      </c>
      <c r="M42" s="167" t="str">
        <f>IF(AND(H42="NA",I42="NA",K42="NA"),"NA",IF(H42="NA",'Res-Rec Equations'!$B$15*'Res-Rec Equations'!$B$16/K42,IF(K42="NA",'Res-Rec Equations'!$B$15*'Res-Rec Equations'!$B$16/(H42+I42),'Res-Rec Equations'!$B$15*'Res-Rec Equations'!$B$16/(H42+I42+K42))))</f>
        <v>NA</v>
      </c>
      <c r="N42" s="167" t="str">
        <f t="shared" ref="N42" si="38">IF(AND(L42="NA",M42="NA"),"NA",MAX(L42,M42))</f>
        <v>NA</v>
      </c>
      <c r="O42" s="371">
        <f>IF('Chemical Info'!L43="NA","NA",IF('Chemical Info'!E43="Yes",(('Res-Rec Equations'!$B$76*'Chemical Info'!AD43*'Res-Rec Equations'!$B$78*'Res-Rec Equations'!$B$79*'Res-Rec Equations'!$B$81)/('Res-Rec Equations'!$B$84*'Res-Rec Equations'!$B$85))/'Chemical Info'!L43,(('Res-Rec Equations'!$B$76*'Chemical Info'!AD43*'Res-Rec Equations'!$B$78*'Res-Rec Equations'!$B$79*'Res-Rec Equations'!$B$80)/('Res-Rec Equations'!$B$84*'Res-Rec Equations'!$B$85))/'Chemical Info'!L43))</f>
        <v>9.1324200913242012E-5</v>
      </c>
      <c r="P42" s="166">
        <f>IF('Chemical Info'!L43="NA","NA", IF('Chemical Info'!E43="Yes",0,((('Res-Rec Equations'!$B$87*'Res-Rec Equations'!$B$88*'Res-Rec Equations'!$B$78*'Res-Rec Equations'!$B$82*'Res-Rec Equations'!$B$79*'Chemical Info'!AB43)/('Res-Rec Equations'!$B$84*'Res-Rec Equations'!$B$85))/('Chemical Info'!L43*'Chemical Info'!AF43))))</f>
        <v>0</v>
      </c>
      <c r="Q42" s="166" t="str">
        <f>IF('Chemical Info'!N43="NA","NA",IF('Res-Rec Calculations'!E42="NA",(('Res-Rec Equations'!$B$83*'Res-Rec Equations'!$B$79*'Res-Rec Calculations'!C42)/('Res-Rec Equations'!$B$85))/('Chemical Info'!N43),IF('Chemical Info'!E43="Yes",(('Res-Rec Equations'!$B$83*'Res-Rec Equations'!$B$79*'Res-Rec Calculations'!E42)/('Res-Rec Equations'!$B$85))/('Chemical Info'!N43),(('Res-Rec Equations'!$B$83*'Res-Rec Equations'!$B$79*('Res-Rec Calculations'!C42+'Res-Rec Calculations'!E42))/('Res-Rec Equations'!$B$85))/('Chemical Info'!N43))))</f>
        <v>NA</v>
      </c>
      <c r="R42" s="166" t="str">
        <f>IF('Chemical Info'!N43="NA","NA",IF('Res-Rec Calculations'!F42="NA",(('Res-Rec Equations'!$B$83*'Res-Rec Equations'!$B$79*'Res-Rec Calculations'!C42)/('Res-Rec Equations'!$B$85))/('Chemical Info'!N43),IF('Chemical Info'!E43="Yes",(('Res-Rec Equations'!$B$83*'Res-Rec Equations'!$B$79*'Res-Rec Calculations'!F42)/('Res-Rec Equations'!$B$85))/('Chemical Info'!N43),(('Res-Rec Equations'!$B$83*'Res-Rec Equations'!$B$79*('Res-Rec Calculations'!C42+'Res-Rec Calculations'!F42))/('Res-Rec Equations'!$B$85))/('Chemical Info'!N43))))</f>
        <v>NA</v>
      </c>
      <c r="S42" s="167">
        <f>IF(AND(O42="NA",P42="NA",Q42="NA"),"NA",IF(O42="NA",'Res-Rec Equations'!$B$75/Q42,IF(Q42="NA",'Res-Rec Equations'!$B$75/(O42+P42),'Res-Rec Equations'!$B$75/(O42+P42+Q42))))</f>
        <v>2190</v>
      </c>
      <c r="T42" s="167">
        <f>IF(AND(O42="NA",P42="NA",R42="NA"),"NA",IF(O42="NA",'Res-Rec Equations'!$B$75/R42,IF(R42="NA",'Res-Rec Equations'!$B$75/(O42+P42),'Res-Rec Equations'!$B$75/(O42+P42+R42))))</f>
        <v>2190</v>
      </c>
      <c r="U42" s="168">
        <f t="shared" ref="U42" si="39">IF(AND(S42="NA",T42="NA"),"NA",MAX(S42,T42))</f>
        <v>2190</v>
      </c>
      <c r="V42" s="167" t="str">
        <f>IF('Chemical Info'!P43="NA","NA",(('Res-Rec Equations'!$B$185*'Res-Rec Equations'!$B$186)/('Res-Rec Equations'!$B$187*'Res-Rec Equations'!$B$188*(1/'Chemical Info'!P43))))</f>
        <v>NA</v>
      </c>
      <c r="W42" s="379" t="str">
        <f t="shared" ref="W42" si="40">IF(V42="NA","NA",IF(V42&gt;100000,100000,IF(ISNUMBER(ROUND(V42*1000000,2-LEN(INT(V42*1000000)))/1000000),ROUND(V42*1000000,2-LEN(INT(V42*1000000)))/1000000,"NA")))</f>
        <v>NA</v>
      </c>
      <c r="X42" s="372">
        <f t="shared" ref="X42" si="41">IF(AND(N42="NA",U42="NA",G42="NA"),"NA",MIN(N42,U42,G42))</f>
        <v>2190</v>
      </c>
      <c r="Y42" s="62">
        <f t="shared" ref="Y42" si="42">IF(X42&gt;100000,100000,IF(ISNUMBER(ROUND(X42*1000000,2-LEN(INT(X42*1000000)))/1000000),ROUND(X42*1000000,2-LEN(INT(X42*1000000)))/1000000,"NA"))</f>
        <v>2200</v>
      </c>
      <c r="Z42" s="100" t="str">
        <f t="shared" ref="Z42" si="43">IF(Y42=100000,"Max Limit",IF(X42=G42,"Csat",IF(X42=N42,"Cancer",IF(X42=V42,"Acute",IF(X42=U42,"Noncancer","")))))</f>
        <v>Noncancer</v>
      </c>
      <c r="AA42" s="373"/>
    </row>
    <row r="43" spans="1:28" ht="12">
      <c r="A43" s="413" t="s">
        <v>1235</v>
      </c>
      <c r="B43" s="566" t="s">
        <v>1231</v>
      </c>
      <c r="C43" s="367">
        <f>1/(('Res-Rec Equations'!$B$152*3600)/((0.036*(1-'Res-Rec Equations'!$B$153))*('Res-Rec Equations'!$B$154/'Res-Rec Equations'!$B$155)^3*'Res-Rec Equations'!$B$156))</f>
        <v>7.3567680901159717E-10</v>
      </c>
      <c r="D43" s="368">
        <f>(('Res-Rec Equations'!$B$132^(10/3)*'Chemical Info'!$AH44*'Chemical Info'!$AN44*41+'Res-Rec Equations'!$B$135^(10/3)*'Chemical Info'!$AJ44)/'Res-Rec Equations'!$B$137^2)/('Res-Rec Equations'!$B$139*'Chemical Info'!$AL44*'Res-Rec Equations'!$B$142+'Res-Rec Equations'!$B$135+'Res-Rec Equations'!$B$132*'Chemical Info'!$AN44*41)</f>
        <v>1.5457246539574584E-5</v>
      </c>
      <c r="E43" s="368">
        <f>IF(D43=0,"NA",1/(('Res-Rec Equations'!$B$103*(3.14*'Res-Rec Calculations'!$D43*'Res-Rec Equations'!$B$105)^(1/2)*0.0001)/(2*'Res-Rec Equations'!$B$106*'Res-Rec Calculations'!$D43)))</f>
        <v>2.3077813045398469E-5</v>
      </c>
      <c r="F43" s="368">
        <f>IF(D43=0,"NA",(1/('Res-Rec Equations'!$B$117*('Res-Rec Equations'!$B$118*(31500000))/('Res-Rec Equations'!$B$119*'Res-Rec Equations'!$B$120*1000000))))</f>
        <v>6.1914410640015851E-5</v>
      </c>
      <c r="G43" s="425"/>
      <c r="H43" s="112">
        <f>IF('Chemical Info'!H44="NA","NA",IF(AND('Chemical Info'!E44="Yes",'Chemical Info'!D44="Yes"),'Chemical Info'!H44*'Chemical Info'!AD44*'Res-Rec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Info'!E44="Yes",'Chemical Info'!D44=""),'Chemical Info'!H44*'Chemical Info'!AD44*'Res-Rec Equations'!$B$20*'Res-Rec Equations'!$B$23*((('Res-Rec Equations'!$B$26*'Res-Rec Equations'!$B$29)/'Res-Rec Equations'!$B$32)+(('Res-Rec Equations'!$B$27*'Res-Rec Equations'!$B$30)/'Res-Rec Equations'!$B$33)+(('Res-Rec Equations'!$B$28*'Res-Rec Equations'!$B$31)/'Res-Rec Equations'!$B$34)),IF(AND('Chemical Info'!E44="No",'Chemical Info'!D44="Yes"),'Chemical Info'!H44*'Chemical Info'!AD44*'Res-Rec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Info'!E44="No",'Chemical Info'!D44=""),'Chemical Info'!H44*'Chemical Info'!AD44*'Res-Rec Equations'!$B$19*'Res-Rec Equations'!$B$23*((('Res-Rec Equations'!$B$26*'Res-Rec Equations'!$B$29)/'Res-Rec Equations'!$B$32)+(('Res-Rec Equations'!$B$27*'Res-Rec Equations'!$B$30)/'Res-Rec Equations'!$B$33)+(('Res-Rec Equations'!$B$28*'Res-Rec Equations'!$B$31)/'Res-Rec Equations'!$B$34)))))))</f>
        <v>1.6104196301564722E-5</v>
      </c>
      <c r="I43" s="166">
        <f>IF('Chemical Info'!H44="NA","NA",IF('Chemical Info'!E44="Yes",0,IF('Chemical Info'!D44="Yes",'Chemical Info'!H44/'Chemical Info'!AF44*('Res-Rec Equations'!$B$21*'Chemical Info'!AB44*'Res-Rec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Info'!H44/'Chemical Info'!AF44*('Res-Rec Equations'!$B$21*'Chemical Info'!AB44*'Res-Rec Equations'!$B$23)*((('Res-Rec Equations'!$B$26*'Res-Rec Equations'!$B$37*'Res-Rec Equations'!$B$40)/'Res-Rec Equations'!$B$32)+(('Res-Rec Equations'!$B$27*'Res-Rec Equations'!$B$38*'Res-Rec Equations'!$B$41)/'Res-Rec Equations'!$B$33)+(('Res-Rec Equations'!$B$28*'Res-Rec Equations'!$B$39*'Res-Rec Equations'!$B$42)/'Res-Rec Equations'!$B$34)))))</f>
        <v>0</v>
      </c>
      <c r="J43" s="369" t="str">
        <f>IF('Chemical Info'!J44="NA","NA",IF(AND(E43="NA",'Chemical Info'!D44="Yes"),'Res-Rec Equations'!$B$22*1000*(('Res-Rec Equations'!$B$26*'Chemical Info'!J44*'Res-Rec Equations'!$B$59)+('Res-Rec Equations'!$B$27*'Chemical Info'!J44*'Res-Rec Equations'!$B$60)+('Res-Rec Equations'!$B$28*'Chemical Info'!J44*'Res-Rec Equations'!$B$61))*'Res-Rec Calculations'!C43,IF(AND(E43="NA",'Chemical Info'!D44=""),'Res-Rec Equations'!$B$22*1000*'Res-Rec Equations'!$B$25*'Chemical Info'!J44*'Res-Rec Calculations'!C43,IF(AND('Chemical Info'!E44="Yes",'Chemical Info'!D44="Yes"),'Res-Rec Equations'!$B$22*1000*(('Res-Rec Equations'!$B$26*'Chemical Info'!J44*'Res-Rec Equations'!$B$59)+('Res-Rec Equations'!$B$27*'Chemical Info'!J44*'Res-Rec Equations'!$B$60)+('Res-Rec Equations'!$B$28*'Chemical Info'!J44*'Res-Rec Equations'!$B$61))*'Res-Rec Calculations'!E43,IF(AND('Chemical Info'!E44="Yes",'Chemical Info'!D44=""),'Res-Rec Equations'!$B$22*1000*'Res-Rec Equations'!$B$25*'Chemical Info'!J44*'Res-Rec Calculations'!E43,IF('Chemical Info'!D44="Yes",'Res-Rec Equations'!$B$22*1000*(('Res-Rec Equations'!$B$26*'Chemical Info'!J44*'Res-Rec Equations'!$B$59)+('Res-Rec Equations'!$B$27*'Chemical Info'!J44*'Res-Rec Equations'!$B$60)+('Res-Rec Equations'!$B$28*'Chemical Info'!J44*'Res-Rec Equations'!$B$61))*('Res-Rec Calculations'!C43+'Res-Rec Calculations'!E43),IF('Chemical Info'!D44="",'Res-Rec Equations'!$B$22*1000*'Res-Rec Equations'!$B$25*'Chemical Info'!J44*('Res-Rec Calculations'!C43+'Res-Rec Calculations'!E43))))))))</f>
        <v>NA</v>
      </c>
      <c r="K43" s="370" t="str">
        <f>IF('Chemical Info'!J44="NA","NA",IF(AND(F43="NA",'Chemical Info'!D44="Yes"),'Res-Rec Equations'!$B$22*1000*(('Res-Rec Equations'!$B$26*'Chemical Info'!J44*'Res-Rec Equations'!$B$59)+('Res-Rec Equations'!$B$27*'Chemical Info'!J44*'Res-Rec Equations'!$B$60)+('Res-Rec Equations'!$B$28*'Chemical Info'!J44*'Res-Rec Equations'!$B$61))*'Res-Rec Calculations'!C43,IF(AND(F43="NA",'Chemical Info'!D44=""),'Res-Rec Equations'!$B$22*1000*'Res-Rec Equations'!$B$25*'Chemical Info'!J44*'Res-Rec Calculations'!C43,IF(AND('Chemical Info'!F44="Yes",'Chemical Info'!D44="Yes"),'Res-Rec Equations'!$B$22*1000*(('Res-Rec Equations'!$B$26*'Chemical Info'!J44*'Res-Rec Equations'!$B$59)+('Res-Rec Equations'!$B$27*'Chemical Info'!J44*'Res-Rec Equations'!$B$60)+('Res-Rec Equations'!$B$28*'Chemical Info'!J44*'Res-Rec Equations'!$B$61))*'Res-Rec Calculations'!F43,IF(AND('Chemical Info'!F44="Yes",'Chemical Info'!D44=""),'Res-Rec Equations'!$B$22*1000*'Res-Rec Equations'!$B$25*'Chemical Info'!J44*'Res-Rec Calculations'!F43,IF('Chemical Info'!D44="Yes",'Res-Rec Equations'!$B$22*1000*(('Res-Rec Equations'!$B$26*'Chemical Info'!J44*'Res-Rec Equations'!$B$59)+('Res-Rec Equations'!$B$27*'Chemical Info'!J44*'Res-Rec Equations'!$B$60)+('Res-Rec Equations'!$B$28*'Chemical Info'!J44*'Res-Rec Equations'!$B$61))*('Res-Rec Calculations'!C43+'Res-Rec Calculations'!F43),IF('Chemical Info'!D44="",'Res-Rec Equations'!$B$22*1000*'Res-Rec Equations'!$B$25*'Chemical Info'!J44*('Res-Rec Calculations'!C43+'Res-Rec Calculations'!F43))))))))</f>
        <v>NA</v>
      </c>
      <c r="L43" s="167">
        <f>IF(AND(H43="NA",I43="NA",J43="NA"),"NA",IF(H43="NA",'Res-Rec Equations'!$B$15*'Res-Rec Equations'!$B$16/J43,IF(J43="NA",'Res-Rec Equations'!$B$15*'Res-Rec Equations'!$B$16/(H43+I43),'Res-Rec Equations'!$B$15*'Res-Rec Equations'!$B$16/(H43+I43+J43))))</f>
        <v>15865.4300541018</v>
      </c>
      <c r="M43" s="167">
        <f>IF(AND(H43="NA",I43="NA",K43="NA"),"NA",IF(H43="NA",'Res-Rec Equations'!$B$15*'Res-Rec Equations'!$B$16/K43,IF(K43="NA",'Res-Rec Equations'!$B$15*'Res-Rec Equations'!$B$16/(H43+I43),'Res-Rec Equations'!$B$15*'Res-Rec Equations'!$B$16/(H43+I43+K43))))</f>
        <v>15865.4300541018</v>
      </c>
      <c r="N43" s="167">
        <f t="shared" ref="N43" si="44">IF(AND(L43="NA",M43="NA"),"NA",MAX(L43,M43))</f>
        <v>15865.4300541018</v>
      </c>
      <c r="O43" s="371">
        <f>IF('Chemical Info'!L44="NA","NA",IF('Chemical Info'!E44="Yes",(('Res-Rec Equations'!$B$76*'Chemical Info'!AD44*'Res-Rec Equations'!$B$78*'Res-Rec Equations'!$B$79*'Res-Rec Equations'!$B$81)/('Res-Rec Equations'!$B$84*'Res-Rec Equations'!$B$85))/'Chemical Info'!L44,(('Res-Rec Equations'!$B$76*'Chemical Info'!AD44*'Res-Rec Equations'!$B$78*'Res-Rec Equations'!$B$79*'Res-Rec Equations'!$B$80)/('Res-Rec Equations'!$B$84*'Res-Rec Equations'!$B$85))/'Chemical Info'!L44))</f>
        <v>2.2831050228310503E-5</v>
      </c>
      <c r="P43" s="166">
        <f>IF('Chemical Info'!L44="NA","NA", IF('Chemical Info'!E44="Yes",0,((('Res-Rec Equations'!$B$87*'Res-Rec Equations'!$B$88*'Res-Rec Equations'!$B$78*'Res-Rec Equations'!$B$82*'Res-Rec Equations'!$B$79*'Chemical Info'!AB44)/('Res-Rec Equations'!$B$84*'Res-Rec Equations'!$B$85))/('Chemical Info'!L44*'Chemical Info'!AF44))))</f>
        <v>0</v>
      </c>
      <c r="Q43" s="166">
        <f>IF('Chemical Info'!N44="NA","NA",IF('Res-Rec Calculations'!E43="NA",(('Res-Rec Equations'!$B$83*'Res-Rec Equations'!$B$79*'Res-Rec Calculations'!C43)/('Res-Rec Equations'!$B$85))/('Chemical Info'!N44),IF('Chemical Info'!E44="Yes",(('Res-Rec Equations'!$B$83*'Res-Rec Equations'!$B$79*'Res-Rec Calculations'!E43)/('Res-Rec Equations'!$B$85))/('Chemical Info'!N44),(('Res-Rec Equations'!$B$83*'Res-Rec Equations'!$B$79*('Res-Rec Calculations'!C43+'Res-Rec Calculations'!E43))/('Res-Rec Equations'!$B$85))/('Chemical Info'!N44))))</f>
        <v>3.1613442527943108E-6</v>
      </c>
      <c r="R43" s="166">
        <f>IF('Chemical Info'!N44="NA","NA",IF('Res-Rec Calculations'!F43="NA",(('Res-Rec Equations'!$B$83*'Res-Rec Equations'!$B$79*'Res-Rec Calculations'!C43)/('Res-Rec Equations'!$B$85))/('Chemical Info'!N44),IF('Chemical Info'!E44="Yes",(('Res-Rec Equations'!$B$83*'Res-Rec Equations'!$B$79*'Res-Rec Calculations'!F43)/('Res-Rec Equations'!$B$85))/('Chemical Info'!N44),(('Res-Rec Equations'!$B$83*'Res-Rec Equations'!$B$79*('Res-Rec Calculations'!C43+'Res-Rec Calculations'!F43))/('Res-Rec Equations'!$B$85))/('Chemical Info'!N44))))</f>
        <v>8.4814261150706635E-6</v>
      </c>
      <c r="S43" s="167">
        <f>IF(AND(O43="NA",P43="NA",Q43="NA"),"NA",IF(O43="NA",'Res-Rec Equations'!$B$75/Q43,IF(Q43="NA",'Res-Rec Equations'!$B$75/(O43+P43),'Res-Rec Equations'!$B$75/(O43+P43+Q43))))</f>
        <v>7694.5585042343882</v>
      </c>
      <c r="T43" s="167">
        <f>IF(AND(O43="NA",P43="NA",R43="NA"),"NA",IF(O43="NA",'Res-Rec Equations'!$B$75/R43,IF(R43="NA",'Res-Rec Equations'!$B$75/(O43+P43),'Res-Rec Equations'!$B$75/(O43+P43+R43))))</f>
        <v>6387.2303744598612</v>
      </c>
      <c r="U43" s="168">
        <f t="shared" ref="U43" si="45">IF(AND(S43="NA",T43="NA"),"NA",MAX(S43,T43))</f>
        <v>7694.5585042343882</v>
      </c>
      <c r="V43" s="167" t="str">
        <f>IF('Chemical Info'!P44="NA","NA",(('Res-Rec Equations'!$B$185*'Res-Rec Equations'!$B$186)/('Res-Rec Equations'!$B$187*'Res-Rec Equations'!$B$188*(1/'Chemical Info'!P44))))</f>
        <v>NA</v>
      </c>
      <c r="W43" s="379" t="str">
        <f t="shared" ref="W43" si="46">IF(V43="NA","NA",IF(V43&gt;100000,100000,IF(ISNUMBER(ROUND(V43*1000000,2-LEN(INT(V43*1000000)))/1000000),ROUND(V43*1000000,2-LEN(INT(V43*1000000)))/1000000,"NA")))</f>
        <v>NA</v>
      </c>
      <c r="X43" s="372">
        <f t="shared" ref="X43" si="47">IF(AND(N43="NA",U43="NA",G43="NA"),"NA",MIN(N43,U43,G43))</f>
        <v>7694.5585042343882</v>
      </c>
      <c r="Y43" s="62">
        <f t="shared" ref="Y43" si="48">IF(X43&gt;100000,100000,IF(ISNUMBER(ROUND(X43*1000000,2-LEN(INT(X43*1000000)))/1000000),ROUND(X43*1000000,2-LEN(INT(X43*1000000)))/1000000,"NA"))</f>
        <v>7700</v>
      </c>
      <c r="Z43" s="100" t="str">
        <f t="shared" ref="Z43" si="49">IF(Y43=100000,"Max Limit",IF(X43=G43,"Csat",IF(X43=N43,"Cancer",IF(X43=V43,"Acute",IF(X43=U43,"Noncancer","")))))</f>
        <v>Noncancer</v>
      </c>
      <c r="AA43" s="373"/>
    </row>
    <row r="44" spans="1:28">
      <c r="A44" s="413" t="s">
        <v>397</v>
      </c>
      <c r="B44" s="566" t="s">
        <v>18</v>
      </c>
      <c r="C44" s="367">
        <f>1/(('Res-Rec Equations'!$B$152*3600)/((0.036*(1-'Res-Rec Equations'!$B$153))*('Res-Rec Equations'!$B$154/'Res-Rec Equations'!$B$155)^3*'Res-Rec Equations'!$B$156))</f>
        <v>7.3567680901159717E-10</v>
      </c>
      <c r="D44" s="368">
        <f>(('Res-Rec Equations'!$B$132^(10/3)*'Chemical Info'!$AH45*'Chemical Info'!$AN45*41+'Res-Rec Equations'!$B$135^(10/3)*'Chemical Info'!$AJ45)/'Res-Rec Equations'!$B$137^2)/('Res-Rec Equations'!$B$139*'Chemical Info'!$AL45*'Res-Rec Equations'!$B$142+'Res-Rec Equations'!$B$135+'Res-Rec Equations'!$B$132*'Chemical Info'!$AN45*41)</f>
        <v>1.9191550313830502E-4</v>
      </c>
      <c r="E44" s="368">
        <f>IF(D44=0,"NA",1/(('Res-Rec Equations'!$B$103*(3.14*'Res-Rec Calculations'!$D44*'Res-Rec Equations'!$B$105)^(1/2)*0.0001)/(2*'Res-Rec Equations'!$B$106*'Res-Rec Calculations'!$D44)))</f>
        <v>8.1317424158719752E-5</v>
      </c>
      <c r="F44" s="368">
        <f>IF(D44=0,"NA",(1/('Res-Rec Equations'!$B$117*('Res-Rec Equations'!$B$118*(31500000))/('Res-Rec Equations'!$B$119*'Res-Rec Equations'!$B$120*1000000))))</f>
        <v>6.1914410640015851E-5</v>
      </c>
      <c r="G44" s="167">
        <f>IF('Chemical Info'!E45="Yes",('Chemical Info'!AP45/'Res-Rec Equations'!$B$168)*((('Chemical Info'!AL45*'Res-Rec Equations'!$B$170)*'Res-Rec Equations'!$B$168)+'Res-Rec Equations'!$B$171+('Chemical Info'!AN45*41)*'Res-Rec Equations'!$B$173),"NA")</f>
        <v>107.5415184</v>
      </c>
      <c r="H44" s="112" t="str">
        <f>IF('Chemical Info'!H45="NA","NA",IF(AND('Chemical Info'!E45="Yes",'Chemical Info'!D45="Yes"),'Chemical Info'!H45*'Chemical Info'!AD45*'Res-Rec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Info'!E45="Yes",'Chemical Info'!D45=""),'Chemical Info'!H45*'Chemical Info'!AD45*'Res-Rec Equations'!$B$20*'Res-Rec Equations'!$B$23*((('Res-Rec Equations'!$B$26*'Res-Rec Equations'!$B$29)/'Res-Rec Equations'!$B$32)+(('Res-Rec Equations'!$B$27*'Res-Rec Equations'!$B$30)/'Res-Rec Equations'!$B$33)+(('Res-Rec Equations'!$B$28*'Res-Rec Equations'!$B$31)/'Res-Rec Equations'!$B$34)),IF(AND('Chemical Info'!E45="No",'Chemical Info'!D45="Yes"),'Chemical Info'!H45*'Chemical Info'!AD45*'Res-Rec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Info'!E45="No",'Chemical Info'!D45=""),'Chemical Info'!H45*'Chemical Info'!AD45*'Res-Rec Equations'!$B$19*'Res-Rec Equations'!$B$23*((('Res-Rec Equations'!$B$26*'Res-Rec Equations'!$B$29)/'Res-Rec Equations'!$B$32)+(('Res-Rec Equations'!$B$27*'Res-Rec Equations'!$B$30)/'Res-Rec Equations'!$B$33)+(('Res-Rec Equations'!$B$28*'Res-Rec Equations'!$B$31)/'Res-Rec Equations'!$B$34)))))))</f>
        <v>NA</v>
      </c>
      <c r="I44" s="166" t="str">
        <f>IF('Chemical Info'!H45="NA","NA",IF('Chemical Info'!E45="Yes",0,IF('Chemical Info'!D45="Yes",'Chemical Info'!H45/'Chemical Info'!AF45*('Res-Rec Equations'!$B$21*'Chemical Info'!AB45*'Res-Rec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Info'!H45/'Chemical Info'!AF45*('Res-Rec Equations'!$B$21*'Chemical Info'!AB45*'Res-Rec Equations'!$B$23)*((('Res-Rec Equations'!$B$26*'Res-Rec Equations'!$B$37*'Res-Rec Equations'!$B$40)/'Res-Rec Equations'!$B$32)+(('Res-Rec Equations'!$B$27*'Res-Rec Equations'!$B$38*'Res-Rec Equations'!$B$41)/'Res-Rec Equations'!$B$33)+(('Res-Rec Equations'!$B$28*'Res-Rec Equations'!$B$39*'Res-Rec Equations'!$B$42)/'Res-Rec Equations'!$B$34)))))</f>
        <v>NA</v>
      </c>
      <c r="J44" s="369" t="str">
        <f>IF('Chemical Info'!J45="NA","NA",IF(AND(E44="NA",'Chemical Info'!D45="Yes"),'Res-Rec Equations'!$B$22*1000*(('Res-Rec Equations'!$B$26*'Chemical Info'!J45*'Res-Rec Equations'!$B$59)+('Res-Rec Equations'!$B$27*'Chemical Info'!J45*'Res-Rec Equations'!$B$60)+('Res-Rec Equations'!$B$28*'Chemical Info'!J45*'Res-Rec Equations'!$B$61))*'Res-Rec Calculations'!C44,IF(AND(E44="NA",'Chemical Info'!D45=""),'Res-Rec Equations'!$B$22*1000*'Res-Rec Equations'!$B$25*'Chemical Info'!J45*'Res-Rec Calculations'!C44,IF(AND('Chemical Info'!E45="Yes",'Chemical Info'!D45="Yes"),'Res-Rec Equations'!$B$22*1000*(('Res-Rec Equations'!$B$26*'Chemical Info'!J45*'Res-Rec Equations'!$B$59)+('Res-Rec Equations'!$B$27*'Chemical Info'!J45*'Res-Rec Equations'!$B$60)+('Res-Rec Equations'!$B$28*'Chemical Info'!J45*'Res-Rec Equations'!$B$61))*'Res-Rec Calculations'!E44,IF(AND('Chemical Info'!E45="Yes",'Chemical Info'!D45=""),'Res-Rec Equations'!$B$22*1000*'Res-Rec Equations'!$B$25*'Chemical Info'!J45*'Res-Rec Calculations'!E44,IF('Chemical Info'!D45="Yes",'Res-Rec Equations'!$B$22*1000*(('Res-Rec Equations'!$B$26*'Chemical Info'!J45*'Res-Rec Equations'!$B$59)+('Res-Rec Equations'!$B$27*'Chemical Info'!J45*'Res-Rec Equations'!$B$60)+('Res-Rec Equations'!$B$28*'Chemical Info'!J45*'Res-Rec Equations'!$B$61))*('Res-Rec Calculations'!C44+'Res-Rec Calculations'!E44),IF('Chemical Info'!D45="",'Res-Rec Equations'!$B$22*1000*'Res-Rec Equations'!$B$25*'Chemical Info'!J45*('Res-Rec Calculations'!C44+'Res-Rec Calculations'!E44))))))))</f>
        <v>NA</v>
      </c>
      <c r="K44" s="370" t="str">
        <f>IF('Chemical Info'!J45="NA","NA",IF(AND(F44="NA",'Chemical Info'!D45="Yes"),'Res-Rec Equations'!$B$22*1000*(('Res-Rec Equations'!$B$26*'Chemical Info'!J45*'Res-Rec Equations'!$B$59)+('Res-Rec Equations'!$B$27*'Chemical Info'!J45*'Res-Rec Equations'!$B$60)+('Res-Rec Equations'!$B$28*'Chemical Info'!J45*'Res-Rec Equations'!$B$61))*'Res-Rec Calculations'!C44,IF(AND(F44="NA",'Chemical Info'!D45=""),'Res-Rec Equations'!$B$22*1000*'Res-Rec Equations'!$B$25*'Chemical Info'!J45*'Res-Rec Calculations'!C44,IF(AND('Chemical Info'!F45="Yes",'Chemical Info'!D45="Yes"),'Res-Rec Equations'!$B$22*1000*(('Res-Rec Equations'!$B$26*'Chemical Info'!J45*'Res-Rec Equations'!$B$59)+('Res-Rec Equations'!$B$27*'Chemical Info'!J45*'Res-Rec Equations'!$B$60)+('Res-Rec Equations'!$B$28*'Chemical Info'!J45*'Res-Rec Equations'!$B$61))*'Res-Rec Calculations'!F44,IF(AND('Chemical Info'!F45="Yes",'Chemical Info'!D45=""),'Res-Rec Equations'!$B$22*1000*'Res-Rec Equations'!$B$25*'Chemical Info'!J45*'Res-Rec Calculations'!F44,IF('Chemical Info'!D45="Yes",'Res-Rec Equations'!$B$22*1000*(('Res-Rec Equations'!$B$26*'Chemical Info'!J45*'Res-Rec Equations'!$B$59)+('Res-Rec Equations'!$B$27*'Chemical Info'!J45*'Res-Rec Equations'!$B$60)+('Res-Rec Equations'!$B$28*'Chemical Info'!J45*'Res-Rec Equations'!$B$61))*('Res-Rec Calculations'!C44+'Res-Rec Calculations'!F44),IF('Chemical Info'!D45="",'Res-Rec Equations'!$B$22*1000*'Res-Rec Equations'!$B$25*'Chemical Info'!J45*('Res-Rec Calculations'!C44+'Res-Rec Calculations'!F44))))))))</f>
        <v>NA</v>
      </c>
      <c r="L44" s="167" t="str">
        <f>IF(AND(H44="NA",I44="NA",J44="NA"),"NA",IF(H44="NA",'Res-Rec Equations'!$B$15*'Res-Rec Equations'!$B$16/J44,IF(J44="NA",'Res-Rec Equations'!$B$15*'Res-Rec Equations'!$B$16/(H44+I44),'Res-Rec Equations'!$B$15*'Res-Rec Equations'!$B$16/(H44+I44+J44))))</f>
        <v>NA</v>
      </c>
      <c r="M44" s="167" t="str">
        <f>IF(AND(H44="NA",I44="NA",K44="NA"),"NA",IF(H44="NA",'Res-Rec Equations'!$B$15*'Res-Rec Equations'!$B$16/K44,IF(K44="NA",'Res-Rec Equations'!$B$15*'Res-Rec Equations'!$B$16/(H44+I44),'Res-Rec Equations'!$B$15*'Res-Rec Equations'!$B$16/(H44+I44+K44))))</f>
        <v>NA</v>
      </c>
      <c r="N44" s="167" t="str">
        <f t="shared" si="14"/>
        <v>NA</v>
      </c>
      <c r="O44" s="371">
        <f>IF('Chemical Info'!L45="NA","NA",IF('Chemical Info'!E45="Yes",(('Res-Rec Equations'!$B$76*'Chemical Info'!AD45*'Res-Rec Equations'!$B$78*'Res-Rec Equations'!$B$79*'Res-Rec Equations'!$B$81)/('Res-Rec Equations'!$B$84*'Res-Rec Equations'!$B$85))/'Chemical Info'!L45,(('Res-Rec Equations'!$B$76*'Chemical Info'!AD45*'Res-Rec Equations'!$B$78*'Res-Rec Equations'!$B$79*'Res-Rec Equations'!$B$80)/('Res-Rec Equations'!$B$84*'Res-Rec Equations'!$B$85))/'Chemical Info'!L45))</f>
        <v>1.8264840182648402E-4</v>
      </c>
      <c r="P44" s="166">
        <f>IF('Chemical Info'!L45="NA","NA", IF('Chemical Info'!E45="Yes",0,((('Res-Rec Equations'!$B$87*'Res-Rec Equations'!$B$88*'Res-Rec Equations'!$B$78*'Res-Rec Equations'!$B$82*'Res-Rec Equations'!$B$79*'Chemical Info'!AB45)/('Res-Rec Equations'!$B$84*'Res-Rec Equations'!$B$85))/('Chemical Info'!L45*'Chemical Info'!AF45))))</f>
        <v>0</v>
      </c>
      <c r="Q44" s="166" t="str">
        <f>IF('Chemical Info'!N45="NA","NA",IF('Res-Rec Calculations'!E44="NA",(('Res-Rec Equations'!$B$83*'Res-Rec Equations'!$B$79*'Res-Rec Calculations'!C44)/('Res-Rec Equations'!$B$85))/('Chemical Info'!N45),IF('Chemical Info'!E45="Yes",(('Res-Rec Equations'!$B$83*'Res-Rec Equations'!$B$79*'Res-Rec Calculations'!E44)/('Res-Rec Equations'!$B$85))/('Chemical Info'!N45),(('Res-Rec Equations'!$B$83*'Res-Rec Equations'!$B$79*('Res-Rec Calculations'!C44+'Res-Rec Calculations'!E44))/('Res-Rec Equations'!$B$85))/('Chemical Info'!N45))))</f>
        <v>NA</v>
      </c>
      <c r="R44" s="166" t="str">
        <f>IF('Chemical Info'!N45="NA","NA",IF('Res-Rec Calculations'!F44="NA",(('Res-Rec Equations'!$B$83*'Res-Rec Equations'!$B$79*'Res-Rec Calculations'!C44)/('Res-Rec Equations'!$B$85))/('Chemical Info'!N45),IF('Chemical Info'!E45="Yes",(('Res-Rec Equations'!$B$83*'Res-Rec Equations'!$B$79*'Res-Rec Calculations'!F44)/('Res-Rec Equations'!$B$85))/('Chemical Info'!N45),(('Res-Rec Equations'!$B$83*'Res-Rec Equations'!$B$79*('Res-Rec Calculations'!C44+'Res-Rec Calculations'!F44))/('Res-Rec Equations'!$B$85))/('Chemical Info'!N45))))</f>
        <v>NA</v>
      </c>
      <c r="S44" s="167">
        <f>IF(AND(O44="NA",P44="NA",Q44="NA"),"NA",IF(O44="NA",'Res-Rec Equations'!$B$75/Q44,IF(Q44="NA",'Res-Rec Equations'!$B$75/(O44+P44),'Res-Rec Equations'!$B$75/(O44+P44+Q44))))</f>
        <v>1095</v>
      </c>
      <c r="T44" s="167">
        <f>IF(AND(O44="NA",P44="NA",R44="NA"),"NA",IF(O44="NA",'Res-Rec Equations'!$B$75/R44,IF(R44="NA",'Res-Rec Equations'!$B$75/(O44+P44),'Res-Rec Equations'!$B$75/(O44+P44+R44))))</f>
        <v>1095</v>
      </c>
      <c r="U44" s="168">
        <f t="shared" si="15"/>
        <v>1095</v>
      </c>
      <c r="V44" s="167" t="str">
        <f>IF('Chemical Info'!P45="NA","NA",(('Res-Rec Equations'!$B$185*'Res-Rec Equations'!$B$186)/('Res-Rec Equations'!$B$187*'Res-Rec Equations'!$B$188*(1/'Chemical Info'!P45))))</f>
        <v>NA</v>
      </c>
      <c r="W44" s="379" t="str">
        <f t="shared" si="16"/>
        <v>NA</v>
      </c>
      <c r="X44" s="372">
        <f t="shared" si="17"/>
        <v>107.5415184</v>
      </c>
      <c r="Y44" s="62">
        <f t="shared" si="18"/>
        <v>110</v>
      </c>
      <c r="Z44" s="100" t="str">
        <f t="shared" si="19"/>
        <v>Csat</v>
      </c>
      <c r="AA44" s="373"/>
      <c r="AB44" s="376"/>
    </row>
    <row r="45" spans="1:28">
      <c r="A45" s="413" t="s">
        <v>144</v>
      </c>
      <c r="B45" s="566" t="s">
        <v>145</v>
      </c>
      <c r="C45" s="367">
        <f>1/(('Res-Rec Equations'!$B$152*3600)/((0.036*(1-'Res-Rec Equations'!$B$153))*('Res-Rec Equations'!$B$154/'Res-Rec Equations'!$B$155)^3*'Res-Rec Equations'!$B$156))</f>
        <v>7.3567680901159717E-10</v>
      </c>
      <c r="D45" s="368">
        <f>(('Res-Rec Equations'!$B$132^(10/3)*'Chemical Info'!$AH46*'Chemical Info'!$AN46*41+'Res-Rec Equations'!$B$135^(10/3)*'Chemical Info'!$AJ46)/'Res-Rec Equations'!$B$137^2)/('Res-Rec Equations'!$B$139*'Chemical Info'!$AL46*'Res-Rec Equations'!$B$142+'Res-Rec Equations'!$B$135+'Res-Rec Equations'!$B$132*'Chemical Info'!$AN46*41)</f>
        <v>2.3562989864710327E-4</v>
      </c>
      <c r="E45" s="368">
        <f>IF(D45=0,"NA",1/(('Res-Rec Equations'!$B$103*(3.14*'Res-Rec Calculations'!$D45*'Res-Rec Equations'!$B$105)^(1/2)*0.0001)/(2*'Res-Rec Equations'!$B$106*'Res-Rec Calculations'!$D45)))</f>
        <v>9.0103940033214858E-5</v>
      </c>
      <c r="F45" s="368">
        <f>IF(D45=0,"NA",(1/('Res-Rec Equations'!$B$117*('Res-Rec Equations'!$B$118*(31500000))/('Res-Rec Equations'!$B$119*'Res-Rec Equations'!$B$120*1000000))))</f>
        <v>6.1914410640015851E-5</v>
      </c>
      <c r="G45" s="167">
        <f>IF('Chemical Info'!E46="Yes",('Chemical Info'!AP46/'Res-Rec Equations'!$B$168)*((('Chemical Info'!AL46*'Res-Rec Equations'!$B$170)*'Res-Rec Equations'!$B$168)+'Res-Rec Equations'!$B$171+('Chemical Info'!AN46*41)*'Res-Rec Equations'!$B$173),"NA")</f>
        <v>144.68429653333334</v>
      </c>
      <c r="H45" s="112" t="str">
        <f>IF('Chemical Info'!H46="NA","NA",IF(AND('Chemical Info'!E46="Yes",'Chemical Info'!D46="Yes"),'Chemical Info'!H46*'Chemical Info'!AD46*'Res-Rec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Info'!E46="Yes",'Chemical Info'!D46=""),'Chemical Info'!H46*'Chemical Info'!AD46*'Res-Rec Equations'!$B$20*'Res-Rec Equations'!$B$23*((('Res-Rec Equations'!$B$26*'Res-Rec Equations'!$B$29)/'Res-Rec Equations'!$B$32)+(('Res-Rec Equations'!$B$27*'Res-Rec Equations'!$B$30)/'Res-Rec Equations'!$B$33)+(('Res-Rec Equations'!$B$28*'Res-Rec Equations'!$B$31)/'Res-Rec Equations'!$B$34)),IF(AND('Chemical Info'!E46="No",'Chemical Info'!D46="Yes"),'Chemical Info'!H46*'Chemical Info'!AD46*'Res-Rec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Info'!E46="No",'Chemical Info'!D46=""),'Chemical Info'!H46*'Chemical Info'!AD46*'Res-Rec Equations'!$B$19*'Res-Rec Equations'!$B$23*((('Res-Rec Equations'!$B$26*'Res-Rec Equations'!$B$29)/'Res-Rec Equations'!$B$32)+(('Res-Rec Equations'!$B$27*'Res-Rec Equations'!$B$30)/'Res-Rec Equations'!$B$33)+(('Res-Rec Equations'!$B$28*'Res-Rec Equations'!$B$31)/'Res-Rec Equations'!$B$34)))))))</f>
        <v>NA</v>
      </c>
      <c r="I45" s="166" t="str">
        <f>IF('Chemical Info'!H46="NA","NA",IF('Chemical Info'!E46="Yes",0,IF('Chemical Info'!D46="Yes",'Chemical Info'!H46/'Chemical Info'!AF46*('Res-Rec Equations'!$B$21*'Chemical Info'!AB46*'Res-Rec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Info'!H46/'Chemical Info'!AF46*('Res-Rec Equations'!$B$21*'Chemical Info'!AB46*'Res-Rec Equations'!$B$23)*((('Res-Rec Equations'!$B$26*'Res-Rec Equations'!$B$37*'Res-Rec Equations'!$B$40)/'Res-Rec Equations'!$B$32)+(('Res-Rec Equations'!$B$27*'Res-Rec Equations'!$B$38*'Res-Rec Equations'!$B$41)/'Res-Rec Equations'!$B$33)+(('Res-Rec Equations'!$B$28*'Res-Rec Equations'!$B$39*'Res-Rec Equations'!$B$42)/'Res-Rec Equations'!$B$34)))))</f>
        <v>NA</v>
      </c>
      <c r="J45" s="369" t="str">
        <f>IF('Chemical Info'!J46="NA","NA",IF(AND(E45="NA",'Chemical Info'!D46="Yes"),'Res-Rec Equations'!$B$22*1000*(('Res-Rec Equations'!$B$26*'Chemical Info'!J46*'Res-Rec Equations'!$B$59)+('Res-Rec Equations'!$B$27*'Chemical Info'!J46*'Res-Rec Equations'!$B$60)+('Res-Rec Equations'!$B$28*'Chemical Info'!J46*'Res-Rec Equations'!$B$61))*'Res-Rec Calculations'!C45,IF(AND(E45="NA",'Chemical Info'!D46=""),'Res-Rec Equations'!$B$22*1000*'Res-Rec Equations'!$B$25*'Chemical Info'!J46*'Res-Rec Calculations'!C45,IF(AND('Chemical Info'!E46="Yes",'Chemical Info'!D46="Yes"),'Res-Rec Equations'!$B$22*1000*(('Res-Rec Equations'!$B$26*'Chemical Info'!J46*'Res-Rec Equations'!$B$59)+('Res-Rec Equations'!$B$27*'Chemical Info'!J46*'Res-Rec Equations'!$B$60)+('Res-Rec Equations'!$B$28*'Chemical Info'!J46*'Res-Rec Equations'!$B$61))*'Res-Rec Calculations'!E45,IF(AND('Chemical Info'!E46="Yes",'Chemical Info'!D46=""),'Res-Rec Equations'!$B$22*1000*'Res-Rec Equations'!$B$25*'Chemical Info'!J46*'Res-Rec Calculations'!E45,IF('Chemical Info'!D46="Yes",'Res-Rec Equations'!$B$22*1000*(('Res-Rec Equations'!$B$26*'Chemical Info'!J46*'Res-Rec Equations'!$B$59)+('Res-Rec Equations'!$B$27*'Chemical Info'!J46*'Res-Rec Equations'!$B$60)+('Res-Rec Equations'!$B$28*'Chemical Info'!J46*'Res-Rec Equations'!$B$61))*('Res-Rec Calculations'!C45+'Res-Rec Calculations'!E45),IF('Chemical Info'!D46="",'Res-Rec Equations'!$B$22*1000*'Res-Rec Equations'!$B$25*'Chemical Info'!J46*('Res-Rec Calculations'!C45+'Res-Rec Calculations'!E45))))))))</f>
        <v>NA</v>
      </c>
      <c r="K45" s="370" t="str">
        <f>IF('Chemical Info'!J46="NA","NA",IF(AND(F45="NA",'Chemical Info'!D46="Yes"),'Res-Rec Equations'!$B$22*1000*(('Res-Rec Equations'!$B$26*'Chemical Info'!J46*'Res-Rec Equations'!$B$59)+('Res-Rec Equations'!$B$27*'Chemical Info'!J46*'Res-Rec Equations'!$B$60)+('Res-Rec Equations'!$B$28*'Chemical Info'!J46*'Res-Rec Equations'!$B$61))*'Res-Rec Calculations'!C45,IF(AND(F45="NA",'Chemical Info'!D46=""),'Res-Rec Equations'!$B$22*1000*'Res-Rec Equations'!$B$25*'Chemical Info'!J46*'Res-Rec Calculations'!C45,IF(AND('Chemical Info'!F46="Yes",'Chemical Info'!D46="Yes"),'Res-Rec Equations'!$B$22*1000*(('Res-Rec Equations'!$B$26*'Chemical Info'!J46*'Res-Rec Equations'!$B$59)+('Res-Rec Equations'!$B$27*'Chemical Info'!J46*'Res-Rec Equations'!$B$60)+('Res-Rec Equations'!$B$28*'Chemical Info'!J46*'Res-Rec Equations'!$B$61))*'Res-Rec Calculations'!F45,IF(AND('Chemical Info'!F46="Yes",'Chemical Info'!D46=""),'Res-Rec Equations'!$B$22*1000*'Res-Rec Equations'!$B$25*'Chemical Info'!J46*'Res-Rec Calculations'!F45,IF('Chemical Info'!D46="Yes",'Res-Rec Equations'!$B$22*1000*(('Res-Rec Equations'!$B$26*'Chemical Info'!J46*'Res-Rec Equations'!$B$59)+('Res-Rec Equations'!$B$27*'Chemical Info'!J46*'Res-Rec Equations'!$B$60)+('Res-Rec Equations'!$B$28*'Chemical Info'!J46*'Res-Rec Equations'!$B$61))*('Res-Rec Calculations'!C45+'Res-Rec Calculations'!F45),IF('Chemical Info'!D46="",'Res-Rec Equations'!$B$22*1000*'Res-Rec Equations'!$B$25*'Chemical Info'!J46*('Res-Rec Calculations'!C45+'Res-Rec Calculations'!F45))))))))</f>
        <v>NA</v>
      </c>
      <c r="L45" s="167" t="str">
        <f>IF(AND(H45="NA",I45="NA",J45="NA"),"NA",IF(H45="NA",'Res-Rec Equations'!$B$15*'Res-Rec Equations'!$B$16/J45,IF(J45="NA",'Res-Rec Equations'!$B$15*'Res-Rec Equations'!$B$16/(H45+I45),'Res-Rec Equations'!$B$15*'Res-Rec Equations'!$B$16/(H45+I45+J45))))</f>
        <v>NA</v>
      </c>
      <c r="M45" s="167" t="str">
        <f>IF(AND(H45="NA",I45="NA",K45="NA"),"NA",IF(H45="NA",'Res-Rec Equations'!$B$15*'Res-Rec Equations'!$B$16/K45,IF(K45="NA",'Res-Rec Equations'!$B$15*'Res-Rec Equations'!$B$16/(H45+I45),'Res-Rec Equations'!$B$15*'Res-Rec Equations'!$B$16/(H45+I45+K45))))</f>
        <v>NA</v>
      </c>
      <c r="N45" s="167" t="str">
        <f t="shared" si="14"/>
        <v>NA</v>
      </c>
      <c r="O45" s="371">
        <f>IF('Chemical Info'!L46="NA","NA",IF('Chemical Info'!E46="Yes",(('Res-Rec Equations'!$B$76*'Chemical Info'!AD46*'Res-Rec Equations'!$B$78*'Res-Rec Equations'!$B$79*'Res-Rec Equations'!$B$81)/('Res-Rec Equations'!$B$84*'Res-Rec Equations'!$B$85))/'Chemical Info'!L46,(('Res-Rec Equations'!$B$76*'Chemical Info'!AD46*'Res-Rec Equations'!$B$78*'Res-Rec Equations'!$B$79*'Res-Rec Equations'!$B$80)/('Res-Rec Equations'!$B$84*'Res-Rec Equations'!$B$85))/'Chemical Info'!L46))</f>
        <v>9.1324200913242012E-5</v>
      </c>
      <c r="P45" s="166">
        <f>IF('Chemical Info'!L46="NA","NA", IF('Chemical Info'!E46="Yes",0,((('Res-Rec Equations'!$B$87*'Res-Rec Equations'!$B$88*'Res-Rec Equations'!$B$78*'Res-Rec Equations'!$B$82*'Res-Rec Equations'!$B$79*'Chemical Info'!AB46)/('Res-Rec Equations'!$B$84*'Res-Rec Equations'!$B$85))/('Chemical Info'!L46*'Chemical Info'!AF46))))</f>
        <v>0</v>
      </c>
      <c r="Q45" s="166" t="str">
        <f>IF('Chemical Info'!N46="NA","NA",IF('Res-Rec Calculations'!E45="NA",(('Res-Rec Equations'!$B$83*'Res-Rec Equations'!$B$79*'Res-Rec Calculations'!C45)/('Res-Rec Equations'!$B$85))/('Chemical Info'!N46),IF('Chemical Info'!E46="Yes",(('Res-Rec Equations'!$B$83*'Res-Rec Equations'!$B$79*'Res-Rec Calculations'!E45)/('Res-Rec Equations'!$B$85))/('Chemical Info'!N46),(('Res-Rec Equations'!$B$83*'Res-Rec Equations'!$B$79*('Res-Rec Calculations'!C45+'Res-Rec Calculations'!E45))/('Res-Rec Equations'!$B$85))/('Chemical Info'!N46))))</f>
        <v>NA</v>
      </c>
      <c r="R45" s="166" t="str">
        <f>IF('Chemical Info'!N46="NA","NA",IF('Res-Rec Calculations'!F45="NA",(('Res-Rec Equations'!$B$83*'Res-Rec Equations'!$B$79*'Res-Rec Calculations'!C45)/('Res-Rec Equations'!$B$85))/('Chemical Info'!N46),IF('Chemical Info'!E46="Yes",(('Res-Rec Equations'!$B$83*'Res-Rec Equations'!$B$79*'Res-Rec Calculations'!F45)/('Res-Rec Equations'!$B$85))/('Chemical Info'!N46),(('Res-Rec Equations'!$B$83*'Res-Rec Equations'!$B$79*('Res-Rec Calculations'!C45+'Res-Rec Calculations'!F45))/('Res-Rec Equations'!$B$85))/('Chemical Info'!N46))))</f>
        <v>NA</v>
      </c>
      <c r="S45" s="167">
        <f>IF(AND(O45="NA",P45="NA",Q45="NA"),"NA",IF(O45="NA",'Res-Rec Equations'!$B$75/Q45,IF(Q45="NA",'Res-Rec Equations'!$B$75/(O45+P45),'Res-Rec Equations'!$B$75/(O45+P45+Q45))))</f>
        <v>2190</v>
      </c>
      <c r="T45" s="167">
        <f>IF(AND(O45="NA",P45="NA",R45="NA"),"NA",IF(O45="NA",'Res-Rec Equations'!$B$75/R45,IF(R45="NA",'Res-Rec Equations'!$B$75/(O45+P45),'Res-Rec Equations'!$B$75/(O45+P45+R45))))</f>
        <v>2190</v>
      </c>
      <c r="U45" s="168">
        <f t="shared" si="15"/>
        <v>2190</v>
      </c>
      <c r="V45" s="167" t="str">
        <f>IF('Chemical Info'!P46="NA","NA",(('Res-Rec Equations'!$B$185*'Res-Rec Equations'!$B$186)/('Res-Rec Equations'!$B$187*'Res-Rec Equations'!$B$188*(1/'Chemical Info'!P46))))</f>
        <v>NA</v>
      </c>
      <c r="W45" s="379" t="str">
        <f t="shared" si="16"/>
        <v>NA</v>
      </c>
      <c r="X45" s="372">
        <f t="shared" si="17"/>
        <v>144.68429653333334</v>
      </c>
      <c r="Y45" s="62">
        <f t="shared" si="18"/>
        <v>140</v>
      </c>
      <c r="Z45" s="100" t="str">
        <f t="shared" si="19"/>
        <v>Csat</v>
      </c>
      <c r="AA45" s="373"/>
      <c r="AB45" s="376"/>
    </row>
    <row r="46" spans="1:28">
      <c r="A46" s="413" t="s">
        <v>146</v>
      </c>
      <c r="B46" s="566" t="s">
        <v>147</v>
      </c>
      <c r="C46" s="367">
        <f>1/(('Res-Rec Equations'!$B$152*3600)/((0.036*(1-'Res-Rec Equations'!$B$153))*('Res-Rec Equations'!$B$154/'Res-Rec Equations'!$B$155)^3*'Res-Rec Equations'!$B$156))</f>
        <v>7.3567680901159717E-10</v>
      </c>
      <c r="D46" s="368">
        <f>(('Res-Rec Equations'!$B$132^(10/3)*'Chemical Info'!$AH47*'Chemical Info'!$AN47*41+'Res-Rec Equations'!$B$135^(10/3)*'Chemical Info'!$AJ47)/'Res-Rec Equations'!$B$137^2)/('Res-Rec Equations'!$B$139*'Chemical Info'!$AL47*'Res-Rec Equations'!$B$142+'Res-Rec Equations'!$B$135+'Res-Rec Equations'!$B$132*'Chemical Info'!$AN47*41)</f>
        <v>2.3494294708038057E-4</v>
      </c>
      <c r="E46" s="368">
        <f>IF(D46=0,"NA",1/(('Res-Rec Equations'!$B$103*(3.14*'Res-Rec Calculations'!$D46*'Res-Rec Equations'!$B$105)^(1/2)*0.0001)/(2*'Res-Rec Equations'!$B$106*'Res-Rec Calculations'!$D46)))</f>
        <v>8.9972500384812143E-5</v>
      </c>
      <c r="F46" s="368">
        <f>IF(D46=0,"NA",(1/('Res-Rec Equations'!$B$117*('Res-Rec Equations'!$B$118*(31500000))/('Res-Rec Equations'!$B$119*'Res-Rec Equations'!$B$120*1000000))))</f>
        <v>6.1914410640015851E-5</v>
      </c>
      <c r="G46" s="167">
        <f>IF('Chemical Info'!E47="Yes",('Chemical Info'!AP47/'Res-Rec Equations'!$B$168)*((('Chemical Info'!AL47*'Res-Rec Equations'!$B$170)*'Res-Rec Equations'!$B$168)+'Res-Rec Equations'!$B$171+('Chemical Info'!AN47*41)*'Res-Rec Equations'!$B$173),"NA")</f>
        <v>183.10720800000001</v>
      </c>
      <c r="H46" s="112" t="str">
        <f>IF('Chemical Info'!H47="NA","NA",IF(AND('Chemical Info'!E47="Yes",'Chemical Info'!D47="Yes"),'Chemical Info'!H47*'Chemical Info'!AD47*'Res-Rec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Info'!E47="Yes",'Chemical Info'!D47=""),'Chemical Info'!H47*'Chemical Info'!AD47*'Res-Rec Equations'!$B$20*'Res-Rec Equations'!$B$23*((('Res-Rec Equations'!$B$26*'Res-Rec Equations'!$B$29)/'Res-Rec Equations'!$B$32)+(('Res-Rec Equations'!$B$27*'Res-Rec Equations'!$B$30)/'Res-Rec Equations'!$B$33)+(('Res-Rec Equations'!$B$28*'Res-Rec Equations'!$B$31)/'Res-Rec Equations'!$B$34)),IF(AND('Chemical Info'!E47="No",'Chemical Info'!D47="Yes"),'Chemical Info'!H47*'Chemical Info'!AD47*'Res-Rec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Info'!E47="No",'Chemical Info'!D47=""),'Chemical Info'!H47*'Chemical Info'!AD47*'Res-Rec Equations'!$B$19*'Res-Rec Equations'!$B$23*((('Res-Rec Equations'!$B$26*'Res-Rec Equations'!$B$29)/'Res-Rec Equations'!$B$32)+(('Res-Rec Equations'!$B$27*'Res-Rec Equations'!$B$30)/'Res-Rec Equations'!$B$33)+(('Res-Rec Equations'!$B$28*'Res-Rec Equations'!$B$31)/'Res-Rec Equations'!$B$34)))))))</f>
        <v>NA</v>
      </c>
      <c r="I46" s="166" t="str">
        <f>IF('Chemical Info'!H47="NA","NA",IF('Chemical Info'!E47="Yes",0,IF('Chemical Info'!D47="Yes",'Chemical Info'!H47/'Chemical Info'!AF47*('Res-Rec Equations'!$B$21*'Chemical Info'!AB47*'Res-Rec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Info'!H47/'Chemical Info'!AF47*('Res-Rec Equations'!$B$21*'Chemical Info'!AB47*'Res-Rec Equations'!$B$23)*((('Res-Rec Equations'!$B$26*'Res-Rec Equations'!$B$37*'Res-Rec Equations'!$B$40)/'Res-Rec Equations'!$B$32)+(('Res-Rec Equations'!$B$27*'Res-Rec Equations'!$B$38*'Res-Rec Equations'!$B$41)/'Res-Rec Equations'!$B$33)+(('Res-Rec Equations'!$B$28*'Res-Rec Equations'!$B$39*'Res-Rec Equations'!$B$42)/'Res-Rec Equations'!$B$34)))))</f>
        <v>NA</v>
      </c>
      <c r="J46" s="369" t="str">
        <f>IF('Chemical Info'!J47="NA","NA",IF(AND(E46="NA",'Chemical Info'!D47="Yes"),'Res-Rec Equations'!$B$22*1000*(('Res-Rec Equations'!$B$26*'Chemical Info'!J47*'Res-Rec Equations'!$B$59)+('Res-Rec Equations'!$B$27*'Chemical Info'!J47*'Res-Rec Equations'!$B$60)+('Res-Rec Equations'!$B$28*'Chemical Info'!J47*'Res-Rec Equations'!$B$61))*'Res-Rec Calculations'!C46,IF(AND(E46="NA",'Chemical Info'!D47=""),'Res-Rec Equations'!$B$22*1000*'Res-Rec Equations'!$B$25*'Chemical Info'!J47*'Res-Rec Calculations'!C46,IF(AND('Chemical Info'!E47="Yes",'Chemical Info'!D47="Yes"),'Res-Rec Equations'!$B$22*1000*(('Res-Rec Equations'!$B$26*'Chemical Info'!J47*'Res-Rec Equations'!$B$59)+('Res-Rec Equations'!$B$27*'Chemical Info'!J47*'Res-Rec Equations'!$B$60)+('Res-Rec Equations'!$B$28*'Chemical Info'!J47*'Res-Rec Equations'!$B$61))*'Res-Rec Calculations'!E46,IF(AND('Chemical Info'!E47="Yes",'Chemical Info'!D47=""),'Res-Rec Equations'!$B$22*1000*'Res-Rec Equations'!$B$25*'Chemical Info'!J47*'Res-Rec Calculations'!E46,IF('Chemical Info'!D47="Yes",'Res-Rec Equations'!$B$22*1000*(('Res-Rec Equations'!$B$26*'Chemical Info'!J47*'Res-Rec Equations'!$B$59)+('Res-Rec Equations'!$B$27*'Chemical Info'!J47*'Res-Rec Equations'!$B$60)+('Res-Rec Equations'!$B$28*'Chemical Info'!J47*'Res-Rec Equations'!$B$61))*('Res-Rec Calculations'!C46+'Res-Rec Calculations'!E46),IF('Chemical Info'!D47="",'Res-Rec Equations'!$B$22*1000*'Res-Rec Equations'!$B$25*'Chemical Info'!J47*('Res-Rec Calculations'!C46+'Res-Rec Calculations'!E46))))))))</f>
        <v>NA</v>
      </c>
      <c r="K46" s="370" t="str">
        <f>IF('Chemical Info'!J47="NA","NA",IF(AND(F46="NA",'Chemical Info'!D47="Yes"),'Res-Rec Equations'!$B$22*1000*(('Res-Rec Equations'!$B$26*'Chemical Info'!J47*'Res-Rec Equations'!$B$59)+('Res-Rec Equations'!$B$27*'Chemical Info'!J47*'Res-Rec Equations'!$B$60)+('Res-Rec Equations'!$B$28*'Chemical Info'!J47*'Res-Rec Equations'!$B$61))*'Res-Rec Calculations'!C46,IF(AND(F46="NA",'Chemical Info'!D47=""),'Res-Rec Equations'!$B$22*1000*'Res-Rec Equations'!$B$25*'Chemical Info'!J47*'Res-Rec Calculations'!C46,IF(AND('Chemical Info'!F47="Yes",'Chemical Info'!D47="Yes"),'Res-Rec Equations'!$B$22*1000*(('Res-Rec Equations'!$B$26*'Chemical Info'!J47*'Res-Rec Equations'!$B$59)+('Res-Rec Equations'!$B$27*'Chemical Info'!J47*'Res-Rec Equations'!$B$60)+('Res-Rec Equations'!$B$28*'Chemical Info'!J47*'Res-Rec Equations'!$B$61))*'Res-Rec Calculations'!F46,IF(AND('Chemical Info'!F47="Yes",'Chemical Info'!D47=""),'Res-Rec Equations'!$B$22*1000*'Res-Rec Equations'!$B$25*'Chemical Info'!J47*'Res-Rec Calculations'!F46,IF('Chemical Info'!D47="Yes",'Res-Rec Equations'!$B$22*1000*(('Res-Rec Equations'!$B$26*'Chemical Info'!J47*'Res-Rec Equations'!$B$59)+('Res-Rec Equations'!$B$27*'Chemical Info'!J47*'Res-Rec Equations'!$B$60)+('Res-Rec Equations'!$B$28*'Chemical Info'!J47*'Res-Rec Equations'!$B$61))*('Res-Rec Calculations'!C46+'Res-Rec Calculations'!F46),IF('Chemical Info'!D47="",'Res-Rec Equations'!$B$22*1000*'Res-Rec Equations'!$B$25*'Chemical Info'!J47*('Res-Rec Calculations'!C46+'Res-Rec Calculations'!F46))))))))</f>
        <v>NA</v>
      </c>
      <c r="L46" s="167" t="str">
        <f>IF(AND(H46="NA",I46="NA",J46="NA"),"NA",IF(H46="NA",'Res-Rec Equations'!$B$15*'Res-Rec Equations'!$B$16/J46,IF(J46="NA",'Res-Rec Equations'!$B$15*'Res-Rec Equations'!$B$16/(H46+I46),'Res-Rec Equations'!$B$15*'Res-Rec Equations'!$B$16/(H46+I46+J46))))</f>
        <v>NA</v>
      </c>
      <c r="M46" s="167" t="str">
        <f>IF(AND(H46="NA",I46="NA",K46="NA"),"NA",IF(H46="NA",'Res-Rec Equations'!$B$15*'Res-Rec Equations'!$B$16/K46,IF(K46="NA",'Res-Rec Equations'!$B$15*'Res-Rec Equations'!$B$16/(H46+I46),'Res-Rec Equations'!$B$15*'Res-Rec Equations'!$B$16/(H46+I46+K46))))</f>
        <v>NA</v>
      </c>
      <c r="N46" s="167" t="str">
        <f t="shared" si="14"/>
        <v>NA</v>
      </c>
      <c r="O46" s="371">
        <f>IF('Chemical Info'!L47="NA","NA",IF('Chemical Info'!E47="Yes",(('Res-Rec Equations'!$B$76*'Chemical Info'!AD47*'Res-Rec Equations'!$B$78*'Res-Rec Equations'!$B$79*'Res-Rec Equations'!$B$81)/('Res-Rec Equations'!$B$84*'Res-Rec Equations'!$B$85))/'Chemical Info'!L47,(('Res-Rec Equations'!$B$76*'Chemical Info'!AD47*'Res-Rec Equations'!$B$78*'Res-Rec Equations'!$B$79*'Res-Rec Equations'!$B$80)/('Res-Rec Equations'!$B$84*'Res-Rec Equations'!$B$85))/'Chemical Info'!L47))</f>
        <v>9.1324200913242012E-5</v>
      </c>
      <c r="P46" s="166">
        <f>IF('Chemical Info'!L47="NA","NA", IF('Chemical Info'!E47="Yes",0,((('Res-Rec Equations'!$B$87*'Res-Rec Equations'!$B$88*'Res-Rec Equations'!$B$78*'Res-Rec Equations'!$B$82*'Res-Rec Equations'!$B$79*'Chemical Info'!AB47)/('Res-Rec Equations'!$B$84*'Res-Rec Equations'!$B$85))/('Chemical Info'!L47*'Chemical Info'!AF47))))</f>
        <v>0</v>
      </c>
      <c r="Q46" s="166" t="str">
        <f>IF('Chemical Info'!N47="NA","NA",IF('Res-Rec Calculations'!E46="NA",(('Res-Rec Equations'!$B$83*'Res-Rec Equations'!$B$79*'Res-Rec Calculations'!C46)/('Res-Rec Equations'!$B$85))/('Chemical Info'!N47),IF('Chemical Info'!E47="Yes",(('Res-Rec Equations'!$B$83*'Res-Rec Equations'!$B$79*'Res-Rec Calculations'!E46)/('Res-Rec Equations'!$B$85))/('Chemical Info'!N47),(('Res-Rec Equations'!$B$83*'Res-Rec Equations'!$B$79*('Res-Rec Calculations'!C46+'Res-Rec Calculations'!E46))/('Res-Rec Equations'!$B$85))/('Chemical Info'!N47))))</f>
        <v>NA</v>
      </c>
      <c r="R46" s="166" t="str">
        <f>IF('Chemical Info'!N47="NA","NA",IF('Res-Rec Calculations'!F46="NA",(('Res-Rec Equations'!$B$83*'Res-Rec Equations'!$B$79*'Res-Rec Calculations'!C46)/('Res-Rec Equations'!$B$85))/('Chemical Info'!N47),IF('Chemical Info'!E47="Yes",(('Res-Rec Equations'!$B$83*'Res-Rec Equations'!$B$79*'Res-Rec Calculations'!F46)/('Res-Rec Equations'!$B$85))/('Chemical Info'!N47),(('Res-Rec Equations'!$B$83*'Res-Rec Equations'!$B$79*('Res-Rec Calculations'!C46+'Res-Rec Calculations'!F46))/('Res-Rec Equations'!$B$85))/('Chemical Info'!N47))))</f>
        <v>NA</v>
      </c>
      <c r="S46" s="167">
        <f>IF(AND(O46="NA",P46="NA",Q46="NA"),"NA",IF(O46="NA",'Res-Rec Equations'!$B$75/Q46,IF(Q46="NA",'Res-Rec Equations'!$B$75/(O46+P46),'Res-Rec Equations'!$B$75/(O46+P46+Q46))))</f>
        <v>2190</v>
      </c>
      <c r="T46" s="167">
        <f>IF(AND(O46="NA",P46="NA",R46="NA"),"NA",IF(O46="NA",'Res-Rec Equations'!$B$75/R46,IF(R46="NA",'Res-Rec Equations'!$B$75/(O46+P46),'Res-Rec Equations'!$B$75/(O46+P46+R46))))</f>
        <v>2190</v>
      </c>
      <c r="U46" s="168">
        <f t="shared" si="15"/>
        <v>2190</v>
      </c>
      <c r="V46" s="167" t="str">
        <f>IF('Chemical Info'!P47="NA","NA",(('Res-Rec Equations'!$B$185*'Res-Rec Equations'!$B$186)/('Res-Rec Equations'!$B$187*'Res-Rec Equations'!$B$188*(1/'Chemical Info'!P47))))</f>
        <v>NA</v>
      </c>
      <c r="W46" s="379" t="str">
        <f t="shared" si="16"/>
        <v>NA</v>
      </c>
      <c r="X46" s="372">
        <f t="shared" si="17"/>
        <v>183.10720800000001</v>
      </c>
      <c r="Y46" s="62">
        <f t="shared" si="18"/>
        <v>180</v>
      </c>
      <c r="Z46" s="100" t="str">
        <f t="shared" si="19"/>
        <v>Csat</v>
      </c>
      <c r="AA46" s="373"/>
      <c r="AB46" s="376"/>
    </row>
    <row r="47" spans="1:28">
      <c r="A47" s="413" t="s">
        <v>148</v>
      </c>
      <c r="B47" s="566" t="s">
        <v>149</v>
      </c>
      <c r="C47" s="367">
        <f>1/(('Res-Rec Equations'!$B$152*3600)/((0.036*(1-'Res-Rec Equations'!$B$153))*('Res-Rec Equations'!$B$154/'Res-Rec Equations'!$B$155)^3*'Res-Rec Equations'!$B$156))</f>
        <v>7.3567680901159717E-10</v>
      </c>
      <c r="D47" s="368">
        <f>(('Res-Rec Equations'!$B$132^(10/3)*'Chemical Info'!$AH48*'Chemical Info'!$AN48*41+'Res-Rec Equations'!$B$135^(10/3)*'Chemical Info'!$AJ48)/'Res-Rec Equations'!$B$137^2)/('Res-Rec Equations'!$B$139*'Chemical Info'!$AL48*'Res-Rec Equations'!$B$142+'Res-Rec Equations'!$B$135+'Res-Rec Equations'!$B$132*'Chemical Info'!$AN48*41)</f>
        <v>9.3811971715478497E-3</v>
      </c>
      <c r="E47" s="368">
        <f>IF(D47=0,"NA",1/(('Res-Rec Equations'!$B$103*(3.14*'Res-Rec Calculations'!$D47*'Res-Rec Equations'!$B$105)^(1/2)*0.0001)/(2*'Res-Rec Equations'!$B$106*'Res-Rec Calculations'!$D47)))</f>
        <v>5.6853566771075269E-4</v>
      </c>
      <c r="F47" s="368">
        <f>IF(D47=0,"NA",(1/('Res-Rec Equations'!$B$117*('Res-Rec Equations'!$B$118*(31500000))/('Res-Rec Equations'!$B$119*'Res-Rec Equations'!$B$120*1000000))))</f>
        <v>6.1914410640015851E-5</v>
      </c>
      <c r="G47" s="167">
        <f>IF('Chemical Info'!E48="Yes",('Chemical Info'!AP48/'Res-Rec Equations'!$B$168)*((('Chemical Info'!AL48*'Res-Rec Equations'!$B$170)*'Res-Rec Equations'!$B$168)+'Res-Rec Equations'!$B$171+('Chemical Info'!AN48*41)*'Res-Rec Equations'!$B$173),"NA")</f>
        <v>735.6700800000001</v>
      </c>
      <c r="H47" s="112" t="str">
        <f>IF('Chemical Info'!H48="NA","NA",IF(AND('Chemical Info'!E48="Yes",'Chemical Info'!D48="Yes"),'Chemical Info'!H48*'Chemical Info'!AD48*'Res-Rec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Info'!E48="Yes",'Chemical Info'!D48=""),'Chemical Info'!H48*'Chemical Info'!AD48*'Res-Rec Equations'!$B$20*'Res-Rec Equations'!$B$23*((('Res-Rec Equations'!$B$26*'Res-Rec Equations'!$B$29)/'Res-Rec Equations'!$B$32)+(('Res-Rec Equations'!$B$27*'Res-Rec Equations'!$B$30)/'Res-Rec Equations'!$B$33)+(('Res-Rec Equations'!$B$28*'Res-Rec Equations'!$B$31)/'Res-Rec Equations'!$B$34)),IF(AND('Chemical Info'!E48="No",'Chemical Info'!D48="Yes"),'Chemical Info'!H48*'Chemical Info'!AD48*'Res-Rec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Info'!E48="No",'Chemical Info'!D48=""),'Chemical Info'!H48*'Chemical Info'!AD48*'Res-Rec Equations'!$B$19*'Res-Rec Equations'!$B$23*((('Res-Rec Equations'!$B$26*'Res-Rec Equations'!$B$29)/'Res-Rec Equations'!$B$32)+(('Res-Rec Equations'!$B$27*'Res-Rec Equations'!$B$30)/'Res-Rec Equations'!$B$33)+(('Res-Rec Equations'!$B$28*'Res-Rec Equations'!$B$31)/'Res-Rec Equations'!$B$34)))))))</f>
        <v>NA</v>
      </c>
      <c r="I47" s="166" t="str">
        <f>IF('Chemical Info'!H48="NA","NA",IF('Chemical Info'!E48="Yes",0,IF('Chemical Info'!D48="Yes",'Chemical Info'!H48/'Chemical Info'!AF48*('Res-Rec Equations'!$B$21*'Chemical Info'!AB48*'Res-Rec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Info'!H48/'Chemical Info'!AF48*('Res-Rec Equations'!$B$21*'Chemical Info'!AB48*'Res-Rec Equations'!$B$23)*((('Res-Rec Equations'!$B$26*'Res-Rec Equations'!$B$37*'Res-Rec Equations'!$B$40)/'Res-Rec Equations'!$B$32)+(('Res-Rec Equations'!$B$27*'Res-Rec Equations'!$B$38*'Res-Rec Equations'!$B$41)/'Res-Rec Equations'!$B$33)+(('Res-Rec Equations'!$B$28*'Res-Rec Equations'!$B$39*'Res-Rec Equations'!$B$42)/'Res-Rec Equations'!$B$34)))))</f>
        <v>NA</v>
      </c>
      <c r="J47" s="369" t="str">
        <f>IF('Chemical Info'!J48="NA","NA",IF(AND(E47="NA",'Chemical Info'!D48="Yes"),'Res-Rec Equations'!$B$22*1000*(('Res-Rec Equations'!$B$26*'Chemical Info'!J48*'Res-Rec Equations'!$B$59)+('Res-Rec Equations'!$B$27*'Chemical Info'!J48*'Res-Rec Equations'!$B$60)+('Res-Rec Equations'!$B$28*'Chemical Info'!J48*'Res-Rec Equations'!$B$61))*'Res-Rec Calculations'!C47,IF(AND(E47="NA",'Chemical Info'!D48=""),'Res-Rec Equations'!$B$22*1000*'Res-Rec Equations'!$B$25*'Chemical Info'!J48*'Res-Rec Calculations'!C47,IF(AND('Chemical Info'!E48="Yes",'Chemical Info'!D48="Yes"),'Res-Rec Equations'!$B$22*1000*(('Res-Rec Equations'!$B$26*'Chemical Info'!J48*'Res-Rec Equations'!$B$59)+('Res-Rec Equations'!$B$27*'Chemical Info'!J48*'Res-Rec Equations'!$B$60)+('Res-Rec Equations'!$B$28*'Chemical Info'!J48*'Res-Rec Equations'!$B$61))*'Res-Rec Calculations'!E47,IF(AND('Chemical Info'!E48="Yes",'Chemical Info'!D48=""),'Res-Rec Equations'!$B$22*1000*'Res-Rec Equations'!$B$25*'Chemical Info'!J48*'Res-Rec Calculations'!E47,IF('Chemical Info'!D48="Yes",'Res-Rec Equations'!$B$22*1000*(('Res-Rec Equations'!$B$26*'Chemical Info'!J48*'Res-Rec Equations'!$B$59)+('Res-Rec Equations'!$B$27*'Chemical Info'!J48*'Res-Rec Equations'!$B$60)+('Res-Rec Equations'!$B$28*'Chemical Info'!J48*'Res-Rec Equations'!$B$61))*('Res-Rec Calculations'!C47+'Res-Rec Calculations'!E47),IF('Chemical Info'!D48="",'Res-Rec Equations'!$B$22*1000*'Res-Rec Equations'!$B$25*'Chemical Info'!J48*('Res-Rec Calculations'!C47+'Res-Rec Calculations'!E47))))))))</f>
        <v>NA</v>
      </c>
      <c r="K47" s="370" t="str">
        <f>IF('Chemical Info'!J48="NA","NA",IF(AND(F47="NA",'Chemical Info'!D48="Yes"),'Res-Rec Equations'!$B$22*1000*(('Res-Rec Equations'!$B$26*'Chemical Info'!J48*'Res-Rec Equations'!$B$59)+('Res-Rec Equations'!$B$27*'Chemical Info'!J48*'Res-Rec Equations'!$B$60)+('Res-Rec Equations'!$B$28*'Chemical Info'!J48*'Res-Rec Equations'!$B$61))*'Res-Rec Calculations'!C47,IF(AND(F47="NA",'Chemical Info'!D48=""),'Res-Rec Equations'!$B$22*1000*'Res-Rec Equations'!$B$25*'Chemical Info'!J48*'Res-Rec Calculations'!C47,IF(AND('Chemical Info'!F48="Yes",'Chemical Info'!D48="Yes"),'Res-Rec Equations'!$B$22*1000*(('Res-Rec Equations'!$B$26*'Chemical Info'!J48*'Res-Rec Equations'!$B$59)+('Res-Rec Equations'!$B$27*'Chemical Info'!J48*'Res-Rec Equations'!$B$60)+('Res-Rec Equations'!$B$28*'Chemical Info'!J48*'Res-Rec Equations'!$B$61))*'Res-Rec Calculations'!F47,IF(AND('Chemical Info'!F48="Yes",'Chemical Info'!D48=""),'Res-Rec Equations'!$B$22*1000*'Res-Rec Equations'!$B$25*'Chemical Info'!J48*'Res-Rec Calculations'!F47,IF('Chemical Info'!D48="Yes",'Res-Rec Equations'!$B$22*1000*(('Res-Rec Equations'!$B$26*'Chemical Info'!J48*'Res-Rec Equations'!$B$59)+('Res-Rec Equations'!$B$27*'Chemical Info'!J48*'Res-Rec Equations'!$B$60)+('Res-Rec Equations'!$B$28*'Chemical Info'!J48*'Res-Rec Equations'!$B$61))*('Res-Rec Calculations'!C47+'Res-Rec Calculations'!F47),IF('Chemical Info'!D48="",'Res-Rec Equations'!$B$22*1000*'Res-Rec Equations'!$B$25*'Chemical Info'!J48*('Res-Rec Calculations'!C47+'Res-Rec Calculations'!F47))))))))</f>
        <v>NA</v>
      </c>
      <c r="L47" s="167" t="str">
        <f>IF(AND(H47="NA",I47="NA",J47="NA"),"NA",IF(H47="NA",'Res-Rec Equations'!$B$15*'Res-Rec Equations'!$B$16/J47,IF(J47="NA",'Res-Rec Equations'!$B$15*'Res-Rec Equations'!$B$16/(H47+I47),'Res-Rec Equations'!$B$15*'Res-Rec Equations'!$B$16/(H47+I47+J47))))</f>
        <v>NA</v>
      </c>
      <c r="M47" s="167" t="str">
        <f>IF(AND(H47="NA",I47="NA",K47="NA"),"NA",IF(H47="NA",'Res-Rec Equations'!$B$15*'Res-Rec Equations'!$B$16/K47,IF(K47="NA",'Res-Rec Equations'!$B$15*'Res-Rec Equations'!$B$16/(H47+I47),'Res-Rec Equations'!$B$15*'Res-Rec Equations'!$B$16/(H47+I47+K47))))</f>
        <v>NA</v>
      </c>
      <c r="N47" s="167" t="str">
        <f t="shared" si="14"/>
        <v>NA</v>
      </c>
      <c r="O47" s="371">
        <f>IF('Chemical Info'!L48="NA","NA",IF('Chemical Info'!E48="Yes",(('Res-Rec Equations'!$B$76*'Chemical Info'!AD48*'Res-Rec Equations'!$B$78*'Res-Rec Equations'!$B$79*'Res-Rec Equations'!$B$81)/('Res-Rec Equations'!$B$84*'Res-Rec Equations'!$B$85))/'Chemical Info'!L48,(('Res-Rec Equations'!$B$76*'Chemical Info'!AD48*'Res-Rec Equations'!$B$78*'Res-Rec Equations'!$B$79*'Res-Rec Equations'!$B$80)/('Res-Rec Equations'!$B$84*'Res-Rec Equations'!$B$85))/'Chemical Info'!L48))</f>
        <v>9.1324200913242012E-5</v>
      </c>
      <c r="P47" s="166">
        <f>IF('Chemical Info'!L48="NA","NA", IF('Chemical Info'!E48="Yes",0,((('Res-Rec Equations'!$B$87*'Res-Rec Equations'!$B$88*'Res-Rec Equations'!$B$78*'Res-Rec Equations'!$B$82*'Res-Rec Equations'!$B$79*'Chemical Info'!AB48)/('Res-Rec Equations'!$B$84*'Res-Rec Equations'!$B$85))/('Chemical Info'!L48*'Chemical Info'!AF48))))</f>
        <v>0</v>
      </c>
      <c r="Q47" s="166">
        <f>IF('Chemical Info'!N48="NA","NA",IF('Res-Rec Calculations'!E47="NA",(('Res-Rec Equations'!$B$83*'Res-Rec Equations'!$B$79*'Res-Rec Calculations'!C47)/('Res-Rec Equations'!$B$85))/('Chemical Info'!N48),IF('Chemical Info'!E48="Yes",(('Res-Rec Equations'!$B$83*'Res-Rec Equations'!$B$79*'Res-Rec Calculations'!E47)/('Res-Rec Equations'!$B$85))/('Chemical Info'!N48),(('Res-Rec Equations'!$B$83*'Res-Rec Equations'!$B$79*('Res-Rec Calculations'!C47+'Res-Rec Calculations'!E47))/('Res-Rec Equations'!$B$85))/('Chemical Info'!N48))))</f>
        <v>5.5629713083243904E-4</v>
      </c>
      <c r="R47" s="166">
        <f>IF('Chemical Info'!N48="NA","NA",IF('Res-Rec Calculations'!F47="NA",(('Res-Rec Equations'!$B$83*'Res-Rec Equations'!$B$79*'Res-Rec Calculations'!C47)/('Res-Rec Equations'!$B$85))/('Chemical Info'!N48),IF('Chemical Info'!E48="Yes",(('Res-Rec Equations'!$B$83*'Res-Rec Equations'!$B$79*'Res-Rec Calculations'!F47)/('Res-Rec Equations'!$B$85))/('Chemical Info'!N48),(('Res-Rec Equations'!$B$83*'Res-Rec Equations'!$B$79*('Res-Rec Calculations'!C47+'Res-Rec Calculations'!F47))/('Res-Rec Equations'!$B$85))/('Chemical Info'!N48))))</f>
        <v>6.0581615107647605E-5</v>
      </c>
      <c r="S47" s="167">
        <f>IF(AND(O47="NA",P47="NA",Q47="NA"),"NA",IF(O47="NA",'Res-Rec Equations'!$B$75/Q47,IF(Q47="NA",'Res-Rec Equations'!$B$75/(O47+P47),'Res-Rec Equations'!$B$75/(O47+P47+Q47))))</f>
        <v>308.82244020729604</v>
      </c>
      <c r="T47" s="167">
        <f>IF(AND(O47="NA",P47="NA",R47="NA"),"NA",IF(O47="NA",'Res-Rec Equations'!$B$75/R47,IF(R47="NA",'Res-Rec Equations'!$B$75/(O47+P47),'Res-Rec Equations'!$B$75/(O47+P47+R47))))</f>
        <v>1316.6052837140655</v>
      </c>
      <c r="U47" s="168">
        <f t="shared" si="15"/>
        <v>1316.6052837140655</v>
      </c>
      <c r="V47" s="167" t="str">
        <f>IF('Chemical Info'!P48="NA","NA",(('Res-Rec Equations'!$B$185*'Res-Rec Equations'!$B$186)/('Res-Rec Equations'!$B$187*'Res-Rec Equations'!$B$188*(1/'Chemical Info'!P48))))</f>
        <v>NA</v>
      </c>
      <c r="W47" s="379" t="str">
        <f t="shared" si="16"/>
        <v>NA</v>
      </c>
      <c r="X47" s="372">
        <f t="shared" si="17"/>
        <v>735.6700800000001</v>
      </c>
      <c r="Y47" s="62">
        <f t="shared" si="18"/>
        <v>740</v>
      </c>
      <c r="Z47" s="100" t="str">
        <f t="shared" si="19"/>
        <v>Csat</v>
      </c>
      <c r="AA47" s="373"/>
    </row>
    <row r="48" spans="1:28">
      <c r="A48" s="413" t="s">
        <v>150</v>
      </c>
      <c r="B48" s="566" t="s">
        <v>151</v>
      </c>
      <c r="C48" s="367">
        <f>1/(('Res-Rec Equations'!$B$152*3600)/((0.036*(1-'Res-Rec Equations'!$B$153))*('Res-Rec Equations'!$B$154/'Res-Rec Equations'!$B$155)^3*'Res-Rec Equations'!$B$156))</f>
        <v>7.3567680901159717E-10</v>
      </c>
      <c r="D48" s="368">
        <f>(('Res-Rec Equations'!$B$132^(10/3)*'Chemical Info'!$AH49*'Chemical Info'!$AN49*41+'Res-Rec Equations'!$B$135^(10/3)*'Chemical Info'!$AJ49)/'Res-Rec Equations'!$B$137^2)/('Res-Rec Equations'!$B$139*'Chemical Info'!$AL49*'Res-Rec Equations'!$B$142+'Res-Rec Equations'!$B$135+'Res-Rec Equations'!$B$132*'Chemical Info'!$AN49*41)</f>
        <v>5.721656342970608E-3</v>
      </c>
      <c r="E48" s="368">
        <f>IF(D48=0,"NA",1/(('Res-Rec Equations'!$B$103*(3.14*'Res-Rec Calculations'!$D48*'Res-Rec Equations'!$B$105)^(1/2)*0.0001)/(2*'Res-Rec Equations'!$B$106*'Res-Rec Calculations'!$D48)))</f>
        <v>4.4400664372697937E-4</v>
      </c>
      <c r="F48" s="368">
        <f>IF(D48=0,"NA",(1/('Res-Rec Equations'!$B$117*('Res-Rec Equations'!$B$118*(31500000))/('Res-Rec Equations'!$B$119*'Res-Rec Equations'!$B$120*1000000))))</f>
        <v>6.1914410640015851E-5</v>
      </c>
      <c r="G48" s="167">
        <f>IF('Chemical Info'!E49="Yes",('Chemical Info'!AP49/'Res-Rec Equations'!$B$168)*((('Chemical Info'!AL49*'Res-Rec Equations'!$B$170)*'Res-Rec Equations'!$B$168)+'Res-Rec Equations'!$B$171+('Chemical Info'!AN49*41)*'Res-Rec Equations'!$B$173),"NA")</f>
        <v>455.63559599999996</v>
      </c>
      <c r="H48" s="112">
        <f>IF('Chemical Info'!H49="NA","NA",IF(AND('Chemical Info'!E49="Yes",'Chemical Info'!D49="Yes"),'Chemical Info'!H49*'Chemical Info'!AD49*'Res-Rec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Info'!E49="Yes",'Chemical Info'!D49=""),'Chemical Info'!H49*'Chemical Info'!AD49*'Res-Rec Equations'!$B$20*'Res-Rec Equations'!$B$23*((('Res-Rec Equations'!$B$26*'Res-Rec Equations'!$B$29)/'Res-Rec Equations'!$B$32)+(('Res-Rec Equations'!$B$27*'Res-Rec Equations'!$B$30)/'Res-Rec Equations'!$B$33)+(('Res-Rec Equations'!$B$28*'Res-Rec Equations'!$B$31)/'Res-Rec Equations'!$B$34)),IF(AND('Chemical Info'!E49="No",'Chemical Info'!D49="Yes"),'Chemical Info'!H49*'Chemical Info'!AD49*'Res-Rec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Info'!E49="No",'Chemical Info'!D49=""),'Chemical Info'!H49*'Chemical Info'!AD49*'Res-Rec Equations'!$B$19*'Res-Rec Equations'!$B$23*((('Res-Rec Equations'!$B$26*'Res-Rec Equations'!$B$29)/'Res-Rec Equations'!$B$32)+(('Res-Rec Equations'!$B$27*'Res-Rec Equations'!$B$30)/'Res-Rec Equations'!$B$33)+(('Res-Rec Equations'!$B$28*'Res-Rec Equations'!$B$31)/'Res-Rec Equations'!$B$34)))))))</f>
        <v>1.1203236130867709E-2</v>
      </c>
      <c r="I48" s="166">
        <f>IF('Chemical Info'!H49="NA","NA",IF('Chemical Info'!E49="Yes",0,IF('Chemical Info'!D49="Yes",'Chemical Info'!H49/'Chemical Info'!AF49*('Res-Rec Equations'!$B$21*'Chemical Info'!AB49*'Res-Rec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Info'!H49/'Chemical Info'!AF49*('Res-Rec Equations'!$B$21*'Chemical Info'!AB49*'Res-Rec Equations'!$B$23)*((('Res-Rec Equations'!$B$26*'Res-Rec Equations'!$B$37*'Res-Rec Equations'!$B$40)/'Res-Rec Equations'!$B$32)+(('Res-Rec Equations'!$B$27*'Res-Rec Equations'!$B$38*'Res-Rec Equations'!$B$41)/'Res-Rec Equations'!$B$33)+(('Res-Rec Equations'!$B$28*'Res-Rec Equations'!$B$39*'Res-Rec Equations'!$B$42)/'Res-Rec Equations'!$B$34)))))</f>
        <v>0</v>
      </c>
      <c r="J48" s="369">
        <f>IF('Chemical Info'!J49="NA","NA",IF(AND(E48="NA",'Chemical Info'!D49="Yes"),'Res-Rec Equations'!$B$22*1000*(('Res-Rec Equations'!$B$26*'Chemical Info'!J49*'Res-Rec Equations'!$B$59)+('Res-Rec Equations'!$B$27*'Chemical Info'!J49*'Res-Rec Equations'!$B$60)+('Res-Rec Equations'!$B$28*'Chemical Info'!J49*'Res-Rec Equations'!$B$61))*'Res-Rec Calculations'!C48,IF(AND(E48="NA",'Chemical Info'!D49=""),'Res-Rec Equations'!$B$22*1000*'Res-Rec Equations'!$B$25*'Chemical Info'!J49*'Res-Rec Calculations'!C48,IF(AND('Chemical Info'!E49="Yes",'Chemical Info'!D49="Yes"),'Res-Rec Equations'!$B$22*1000*(('Res-Rec Equations'!$B$26*'Chemical Info'!J49*'Res-Rec Equations'!$B$59)+('Res-Rec Equations'!$B$27*'Chemical Info'!J49*'Res-Rec Equations'!$B$60)+('Res-Rec Equations'!$B$28*'Chemical Info'!J49*'Res-Rec Equations'!$B$61))*'Res-Rec Calculations'!E48,IF(AND('Chemical Info'!E49="Yes",'Chemical Info'!D49=""),'Res-Rec Equations'!$B$22*1000*'Res-Rec Equations'!$B$25*'Chemical Info'!J49*'Res-Rec Calculations'!E48,IF('Chemical Info'!D49="Yes",'Res-Rec Equations'!$B$22*1000*(('Res-Rec Equations'!$B$26*'Chemical Info'!J49*'Res-Rec Equations'!$B$59)+('Res-Rec Equations'!$B$27*'Chemical Info'!J49*'Res-Rec Equations'!$B$60)+('Res-Rec Equations'!$B$28*'Chemical Info'!J49*'Res-Rec Equations'!$B$61))*('Res-Rec Calculations'!C48+'Res-Rec Calculations'!E48),IF('Chemical Info'!D49="",'Res-Rec Equations'!$B$22*1000*'Res-Rec Equations'!$B$25*'Chemical Info'!J49*('Res-Rec Calculations'!C48+'Res-Rec Calculations'!E48))))))))</f>
        <v>4.7952717522513781E-2</v>
      </c>
      <c r="K48" s="370">
        <f>IF('Chemical Info'!J49="NA","NA",IF(AND(F48="NA",'Chemical Info'!D49="Yes"),'Res-Rec Equations'!$B$22*1000*(('Res-Rec Equations'!$B$26*'Chemical Info'!J49*'Res-Rec Equations'!$B$59)+('Res-Rec Equations'!$B$27*'Chemical Info'!J49*'Res-Rec Equations'!$B$60)+('Res-Rec Equations'!$B$28*'Chemical Info'!J49*'Res-Rec Equations'!$B$61))*'Res-Rec Calculations'!C48,IF(AND(F48="NA",'Chemical Info'!D49=""),'Res-Rec Equations'!$B$22*1000*'Res-Rec Equations'!$B$25*'Chemical Info'!J49*'Res-Rec Calculations'!C48,IF(AND('Chemical Info'!F49="Yes",'Chemical Info'!D49="Yes"),'Res-Rec Equations'!$B$22*1000*(('Res-Rec Equations'!$B$26*'Chemical Info'!J49*'Res-Rec Equations'!$B$59)+('Res-Rec Equations'!$B$27*'Chemical Info'!J49*'Res-Rec Equations'!$B$60)+('Res-Rec Equations'!$B$28*'Chemical Info'!J49*'Res-Rec Equations'!$B$61))*'Res-Rec Calculations'!F48,IF(AND('Chemical Info'!F49="Yes",'Chemical Info'!D49=""),'Res-Rec Equations'!$B$22*1000*'Res-Rec Equations'!$B$25*'Chemical Info'!J49*'Res-Rec Calculations'!F48,IF('Chemical Info'!D49="Yes",'Res-Rec Equations'!$B$22*1000*(('Res-Rec Equations'!$B$26*'Chemical Info'!J49*'Res-Rec Equations'!$B$59)+('Res-Rec Equations'!$B$27*'Chemical Info'!J49*'Res-Rec Equations'!$B$60)+('Res-Rec Equations'!$B$28*'Chemical Info'!J49*'Res-Rec Equations'!$B$61))*('Res-Rec Calculations'!C48+'Res-Rec Calculations'!F48),IF('Chemical Info'!D49="",'Res-Rec Equations'!$B$22*1000*'Res-Rec Equations'!$B$25*'Chemical Info'!J49*('Res-Rec Calculations'!C48+'Res-Rec Calculations'!F48))))))))</f>
        <v>6.6868358022170856E-3</v>
      </c>
      <c r="L48" s="167">
        <f>IF(AND(H48="NA",I48="NA",J48="NA"),"NA",IF(H48="NA",'Res-Rec Equations'!$B$15*'Res-Rec Equations'!$B$16/J48,IF(J48="NA",'Res-Rec Equations'!$B$15*'Res-Rec Equations'!$B$16/(H48+I48),'Res-Rec Equations'!$B$15*'Res-Rec Equations'!$B$16/(H48+I48+J48))))</f>
        <v>4.3190918955863209</v>
      </c>
      <c r="M48" s="167">
        <f>IF(AND(H48="NA",I48="NA",K48="NA"),"NA",IF(H48="NA",'Res-Rec Equations'!$B$15*'Res-Rec Equations'!$B$16/K48,IF(K48="NA",'Res-Rec Equations'!$B$15*'Res-Rec Equations'!$B$16/(H48+I48),'Res-Rec Equations'!$B$15*'Res-Rec Equations'!$B$16/(H48+I48+K48))))</f>
        <v>14.281664207704726</v>
      </c>
      <c r="N48" s="167">
        <f t="shared" si="14"/>
        <v>14.281664207704726</v>
      </c>
      <c r="O48" s="371">
        <f>IF('Chemical Info'!L49="NA","NA",IF('Chemical Info'!E49="Yes",(('Res-Rec Equations'!$B$76*'Chemical Info'!AD49*'Res-Rec Equations'!$B$78*'Res-Rec Equations'!$B$79*'Res-Rec Equations'!$B$81)/('Res-Rec Equations'!$B$84*'Res-Rec Equations'!$B$85))/'Chemical Info'!L49,(('Res-Rec Equations'!$B$76*'Chemical Info'!AD49*'Res-Rec Equations'!$B$78*'Res-Rec Equations'!$B$79*'Res-Rec Equations'!$B$80)/('Res-Rec Equations'!$B$84*'Res-Rec Equations'!$B$85))/'Chemical Info'!L49))</f>
        <v>2.7674000276740004E-3</v>
      </c>
      <c r="P48" s="166">
        <f>IF('Chemical Info'!L49="NA","NA", IF('Chemical Info'!E49="Yes",0,((('Res-Rec Equations'!$B$87*'Res-Rec Equations'!$B$88*'Res-Rec Equations'!$B$78*'Res-Rec Equations'!$B$82*'Res-Rec Equations'!$B$79*'Chemical Info'!AB49)/('Res-Rec Equations'!$B$84*'Res-Rec Equations'!$B$85))/('Chemical Info'!L49*'Chemical Info'!AF49))))</f>
        <v>0</v>
      </c>
      <c r="Q48" s="166">
        <f>IF('Chemical Info'!N49="NA","NA",IF('Res-Rec Calculations'!E48="NA",(('Res-Rec Equations'!$B$83*'Res-Rec Equations'!$B$79*'Res-Rec Calculations'!C48)/('Res-Rec Equations'!$B$85))/('Chemical Info'!N49),IF('Chemical Info'!E49="Yes",(('Res-Rec Equations'!$B$83*'Res-Rec Equations'!$B$79*'Res-Rec Calculations'!E48)/('Res-Rec Equations'!$B$85))/('Chemical Info'!N49),(('Res-Rec Equations'!$B$83*'Res-Rec Equations'!$B$79*('Res-Rec Calculations'!C48+'Res-Rec Calculations'!E48))/('Res-Rec Equations'!$B$85))/('Chemical Info'!N49))))</f>
        <v>3.0411413953902698E-3</v>
      </c>
      <c r="R48" s="166">
        <f>IF('Chemical Info'!N49="NA","NA",IF('Res-Rec Calculations'!F48="NA",(('Res-Rec Equations'!$B$83*'Res-Rec Equations'!$B$79*'Res-Rec Calculations'!C48)/('Res-Rec Equations'!$B$85))/('Chemical Info'!N49),IF('Chemical Info'!E49="Yes",(('Res-Rec Equations'!$B$83*'Res-Rec Equations'!$B$79*'Res-Rec Calculations'!F48)/('Res-Rec Equations'!$B$85))/('Chemical Info'!N49),(('Res-Rec Equations'!$B$83*'Res-Rec Equations'!$B$79*('Res-Rec Calculations'!C48+'Res-Rec Calculations'!F48))/('Res-Rec Equations'!$B$85))/('Chemical Info'!N49))))</f>
        <v>4.2407130575353321E-4</v>
      </c>
      <c r="S48" s="167">
        <f>IF(AND(O48="NA",P48="NA",Q48="NA"),"NA",IF(O48="NA",'Res-Rec Equations'!$B$75/Q48,IF(Q48="NA",'Res-Rec Equations'!$B$75/(O48+P48),'Res-Rec Equations'!$B$75/(O48+P48+Q48))))</f>
        <v>34.432051944374514</v>
      </c>
      <c r="T48" s="167">
        <f>IF(AND(O48="NA",P48="NA",R48="NA"),"NA",IF(O48="NA",'Res-Rec Equations'!$B$75/R48,IF(R48="NA",'Res-Rec Equations'!$B$75/(O48+P48),'Res-Rec Equations'!$B$75/(O48+P48+R48))))</f>
        <v>62.667020663853719</v>
      </c>
      <c r="U48" s="168">
        <f t="shared" si="15"/>
        <v>62.667020663853719</v>
      </c>
      <c r="V48" s="167" t="str">
        <f>IF('Chemical Info'!P49="NA","NA",(('Res-Rec Equations'!$B$185*'Res-Rec Equations'!$B$186)/('Res-Rec Equations'!$B$187*'Res-Rec Equations'!$B$188*(1/'Chemical Info'!P49))))</f>
        <v>NA</v>
      </c>
      <c r="W48" s="379" t="str">
        <f t="shared" si="16"/>
        <v>NA</v>
      </c>
      <c r="X48" s="372">
        <f t="shared" si="17"/>
        <v>14.281664207704726</v>
      </c>
      <c r="Y48" s="62">
        <f t="shared" si="18"/>
        <v>14</v>
      </c>
      <c r="Z48" s="100" t="str">
        <f t="shared" si="19"/>
        <v>Cancer</v>
      </c>
      <c r="AA48" s="373"/>
    </row>
    <row r="49" spans="1:27">
      <c r="A49" s="413" t="s">
        <v>19</v>
      </c>
      <c r="B49" s="566" t="s">
        <v>20</v>
      </c>
      <c r="C49" s="367">
        <f>1/(('Res-Rec Equations'!$B$152*3600)/((0.036*(1-'Res-Rec Equations'!$B$153))*('Res-Rec Equations'!$B$154/'Res-Rec Equations'!$B$155)^3*'Res-Rec Equations'!$B$156))</f>
        <v>7.3567680901159717E-10</v>
      </c>
      <c r="D49" s="368">
        <f>(('Res-Rec Equations'!$B$132^(10/3)*'Chemical Info'!$AH50*'Chemical Info'!$AN50*41+'Res-Rec Equations'!$B$135^(10/3)*'Chemical Info'!$AJ50)/'Res-Rec Equations'!$B$137^2)/('Res-Rec Equations'!$B$139*'Chemical Info'!$AL50*'Res-Rec Equations'!$B$142+'Res-Rec Equations'!$B$135+'Res-Rec Equations'!$B$132*'Chemical Info'!$AN50*41)</f>
        <v>3.0621147466741716E-4</v>
      </c>
      <c r="E49" s="368">
        <f>IF(D49=0,"NA",1/(('Res-Rec Equations'!$B$103*(3.14*'Res-Rec Calculations'!$D49*'Res-Rec Equations'!$B$105)^(1/2)*0.0001)/(2*'Res-Rec Equations'!$B$106*'Res-Rec Calculations'!$D49)))</f>
        <v>1.0271628753470715E-4</v>
      </c>
      <c r="F49" s="368">
        <f>IF(D49=0,"NA",(1/('Res-Rec Equations'!$B$117*('Res-Rec Equations'!$B$118*(31500000))/('Res-Rec Equations'!$B$119*'Res-Rec Equations'!$B$120*1000000))))</f>
        <v>6.1914410640015851E-5</v>
      </c>
      <c r="G49" s="167">
        <f>IF('Chemical Info'!E50="Yes",('Chemical Info'!AP50/'Res-Rec Equations'!$B$168)*((('Chemical Info'!AL50*'Res-Rec Equations'!$B$170)*'Res-Rec Equations'!$B$168)+'Res-Rec Equations'!$B$171+('Chemical Info'!AN50*41)*'Res-Rec Equations'!$B$173),"NA")</f>
        <v>760.5465296000001</v>
      </c>
      <c r="H49" s="112" t="str">
        <f>IF('Chemical Info'!H50="NA","NA",IF(AND('Chemical Info'!E50="Yes",'Chemical Info'!D50="Yes"),'Chemical Info'!H50*'Chemical Info'!AD50*'Res-Rec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Info'!E50="Yes",'Chemical Info'!D50=""),'Chemical Info'!H50*'Chemical Info'!AD50*'Res-Rec Equations'!$B$20*'Res-Rec Equations'!$B$23*((('Res-Rec Equations'!$B$26*'Res-Rec Equations'!$B$29)/'Res-Rec Equations'!$B$32)+(('Res-Rec Equations'!$B$27*'Res-Rec Equations'!$B$30)/'Res-Rec Equations'!$B$33)+(('Res-Rec Equations'!$B$28*'Res-Rec Equations'!$B$31)/'Res-Rec Equations'!$B$34)),IF(AND('Chemical Info'!E50="No",'Chemical Info'!D50="Yes"),'Chemical Info'!H50*'Chemical Info'!AD50*'Res-Rec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Info'!E50="No",'Chemical Info'!D50=""),'Chemical Info'!H50*'Chemical Info'!AD50*'Res-Rec Equations'!$B$19*'Res-Rec Equations'!$B$23*((('Res-Rec Equations'!$B$26*'Res-Rec Equations'!$B$29)/'Res-Rec Equations'!$B$32)+(('Res-Rec Equations'!$B$27*'Res-Rec Equations'!$B$30)/'Res-Rec Equations'!$B$33)+(('Res-Rec Equations'!$B$28*'Res-Rec Equations'!$B$31)/'Res-Rec Equations'!$B$34)))))))</f>
        <v>NA</v>
      </c>
      <c r="I49" s="166" t="str">
        <f>IF('Chemical Info'!H50="NA","NA",IF('Chemical Info'!E50="Yes",0,IF('Chemical Info'!D50="Yes",'Chemical Info'!H50/'Chemical Info'!AF50*('Res-Rec Equations'!$B$21*'Chemical Info'!AB50*'Res-Rec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Info'!H50/'Chemical Info'!AF50*('Res-Rec Equations'!$B$21*'Chemical Info'!AB50*'Res-Rec Equations'!$B$23)*((('Res-Rec Equations'!$B$26*'Res-Rec Equations'!$B$37*'Res-Rec Equations'!$B$40)/'Res-Rec Equations'!$B$32)+(('Res-Rec Equations'!$B$27*'Res-Rec Equations'!$B$38*'Res-Rec Equations'!$B$41)/'Res-Rec Equations'!$B$33)+(('Res-Rec Equations'!$B$28*'Res-Rec Equations'!$B$39*'Res-Rec Equations'!$B$42)/'Res-Rec Equations'!$B$34)))))</f>
        <v>NA</v>
      </c>
      <c r="J49" s="369" t="str">
        <f>IF('Chemical Info'!J50="NA","NA",IF(AND(E49="NA",'Chemical Info'!D50="Yes"),'Res-Rec Equations'!$B$22*1000*(('Res-Rec Equations'!$B$26*'Chemical Info'!J50*'Res-Rec Equations'!$B$59)+('Res-Rec Equations'!$B$27*'Chemical Info'!J50*'Res-Rec Equations'!$B$60)+('Res-Rec Equations'!$B$28*'Chemical Info'!J50*'Res-Rec Equations'!$B$61))*'Res-Rec Calculations'!C49,IF(AND(E49="NA",'Chemical Info'!D50=""),'Res-Rec Equations'!$B$22*1000*'Res-Rec Equations'!$B$25*'Chemical Info'!J50*'Res-Rec Calculations'!C49,IF(AND('Chemical Info'!E50="Yes",'Chemical Info'!D50="Yes"),'Res-Rec Equations'!$B$22*1000*(('Res-Rec Equations'!$B$26*'Chemical Info'!J50*'Res-Rec Equations'!$B$59)+('Res-Rec Equations'!$B$27*'Chemical Info'!J50*'Res-Rec Equations'!$B$60)+('Res-Rec Equations'!$B$28*'Chemical Info'!J50*'Res-Rec Equations'!$B$61))*'Res-Rec Calculations'!E49,IF(AND('Chemical Info'!E50="Yes",'Chemical Info'!D50=""),'Res-Rec Equations'!$B$22*1000*'Res-Rec Equations'!$B$25*'Chemical Info'!J50*'Res-Rec Calculations'!E49,IF('Chemical Info'!D50="Yes",'Res-Rec Equations'!$B$22*1000*(('Res-Rec Equations'!$B$26*'Chemical Info'!J50*'Res-Rec Equations'!$B$59)+('Res-Rec Equations'!$B$27*'Chemical Info'!J50*'Res-Rec Equations'!$B$60)+('Res-Rec Equations'!$B$28*'Chemical Info'!J50*'Res-Rec Equations'!$B$61))*('Res-Rec Calculations'!C49+'Res-Rec Calculations'!E49),IF('Chemical Info'!D50="",'Res-Rec Equations'!$B$22*1000*'Res-Rec Equations'!$B$25*'Chemical Info'!J50*('Res-Rec Calculations'!C49+'Res-Rec Calculations'!E49))))))))</f>
        <v>NA</v>
      </c>
      <c r="K49" s="370" t="str">
        <f>IF('Chemical Info'!J50="NA","NA",IF(AND(F49="NA",'Chemical Info'!D50="Yes"),'Res-Rec Equations'!$B$22*1000*(('Res-Rec Equations'!$B$26*'Chemical Info'!J50*'Res-Rec Equations'!$B$59)+('Res-Rec Equations'!$B$27*'Chemical Info'!J50*'Res-Rec Equations'!$B$60)+('Res-Rec Equations'!$B$28*'Chemical Info'!J50*'Res-Rec Equations'!$B$61))*'Res-Rec Calculations'!C49,IF(AND(F49="NA",'Chemical Info'!D50=""),'Res-Rec Equations'!$B$22*1000*'Res-Rec Equations'!$B$25*'Chemical Info'!J50*'Res-Rec Calculations'!C49,IF(AND('Chemical Info'!F50="Yes",'Chemical Info'!D50="Yes"),'Res-Rec Equations'!$B$22*1000*(('Res-Rec Equations'!$B$26*'Chemical Info'!J50*'Res-Rec Equations'!$B$59)+('Res-Rec Equations'!$B$27*'Chemical Info'!J50*'Res-Rec Equations'!$B$60)+('Res-Rec Equations'!$B$28*'Chemical Info'!J50*'Res-Rec Equations'!$B$61))*'Res-Rec Calculations'!F49,IF(AND('Chemical Info'!F50="Yes",'Chemical Info'!D50=""),'Res-Rec Equations'!$B$22*1000*'Res-Rec Equations'!$B$25*'Chemical Info'!J50*'Res-Rec Calculations'!F49,IF('Chemical Info'!D50="Yes",'Res-Rec Equations'!$B$22*1000*(('Res-Rec Equations'!$B$26*'Chemical Info'!J50*'Res-Rec Equations'!$B$59)+('Res-Rec Equations'!$B$27*'Chemical Info'!J50*'Res-Rec Equations'!$B$60)+('Res-Rec Equations'!$B$28*'Chemical Info'!J50*'Res-Rec Equations'!$B$61))*('Res-Rec Calculations'!C49+'Res-Rec Calculations'!F49),IF('Chemical Info'!D50="",'Res-Rec Equations'!$B$22*1000*'Res-Rec Equations'!$B$25*'Chemical Info'!J50*('Res-Rec Calculations'!C49+'Res-Rec Calculations'!F49))))))))</f>
        <v>NA</v>
      </c>
      <c r="L49" s="167" t="str">
        <f>IF(AND(H49="NA",I49="NA",J49="NA"),"NA",IF(H49="NA",'Res-Rec Equations'!$B$15*'Res-Rec Equations'!$B$16/J49,IF(J49="NA",'Res-Rec Equations'!$B$15*'Res-Rec Equations'!$B$16/(H49+I49),'Res-Rec Equations'!$B$15*'Res-Rec Equations'!$B$16/(H49+I49+J49))))</f>
        <v>NA</v>
      </c>
      <c r="M49" s="167" t="str">
        <f>IF(AND(H49="NA",I49="NA",K49="NA"),"NA",IF(H49="NA",'Res-Rec Equations'!$B$15*'Res-Rec Equations'!$B$16/K49,IF(K49="NA",'Res-Rec Equations'!$B$15*'Res-Rec Equations'!$B$16/(H49+I49),'Res-Rec Equations'!$B$15*'Res-Rec Equations'!$B$16/(H49+I49+K49))))</f>
        <v>NA</v>
      </c>
      <c r="N49" s="167" t="str">
        <f t="shared" si="14"/>
        <v>NA</v>
      </c>
      <c r="O49" s="371">
        <f>IF('Chemical Info'!L50="NA","NA",IF('Chemical Info'!E50="Yes",(('Res-Rec Equations'!$B$76*'Chemical Info'!AD50*'Res-Rec Equations'!$B$78*'Res-Rec Equations'!$B$79*'Res-Rec Equations'!$B$81)/('Res-Rec Equations'!$B$84*'Res-Rec Equations'!$B$85))/'Chemical Info'!L50,(('Res-Rec Equations'!$B$76*'Chemical Info'!AD50*'Res-Rec Equations'!$B$78*'Res-Rec Equations'!$B$79*'Res-Rec Equations'!$B$80)/('Res-Rec Equations'!$B$84*'Res-Rec Equations'!$B$85))/'Chemical Info'!L50))</f>
        <v>4.5662100456621003E-4</v>
      </c>
      <c r="P49" s="166">
        <f>IF('Chemical Info'!L50="NA","NA", IF('Chemical Info'!E50="Yes",0,((('Res-Rec Equations'!$B$87*'Res-Rec Equations'!$B$88*'Res-Rec Equations'!$B$78*'Res-Rec Equations'!$B$82*'Res-Rec Equations'!$B$79*'Chemical Info'!AB50)/('Res-Rec Equations'!$B$84*'Res-Rec Equations'!$B$85))/('Chemical Info'!L50*'Chemical Info'!AF50))))</f>
        <v>0</v>
      </c>
      <c r="Q49" s="166">
        <f>IF('Chemical Info'!N50="NA","NA",IF('Res-Rec Calculations'!E49="NA",(('Res-Rec Equations'!$B$83*'Res-Rec Equations'!$B$79*'Res-Rec Calculations'!C49)/('Res-Rec Equations'!$B$85))/('Chemical Info'!N50),IF('Chemical Info'!E50="Yes",(('Res-Rec Equations'!$B$83*'Res-Rec Equations'!$B$79*'Res-Rec Calculations'!E49)/('Res-Rec Equations'!$B$85))/('Chemical Info'!N50),(('Res-Rec Equations'!$B$83*'Res-Rec Equations'!$B$79*('Res-Rec Calculations'!C49+'Res-Rec Calculations'!E49))/('Res-Rec Equations'!$B$85))/('Chemical Info'!N50))))</f>
        <v>1.4070724319822897E-3</v>
      </c>
      <c r="R49" s="166">
        <f>IF('Chemical Info'!N50="NA","NA",IF('Res-Rec Calculations'!F49="NA",(('Res-Rec Equations'!$B$83*'Res-Rec Equations'!$B$79*'Res-Rec Calculations'!C49)/('Res-Rec Equations'!$B$85))/('Chemical Info'!N50),IF('Chemical Info'!E50="Yes",(('Res-Rec Equations'!$B$83*'Res-Rec Equations'!$B$79*'Res-Rec Calculations'!F49)/('Res-Rec Equations'!$B$85))/('Chemical Info'!N50),(('Res-Rec Equations'!$B$83*'Res-Rec Equations'!$B$79*('Res-Rec Calculations'!C49+'Res-Rec Calculations'!F49))/('Res-Rec Equations'!$B$85))/('Chemical Info'!N50))))</f>
        <v>8.4814261150706642E-4</v>
      </c>
      <c r="S49" s="167">
        <f>IF(AND(O49="NA",P49="NA",Q49="NA"),"NA",IF(O49="NA",'Res-Rec Equations'!$B$75/Q49,IF(Q49="NA",'Res-Rec Equations'!$B$75/(O49+P49),'Res-Rec Equations'!$B$75/(O49+P49+Q49))))</f>
        <v>107.31378674080302</v>
      </c>
      <c r="T49" s="167">
        <f>IF(AND(O49="NA",P49="NA",R49="NA"),"NA",IF(O49="NA",'Res-Rec Equations'!$B$75/R49,IF(R49="NA",'Res-Rec Equations'!$B$75/(O49+P49),'Res-Rec Equations'!$B$75/(O49+P49+R49))))</f>
        <v>153.28447048662022</v>
      </c>
      <c r="U49" s="168">
        <f t="shared" si="15"/>
        <v>153.28447048662022</v>
      </c>
      <c r="V49" s="167" t="str">
        <f>IF('Chemical Info'!P50="NA","NA",(('Res-Rec Equations'!$B$185*'Res-Rec Equations'!$B$186)/('Res-Rec Equations'!$B$187*'Res-Rec Equations'!$B$188*(1/'Chemical Info'!P50))))</f>
        <v>NA</v>
      </c>
      <c r="W49" s="379" t="str">
        <f t="shared" si="16"/>
        <v>NA</v>
      </c>
      <c r="X49" s="372">
        <f t="shared" si="17"/>
        <v>153.28447048662022</v>
      </c>
      <c r="Y49" s="62">
        <f t="shared" si="18"/>
        <v>150</v>
      </c>
      <c r="Z49" s="100" t="str">
        <f t="shared" si="19"/>
        <v>Noncancer</v>
      </c>
      <c r="AA49" s="373"/>
    </row>
    <row r="50" spans="1:27">
      <c r="A50" s="413" t="s">
        <v>320</v>
      </c>
      <c r="B50" s="566" t="s">
        <v>21</v>
      </c>
      <c r="C50" s="367">
        <f>1/(('Res-Rec Equations'!$B$152*3600)/((0.036*(1-'Res-Rec Equations'!$B$153))*('Res-Rec Equations'!$B$154/'Res-Rec Equations'!$B$155)^3*'Res-Rec Equations'!$B$156))</f>
        <v>7.3567680901159717E-10</v>
      </c>
      <c r="D50" s="368">
        <f>(('Res-Rec Equations'!$B$132^(10/3)*'Chemical Info'!$AH51*'Chemical Info'!$AN51*41+'Res-Rec Equations'!$B$135^(10/3)*'Chemical Info'!$AJ51)/'Res-Rec Equations'!$B$137^2)/('Res-Rec Equations'!$B$139*'Chemical Info'!$AL51*'Res-Rec Equations'!$B$142+'Res-Rec Equations'!$B$135+'Res-Rec Equations'!$B$132*'Chemical Info'!$AN51*41)</f>
        <v>7.6129890825126691E-3</v>
      </c>
      <c r="E50" s="368">
        <f>IF(D50=0,"NA",1/(('Res-Rec Equations'!$B$103*(3.14*'Res-Rec Calculations'!$D50*'Res-Rec Equations'!$B$105)^(1/2)*0.0001)/(2*'Res-Rec Equations'!$B$106*'Res-Rec Calculations'!$D50)))</f>
        <v>5.1216062566436396E-4</v>
      </c>
      <c r="F50" s="368">
        <f>IF(D50=0,"NA",(1/('Res-Rec Equations'!$B$117*('Res-Rec Equations'!$B$118*(31500000))/('Res-Rec Equations'!$B$119*'Res-Rec Equations'!$B$120*1000000))))</f>
        <v>6.1914410640015851E-5</v>
      </c>
      <c r="G50" s="167">
        <f>IF('Chemical Info'!E51="Yes",('Chemical Info'!AP51/'Res-Rec Equations'!$B$168)*((('Chemical Info'!AL51*'Res-Rec Equations'!$B$170)*'Res-Rec Equations'!$B$168)+'Res-Rec Equations'!$B$171+('Chemical Info'!AN51*41)*'Res-Rec Equations'!$B$173),"NA")</f>
        <v>2115.87772</v>
      </c>
      <c r="H50" s="112" t="str">
        <f>IF('Chemical Info'!H51="NA","NA",IF(AND('Chemical Info'!E51="Yes",'Chemical Info'!D51="Yes"),'Chemical Info'!H51*'Chemical Info'!AD51*'Res-Rec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Info'!E51="Yes",'Chemical Info'!D51=""),'Chemical Info'!H51*'Chemical Info'!AD51*'Res-Rec Equations'!$B$20*'Res-Rec Equations'!$B$23*((('Res-Rec Equations'!$B$26*'Res-Rec Equations'!$B$29)/'Res-Rec Equations'!$B$32)+(('Res-Rec Equations'!$B$27*'Res-Rec Equations'!$B$30)/'Res-Rec Equations'!$B$33)+(('Res-Rec Equations'!$B$28*'Res-Rec Equations'!$B$31)/'Res-Rec Equations'!$B$34)),IF(AND('Chemical Info'!E51="No",'Chemical Info'!D51="Yes"),'Chemical Info'!H51*'Chemical Info'!AD51*'Res-Rec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Info'!E51="No",'Chemical Info'!D51=""),'Chemical Info'!H51*'Chemical Info'!AD51*'Res-Rec Equations'!$B$19*'Res-Rec Equations'!$B$23*((('Res-Rec Equations'!$B$26*'Res-Rec Equations'!$B$29)/'Res-Rec Equations'!$B$32)+(('Res-Rec Equations'!$B$27*'Res-Rec Equations'!$B$30)/'Res-Rec Equations'!$B$33)+(('Res-Rec Equations'!$B$28*'Res-Rec Equations'!$B$31)/'Res-Rec Equations'!$B$34)))))))</f>
        <v>NA</v>
      </c>
      <c r="I50" s="166" t="str">
        <f>IF('Chemical Info'!H51="NA","NA",IF('Chemical Info'!E51="Yes",0,IF('Chemical Info'!D51="Yes",'Chemical Info'!H51/'Chemical Info'!AF51*('Res-Rec Equations'!$B$21*'Chemical Info'!AB51*'Res-Rec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Info'!H51/'Chemical Info'!AF51*('Res-Rec Equations'!$B$21*'Chemical Info'!AB51*'Res-Rec Equations'!$B$23)*((('Res-Rec Equations'!$B$26*'Res-Rec Equations'!$B$37*'Res-Rec Equations'!$B$40)/'Res-Rec Equations'!$B$32)+(('Res-Rec Equations'!$B$27*'Res-Rec Equations'!$B$38*'Res-Rec Equations'!$B$41)/'Res-Rec Equations'!$B$33)+(('Res-Rec Equations'!$B$28*'Res-Rec Equations'!$B$39*'Res-Rec Equations'!$B$42)/'Res-Rec Equations'!$B$34)))))</f>
        <v>NA</v>
      </c>
      <c r="J50" s="369" t="str">
        <f>IF('Chemical Info'!J51="NA","NA",IF(AND(E50="NA",'Chemical Info'!D51="Yes"),'Res-Rec Equations'!$B$22*1000*(('Res-Rec Equations'!$B$26*'Chemical Info'!J51*'Res-Rec Equations'!$B$59)+('Res-Rec Equations'!$B$27*'Chemical Info'!J51*'Res-Rec Equations'!$B$60)+('Res-Rec Equations'!$B$28*'Chemical Info'!J51*'Res-Rec Equations'!$B$61))*'Res-Rec Calculations'!C50,IF(AND(E50="NA",'Chemical Info'!D51=""),'Res-Rec Equations'!$B$22*1000*'Res-Rec Equations'!$B$25*'Chemical Info'!J51*'Res-Rec Calculations'!C50,IF(AND('Chemical Info'!E51="Yes",'Chemical Info'!D51="Yes"),'Res-Rec Equations'!$B$22*1000*(('Res-Rec Equations'!$B$26*'Chemical Info'!J51*'Res-Rec Equations'!$B$59)+('Res-Rec Equations'!$B$27*'Chemical Info'!J51*'Res-Rec Equations'!$B$60)+('Res-Rec Equations'!$B$28*'Chemical Info'!J51*'Res-Rec Equations'!$B$61))*'Res-Rec Calculations'!E50,IF(AND('Chemical Info'!E51="Yes",'Chemical Info'!D51=""),'Res-Rec Equations'!$B$22*1000*'Res-Rec Equations'!$B$25*'Chemical Info'!J51*'Res-Rec Calculations'!E50,IF('Chemical Info'!D51="Yes",'Res-Rec Equations'!$B$22*1000*(('Res-Rec Equations'!$B$26*'Chemical Info'!J51*'Res-Rec Equations'!$B$59)+('Res-Rec Equations'!$B$27*'Chemical Info'!J51*'Res-Rec Equations'!$B$60)+('Res-Rec Equations'!$B$28*'Chemical Info'!J51*'Res-Rec Equations'!$B$61))*('Res-Rec Calculations'!C50+'Res-Rec Calculations'!E50),IF('Chemical Info'!D51="",'Res-Rec Equations'!$B$22*1000*'Res-Rec Equations'!$B$25*'Chemical Info'!J51*('Res-Rec Calculations'!C50+'Res-Rec Calculations'!E50))))))))</f>
        <v>NA</v>
      </c>
      <c r="K50" s="370" t="str">
        <f>IF('Chemical Info'!J51="NA","NA",IF(AND(F50="NA",'Chemical Info'!D51="Yes"),'Res-Rec Equations'!$B$22*1000*(('Res-Rec Equations'!$B$26*'Chemical Info'!J51*'Res-Rec Equations'!$B$59)+('Res-Rec Equations'!$B$27*'Chemical Info'!J51*'Res-Rec Equations'!$B$60)+('Res-Rec Equations'!$B$28*'Chemical Info'!J51*'Res-Rec Equations'!$B$61))*'Res-Rec Calculations'!C50,IF(AND(F50="NA",'Chemical Info'!D51=""),'Res-Rec Equations'!$B$22*1000*'Res-Rec Equations'!$B$25*'Chemical Info'!J51*'Res-Rec Calculations'!C50,IF(AND('Chemical Info'!F51="Yes",'Chemical Info'!D51="Yes"),'Res-Rec Equations'!$B$22*1000*(('Res-Rec Equations'!$B$26*'Chemical Info'!J51*'Res-Rec Equations'!$B$59)+('Res-Rec Equations'!$B$27*'Chemical Info'!J51*'Res-Rec Equations'!$B$60)+('Res-Rec Equations'!$B$28*'Chemical Info'!J51*'Res-Rec Equations'!$B$61))*'Res-Rec Calculations'!F50,IF(AND('Chemical Info'!F51="Yes",'Chemical Info'!D51=""),'Res-Rec Equations'!$B$22*1000*'Res-Rec Equations'!$B$25*'Chemical Info'!J51*'Res-Rec Calculations'!F50,IF('Chemical Info'!D51="Yes",'Res-Rec Equations'!$B$22*1000*(('Res-Rec Equations'!$B$26*'Chemical Info'!J51*'Res-Rec Equations'!$B$59)+('Res-Rec Equations'!$B$27*'Chemical Info'!J51*'Res-Rec Equations'!$B$60)+('Res-Rec Equations'!$B$28*'Chemical Info'!J51*'Res-Rec Equations'!$B$61))*('Res-Rec Calculations'!C50+'Res-Rec Calculations'!F50),IF('Chemical Info'!D51="",'Res-Rec Equations'!$B$22*1000*'Res-Rec Equations'!$B$25*'Chemical Info'!J51*('Res-Rec Calculations'!C50+'Res-Rec Calculations'!F50))))))))</f>
        <v>NA</v>
      </c>
      <c r="L50" s="167" t="str">
        <f>IF(AND(H50="NA",I50="NA",J50="NA"),"NA",IF(H50="NA",'Res-Rec Equations'!$B$15*'Res-Rec Equations'!$B$16/J50,IF(J50="NA",'Res-Rec Equations'!$B$15*'Res-Rec Equations'!$B$16/(H50+I50),'Res-Rec Equations'!$B$15*'Res-Rec Equations'!$B$16/(H50+I50+J50))))</f>
        <v>NA</v>
      </c>
      <c r="M50" s="167" t="str">
        <f>IF(AND(H50="NA",I50="NA",K50="NA"),"NA",IF(H50="NA",'Res-Rec Equations'!$B$15*'Res-Rec Equations'!$B$16/K50,IF(K50="NA",'Res-Rec Equations'!$B$15*'Res-Rec Equations'!$B$16/(H50+I50),'Res-Rec Equations'!$B$15*'Res-Rec Equations'!$B$16/(H50+I50+K50))))</f>
        <v>NA</v>
      </c>
      <c r="N50" s="167" t="str">
        <f t="shared" si="14"/>
        <v>NA</v>
      </c>
      <c r="O50" s="371" t="str">
        <f>IF('Chemical Info'!L51="NA","NA",IF('Chemical Info'!E51="Yes",(('Res-Rec Equations'!$B$76*'Chemical Info'!AD51*'Res-Rec Equations'!$B$78*'Res-Rec Equations'!$B$79*'Res-Rec Equations'!$B$81)/('Res-Rec Equations'!$B$84*'Res-Rec Equations'!$B$85))/'Chemical Info'!L51,(('Res-Rec Equations'!$B$76*'Chemical Info'!AD51*'Res-Rec Equations'!$B$78*'Res-Rec Equations'!$B$79*'Res-Rec Equations'!$B$80)/('Res-Rec Equations'!$B$84*'Res-Rec Equations'!$B$85))/'Chemical Info'!L51))</f>
        <v>NA</v>
      </c>
      <c r="P50" s="166" t="str">
        <f>IF('Chemical Info'!L51="NA","NA", IF('Chemical Info'!E51="Yes",0,((('Res-Rec Equations'!$B$87*'Res-Rec Equations'!$B$88*'Res-Rec Equations'!$B$78*'Res-Rec Equations'!$B$82*'Res-Rec Equations'!$B$79*'Chemical Info'!AB51)/('Res-Rec Equations'!$B$84*'Res-Rec Equations'!$B$85))/('Chemical Info'!L51*'Chemical Info'!AF51))))</f>
        <v>NA</v>
      </c>
      <c r="Q50" s="166">
        <f>IF('Chemical Info'!N51="NA","NA",IF('Res-Rec Calculations'!E50="NA",(('Res-Rec Equations'!$B$83*'Res-Rec Equations'!$B$79*'Res-Rec Calculations'!C50)/('Res-Rec Equations'!$B$85))/('Chemical Info'!N51),IF('Chemical Info'!E51="Yes",(('Res-Rec Equations'!$B$83*'Res-Rec Equations'!$B$79*'Res-Rec Calculations'!E50)/('Res-Rec Equations'!$B$85))/('Chemical Info'!N51),(('Res-Rec Equations'!$B$83*'Res-Rec Equations'!$B$79*('Res-Rec Calculations'!C50+'Res-Rec Calculations'!E50))/('Res-Rec Equations'!$B$85))/('Chemical Info'!N51))))</f>
        <v>8.7698737271295202E-5</v>
      </c>
      <c r="R50" s="166">
        <f>IF('Chemical Info'!N51="NA","NA",IF('Res-Rec Calculations'!F50="NA",(('Res-Rec Equations'!$B$83*'Res-Rec Equations'!$B$79*'Res-Rec Calculations'!C50)/('Res-Rec Equations'!$B$85))/('Chemical Info'!N51),IF('Chemical Info'!E51="Yes",(('Res-Rec Equations'!$B$83*'Res-Rec Equations'!$B$79*'Res-Rec Calculations'!F50)/('Res-Rec Equations'!$B$85))/('Chemical Info'!N51),(('Res-Rec Equations'!$B$83*'Res-Rec Equations'!$B$79*('Res-Rec Calculations'!C50+'Res-Rec Calculations'!F50))/('Res-Rec Equations'!$B$85))/('Chemical Info'!N51))))</f>
        <v>1.060178264383833E-5</v>
      </c>
      <c r="S50" s="167">
        <f>IF(AND(O50="NA",P50="NA",Q50="NA"),"NA",IF(O50="NA",'Res-Rec Equations'!$B$75/Q50,IF(Q50="NA",'Res-Rec Equations'!$B$75/(O50+P50),'Res-Rec Equations'!$B$75/(O50+P50+Q50))))</f>
        <v>2280.534546139495</v>
      </c>
      <c r="T50" s="167">
        <f>IF(AND(O50="NA",P50="NA",R50="NA"),"NA",IF(O50="NA",'Res-Rec Equations'!$B$75/R50,IF(R50="NA",'Res-Rec Equations'!$B$75/(O50+P50),'Res-Rec Equations'!$B$75/(O50+P50+R50))))</f>
        <v>18864.751968503937</v>
      </c>
      <c r="U50" s="168">
        <f t="shared" si="15"/>
        <v>18864.751968503937</v>
      </c>
      <c r="V50" s="167" t="str">
        <f>IF('Chemical Info'!P51="NA","NA",(('Res-Rec Equations'!$B$185*'Res-Rec Equations'!$B$186)/('Res-Rec Equations'!$B$187*'Res-Rec Equations'!$B$188*(1/'Chemical Info'!P51))))</f>
        <v>NA</v>
      </c>
      <c r="W50" s="379" t="str">
        <f t="shared" si="16"/>
        <v>NA</v>
      </c>
      <c r="X50" s="372">
        <f t="shared" si="17"/>
        <v>2115.87772</v>
      </c>
      <c r="Y50" s="62">
        <f t="shared" si="18"/>
        <v>2100</v>
      </c>
      <c r="Z50" s="100" t="str">
        <f t="shared" si="19"/>
        <v>Csat</v>
      </c>
      <c r="AA50" s="373"/>
    </row>
    <row r="51" spans="1:27">
      <c r="A51" s="413" t="s">
        <v>154</v>
      </c>
      <c r="B51" s="566" t="s">
        <v>155</v>
      </c>
      <c r="C51" s="367">
        <f>1/(('Res-Rec Equations'!$B$152*3600)/((0.036*(1-'Res-Rec Equations'!$B$153))*('Res-Rec Equations'!$B$154/'Res-Rec Equations'!$B$155)^3*'Res-Rec Equations'!$B$156))</f>
        <v>7.3567680901159717E-10</v>
      </c>
      <c r="D51" s="368">
        <f>(('Res-Rec Equations'!$B$132^(10/3)*'Chemical Info'!$AH52*'Chemical Info'!$AN52*41+'Res-Rec Equations'!$B$135^(10/3)*'Chemical Info'!$AJ52)/'Res-Rec Equations'!$B$137^2)/('Res-Rec Equations'!$B$139*'Chemical Info'!$AL52*'Res-Rec Equations'!$B$142+'Res-Rec Equations'!$B$135+'Res-Rec Equations'!$B$132*'Chemical Info'!$AN52*41)</f>
        <v>1.8447418678840862E-3</v>
      </c>
      <c r="E51" s="368">
        <f>IF(D51=0,"NA",1/(('Res-Rec Equations'!$B$103*(3.14*'Res-Rec Calculations'!$D51*'Res-Rec Equations'!$B$105)^(1/2)*0.0001)/(2*'Res-Rec Equations'!$B$106*'Res-Rec Calculations'!$D51)))</f>
        <v>2.5211366516416354E-4</v>
      </c>
      <c r="F51" s="368">
        <f>IF(D51=0,"NA",(1/('Res-Rec Equations'!$B$117*('Res-Rec Equations'!$B$118*(31500000))/('Res-Rec Equations'!$B$119*'Res-Rec Equations'!$B$120*1000000))))</f>
        <v>6.1914410640015851E-5</v>
      </c>
      <c r="G51" s="167">
        <f>IF('Chemical Info'!E52="Yes",('Chemical Info'!AP52/'Res-Rec Equations'!$B$168)*((('Chemical Info'!AL52*'Res-Rec Equations'!$B$170)*'Res-Rec Equations'!$B$168)+'Res-Rec Equations'!$B$171+('Chemical Info'!AN52*41)*'Res-Rec Equations'!$B$173),"NA")</f>
        <v>2536.11148</v>
      </c>
      <c r="H51" s="112" t="str">
        <f>IF('Chemical Info'!H52="NA","NA",IF(AND('Chemical Info'!E52="Yes",'Chemical Info'!D52="Yes"),'Chemical Info'!H52*'Chemical Info'!AD52*'Res-Rec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Info'!E52="Yes",'Chemical Info'!D52=""),'Chemical Info'!H52*'Chemical Info'!AD52*'Res-Rec Equations'!$B$20*'Res-Rec Equations'!$B$23*((('Res-Rec Equations'!$B$26*'Res-Rec Equations'!$B$29)/'Res-Rec Equations'!$B$32)+(('Res-Rec Equations'!$B$27*'Res-Rec Equations'!$B$30)/'Res-Rec Equations'!$B$33)+(('Res-Rec Equations'!$B$28*'Res-Rec Equations'!$B$31)/'Res-Rec Equations'!$B$34)),IF(AND('Chemical Info'!E52="No",'Chemical Info'!D52="Yes"),'Chemical Info'!H52*'Chemical Info'!AD52*'Res-Rec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Info'!E52="No",'Chemical Info'!D52=""),'Chemical Info'!H52*'Chemical Info'!AD52*'Res-Rec Equations'!$B$19*'Res-Rec Equations'!$B$23*((('Res-Rec Equations'!$B$26*'Res-Rec Equations'!$B$29)/'Res-Rec Equations'!$B$32)+(('Res-Rec Equations'!$B$27*'Res-Rec Equations'!$B$30)/'Res-Rec Equations'!$B$33)+(('Res-Rec Equations'!$B$28*'Res-Rec Equations'!$B$31)/'Res-Rec Equations'!$B$34)))))))</f>
        <v>NA</v>
      </c>
      <c r="I51" s="166" t="str">
        <f>IF('Chemical Info'!H52="NA","NA",IF('Chemical Info'!E52="Yes",0,IF('Chemical Info'!D52="Yes",'Chemical Info'!H52/'Chemical Info'!AF52*('Res-Rec Equations'!$B$21*'Chemical Info'!AB52*'Res-Rec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Info'!H52/'Chemical Info'!AF52*('Res-Rec Equations'!$B$21*'Chemical Info'!AB52*'Res-Rec Equations'!$B$23)*((('Res-Rec Equations'!$B$26*'Res-Rec Equations'!$B$37*'Res-Rec Equations'!$B$40)/'Res-Rec Equations'!$B$32)+(('Res-Rec Equations'!$B$27*'Res-Rec Equations'!$B$38*'Res-Rec Equations'!$B$41)/'Res-Rec Equations'!$B$33)+(('Res-Rec Equations'!$B$28*'Res-Rec Equations'!$B$39*'Res-Rec Equations'!$B$42)/'Res-Rec Equations'!$B$34)))))</f>
        <v>NA</v>
      </c>
      <c r="J51" s="369" t="str">
        <f>IF('Chemical Info'!J52="NA","NA",IF(AND(E51="NA",'Chemical Info'!D52="Yes"),'Res-Rec Equations'!$B$22*1000*(('Res-Rec Equations'!$B$26*'Chemical Info'!J52*'Res-Rec Equations'!$B$59)+('Res-Rec Equations'!$B$27*'Chemical Info'!J52*'Res-Rec Equations'!$B$60)+('Res-Rec Equations'!$B$28*'Chemical Info'!J52*'Res-Rec Equations'!$B$61))*'Res-Rec Calculations'!C51,IF(AND(E51="NA",'Chemical Info'!D52=""),'Res-Rec Equations'!$B$22*1000*'Res-Rec Equations'!$B$25*'Chemical Info'!J52*'Res-Rec Calculations'!C51,IF(AND('Chemical Info'!E52="Yes",'Chemical Info'!D52="Yes"),'Res-Rec Equations'!$B$22*1000*(('Res-Rec Equations'!$B$26*'Chemical Info'!J52*'Res-Rec Equations'!$B$59)+('Res-Rec Equations'!$B$27*'Chemical Info'!J52*'Res-Rec Equations'!$B$60)+('Res-Rec Equations'!$B$28*'Chemical Info'!J52*'Res-Rec Equations'!$B$61))*'Res-Rec Calculations'!E51,IF(AND('Chemical Info'!E52="Yes",'Chemical Info'!D52=""),'Res-Rec Equations'!$B$22*1000*'Res-Rec Equations'!$B$25*'Chemical Info'!J52*'Res-Rec Calculations'!E51,IF('Chemical Info'!D52="Yes",'Res-Rec Equations'!$B$22*1000*(('Res-Rec Equations'!$B$26*'Chemical Info'!J52*'Res-Rec Equations'!$B$59)+('Res-Rec Equations'!$B$27*'Chemical Info'!J52*'Res-Rec Equations'!$B$60)+('Res-Rec Equations'!$B$28*'Chemical Info'!J52*'Res-Rec Equations'!$B$61))*('Res-Rec Calculations'!C51+'Res-Rec Calculations'!E51),IF('Chemical Info'!D52="",'Res-Rec Equations'!$B$22*1000*'Res-Rec Equations'!$B$25*'Chemical Info'!J52*('Res-Rec Calculations'!C51+'Res-Rec Calculations'!E51))))))))</f>
        <v>NA</v>
      </c>
      <c r="K51" s="370" t="str">
        <f>IF('Chemical Info'!J52="NA","NA",IF(AND(F51="NA",'Chemical Info'!D52="Yes"),'Res-Rec Equations'!$B$22*1000*(('Res-Rec Equations'!$B$26*'Chemical Info'!J52*'Res-Rec Equations'!$B$59)+('Res-Rec Equations'!$B$27*'Chemical Info'!J52*'Res-Rec Equations'!$B$60)+('Res-Rec Equations'!$B$28*'Chemical Info'!J52*'Res-Rec Equations'!$B$61))*'Res-Rec Calculations'!C51,IF(AND(F51="NA",'Chemical Info'!D52=""),'Res-Rec Equations'!$B$22*1000*'Res-Rec Equations'!$B$25*'Chemical Info'!J52*'Res-Rec Calculations'!C51,IF(AND('Chemical Info'!F52="Yes",'Chemical Info'!D52="Yes"),'Res-Rec Equations'!$B$22*1000*(('Res-Rec Equations'!$B$26*'Chemical Info'!J52*'Res-Rec Equations'!$B$59)+('Res-Rec Equations'!$B$27*'Chemical Info'!J52*'Res-Rec Equations'!$B$60)+('Res-Rec Equations'!$B$28*'Chemical Info'!J52*'Res-Rec Equations'!$B$61))*'Res-Rec Calculations'!F51,IF(AND('Chemical Info'!F52="Yes",'Chemical Info'!D52=""),'Res-Rec Equations'!$B$22*1000*'Res-Rec Equations'!$B$25*'Chemical Info'!J52*'Res-Rec Calculations'!F51,IF('Chemical Info'!D52="Yes",'Res-Rec Equations'!$B$22*1000*(('Res-Rec Equations'!$B$26*'Chemical Info'!J52*'Res-Rec Equations'!$B$59)+('Res-Rec Equations'!$B$27*'Chemical Info'!J52*'Res-Rec Equations'!$B$60)+('Res-Rec Equations'!$B$28*'Chemical Info'!J52*'Res-Rec Equations'!$B$61))*('Res-Rec Calculations'!C51+'Res-Rec Calculations'!F51),IF('Chemical Info'!D52="",'Res-Rec Equations'!$B$22*1000*'Res-Rec Equations'!$B$25*'Chemical Info'!J52*('Res-Rec Calculations'!C51+'Res-Rec Calculations'!F51))))))))</f>
        <v>NA</v>
      </c>
      <c r="L51" s="167" t="str">
        <f>IF(AND(H51="NA",I51="NA",J51="NA"),"NA",IF(H51="NA",'Res-Rec Equations'!$B$15*'Res-Rec Equations'!$B$16/J51,IF(J51="NA",'Res-Rec Equations'!$B$15*'Res-Rec Equations'!$B$16/(H51+I51),'Res-Rec Equations'!$B$15*'Res-Rec Equations'!$B$16/(H51+I51+J51))))</f>
        <v>NA</v>
      </c>
      <c r="M51" s="167" t="str">
        <f>IF(AND(H51="NA",I51="NA",K51="NA"),"NA",IF(H51="NA",'Res-Rec Equations'!$B$15*'Res-Rec Equations'!$B$16/K51,IF(K51="NA",'Res-Rec Equations'!$B$15*'Res-Rec Equations'!$B$16/(H51+I51),'Res-Rec Equations'!$B$15*'Res-Rec Equations'!$B$16/(H51+I51+K51))))</f>
        <v>NA</v>
      </c>
      <c r="N51" s="167" t="str">
        <f t="shared" si="14"/>
        <v>NA</v>
      </c>
      <c r="O51" s="371">
        <f>IF('Chemical Info'!L52="NA","NA",IF('Chemical Info'!E52="Yes",(('Res-Rec Equations'!$B$76*'Chemical Info'!AD52*'Res-Rec Equations'!$B$78*'Res-Rec Equations'!$B$79*'Res-Rec Equations'!$B$81)/('Res-Rec Equations'!$B$84*'Res-Rec Equations'!$B$85))/'Chemical Info'!L52,(('Res-Rec Equations'!$B$76*'Chemical Info'!AD52*'Res-Rec Equations'!$B$78*'Res-Rec Equations'!$B$79*'Res-Rec Equations'!$B$80)/('Res-Rec Equations'!$B$84*'Res-Rec Equations'!$B$85))/'Chemical Info'!L52))</f>
        <v>4.5662100456621003E-4</v>
      </c>
      <c r="P51" s="166">
        <f>IF('Chemical Info'!L52="NA","NA", IF('Chemical Info'!E52="Yes",0,((('Res-Rec Equations'!$B$87*'Res-Rec Equations'!$B$88*'Res-Rec Equations'!$B$78*'Res-Rec Equations'!$B$82*'Res-Rec Equations'!$B$79*'Chemical Info'!AB52)/('Res-Rec Equations'!$B$84*'Res-Rec Equations'!$B$85))/('Chemical Info'!L52*'Chemical Info'!AF52))))</f>
        <v>0</v>
      </c>
      <c r="Q51" s="166">
        <f>IF('Chemical Info'!N52="NA","NA",IF('Res-Rec Calculations'!E51="NA",(('Res-Rec Equations'!$B$83*'Res-Rec Equations'!$B$79*'Res-Rec Calculations'!C51)/('Res-Rec Equations'!$B$85))/('Chemical Info'!N52),IF('Chemical Info'!E52="Yes",(('Res-Rec Equations'!$B$83*'Res-Rec Equations'!$B$79*'Res-Rec Calculations'!E51)/('Res-Rec Equations'!$B$85))/('Chemical Info'!N52),(('Res-Rec Equations'!$B$83*'Res-Rec Equations'!$B$79*('Res-Rec Calculations'!C51+'Res-Rec Calculations'!E51))/('Res-Rec Equations'!$B$85))/('Chemical Info'!N52))))</f>
        <v>8.6340296289097104E-2</v>
      </c>
      <c r="R51" s="166">
        <f>IF('Chemical Info'!N52="NA","NA",IF('Res-Rec Calculations'!F51="NA",(('Res-Rec Equations'!$B$83*'Res-Rec Equations'!$B$79*'Res-Rec Calculations'!C51)/('Res-Rec Equations'!$B$85))/('Chemical Info'!N52),IF('Chemical Info'!E52="Yes",(('Res-Rec Equations'!$B$83*'Res-Rec Equations'!$B$79*'Res-Rec Calculations'!F51)/('Res-Rec Equations'!$B$85))/('Chemical Info'!N52),(('Res-Rec Equations'!$B$83*'Res-Rec Equations'!$B$79*('Res-Rec Calculations'!C51+'Res-Rec Calculations'!F51))/('Res-Rec Equations'!$B$85))/('Chemical Info'!N52))))</f>
        <v>2.1203565287676661E-2</v>
      </c>
      <c r="S51" s="167">
        <f>IF(AND(O51="NA",P51="NA",Q51="NA"),"NA",IF(O51="NA",'Res-Rec Equations'!$B$75/Q51,IF(Q51="NA",'Res-Rec Equations'!$B$75/(O51+P51),'Res-Rec Equations'!$B$75/(O51+P51+Q51))))</f>
        <v>2.3042293002565102</v>
      </c>
      <c r="T51" s="167">
        <f>IF(AND(O51="NA",P51="NA",R51="NA"),"NA",IF(O51="NA",'Res-Rec Equations'!$B$75/R51,IF(R51="NA",'Res-Rec Equations'!$B$75/(O51+P51),'Res-Rec Equations'!$B$75/(O51+P51+R51))))</f>
        <v>9.2335309263533762</v>
      </c>
      <c r="U51" s="168">
        <f t="shared" si="15"/>
        <v>9.2335309263533762</v>
      </c>
      <c r="V51" s="167" t="str">
        <f>IF('Chemical Info'!P52="NA","NA",(('Res-Rec Equations'!$B$185*'Res-Rec Equations'!$B$186)/('Res-Rec Equations'!$B$187*'Res-Rec Equations'!$B$188*(1/'Chemical Info'!P52))))</f>
        <v>NA</v>
      </c>
      <c r="W51" s="379" t="str">
        <f t="shared" si="16"/>
        <v>NA</v>
      </c>
      <c r="X51" s="372">
        <f t="shared" si="17"/>
        <v>9.2335309263533762</v>
      </c>
      <c r="Y51" s="62">
        <f t="shared" si="18"/>
        <v>9.1999999999999993</v>
      </c>
      <c r="Z51" s="100" t="str">
        <f t="shared" si="19"/>
        <v>Noncancer</v>
      </c>
      <c r="AA51" s="373"/>
    </row>
    <row r="52" spans="1:27">
      <c r="A52" s="413" t="s">
        <v>321</v>
      </c>
      <c r="B52" s="566" t="s">
        <v>132</v>
      </c>
      <c r="C52" s="367">
        <f>1/(('Res-Rec Equations'!$B$152*3600)/((0.036*(1-'Res-Rec Equations'!$B$153))*('Res-Rec Equations'!$B$154/'Res-Rec Equations'!$B$155)^3*'Res-Rec Equations'!$B$156))</f>
        <v>7.3567680901159717E-10</v>
      </c>
      <c r="D52" s="368">
        <f>(('Res-Rec Equations'!$B$132^(10/3)*'Chemical Info'!$AH53*'Chemical Info'!$AN53*41+'Res-Rec Equations'!$B$135^(10/3)*'Chemical Info'!$AJ53)/'Res-Rec Equations'!$B$137^2)/('Res-Rec Equations'!$B$139*'Chemical Info'!$AL53*'Res-Rec Equations'!$B$142+'Res-Rec Equations'!$B$135+'Res-Rec Equations'!$B$132*'Chemical Info'!$AN53*41)</f>
        <v>9.2335869400994985E-3</v>
      </c>
      <c r="E52" s="368">
        <f>IF(D52=0,"NA",1/(('Res-Rec Equations'!$B$103*(3.14*'Res-Rec Calculations'!$D52*'Res-Rec Equations'!$B$105)^(1/2)*0.0001)/(2*'Res-Rec Equations'!$B$106*'Res-Rec Calculations'!$D52)))</f>
        <v>5.6404506681146987E-4</v>
      </c>
      <c r="F52" s="368">
        <f>IF(D52=0,"NA",(1/('Res-Rec Equations'!$B$117*('Res-Rec Equations'!$B$118*(31500000))/('Res-Rec Equations'!$B$119*'Res-Rec Equations'!$B$120*1000000))))</f>
        <v>6.1914410640015851E-5</v>
      </c>
      <c r="G52" s="167">
        <f>IF('Chemical Info'!E53="Yes",('Chemical Info'!AP53/'Res-Rec Equations'!$B$168)*((('Chemical Info'!AL53*'Res-Rec Equations'!$B$170)*'Res-Rec Equations'!$B$168)+'Res-Rec Equations'!$B$171+('Chemical Info'!AN53*41)*'Res-Rec Equations'!$B$173),"NA")</f>
        <v>1313.0951679999998</v>
      </c>
      <c r="H52" s="112" t="str">
        <f>IF('Chemical Info'!H53="NA","NA",IF(AND('Chemical Info'!E53="Yes",'Chemical Info'!D53="Yes"),'Chemical Info'!H53*'Chemical Info'!AD53*'Res-Rec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Info'!E53="Yes",'Chemical Info'!D53=""),'Chemical Info'!H53*'Chemical Info'!AD53*'Res-Rec Equations'!$B$20*'Res-Rec Equations'!$B$23*((('Res-Rec Equations'!$B$26*'Res-Rec Equations'!$B$29)/'Res-Rec Equations'!$B$32)+(('Res-Rec Equations'!$B$27*'Res-Rec Equations'!$B$30)/'Res-Rec Equations'!$B$33)+(('Res-Rec Equations'!$B$28*'Res-Rec Equations'!$B$31)/'Res-Rec Equations'!$B$34)),IF(AND('Chemical Info'!E53="No",'Chemical Info'!D53="Yes"),'Chemical Info'!H53*'Chemical Info'!AD53*'Res-Rec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Info'!E53="No",'Chemical Info'!D53=""),'Chemical Info'!H53*'Chemical Info'!AD53*'Res-Rec Equations'!$B$19*'Res-Rec Equations'!$B$23*((('Res-Rec Equations'!$B$26*'Res-Rec Equations'!$B$29)/'Res-Rec Equations'!$B$32)+(('Res-Rec Equations'!$B$27*'Res-Rec Equations'!$B$30)/'Res-Rec Equations'!$B$33)+(('Res-Rec Equations'!$B$28*'Res-Rec Equations'!$B$31)/'Res-Rec Equations'!$B$34)))))))</f>
        <v>NA</v>
      </c>
      <c r="I52" s="166" t="str">
        <f>IF('Chemical Info'!H53="NA","NA",IF('Chemical Info'!E53="Yes",0,IF('Chemical Info'!D53="Yes",'Chemical Info'!H53/'Chemical Info'!AF53*('Res-Rec Equations'!$B$21*'Chemical Info'!AB53*'Res-Rec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Info'!H53/'Chemical Info'!AF53*('Res-Rec Equations'!$B$21*'Chemical Info'!AB53*'Res-Rec Equations'!$B$23)*((('Res-Rec Equations'!$B$26*'Res-Rec Equations'!$B$37*'Res-Rec Equations'!$B$40)/'Res-Rec Equations'!$B$32)+(('Res-Rec Equations'!$B$27*'Res-Rec Equations'!$B$38*'Res-Rec Equations'!$B$41)/'Res-Rec Equations'!$B$33)+(('Res-Rec Equations'!$B$28*'Res-Rec Equations'!$B$39*'Res-Rec Equations'!$B$42)/'Res-Rec Equations'!$B$34)))))</f>
        <v>NA</v>
      </c>
      <c r="J52" s="369" t="str">
        <f>IF('Chemical Info'!J53="NA","NA",IF(AND(E52="NA",'Chemical Info'!D53="Yes"),'Res-Rec Equations'!$B$22*1000*(('Res-Rec Equations'!$B$26*'Chemical Info'!J53*'Res-Rec Equations'!$B$59)+('Res-Rec Equations'!$B$27*'Chemical Info'!J53*'Res-Rec Equations'!$B$60)+('Res-Rec Equations'!$B$28*'Chemical Info'!J53*'Res-Rec Equations'!$B$61))*'Res-Rec Calculations'!C52,IF(AND(E52="NA",'Chemical Info'!D53=""),'Res-Rec Equations'!$B$22*1000*'Res-Rec Equations'!$B$25*'Chemical Info'!J53*'Res-Rec Calculations'!C52,IF(AND('Chemical Info'!E53="Yes",'Chemical Info'!D53="Yes"),'Res-Rec Equations'!$B$22*1000*(('Res-Rec Equations'!$B$26*'Chemical Info'!J53*'Res-Rec Equations'!$B$59)+('Res-Rec Equations'!$B$27*'Chemical Info'!J53*'Res-Rec Equations'!$B$60)+('Res-Rec Equations'!$B$28*'Chemical Info'!J53*'Res-Rec Equations'!$B$61))*'Res-Rec Calculations'!E52,IF(AND('Chemical Info'!E53="Yes",'Chemical Info'!D53=""),'Res-Rec Equations'!$B$22*1000*'Res-Rec Equations'!$B$25*'Chemical Info'!J53*'Res-Rec Calculations'!E52,IF('Chemical Info'!D53="Yes",'Res-Rec Equations'!$B$22*1000*(('Res-Rec Equations'!$B$26*'Chemical Info'!J53*'Res-Rec Equations'!$B$59)+('Res-Rec Equations'!$B$27*'Chemical Info'!J53*'Res-Rec Equations'!$B$60)+('Res-Rec Equations'!$B$28*'Chemical Info'!J53*'Res-Rec Equations'!$B$61))*('Res-Rec Calculations'!C52+'Res-Rec Calculations'!E52),IF('Chemical Info'!D53="",'Res-Rec Equations'!$B$22*1000*'Res-Rec Equations'!$B$25*'Chemical Info'!J53*('Res-Rec Calculations'!C52+'Res-Rec Calculations'!E52))))))))</f>
        <v>NA</v>
      </c>
      <c r="K52" s="370" t="str">
        <f>IF('Chemical Info'!J53="NA","NA",IF(AND(F52="NA",'Chemical Info'!D53="Yes"),'Res-Rec Equations'!$B$22*1000*(('Res-Rec Equations'!$B$26*'Chemical Info'!J53*'Res-Rec Equations'!$B$59)+('Res-Rec Equations'!$B$27*'Chemical Info'!J53*'Res-Rec Equations'!$B$60)+('Res-Rec Equations'!$B$28*'Chemical Info'!J53*'Res-Rec Equations'!$B$61))*'Res-Rec Calculations'!C52,IF(AND(F52="NA",'Chemical Info'!D53=""),'Res-Rec Equations'!$B$22*1000*'Res-Rec Equations'!$B$25*'Chemical Info'!J53*'Res-Rec Calculations'!C52,IF(AND('Chemical Info'!F53="Yes",'Chemical Info'!D53="Yes"),'Res-Rec Equations'!$B$22*1000*(('Res-Rec Equations'!$B$26*'Chemical Info'!J53*'Res-Rec Equations'!$B$59)+('Res-Rec Equations'!$B$27*'Chemical Info'!J53*'Res-Rec Equations'!$B$60)+('Res-Rec Equations'!$B$28*'Chemical Info'!J53*'Res-Rec Equations'!$B$61))*'Res-Rec Calculations'!F52,IF(AND('Chemical Info'!F53="Yes",'Chemical Info'!D53=""),'Res-Rec Equations'!$B$22*1000*'Res-Rec Equations'!$B$25*'Chemical Info'!J53*'Res-Rec Calculations'!F52,IF('Chemical Info'!D53="Yes",'Res-Rec Equations'!$B$22*1000*(('Res-Rec Equations'!$B$26*'Chemical Info'!J53*'Res-Rec Equations'!$B$59)+('Res-Rec Equations'!$B$27*'Chemical Info'!J53*'Res-Rec Equations'!$B$60)+('Res-Rec Equations'!$B$28*'Chemical Info'!J53*'Res-Rec Equations'!$B$61))*('Res-Rec Calculations'!C52+'Res-Rec Calculations'!F52),IF('Chemical Info'!D53="",'Res-Rec Equations'!$B$22*1000*'Res-Rec Equations'!$B$25*'Chemical Info'!J53*('Res-Rec Calculations'!C52+'Res-Rec Calculations'!F52))))))))</f>
        <v>NA</v>
      </c>
      <c r="L52" s="167" t="str">
        <f>IF(AND(H52="NA",I52="NA",J52="NA"),"NA",IF(H52="NA",'Res-Rec Equations'!$B$15*'Res-Rec Equations'!$B$16/J52,IF(J52="NA",'Res-Rec Equations'!$B$15*'Res-Rec Equations'!$B$16/(H52+I52),'Res-Rec Equations'!$B$15*'Res-Rec Equations'!$B$16/(H52+I52+J52))))</f>
        <v>NA</v>
      </c>
      <c r="M52" s="167" t="str">
        <f>IF(AND(H52="NA",I52="NA",K52="NA"),"NA",IF(H52="NA",'Res-Rec Equations'!$B$15*'Res-Rec Equations'!$B$16/K52,IF(K52="NA",'Res-Rec Equations'!$B$15*'Res-Rec Equations'!$B$16/(H52+I52),'Res-Rec Equations'!$B$15*'Res-Rec Equations'!$B$16/(H52+I52+K52))))</f>
        <v>NA</v>
      </c>
      <c r="N52" s="167" t="str">
        <f t="shared" si="14"/>
        <v>NA</v>
      </c>
      <c r="O52" s="371" t="str">
        <f>IF('Chemical Info'!L53="NA","NA",IF('Chemical Info'!E53="Yes",(('Res-Rec Equations'!$B$76*'Chemical Info'!AD53*'Res-Rec Equations'!$B$78*'Res-Rec Equations'!$B$79*'Res-Rec Equations'!$B$81)/('Res-Rec Equations'!$B$84*'Res-Rec Equations'!$B$85))/'Chemical Info'!L53,(('Res-Rec Equations'!$B$76*'Chemical Info'!AD53*'Res-Rec Equations'!$B$78*'Res-Rec Equations'!$B$79*'Res-Rec Equations'!$B$80)/('Res-Rec Equations'!$B$84*'Res-Rec Equations'!$B$85))/'Chemical Info'!L53))</f>
        <v>NA</v>
      </c>
      <c r="P52" s="166" t="str">
        <f>IF('Chemical Info'!L53="NA","NA", IF('Chemical Info'!E53="Yes",0,((('Res-Rec Equations'!$B$87*'Res-Rec Equations'!$B$88*'Res-Rec Equations'!$B$78*'Res-Rec Equations'!$B$82*'Res-Rec Equations'!$B$79*'Chemical Info'!AB53)/('Res-Rec Equations'!$B$84*'Res-Rec Equations'!$B$85))/('Chemical Info'!L53*'Chemical Info'!AF53))))</f>
        <v>NA</v>
      </c>
      <c r="Q52" s="166">
        <f>IF('Chemical Info'!N53="NA","NA",IF('Res-Rec Calculations'!E52="NA",(('Res-Rec Equations'!$B$83*'Res-Rec Equations'!$B$79*'Res-Rec Calculations'!C52)/('Res-Rec Equations'!$B$85))/('Chemical Info'!N53),IF('Chemical Info'!E53="Yes",(('Res-Rec Equations'!$B$83*'Res-Rec Equations'!$B$79*'Res-Rec Calculations'!E52)/('Res-Rec Equations'!$B$85))/('Chemical Info'!N53),(('Res-Rec Equations'!$B$83*'Res-Rec Equations'!$B$79*('Res-Rec Calculations'!C52+'Res-Rec Calculations'!E52))/('Res-Rec Equations'!$B$85))/('Chemical Info'!N53))))</f>
        <v>4.2925804171344744E-3</v>
      </c>
      <c r="R52" s="166">
        <f>IF('Chemical Info'!N53="NA","NA",IF('Res-Rec Calculations'!F52="NA",(('Res-Rec Equations'!$B$83*'Res-Rec Equations'!$B$79*'Res-Rec Calculations'!C52)/('Res-Rec Equations'!$B$85))/('Chemical Info'!N53),IF('Chemical Info'!E53="Yes",(('Res-Rec Equations'!$B$83*'Res-Rec Equations'!$B$79*'Res-Rec Calculations'!F52)/('Res-Rec Equations'!$B$85))/('Chemical Info'!N53),(('Res-Rec Equations'!$B$83*'Res-Rec Equations'!$B$79*('Res-Rec Calculations'!C52+'Res-Rec Calculations'!F52))/('Res-Rec Equations'!$B$85))/('Chemical Info'!N53))))</f>
        <v>4.71190339726148E-4</v>
      </c>
      <c r="S52" s="167">
        <f>IF(AND(O52="NA",P52="NA",Q52="NA"),"NA",IF(O52="NA",'Res-Rec Equations'!$B$75/Q52,IF(Q52="NA",'Res-Rec Equations'!$B$75/(O52+P52),'Res-Rec Equations'!$B$75/(O52+P52+Q52))))</f>
        <v>46.59202171301677</v>
      </c>
      <c r="T52" s="167">
        <f>IF(AND(O52="NA",P52="NA",R52="NA"),"NA",IF(O52="NA",'Res-Rec Equations'!$B$75/R52,IF(R52="NA",'Res-Rec Equations'!$B$75/(O52+P52),'Res-Rec Equations'!$B$75/(O52+P52+R52))))</f>
        <v>424.45691929133858</v>
      </c>
      <c r="U52" s="168">
        <f t="shared" si="15"/>
        <v>424.45691929133858</v>
      </c>
      <c r="V52" s="167" t="str">
        <f>IF('Chemical Info'!P53="NA","NA",(('Res-Rec Equations'!$B$185*'Res-Rec Equations'!$B$186)/('Res-Rec Equations'!$B$187*'Res-Rec Equations'!$B$188*(1/'Chemical Info'!P53))))</f>
        <v>NA</v>
      </c>
      <c r="W52" s="379" t="str">
        <f t="shared" si="16"/>
        <v>NA</v>
      </c>
      <c r="X52" s="372">
        <f t="shared" si="17"/>
        <v>424.45691929133858</v>
      </c>
      <c r="Y52" s="62">
        <f t="shared" si="18"/>
        <v>420</v>
      </c>
      <c r="Z52" s="100" t="str">
        <f t="shared" si="19"/>
        <v>Noncancer</v>
      </c>
      <c r="AA52" s="373"/>
    </row>
    <row r="53" spans="1:27">
      <c r="A53" s="413" t="s">
        <v>1196</v>
      </c>
      <c r="B53" s="566" t="s">
        <v>1166</v>
      </c>
      <c r="C53" s="367">
        <f>1/(('Res-Rec Equations'!$B$152*3600)/((0.036*(1-'Res-Rec Equations'!$B$153))*('Res-Rec Equations'!$B$154/'Res-Rec Equations'!$B$155)^3*'Res-Rec Equations'!$B$156))</f>
        <v>7.3567680901159717E-10</v>
      </c>
      <c r="D53" s="368">
        <f>(('Res-Rec Equations'!$B$132^(10/3)*'Chemical Info'!$AH54*'Chemical Info'!$AN54*41+'Res-Rec Equations'!$B$135^(10/3)*'Chemical Info'!$AJ54)/'Res-Rec Equations'!$B$137^2)/('Res-Rec Equations'!$B$139*'Chemical Info'!$AL54*'Res-Rec Equations'!$B$142+'Res-Rec Equations'!$B$135+'Res-Rec Equations'!$B$132*'Chemical Info'!$AN54*41)</f>
        <v>1.1012258569613118E-2</v>
      </c>
      <c r="E53" s="368">
        <f>IF(D53=0,"NA",1/(('Res-Rec Equations'!$B$103*(3.14*'Res-Rec Calculations'!$D53*'Res-Rec Equations'!$B$105)^(1/2)*0.0001)/(2*'Res-Rec Equations'!$B$106*'Res-Rec Calculations'!$D53)))</f>
        <v>6.159802446010456E-4</v>
      </c>
      <c r="F53" s="368">
        <f>IF(D53=0,"NA",(1/('Res-Rec Equations'!$B$117*('Res-Rec Equations'!$B$118*(31500000))/('Res-Rec Equations'!$B$119*'Res-Rec Equations'!$B$120*1000000))))</f>
        <v>6.1914410640015851E-5</v>
      </c>
      <c r="G53" s="167">
        <f>IF('Chemical Info'!E54="Yes",('Chemical Info'!AP54/'Res-Rec Equations'!$B$168)*((('Chemical Info'!AL54*'Res-Rec Equations'!$B$170)*'Res-Rec Equations'!$B$168)+'Res-Rec Equations'!$B$171+('Chemical Info'!AN54*41)*'Res-Rec Equations'!$B$173),"NA")</f>
        <v>781.76864479999995</v>
      </c>
      <c r="H53" s="112" t="str">
        <f>IF('Chemical Info'!H54="NA","NA",IF(AND('Chemical Info'!E54="Yes",'Chemical Info'!D54="Yes"),'Chemical Info'!H54*'Chemical Info'!AD54*'Res-Rec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Info'!E54="Yes",'Chemical Info'!D54=""),'Chemical Info'!H54*'Chemical Info'!AD54*'Res-Rec Equations'!$B$20*'Res-Rec Equations'!$B$23*((('Res-Rec Equations'!$B$26*'Res-Rec Equations'!$B$29)/'Res-Rec Equations'!$B$32)+(('Res-Rec Equations'!$B$27*'Res-Rec Equations'!$B$30)/'Res-Rec Equations'!$B$33)+(('Res-Rec Equations'!$B$28*'Res-Rec Equations'!$B$31)/'Res-Rec Equations'!$B$34)),IF(AND('Chemical Info'!E54="No",'Chemical Info'!D54="Yes"),'Chemical Info'!H54*'Chemical Info'!AD54*'Res-Rec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Info'!E54="No",'Chemical Info'!D54=""),'Chemical Info'!H54*'Chemical Info'!AD54*'Res-Rec Equations'!$B$19*'Res-Rec Equations'!$B$23*((('Res-Rec Equations'!$B$26*'Res-Rec Equations'!$B$29)/'Res-Rec Equations'!$B$32)+(('Res-Rec Equations'!$B$27*'Res-Rec Equations'!$B$30)/'Res-Rec Equations'!$B$33)+(('Res-Rec Equations'!$B$28*'Res-Rec Equations'!$B$31)/'Res-Rec Equations'!$B$34)))))))</f>
        <v>NA</v>
      </c>
      <c r="I53" s="166" t="str">
        <f>IF('Chemical Info'!H54="NA","NA",IF('Chemical Info'!E54="Yes",0,IF('Chemical Info'!D54="Yes",'Chemical Info'!H54/'Chemical Info'!AF54*('Res-Rec Equations'!$B$21*'Chemical Info'!AB54*'Res-Rec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Info'!H54/'Chemical Info'!AF54*('Res-Rec Equations'!$B$21*'Chemical Info'!AB54*'Res-Rec Equations'!$B$23)*((('Res-Rec Equations'!$B$26*'Res-Rec Equations'!$B$37*'Res-Rec Equations'!$B$40)/'Res-Rec Equations'!$B$32)+(('Res-Rec Equations'!$B$27*'Res-Rec Equations'!$B$38*'Res-Rec Equations'!$B$41)/'Res-Rec Equations'!$B$33)+(('Res-Rec Equations'!$B$28*'Res-Rec Equations'!$B$39*'Res-Rec Equations'!$B$42)/'Res-Rec Equations'!$B$34)))))</f>
        <v>NA</v>
      </c>
      <c r="J53" s="369">
        <f>IF('Chemical Info'!J54="NA","NA",IF(AND(E53="NA",'Chemical Info'!D54="Yes"),'Res-Rec Equations'!$B$22*1000*(('Res-Rec Equations'!$B$26*'Chemical Info'!J54*'Res-Rec Equations'!$B$59)+('Res-Rec Equations'!$B$27*'Chemical Info'!J54*'Res-Rec Equations'!$B$60)+('Res-Rec Equations'!$B$28*'Chemical Info'!J54*'Res-Rec Equations'!$B$61))*'Res-Rec Calculations'!C53,IF(AND(E53="NA",'Chemical Info'!D54=""),'Res-Rec Equations'!$B$22*1000*'Res-Rec Equations'!$B$25*'Chemical Info'!J54*'Res-Rec Calculations'!C53,IF(AND('Chemical Info'!E54="Yes",'Chemical Info'!D54="Yes"),'Res-Rec Equations'!$B$22*1000*(('Res-Rec Equations'!$B$26*'Chemical Info'!J54*'Res-Rec Equations'!$B$59)+('Res-Rec Equations'!$B$27*'Chemical Info'!J54*'Res-Rec Equations'!$B$60)+('Res-Rec Equations'!$B$28*'Chemical Info'!J54*'Res-Rec Equations'!$B$61))*'Res-Rec Calculations'!E53,IF(AND('Chemical Info'!E54="Yes",'Chemical Info'!D54=""),'Res-Rec Equations'!$B$22*1000*'Res-Rec Equations'!$B$25*'Chemical Info'!J54*'Res-Rec Calculations'!E53,IF('Chemical Info'!D54="Yes",'Res-Rec Equations'!$B$22*1000*(('Res-Rec Equations'!$B$26*'Chemical Info'!J54*'Res-Rec Equations'!$B$59)+('Res-Rec Equations'!$B$27*'Chemical Info'!J54*'Res-Rec Equations'!$B$60)+('Res-Rec Equations'!$B$28*'Chemical Info'!J54*'Res-Rec Equations'!$B$61))*('Res-Rec Calculations'!C53+'Res-Rec Calculations'!E53),IF('Chemical Info'!D54="",'Res-Rec Equations'!$B$22*1000*'Res-Rec Equations'!$B$25*'Chemical Info'!J54*('Res-Rec Calculations'!C53+'Res-Rec Calculations'!E53))))))))</f>
        <v>3.3262933208456458</v>
      </c>
      <c r="K53" s="370">
        <f>IF('Chemical Info'!J54="NA","NA",IF(AND(F53="NA",'Chemical Info'!D54="Yes"),'Res-Rec Equations'!$B$22*1000*(('Res-Rec Equations'!$B$26*'Chemical Info'!J54*'Res-Rec Equations'!$B$59)+('Res-Rec Equations'!$B$27*'Chemical Info'!J54*'Res-Rec Equations'!$B$60)+('Res-Rec Equations'!$B$28*'Chemical Info'!J54*'Res-Rec Equations'!$B$61))*'Res-Rec Calculations'!C53,IF(AND(F53="NA",'Chemical Info'!D54=""),'Res-Rec Equations'!$B$22*1000*'Res-Rec Equations'!$B$25*'Chemical Info'!J54*'Res-Rec Calculations'!C53,IF(AND('Chemical Info'!F54="Yes",'Chemical Info'!D54="Yes"),'Res-Rec Equations'!$B$22*1000*(('Res-Rec Equations'!$B$26*'Chemical Info'!J54*'Res-Rec Equations'!$B$59)+('Res-Rec Equations'!$B$27*'Chemical Info'!J54*'Res-Rec Equations'!$B$60)+('Res-Rec Equations'!$B$28*'Chemical Info'!J54*'Res-Rec Equations'!$B$61))*'Res-Rec Calculations'!F53,IF(AND('Chemical Info'!F54="Yes",'Chemical Info'!D54=""),'Res-Rec Equations'!$B$22*1000*'Res-Rec Equations'!$B$25*'Chemical Info'!J54*'Res-Rec Calculations'!F53,IF('Chemical Info'!D54="Yes",'Res-Rec Equations'!$B$22*1000*(('Res-Rec Equations'!$B$26*'Chemical Info'!J54*'Res-Rec Equations'!$B$59)+('Res-Rec Equations'!$B$27*'Chemical Info'!J54*'Res-Rec Equations'!$B$60)+('Res-Rec Equations'!$B$28*'Chemical Info'!J54*'Res-Rec Equations'!$B$61))*('Res-Rec Calculations'!C53+'Res-Rec Calculations'!F53),IF('Chemical Info'!D54="",'Res-Rec Equations'!$B$22*1000*'Res-Rec Equations'!$B$25*'Chemical Info'!J54*('Res-Rec Calculations'!C53+'Res-Rec Calculations'!F53))))))))</f>
        <v>0.33434179011085419</v>
      </c>
      <c r="L53" s="167">
        <f>IF(AND(H53="NA",I53="NA",J53="NA"),"NA",IF(H53="NA",'Res-Rec Equations'!$B$15*'Res-Rec Equations'!$B$16/J53,IF(J53="NA",'Res-Rec Equations'!$B$15*'Res-Rec Equations'!$B$16/(H53+I53),'Res-Rec Equations'!$B$15*'Res-Rec Equations'!$B$16/(H53+I53+J53))))</f>
        <v>7.6812227712691333E-2</v>
      </c>
      <c r="M53" s="167">
        <f>IF(AND(H53="NA",I53="NA",K53="NA"),"NA",IF(H53="NA",'Res-Rec Equations'!$B$15*'Res-Rec Equations'!$B$16/K53,IF(K53="NA",'Res-Rec Equations'!$B$15*'Res-Rec Equations'!$B$16/(H53+I53),'Res-Rec Equations'!$B$15*'Res-Rec Equations'!$B$16/(H53+I53+K53))))</f>
        <v>0.76418804815062624</v>
      </c>
      <c r="N53" s="167">
        <f t="shared" ref="N53" si="50">IF(AND(L53="NA",M53="NA"),"NA",MAX(L53,M53))</f>
        <v>0.76418804815062624</v>
      </c>
      <c r="O53" s="371">
        <f>IF('Chemical Info'!L54="NA","NA",IF('Chemical Info'!E54="Yes",(('Res-Rec Equations'!$B$76*'Chemical Info'!AD54*'Res-Rec Equations'!$B$78*'Res-Rec Equations'!$B$79*'Res-Rec Equations'!$B$81)/('Res-Rec Equations'!$B$84*'Res-Rec Equations'!$B$85))/'Chemical Info'!L54,(('Res-Rec Equations'!$B$76*'Chemical Info'!AD54*'Res-Rec Equations'!$B$78*'Res-Rec Equations'!$B$79*'Res-Rec Equations'!$B$80)/('Res-Rec Equations'!$B$84*'Res-Rec Equations'!$B$85))/'Chemical Info'!L54))</f>
        <v>4.5662100456621003E-4</v>
      </c>
      <c r="P53" s="166">
        <f>IF('Chemical Info'!L54="NA","NA", IF('Chemical Info'!E54="Yes",0,((('Res-Rec Equations'!$B$87*'Res-Rec Equations'!$B$88*'Res-Rec Equations'!$B$78*'Res-Rec Equations'!$B$82*'Res-Rec Equations'!$B$79*'Chemical Info'!AB54)/('Res-Rec Equations'!$B$84*'Res-Rec Equations'!$B$85))/('Chemical Info'!L54*'Chemical Info'!AF54))))</f>
        <v>0</v>
      </c>
      <c r="Q53" s="166">
        <f>IF('Chemical Info'!N54="NA","NA",IF('Res-Rec Calculations'!E53="NA",(('Res-Rec Equations'!$B$83*'Res-Rec Equations'!$B$79*'Res-Rec Calculations'!C53)/('Res-Rec Equations'!$B$85))/('Chemical Info'!N54),IF('Chemical Info'!E54="Yes",(('Res-Rec Equations'!$B$83*'Res-Rec Equations'!$B$79*'Res-Rec Calculations'!E53)/('Res-Rec Equations'!$B$85))/('Chemical Info'!N54),(('Res-Rec Equations'!$B$83*'Res-Rec Equations'!$B$79*('Res-Rec Calculations'!C53+'Res-Rec Calculations'!E53))/('Res-Rec Equations'!$B$85))/('Chemical Info'!N54))))</f>
        <v>2.1095213856200192E-2</v>
      </c>
      <c r="R53" s="166">
        <f>IF('Chemical Info'!N54="NA","NA",IF('Res-Rec Calculations'!F53="NA",(('Res-Rec Equations'!$B$83*'Res-Rec Equations'!$B$79*'Res-Rec Calculations'!C53)/('Res-Rec Equations'!$B$85))/('Chemical Info'!N54),IF('Chemical Info'!E54="Yes",(('Res-Rec Equations'!$B$83*'Res-Rec Equations'!$B$79*'Res-Rec Calculations'!F53)/('Res-Rec Equations'!$B$85))/('Chemical Info'!N54),(('Res-Rec Equations'!$B$83*'Res-Rec Equations'!$B$79*('Res-Rec Calculations'!C53+'Res-Rec Calculations'!F53))/('Res-Rec Equations'!$B$85))/('Chemical Info'!N54))))</f>
        <v>2.1203565287676658E-3</v>
      </c>
      <c r="S53" s="167">
        <f>IF(AND(O53="NA",P53="NA",Q53="NA"),"NA",IF(O53="NA",'Res-Rec Equations'!$B$75/Q53,IF(Q53="NA",'Res-Rec Equations'!$B$75/(O53+P53),'Res-Rec Equations'!$B$75/(O53+P53+Q53))))</f>
        <v>9.2799523238778114</v>
      </c>
      <c r="T53" s="167">
        <f>IF(AND(O53="NA",P53="NA",R53="NA"),"NA",IF(O53="NA",'Res-Rec Equations'!$B$75/R53,IF(R53="NA",'Res-Rec Equations'!$B$75/(O53+P53),'Res-Rec Equations'!$B$75/(O53+P53+R53))))</f>
        <v>77.610300211370841</v>
      </c>
      <c r="U53" s="168">
        <f t="shared" ref="U53" si="51">IF(AND(S53="NA",T53="NA"),"NA",MAX(S53,T53))</f>
        <v>77.610300211370841</v>
      </c>
      <c r="V53" s="167" t="str">
        <f>IF('Chemical Info'!P54="NA","NA",(('Res-Rec Equations'!$B$185*'Res-Rec Equations'!$B$186)/('Res-Rec Equations'!$B$187*'Res-Rec Equations'!$B$188*(1/'Chemical Info'!P54))))</f>
        <v>NA</v>
      </c>
      <c r="W53" s="379" t="str">
        <f t="shared" ref="W53" si="52">IF(V53="NA","NA",IF(V53&gt;100000,100000,IF(ISNUMBER(ROUND(V53*1000000,2-LEN(INT(V53*1000000)))/1000000),ROUND(V53*1000000,2-LEN(INT(V53*1000000)))/1000000,"NA")))</f>
        <v>NA</v>
      </c>
      <c r="X53" s="372">
        <f t="shared" ref="X53" si="53">IF(AND(N53="NA",U53="NA",G53="NA"),"NA",MIN(N53,U53,G53))</f>
        <v>0.76418804815062624</v>
      </c>
      <c r="Y53" s="62">
        <f t="shared" ref="Y53" si="54">IF(X53&gt;100000,100000,IF(ISNUMBER(ROUND(X53*1000000,2-LEN(INT(X53*1000000)))/1000000),ROUND(X53*1000000,2-LEN(INT(X53*1000000)))/1000000,"NA"))</f>
        <v>0.76</v>
      </c>
      <c r="Z53" s="100" t="str">
        <f t="shared" ref="Z53" si="55">IF(Y53=100000,"Max Limit",IF(X53=G53,"Csat",IF(X53=N53,"Cancer",IF(X53=V53,"Acute",IF(X53=U53,"Noncancer","")))))</f>
        <v>Cancer</v>
      </c>
      <c r="AA53" s="373"/>
    </row>
    <row r="54" spans="1:27">
      <c r="A54" s="373" t="s">
        <v>365</v>
      </c>
      <c r="B54" s="566" t="s">
        <v>133</v>
      </c>
      <c r="C54" s="367">
        <f>1/(('Res-Rec Equations'!$B$152*3600)/((0.036*(1-'Res-Rec Equations'!$B$153))*('Res-Rec Equations'!$B$154/'Res-Rec Equations'!$B$155)^3*'Res-Rec Equations'!$B$156))</f>
        <v>7.3567680901159717E-10</v>
      </c>
      <c r="D54" s="368">
        <f>(('Res-Rec Equations'!$B$132^(10/3)*'Chemical Info'!$AH55*'Chemical Info'!$AN55*41+'Res-Rec Equations'!$B$135^(10/3)*'Chemical Info'!$AJ55)/'Res-Rec Equations'!$B$137^2)/('Res-Rec Equations'!$B$139*'Chemical Info'!$AL55*'Res-Rec Equations'!$B$142+'Res-Rec Equations'!$B$135+'Res-Rec Equations'!$B$132*'Chemical Info'!$AN55*41)</f>
        <v>1.930667802674394E-4</v>
      </c>
      <c r="E54" s="368">
        <f>IF(D54=0,"NA",1/(('Res-Rec Equations'!$B$103*(3.14*'Res-Rec Calculations'!$D54*'Res-Rec Equations'!$B$105)^(1/2)*0.0001)/(2*'Res-Rec Equations'!$B$106*'Res-Rec Calculations'!$D54)))</f>
        <v>8.1560965995238063E-5</v>
      </c>
      <c r="F54" s="368">
        <f>IF(D54=0,"NA",(1/('Res-Rec Equations'!$B$117*('Res-Rec Equations'!$B$118*(31500000))/('Res-Rec Equations'!$B$119*'Res-Rec Equations'!$B$120*1000000))))</f>
        <v>6.1914410640015851E-5</v>
      </c>
      <c r="G54" s="167">
        <f>IF('Chemical Info'!E55="Yes",('Chemical Info'!AP55/'Res-Rec Equations'!$B$168)*((('Chemical Info'!AL55*'Res-Rec Equations'!$B$170)*'Res-Rec Equations'!$B$168)+'Res-Rec Equations'!$B$171+('Chemical Info'!AN55*41)*'Res-Rec Equations'!$B$173),"NA")</f>
        <v>906.84617760000015</v>
      </c>
      <c r="H54" s="112" t="str">
        <f>IF('Chemical Info'!H55="NA","NA",IF(AND('Chemical Info'!E55="Yes",'Chemical Info'!D55="Yes"),'Chemical Info'!H55*'Chemical Info'!AD55*'Res-Rec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Info'!E55="Yes",'Chemical Info'!D55=""),'Chemical Info'!H55*'Chemical Info'!AD55*'Res-Rec Equations'!$B$20*'Res-Rec Equations'!$B$23*((('Res-Rec Equations'!$B$26*'Res-Rec Equations'!$B$29)/'Res-Rec Equations'!$B$32)+(('Res-Rec Equations'!$B$27*'Res-Rec Equations'!$B$30)/'Res-Rec Equations'!$B$33)+(('Res-Rec Equations'!$B$28*'Res-Rec Equations'!$B$31)/'Res-Rec Equations'!$B$34)),IF(AND('Chemical Info'!E55="No",'Chemical Info'!D55="Yes"),'Chemical Info'!H55*'Chemical Info'!AD55*'Res-Rec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Info'!E55="No",'Chemical Info'!D55=""),'Chemical Info'!H55*'Chemical Info'!AD55*'Res-Rec Equations'!$B$19*'Res-Rec Equations'!$B$23*((('Res-Rec Equations'!$B$26*'Res-Rec Equations'!$B$29)/'Res-Rec Equations'!$B$32)+(('Res-Rec Equations'!$B$27*'Res-Rec Equations'!$B$30)/'Res-Rec Equations'!$B$33)+(('Res-Rec Equations'!$B$28*'Res-Rec Equations'!$B$31)/'Res-Rec Equations'!$B$34)))))))</f>
        <v>NA</v>
      </c>
      <c r="I54" s="166" t="str">
        <f>IF('Chemical Info'!H55="NA","NA",IF('Chemical Info'!E55="Yes",0,IF('Chemical Info'!D55="Yes",'Chemical Info'!H55/'Chemical Info'!AF55*('Res-Rec Equations'!$B$21*'Chemical Info'!AB55*'Res-Rec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Info'!H55/'Chemical Info'!AF55*('Res-Rec Equations'!$B$21*'Chemical Info'!AB55*'Res-Rec Equations'!$B$23)*((('Res-Rec Equations'!$B$26*'Res-Rec Equations'!$B$37*'Res-Rec Equations'!$B$40)/'Res-Rec Equations'!$B$32)+(('Res-Rec Equations'!$B$27*'Res-Rec Equations'!$B$38*'Res-Rec Equations'!$B$41)/'Res-Rec Equations'!$B$33)+(('Res-Rec Equations'!$B$28*'Res-Rec Equations'!$B$39*'Res-Rec Equations'!$B$42)/'Res-Rec Equations'!$B$34)))))</f>
        <v>NA</v>
      </c>
      <c r="J54" s="369" t="str">
        <f>IF('Chemical Info'!J55="NA","NA",IF(AND(E54="NA",'Chemical Info'!D55="Yes"),'Res-Rec Equations'!$B$22*1000*(('Res-Rec Equations'!$B$26*'Chemical Info'!J55*'Res-Rec Equations'!$B$59)+('Res-Rec Equations'!$B$27*'Chemical Info'!J55*'Res-Rec Equations'!$B$60)+('Res-Rec Equations'!$B$28*'Chemical Info'!J55*'Res-Rec Equations'!$B$61))*'Res-Rec Calculations'!C54,IF(AND(E54="NA",'Chemical Info'!D55=""),'Res-Rec Equations'!$B$22*1000*'Res-Rec Equations'!$B$25*'Chemical Info'!J55*'Res-Rec Calculations'!C54,IF(AND('Chemical Info'!E55="Yes",'Chemical Info'!D55="Yes"),'Res-Rec Equations'!$B$22*1000*(('Res-Rec Equations'!$B$26*'Chemical Info'!J55*'Res-Rec Equations'!$B$59)+('Res-Rec Equations'!$B$27*'Chemical Info'!J55*'Res-Rec Equations'!$B$60)+('Res-Rec Equations'!$B$28*'Chemical Info'!J55*'Res-Rec Equations'!$B$61))*'Res-Rec Calculations'!E54,IF(AND('Chemical Info'!E55="Yes",'Chemical Info'!D55=""),'Res-Rec Equations'!$B$22*1000*'Res-Rec Equations'!$B$25*'Chemical Info'!J55*'Res-Rec Calculations'!E54,IF('Chemical Info'!D55="Yes",'Res-Rec Equations'!$B$22*1000*(('Res-Rec Equations'!$B$26*'Chemical Info'!J55*'Res-Rec Equations'!$B$59)+('Res-Rec Equations'!$B$27*'Chemical Info'!J55*'Res-Rec Equations'!$B$60)+('Res-Rec Equations'!$B$28*'Chemical Info'!J55*'Res-Rec Equations'!$B$61))*('Res-Rec Calculations'!C54+'Res-Rec Calculations'!E54),IF('Chemical Info'!D55="",'Res-Rec Equations'!$B$22*1000*'Res-Rec Equations'!$B$25*'Chemical Info'!J55*('Res-Rec Calculations'!C54+'Res-Rec Calculations'!E54))))))))</f>
        <v>NA</v>
      </c>
      <c r="K54" s="370" t="str">
        <f>IF('Chemical Info'!J55="NA","NA",IF(AND(F54="NA",'Chemical Info'!D55="Yes"),'Res-Rec Equations'!$B$22*1000*(('Res-Rec Equations'!$B$26*'Chemical Info'!J55*'Res-Rec Equations'!$B$59)+('Res-Rec Equations'!$B$27*'Chemical Info'!J55*'Res-Rec Equations'!$B$60)+('Res-Rec Equations'!$B$28*'Chemical Info'!J55*'Res-Rec Equations'!$B$61))*'Res-Rec Calculations'!C54,IF(AND(F54="NA",'Chemical Info'!D55=""),'Res-Rec Equations'!$B$22*1000*'Res-Rec Equations'!$B$25*'Chemical Info'!J55*'Res-Rec Calculations'!C54,IF(AND('Chemical Info'!F55="Yes",'Chemical Info'!D55="Yes"),'Res-Rec Equations'!$B$22*1000*(('Res-Rec Equations'!$B$26*'Chemical Info'!J55*'Res-Rec Equations'!$B$59)+('Res-Rec Equations'!$B$27*'Chemical Info'!J55*'Res-Rec Equations'!$B$60)+('Res-Rec Equations'!$B$28*'Chemical Info'!J55*'Res-Rec Equations'!$B$61))*'Res-Rec Calculations'!F54,IF(AND('Chemical Info'!F55="Yes",'Chemical Info'!D55=""),'Res-Rec Equations'!$B$22*1000*'Res-Rec Equations'!$B$25*'Chemical Info'!J55*'Res-Rec Calculations'!F54,IF('Chemical Info'!D55="Yes",'Res-Rec Equations'!$B$22*1000*(('Res-Rec Equations'!$B$26*'Chemical Info'!J55*'Res-Rec Equations'!$B$59)+('Res-Rec Equations'!$B$27*'Chemical Info'!J55*'Res-Rec Equations'!$B$60)+('Res-Rec Equations'!$B$28*'Chemical Info'!J55*'Res-Rec Equations'!$B$61))*('Res-Rec Calculations'!C54+'Res-Rec Calculations'!F54),IF('Chemical Info'!D55="",'Res-Rec Equations'!$B$22*1000*'Res-Rec Equations'!$B$25*'Chemical Info'!J55*('Res-Rec Calculations'!C54+'Res-Rec Calculations'!F54))))))))</f>
        <v>NA</v>
      </c>
      <c r="L54" s="167" t="str">
        <f>IF(AND(H54="NA",I54="NA",J54="NA"),"NA",IF(H54="NA",'Res-Rec Equations'!$B$15*'Res-Rec Equations'!$B$16/J54,IF(J54="NA",'Res-Rec Equations'!$B$15*'Res-Rec Equations'!$B$16/(H54+I54),'Res-Rec Equations'!$B$15*'Res-Rec Equations'!$B$16/(H54+I54+J54))))</f>
        <v>NA</v>
      </c>
      <c r="M54" s="167" t="str">
        <f>IF(AND(H54="NA",I54="NA",K54="NA"),"NA",IF(H54="NA",'Res-Rec Equations'!$B$15*'Res-Rec Equations'!$B$16/K54,IF(K54="NA",'Res-Rec Equations'!$B$15*'Res-Rec Equations'!$B$16/(H54+I54),'Res-Rec Equations'!$B$15*'Res-Rec Equations'!$B$16/(H54+I54+K54))))</f>
        <v>NA</v>
      </c>
      <c r="N54" s="167" t="str">
        <f t="shared" si="14"/>
        <v>NA</v>
      </c>
      <c r="O54" s="371">
        <f>IF('Chemical Info'!L55="NA","NA",IF('Chemical Info'!E55="Yes",(('Res-Rec Equations'!$B$76*'Chemical Info'!AD55*'Res-Rec Equations'!$B$78*'Res-Rec Equations'!$B$79*'Res-Rec Equations'!$B$81)/('Res-Rec Equations'!$B$84*'Res-Rec Equations'!$B$85))/'Chemical Info'!L55,(('Res-Rec Equations'!$B$76*'Chemical Info'!AD55*'Res-Rec Equations'!$B$78*'Res-Rec Equations'!$B$79*'Res-Rec Equations'!$B$80)/('Res-Rec Equations'!$B$84*'Res-Rec Equations'!$B$85))/'Chemical Info'!L55))</f>
        <v>4.5662100456621003E-4</v>
      </c>
      <c r="P54" s="166">
        <f>IF('Chemical Info'!L55="NA","NA", IF('Chemical Info'!E55="Yes",0,((('Res-Rec Equations'!$B$87*'Res-Rec Equations'!$B$88*'Res-Rec Equations'!$B$78*'Res-Rec Equations'!$B$82*'Res-Rec Equations'!$B$79*'Chemical Info'!AB55)/('Res-Rec Equations'!$B$84*'Res-Rec Equations'!$B$85))/('Chemical Info'!L55*'Chemical Info'!AF55))))</f>
        <v>0</v>
      </c>
      <c r="Q54" s="166" t="str">
        <f>IF('Chemical Info'!N55="NA","NA",IF('Res-Rec Calculations'!E54="NA",(('Res-Rec Equations'!$B$83*'Res-Rec Equations'!$B$79*'Res-Rec Calculations'!C54)/('Res-Rec Equations'!$B$85))/('Chemical Info'!N55),IF('Chemical Info'!E55="Yes",(('Res-Rec Equations'!$B$83*'Res-Rec Equations'!$B$79*'Res-Rec Calculations'!E54)/('Res-Rec Equations'!$B$85))/('Chemical Info'!N55),(('Res-Rec Equations'!$B$83*'Res-Rec Equations'!$B$79*('Res-Rec Calculations'!C54+'Res-Rec Calculations'!E54))/('Res-Rec Equations'!$B$85))/('Chemical Info'!N55))))</f>
        <v>NA</v>
      </c>
      <c r="R54" s="166" t="str">
        <f>IF('Chemical Info'!N55="NA","NA",IF('Res-Rec Calculations'!F54="NA",(('Res-Rec Equations'!$B$83*'Res-Rec Equations'!$B$79*'Res-Rec Calculations'!C54)/('Res-Rec Equations'!$B$85))/('Chemical Info'!N55),IF('Chemical Info'!E55="Yes",(('Res-Rec Equations'!$B$83*'Res-Rec Equations'!$B$79*'Res-Rec Calculations'!F54)/('Res-Rec Equations'!$B$85))/('Chemical Info'!N55),(('Res-Rec Equations'!$B$83*'Res-Rec Equations'!$B$79*('Res-Rec Calculations'!C54+'Res-Rec Calculations'!F54))/('Res-Rec Equations'!$B$85))/('Chemical Info'!N55))))</f>
        <v>NA</v>
      </c>
      <c r="S54" s="167">
        <f>IF(AND(O54="NA",P54="NA",Q54="NA"),"NA",IF(O54="NA",'Res-Rec Equations'!$B$75/Q54,IF(Q54="NA",'Res-Rec Equations'!$B$75/(O54+P54),'Res-Rec Equations'!$B$75/(O54+P54+Q54))))</f>
        <v>438.00000000000006</v>
      </c>
      <c r="T54" s="167">
        <f>IF(AND(O54="NA",P54="NA",R54="NA"),"NA",IF(O54="NA",'Res-Rec Equations'!$B$75/R54,IF(R54="NA",'Res-Rec Equations'!$B$75/(O54+P54),'Res-Rec Equations'!$B$75/(O54+P54+R54))))</f>
        <v>438.00000000000006</v>
      </c>
      <c r="U54" s="168">
        <f t="shared" si="15"/>
        <v>438.00000000000006</v>
      </c>
      <c r="V54" s="167" t="str">
        <f>IF('Chemical Info'!P55="NA","NA",(('Res-Rec Equations'!$B$185*'Res-Rec Equations'!$B$186)/('Res-Rec Equations'!$B$187*'Res-Rec Equations'!$B$188*(1/'Chemical Info'!P55))))</f>
        <v>NA</v>
      </c>
      <c r="W54" s="379" t="str">
        <f t="shared" si="16"/>
        <v>NA</v>
      </c>
      <c r="X54" s="372">
        <f t="shared" si="17"/>
        <v>438.00000000000006</v>
      </c>
      <c r="Y54" s="62">
        <f t="shared" si="18"/>
        <v>440</v>
      </c>
      <c r="Z54" s="100" t="str">
        <f t="shared" si="19"/>
        <v>Noncancer</v>
      </c>
      <c r="AA54" s="373"/>
    </row>
    <row r="55" spans="1:27">
      <c r="A55" s="373" t="s">
        <v>1217</v>
      </c>
      <c r="B55" s="566" t="s">
        <v>1193</v>
      </c>
      <c r="C55" s="367">
        <f>1/(('Res-Rec Equations'!$B$152*3600)/((0.036*(1-'Res-Rec Equations'!$B$153))*('Res-Rec Equations'!$B$154/'Res-Rec Equations'!$B$155)^3*'Res-Rec Equations'!$B$156))</f>
        <v>7.3567680901159717E-10</v>
      </c>
      <c r="D55" s="368">
        <f>(('Res-Rec Equations'!$B$132^(10/3)*'Chemical Info'!$AH56*'Chemical Info'!$AN56*41+'Res-Rec Equations'!$B$135^(10/3)*'Chemical Info'!$AJ56)/'Res-Rec Equations'!$B$137^2)/('Res-Rec Equations'!$B$139*'Chemical Info'!$AL56*'Res-Rec Equations'!$B$142+'Res-Rec Equations'!$B$135+'Res-Rec Equations'!$B$132*'Chemical Info'!$AN56*41)</f>
        <v>3.5590711675420082E-5</v>
      </c>
      <c r="E55" s="368">
        <f>IF(D55=0,"NA",1/(('Res-Rec Equations'!$B$103*(3.14*'Res-Rec Calculations'!$D55*'Res-Rec Equations'!$B$105)^(1/2)*0.0001)/(2*'Res-Rec Equations'!$B$106*'Res-Rec Calculations'!$D55)))</f>
        <v>3.5018450058541266E-5</v>
      </c>
      <c r="F55" s="368">
        <f>IF(D55=0,"NA",(1/('Res-Rec Equations'!$B$117*('Res-Rec Equations'!$B$118*(31500000))/('Res-Rec Equations'!$B$119*'Res-Rec Equations'!$B$120*1000000))))</f>
        <v>6.1914410640015851E-5</v>
      </c>
      <c r="G55" s="167">
        <f>IF('Chemical Info'!E56="Yes",('Chemical Info'!AP56/'Res-Rec Equations'!$B$168)*((('Chemical Info'!AL56*'Res-Rec Equations'!$B$170)*'Res-Rec Equations'!$B$168)+'Res-Rec Equations'!$B$171+('Chemical Info'!AN56*41)*'Res-Rec Equations'!$B$173),"NA")</f>
        <v>20074.071914666667</v>
      </c>
      <c r="H55" s="112">
        <f>IF('Chemical Info'!H56="NA","NA",IF(AND('Chemical Info'!E56="Yes",'Chemical Info'!D56="Yes"),'Chemical Info'!H56*'Chemical Info'!AD56*'Res-Rec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Info'!E56="Yes",'Chemical Info'!D56=""),'Chemical Info'!H56*'Chemical Info'!AD56*'Res-Rec Equations'!$B$20*'Res-Rec Equations'!$B$23*((('Res-Rec Equations'!$B$26*'Res-Rec Equations'!$B$29)/'Res-Rec Equations'!$B$32)+(('Res-Rec Equations'!$B$27*'Res-Rec Equations'!$B$30)/'Res-Rec Equations'!$B$33)+(('Res-Rec Equations'!$B$28*'Res-Rec Equations'!$B$31)/'Res-Rec Equations'!$B$34)),IF(AND('Chemical Info'!E56="No",'Chemical Info'!D56="Yes"),'Chemical Info'!H56*'Chemical Info'!AD56*'Res-Rec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Info'!E56="No",'Chemical Info'!D56=""),'Chemical Info'!H56*'Chemical Info'!AD56*'Res-Rec Equations'!$B$19*'Res-Rec Equations'!$B$23*((('Res-Rec Equations'!$B$26*'Res-Rec Equations'!$B$29)/'Res-Rec Equations'!$B$32)+(('Res-Rec Equations'!$B$27*'Res-Rec Equations'!$B$30)/'Res-Rec Equations'!$B$33)+(('Res-Rec Equations'!$B$28*'Res-Rec Equations'!$B$31)/'Res-Rec Equations'!$B$34)))))))</f>
        <v>6.1195945945945948E-2</v>
      </c>
      <c r="I55" s="166">
        <f>IF('Chemical Info'!H56="NA","NA",IF('Chemical Info'!E56="Yes",0,IF('Chemical Info'!D56="Yes",'Chemical Info'!H56/'Chemical Info'!AF56*('Res-Rec Equations'!$B$21*'Chemical Info'!AB56*'Res-Rec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Info'!H56/'Chemical Info'!AF56*('Res-Rec Equations'!$B$21*'Chemical Info'!AB56*'Res-Rec Equations'!$B$23)*((('Res-Rec Equations'!$B$26*'Res-Rec Equations'!$B$37*'Res-Rec Equations'!$B$40)/'Res-Rec Equations'!$B$32)+(('Res-Rec Equations'!$B$27*'Res-Rec Equations'!$B$38*'Res-Rec Equations'!$B$41)/'Res-Rec Equations'!$B$33)+(('Res-Rec Equations'!$B$28*'Res-Rec Equations'!$B$39*'Res-Rec Equations'!$B$42)/'Res-Rec Equations'!$B$34)))))</f>
        <v>0</v>
      </c>
      <c r="J55" s="369" t="str">
        <f>IF('Chemical Info'!J56="NA","NA",IF(AND(E55="NA",'Chemical Info'!D56="Yes"),'Res-Rec Equations'!$B$22*1000*(('Res-Rec Equations'!$B$26*'Chemical Info'!J56*'Res-Rec Equations'!$B$59)+('Res-Rec Equations'!$B$27*'Chemical Info'!J56*'Res-Rec Equations'!$B$60)+('Res-Rec Equations'!$B$28*'Chemical Info'!J56*'Res-Rec Equations'!$B$61))*'Res-Rec Calculations'!C55,IF(AND(E55="NA",'Chemical Info'!D56=""),'Res-Rec Equations'!$B$22*1000*'Res-Rec Equations'!$B$25*'Chemical Info'!J56*'Res-Rec Calculations'!C55,IF(AND('Chemical Info'!E56="Yes",'Chemical Info'!D56="Yes"),'Res-Rec Equations'!$B$22*1000*(('Res-Rec Equations'!$B$26*'Chemical Info'!J56*'Res-Rec Equations'!$B$59)+('Res-Rec Equations'!$B$27*'Chemical Info'!J56*'Res-Rec Equations'!$B$60)+('Res-Rec Equations'!$B$28*'Chemical Info'!J56*'Res-Rec Equations'!$B$61))*'Res-Rec Calculations'!E55,IF(AND('Chemical Info'!E56="Yes",'Chemical Info'!D56=""),'Res-Rec Equations'!$B$22*1000*'Res-Rec Equations'!$B$25*'Chemical Info'!J56*'Res-Rec Calculations'!E55,IF('Chemical Info'!D56="Yes",'Res-Rec Equations'!$B$22*1000*(('Res-Rec Equations'!$B$26*'Chemical Info'!J56*'Res-Rec Equations'!$B$59)+('Res-Rec Equations'!$B$27*'Chemical Info'!J56*'Res-Rec Equations'!$B$60)+('Res-Rec Equations'!$B$28*'Chemical Info'!J56*'Res-Rec Equations'!$B$61))*('Res-Rec Calculations'!C55+'Res-Rec Calculations'!E55),IF('Chemical Info'!D56="",'Res-Rec Equations'!$B$22*1000*'Res-Rec Equations'!$B$25*'Chemical Info'!J56*('Res-Rec Calculations'!C55+'Res-Rec Calculations'!E55))))))))</f>
        <v>NA</v>
      </c>
      <c r="K55" s="370" t="str">
        <f>IF('Chemical Info'!J56="NA","NA",IF(AND(F55="NA",'Chemical Info'!D56="Yes"),'Res-Rec Equations'!$B$22*1000*(('Res-Rec Equations'!$B$26*'Chemical Info'!J56*'Res-Rec Equations'!$B$59)+('Res-Rec Equations'!$B$27*'Chemical Info'!J56*'Res-Rec Equations'!$B$60)+('Res-Rec Equations'!$B$28*'Chemical Info'!J56*'Res-Rec Equations'!$B$61))*'Res-Rec Calculations'!C55,IF(AND(F55="NA",'Chemical Info'!D56=""),'Res-Rec Equations'!$B$22*1000*'Res-Rec Equations'!$B$25*'Chemical Info'!J56*'Res-Rec Calculations'!C55,IF(AND('Chemical Info'!F56="Yes",'Chemical Info'!D56="Yes"),'Res-Rec Equations'!$B$22*1000*(('Res-Rec Equations'!$B$26*'Chemical Info'!J56*'Res-Rec Equations'!$B$59)+('Res-Rec Equations'!$B$27*'Chemical Info'!J56*'Res-Rec Equations'!$B$60)+('Res-Rec Equations'!$B$28*'Chemical Info'!J56*'Res-Rec Equations'!$B$61))*'Res-Rec Calculations'!F55,IF(AND('Chemical Info'!F56="Yes",'Chemical Info'!D56=""),'Res-Rec Equations'!$B$22*1000*'Res-Rec Equations'!$B$25*'Chemical Info'!J56*'Res-Rec Calculations'!F55,IF('Chemical Info'!D56="Yes",'Res-Rec Equations'!$B$22*1000*(('Res-Rec Equations'!$B$26*'Chemical Info'!J56*'Res-Rec Equations'!$B$59)+('Res-Rec Equations'!$B$27*'Chemical Info'!J56*'Res-Rec Equations'!$B$60)+('Res-Rec Equations'!$B$28*'Chemical Info'!J56*'Res-Rec Equations'!$B$61))*('Res-Rec Calculations'!C55+'Res-Rec Calculations'!F55),IF('Chemical Info'!D56="",'Res-Rec Equations'!$B$22*1000*'Res-Rec Equations'!$B$25*'Chemical Info'!J56*('Res-Rec Calculations'!C55+'Res-Rec Calculations'!F55))))))))</f>
        <v>NA</v>
      </c>
      <c r="L55" s="167">
        <f>IF(AND(H55="NA",I55="NA",J55="NA"),"NA",IF(H55="NA",'Res-Rec Equations'!$B$15*'Res-Rec Equations'!$B$16/J55,IF(J55="NA",'Res-Rec Equations'!$B$15*'Res-Rec Equations'!$B$16/(H55+I55),'Res-Rec Equations'!$B$15*'Res-Rec Equations'!$B$16/(H55+I55+J55))))</f>
        <v>4.1751131721320522</v>
      </c>
      <c r="M55" s="167">
        <f>IF(AND(H55="NA",I55="NA",K55="NA"),"NA",IF(H55="NA",'Res-Rec Equations'!$B$15*'Res-Rec Equations'!$B$16/K55,IF(K55="NA",'Res-Rec Equations'!$B$15*'Res-Rec Equations'!$B$16/(H55+I55),'Res-Rec Equations'!$B$15*'Res-Rec Equations'!$B$16/(H55+I55+K55))))</f>
        <v>4.1751131721320522</v>
      </c>
      <c r="N55" s="167">
        <f t="shared" ref="N55" si="56">IF(AND(L55="NA",M55="NA"),"NA",MAX(L55,M55))</f>
        <v>4.1751131721320522</v>
      </c>
      <c r="O55" s="371">
        <f>IF('Chemical Info'!L56="NA","NA",IF('Chemical Info'!E56="Yes",(('Res-Rec Equations'!$B$76*'Chemical Info'!AD56*'Res-Rec Equations'!$B$78*'Res-Rec Equations'!$B$79*'Res-Rec Equations'!$B$81)/('Res-Rec Equations'!$B$84*'Res-Rec Equations'!$B$85))/'Chemical Info'!L56,(('Res-Rec Equations'!$B$76*'Chemical Info'!AD56*'Res-Rec Equations'!$B$78*'Res-Rec Equations'!$B$79*'Res-Rec Equations'!$B$80)/('Res-Rec Equations'!$B$84*'Res-Rec Equations'!$B$85))/'Chemical Info'!L56))</f>
        <v>9.1324200913242004E-3</v>
      </c>
      <c r="P55" s="166">
        <f>IF('Chemical Info'!L56="NA","NA", IF('Chemical Info'!E56="Yes",0,((('Res-Rec Equations'!$B$87*'Res-Rec Equations'!$B$88*'Res-Rec Equations'!$B$78*'Res-Rec Equations'!$B$82*'Res-Rec Equations'!$B$79*'Chemical Info'!AB56)/('Res-Rec Equations'!$B$84*'Res-Rec Equations'!$B$85))/('Chemical Info'!L56*'Chemical Info'!AF56))))</f>
        <v>0</v>
      </c>
      <c r="Q55" s="166" t="str">
        <f>IF('Chemical Info'!N56="NA","NA",IF('Res-Rec Calculations'!E55="NA",(('Res-Rec Equations'!$B$83*'Res-Rec Equations'!$B$79*'Res-Rec Calculations'!C55)/('Res-Rec Equations'!$B$85))/('Chemical Info'!N56),IF('Chemical Info'!E56="Yes",(('Res-Rec Equations'!$B$83*'Res-Rec Equations'!$B$79*'Res-Rec Calculations'!E55)/('Res-Rec Equations'!$B$85))/('Chemical Info'!N56),(('Res-Rec Equations'!$B$83*'Res-Rec Equations'!$B$79*('Res-Rec Calculations'!C55+'Res-Rec Calculations'!E55))/('Res-Rec Equations'!$B$85))/('Chemical Info'!N56))))</f>
        <v>NA</v>
      </c>
      <c r="R55" s="166" t="str">
        <f>IF('Chemical Info'!N56="NA","NA",IF('Res-Rec Calculations'!F55="NA",(('Res-Rec Equations'!$B$83*'Res-Rec Equations'!$B$79*'Res-Rec Calculations'!C55)/('Res-Rec Equations'!$B$85))/('Chemical Info'!N56),IF('Chemical Info'!E56="Yes",(('Res-Rec Equations'!$B$83*'Res-Rec Equations'!$B$79*'Res-Rec Calculations'!F55)/('Res-Rec Equations'!$B$85))/('Chemical Info'!N56),(('Res-Rec Equations'!$B$83*'Res-Rec Equations'!$B$79*('Res-Rec Calculations'!C55+'Res-Rec Calculations'!F55))/('Res-Rec Equations'!$B$85))/('Chemical Info'!N56))))</f>
        <v>NA</v>
      </c>
      <c r="S55" s="167">
        <f>IF(AND(O55="NA",P55="NA",Q55="NA"),"NA",IF(O55="NA",'Res-Rec Equations'!$B$75/Q55,IF(Q55="NA",'Res-Rec Equations'!$B$75/(O55+P55),'Res-Rec Equations'!$B$75/(O55+P55+Q55))))</f>
        <v>21.900000000000002</v>
      </c>
      <c r="T55" s="167">
        <f>IF(AND(O55="NA",P55="NA",R55="NA"),"NA",IF(O55="NA",'Res-Rec Equations'!$B$75/R55,IF(R55="NA",'Res-Rec Equations'!$B$75/(O55+P55),'Res-Rec Equations'!$B$75/(O55+P55+R55))))</f>
        <v>21.900000000000002</v>
      </c>
      <c r="U55" s="168">
        <f t="shared" ref="U55" si="57">IF(AND(S55="NA",T55="NA"),"NA",MAX(S55,T55))</f>
        <v>21.900000000000002</v>
      </c>
      <c r="V55" s="167" t="str">
        <f>IF('Chemical Info'!P56="NA","NA",(('Res-Rec Equations'!$B$185*'Res-Rec Equations'!$B$186)/('Res-Rec Equations'!$B$187*'Res-Rec Equations'!$B$188*(1/'Chemical Info'!P56))))</f>
        <v>NA</v>
      </c>
      <c r="W55" s="379" t="str">
        <f t="shared" ref="W55" si="58">IF(V55="NA","NA",IF(V55&gt;100000,100000,IF(ISNUMBER(ROUND(V55*1000000,2-LEN(INT(V55*1000000)))/1000000),ROUND(V55*1000000,2-LEN(INT(V55*1000000)))/1000000,"NA")))</f>
        <v>NA</v>
      </c>
      <c r="X55" s="372">
        <f t="shared" ref="X55" si="59">IF(AND(N55="NA",U55="NA",G55="NA"),"NA",MIN(N55,U55,G55))</f>
        <v>4.1751131721320522</v>
      </c>
      <c r="Y55" s="62">
        <f t="shared" ref="Y55" si="60">IF(X55&gt;100000,100000,IF(ISNUMBER(ROUND(X55*1000000,2-LEN(INT(X55*1000000)))/1000000),ROUND(X55*1000000,2-LEN(INT(X55*1000000)))/1000000,"NA"))</f>
        <v>4.2</v>
      </c>
      <c r="Z55" s="100" t="str">
        <f t="shared" ref="Z55" si="61">IF(Y55=100000,"Max Limit",IF(X55=G55,"Csat",IF(X55=N55,"Cancer",IF(X55=V55,"Acute",IF(X55=U55,"Noncancer","")))))</f>
        <v>Cancer</v>
      </c>
      <c r="AA55" s="373"/>
    </row>
    <row r="56" spans="1:27">
      <c r="A56" s="413" t="s">
        <v>14</v>
      </c>
      <c r="B56" s="566" t="s">
        <v>15</v>
      </c>
      <c r="C56" s="367">
        <f>1/(('Res-Rec Equations'!$B$152*3600)/((0.036*(1-'Res-Rec Equations'!$B$153))*('Res-Rec Equations'!$B$154/'Res-Rec Equations'!$B$155)^3*'Res-Rec Equations'!$B$156))</f>
        <v>7.3567680901159717E-10</v>
      </c>
      <c r="D56" s="368">
        <f>(('Res-Rec Equations'!$B$132^(10/3)*'Chemical Info'!$AH57*'Chemical Info'!$AN57*41+'Res-Rec Equations'!$B$135^(10/3)*'Chemical Info'!$AJ57)/'Res-Rec Equations'!$B$137^2)/('Res-Rec Equations'!$B$139*'Chemical Info'!$AL57*'Res-Rec Equations'!$B$142+'Res-Rec Equations'!$B$135+'Res-Rec Equations'!$B$132*'Chemical Info'!$AN57*41)</f>
        <v>3.3043375116574282E-4</v>
      </c>
      <c r="E56" s="368">
        <f>IF(D56=0,"NA",1/(('Res-Rec Equations'!$B$103*(3.14*'Res-Rec Calculations'!$D56*'Res-Rec Equations'!$B$105)^(1/2)*0.0001)/(2*'Res-Rec Equations'!$B$106*'Res-Rec Calculations'!$D56)))</f>
        <v>1.0670156373654206E-4</v>
      </c>
      <c r="F56" s="368">
        <f>IF(D56=0,"NA",(1/('Res-Rec Equations'!$B$117*('Res-Rec Equations'!$B$118*(31500000))/('Res-Rec Equations'!$B$119*'Res-Rec Equations'!$B$120*1000000))))</f>
        <v>6.1914410640015851E-5</v>
      </c>
      <c r="G56" s="167">
        <f>IF('Chemical Info'!E57="Yes",('Chemical Info'!AP57/'Res-Rec Equations'!$B$168)*((('Chemical Info'!AL57*'Res-Rec Equations'!$B$170)*'Res-Rec Equations'!$B$168)+'Res-Rec Equations'!$B$171+('Chemical Info'!AN57*41)*'Res-Rec Equations'!$B$173),"NA")</f>
        <v>268.17605733333335</v>
      </c>
      <c r="H56" s="112" t="str">
        <f>IF('Chemical Info'!H57="NA","NA",IF(AND('Chemical Info'!E57="Yes",'Chemical Info'!D57="Yes"),'Chemical Info'!H57*'Chemical Info'!AD57*'Res-Rec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Info'!E57="Yes",'Chemical Info'!D57=""),'Chemical Info'!H57*'Chemical Info'!AD57*'Res-Rec Equations'!$B$20*'Res-Rec Equations'!$B$23*((('Res-Rec Equations'!$B$26*'Res-Rec Equations'!$B$29)/'Res-Rec Equations'!$B$32)+(('Res-Rec Equations'!$B$27*'Res-Rec Equations'!$B$30)/'Res-Rec Equations'!$B$33)+(('Res-Rec Equations'!$B$28*'Res-Rec Equations'!$B$31)/'Res-Rec Equations'!$B$34)),IF(AND('Chemical Info'!E57="No",'Chemical Info'!D57="Yes"),'Chemical Info'!H57*'Chemical Info'!AD57*'Res-Rec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Info'!E57="No",'Chemical Info'!D57=""),'Chemical Info'!H57*'Chemical Info'!AD57*'Res-Rec Equations'!$B$19*'Res-Rec Equations'!$B$23*((('Res-Rec Equations'!$B$26*'Res-Rec Equations'!$B$29)/'Res-Rec Equations'!$B$32)+(('Res-Rec Equations'!$B$27*'Res-Rec Equations'!$B$30)/'Res-Rec Equations'!$B$33)+(('Res-Rec Equations'!$B$28*'Res-Rec Equations'!$B$31)/'Res-Rec Equations'!$B$34)))))))</f>
        <v>NA</v>
      </c>
      <c r="I56" s="166" t="str">
        <f>IF('Chemical Info'!H57="NA","NA",IF('Chemical Info'!E57="Yes",0,IF('Chemical Info'!D57="Yes",'Chemical Info'!H57/'Chemical Info'!AF57*('Res-Rec Equations'!$B$21*'Chemical Info'!AB57*'Res-Rec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Info'!H57/'Chemical Info'!AF57*('Res-Rec Equations'!$B$21*'Chemical Info'!AB57*'Res-Rec Equations'!$B$23)*((('Res-Rec Equations'!$B$26*'Res-Rec Equations'!$B$37*'Res-Rec Equations'!$B$40)/'Res-Rec Equations'!$B$32)+(('Res-Rec Equations'!$B$27*'Res-Rec Equations'!$B$38*'Res-Rec Equations'!$B$41)/'Res-Rec Equations'!$B$33)+(('Res-Rec Equations'!$B$28*'Res-Rec Equations'!$B$39*'Res-Rec Equations'!$B$42)/'Res-Rec Equations'!$B$34)))))</f>
        <v>NA</v>
      </c>
      <c r="J56" s="369" t="str">
        <f>IF('Chemical Info'!J57="NA","NA",IF(AND(E56="NA",'Chemical Info'!D57="Yes"),'Res-Rec Equations'!$B$22*1000*(('Res-Rec Equations'!$B$26*'Chemical Info'!J57*'Res-Rec Equations'!$B$59)+('Res-Rec Equations'!$B$27*'Chemical Info'!J57*'Res-Rec Equations'!$B$60)+('Res-Rec Equations'!$B$28*'Chemical Info'!J57*'Res-Rec Equations'!$B$61))*'Res-Rec Calculations'!C56,IF(AND(E56="NA",'Chemical Info'!D57=""),'Res-Rec Equations'!$B$22*1000*'Res-Rec Equations'!$B$25*'Chemical Info'!J57*'Res-Rec Calculations'!C56,IF(AND('Chemical Info'!E57="Yes",'Chemical Info'!D57="Yes"),'Res-Rec Equations'!$B$22*1000*(('Res-Rec Equations'!$B$26*'Chemical Info'!J57*'Res-Rec Equations'!$B$59)+('Res-Rec Equations'!$B$27*'Chemical Info'!J57*'Res-Rec Equations'!$B$60)+('Res-Rec Equations'!$B$28*'Chemical Info'!J57*'Res-Rec Equations'!$B$61))*'Res-Rec Calculations'!E56,IF(AND('Chemical Info'!E57="Yes",'Chemical Info'!D57=""),'Res-Rec Equations'!$B$22*1000*'Res-Rec Equations'!$B$25*'Chemical Info'!J57*'Res-Rec Calculations'!E56,IF('Chemical Info'!D57="Yes",'Res-Rec Equations'!$B$22*1000*(('Res-Rec Equations'!$B$26*'Chemical Info'!J57*'Res-Rec Equations'!$B$59)+('Res-Rec Equations'!$B$27*'Chemical Info'!J57*'Res-Rec Equations'!$B$60)+('Res-Rec Equations'!$B$28*'Chemical Info'!J57*'Res-Rec Equations'!$B$61))*('Res-Rec Calculations'!C56+'Res-Rec Calculations'!E56),IF('Chemical Info'!D57="",'Res-Rec Equations'!$B$22*1000*'Res-Rec Equations'!$B$25*'Chemical Info'!J57*('Res-Rec Calculations'!C56+'Res-Rec Calculations'!E56))))))))</f>
        <v>NA</v>
      </c>
      <c r="K56" s="370" t="str">
        <f>IF('Chemical Info'!J57="NA","NA",IF(AND(F56="NA",'Chemical Info'!D57="Yes"),'Res-Rec Equations'!$B$22*1000*(('Res-Rec Equations'!$B$26*'Chemical Info'!J57*'Res-Rec Equations'!$B$59)+('Res-Rec Equations'!$B$27*'Chemical Info'!J57*'Res-Rec Equations'!$B$60)+('Res-Rec Equations'!$B$28*'Chemical Info'!J57*'Res-Rec Equations'!$B$61))*'Res-Rec Calculations'!C56,IF(AND(F56="NA",'Chemical Info'!D57=""),'Res-Rec Equations'!$B$22*1000*'Res-Rec Equations'!$B$25*'Chemical Info'!J57*'Res-Rec Calculations'!C56,IF(AND('Chemical Info'!F57="Yes",'Chemical Info'!D57="Yes"),'Res-Rec Equations'!$B$22*1000*(('Res-Rec Equations'!$B$26*'Chemical Info'!J57*'Res-Rec Equations'!$B$59)+('Res-Rec Equations'!$B$27*'Chemical Info'!J57*'Res-Rec Equations'!$B$60)+('Res-Rec Equations'!$B$28*'Chemical Info'!J57*'Res-Rec Equations'!$B$61))*'Res-Rec Calculations'!F56,IF(AND('Chemical Info'!F57="Yes",'Chemical Info'!D57=""),'Res-Rec Equations'!$B$22*1000*'Res-Rec Equations'!$B$25*'Chemical Info'!J57*'Res-Rec Calculations'!F56,IF('Chemical Info'!D57="Yes",'Res-Rec Equations'!$B$22*1000*(('Res-Rec Equations'!$B$26*'Chemical Info'!J57*'Res-Rec Equations'!$B$59)+('Res-Rec Equations'!$B$27*'Chemical Info'!J57*'Res-Rec Equations'!$B$60)+('Res-Rec Equations'!$B$28*'Chemical Info'!J57*'Res-Rec Equations'!$B$61))*('Res-Rec Calculations'!C56+'Res-Rec Calculations'!F56),IF('Chemical Info'!D57="",'Res-Rec Equations'!$B$22*1000*'Res-Rec Equations'!$B$25*'Chemical Info'!J57*('Res-Rec Calculations'!C56+'Res-Rec Calculations'!F56))))))))</f>
        <v>NA</v>
      </c>
      <c r="L56" s="167" t="str">
        <f>IF(AND(H56="NA",I56="NA",J56="NA"),"NA",IF(H56="NA",'Res-Rec Equations'!$B$15*'Res-Rec Equations'!$B$16/J56,IF(J56="NA",'Res-Rec Equations'!$B$15*'Res-Rec Equations'!$B$16/(H56+I56),'Res-Rec Equations'!$B$15*'Res-Rec Equations'!$B$16/(H56+I56+J56))))</f>
        <v>NA</v>
      </c>
      <c r="M56" s="167" t="str">
        <f>IF(AND(H56="NA",I56="NA",K56="NA"),"NA",IF(H56="NA",'Res-Rec Equations'!$B$15*'Res-Rec Equations'!$B$16/K56,IF(K56="NA",'Res-Rec Equations'!$B$15*'Res-Rec Equations'!$B$16/(H56+I56),'Res-Rec Equations'!$B$15*'Res-Rec Equations'!$B$16/(H56+I56+K56))))</f>
        <v>NA</v>
      </c>
      <c r="N56" s="167" t="str">
        <f t="shared" si="14"/>
        <v>NA</v>
      </c>
      <c r="O56" s="371">
        <f>IF('Chemical Info'!L57="NA","NA",IF('Chemical Info'!E57="Yes",(('Res-Rec Equations'!$B$76*'Chemical Info'!AD57*'Res-Rec Equations'!$B$78*'Res-Rec Equations'!$B$79*'Res-Rec Equations'!$B$81)/('Res-Rec Equations'!$B$84*'Res-Rec Equations'!$B$85))/'Chemical Info'!L57,(('Res-Rec Equations'!$B$76*'Chemical Info'!AD57*'Res-Rec Equations'!$B$78*'Res-Rec Equations'!$B$79*'Res-Rec Equations'!$B$80)/('Res-Rec Equations'!$B$84*'Res-Rec Equations'!$B$85))/'Chemical Info'!L57))</f>
        <v>9.1324200913242012E-5</v>
      </c>
      <c r="P56" s="166">
        <f>IF('Chemical Info'!L57="NA","NA", IF('Chemical Info'!E57="Yes",0,((('Res-Rec Equations'!$B$87*'Res-Rec Equations'!$B$88*'Res-Rec Equations'!$B$78*'Res-Rec Equations'!$B$82*'Res-Rec Equations'!$B$79*'Chemical Info'!AB57)/('Res-Rec Equations'!$B$84*'Res-Rec Equations'!$B$85))/('Chemical Info'!L57*'Chemical Info'!AF57))))</f>
        <v>0</v>
      </c>
      <c r="Q56" s="166">
        <f>IF('Chemical Info'!N57="NA","NA",IF('Res-Rec Calculations'!E56="NA",(('Res-Rec Equations'!$B$83*'Res-Rec Equations'!$B$79*'Res-Rec Calculations'!C56)/('Res-Rec Equations'!$B$85))/('Chemical Info'!N57),IF('Chemical Info'!E57="Yes",(('Res-Rec Equations'!$B$83*'Res-Rec Equations'!$B$79*'Res-Rec Calculations'!E56)/('Res-Rec Equations'!$B$85))/('Chemical Info'!N57),(('Res-Rec Equations'!$B$83*'Res-Rec Equations'!$B$79*('Res-Rec Calculations'!C56+'Res-Rec Calculations'!E56))/('Res-Rec Equations'!$B$85))/('Chemical Info'!N57))))</f>
        <v>1.8270815708311999E-4</v>
      </c>
      <c r="R56" s="166">
        <f>IF('Chemical Info'!N57="NA","NA",IF('Res-Rec Calculations'!F56="NA",(('Res-Rec Equations'!$B$83*'Res-Rec Equations'!$B$79*'Res-Rec Calculations'!C56)/('Res-Rec Equations'!$B$85))/('Chemical Info'!N57),IF('Chemical Info'!E57="Yes",(('Res-Rec Equations'!$B$83*'Res-Rec Equations'!$B$79*'Res-Rec Calculations'!F56)/('Res-Rec Equations'!$B$85))/('Chemical Info'!N57),(('Res-Rec Equations'!$B$83*'Res-Rec Equations'!$B$79*('Res-Rec Calculations'!C56+'Res-Rec Calculations'!F56))/('Res-Rec Equations'!$B$85))/('Chemical Info'!N57))))</f>
        <v>1.060178264383833E-4</v>
      </c>
      <c r="S56" s="167">
        <f>IF(AND(O56="NA",P56="NA",Q56="NA"),"NA",IF(O56="NA",'Res-Rec Equations'!$B$75/Q56,IF(Q56="NA",'Res-Rec Equations'!$B$75/(O56+P56),'Res-Rec Equations'!$B$75/(O56+P56+Q56))))</f>
        <v>729.84081683760564</v>
      </c>
      <c r="T56" s="167">
        <f>IF(AND(O56="NA",P56="NA",R56="NA"),"NA",IF(O56="NA",'Res-Rec Equations'!$B$75/R56,IF(R56="NA",'Res-Rec Equations'!$B$75/(O56+P56),'Res-Rec Equations'!$B$75/(O56+P56+R56))))</f>
        <v>1013.4688625836336</v>
      </c>
      <c r="U56" s="168">
        <f t="shared" si="15"/>
        <v>1013.4688625836336</v>
      </c>
      <c r="V56" s="167" t="str">
        <f>IF('Chemical Info'!P57="NA","NA",(('Res-Rec Equations'!$B$185*'Res-Rec Equations'!$B$186)/('Res-Rec Equations'!$B$187*'Res-Rec Equations'!$B$188*(1/'Chemical Info'!P57))))</f>
        <v>NA</v>
      </c>
      <c r="W56" s="379" t="str">
        <f t="shared" si="16"/>
        <v>NA</v>
      </c>
      <c r="X56" s="372">
        <f t="shared" si="17"/>
        <v>268.17605733333335</v>
      </c>
      <c r="Y56" s="62">
        <f t="shared" si="18"/>
        <v>270</v>
      </c>
      <c r="Z56" s="100" t="str">
        <f t="shared" si="19"/>
        <v>Csat</v>
      </c>
      <c r="AA56" s="373"/>
    </row>
    <row r="57" spans="1:27">
      <c r="A57" s="373" t="s">
        <v>366</v>
      </c>
      <c r="B57" s="591" t="s">
        <v>126</v>
      </c>
      <c r="C57" s="367">
        <f>1/(('Res-Rec Equations'!$B$152*3600)/((0.036*(1-'Res-Rec Equations'!$B$153))*('Res-Rec Equations'!$B$154/'Res-Rec Equations'!$B$155)^3*'Res-Rec Equations'!$B$156))</f>
        <v>7.3567680901159717E-10</v>
      </c>
      <c r="D57" s="368">
        <f>(('Res-Rec Equations'!$B$132^(10/3)*'Chemical Info'!$AH58*'Chemical Info'!$AN58*41+'Res-Rec Equations'!$B$135^(10/3)*'Chemical Info'!$AJ58)/'Res-Rec Equations'!$B$137^2)/('Res-Rec Equations'!$B$139*'Chemical Info'!$AL58*'Res-Rec Equations'!$B$142+'Res-Rec Equations'!$B$135+'Res-Rec Equations'!$B$132*'Chemical Info'!$AN58*41)</f>
        <v>1.7039289301752091E-4</v>
      </c>
      <c r="E57" s="368">
        <f>IF(D57=0,"NA",1/(('Res-Rec Equations'!$B$103*(3.14*'Res-Rec Calculations'!$D57*'Res-Rec Equations'!$B$105)^(1/2)*0.0001)/(2*'Res-Rec Equations'!$B$106*'Res-Rec Calculations'!$D57)))</f>
        <v>7.6622147909739306E-5</v>
      </c>
      <c r="F57" s="368">
        <f>IF(D57=0,"NA",(1/('Res-Rec Equations'!$B$117*('Res-Rec Equations'!$B$118*(31500000))/('Res-Rec Equations'!$B$119*'Res-Rec Equations'!$B$120*1000000))))</f>
        <v>6.1914410640015851E-5</v>
      </c>
      <c r="G57" s="167">
        <f>IF('Chemical Info'!E58="Yes",('Chemical Info'!AP58/'Res-Rec Equations'!$B$168)*((('Chemical Info'!AL58*'Res-Rec Equations'!$B$170)*'Res-Rec Equations'!$B$168)+'Res-Rec Equations'!$B$171+('Chemical Info'!AN58*41)*'Res-Rec Equations'!$B$173),"NA")</f>
        <v>1339.4669466666664</v>
      </c>
      <c r="H57" s="112">
        <f>IF('Chemical Info'!H58="NA","NA",IF(AND('Chemical Info'!E58="Yes",'Chemical Info'!D58="Yes"),'Chemical Info'!H58*'Chemical Info'!AD58*'Res-Rec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Info'!E58="Yes",'Chemical Info'!D58=""),'Chemical Info'!H58*'Chemical Info'!AD58*'Res-Rec Equations'!$B$20*'Res-Rec Equations'!$B$23*((('Res-Rec Equations'!$B$26*'Res-Rec Equations'!$B$29)/'Res-Rec Equations'!$B$32)+(('Res-Rec Equations'!$B$27*'Res-Rec Equations'!$B$30)/'Res-Rec Equations'!$B$33)+(('Res-Rec Equations'!$B$28*'Res-Rec Equations'!$B$31)/'Res-Rec Equations'!$B$34)),IF(AND('Chemical Info'!E58="No",'Chemical Info'!D58="Yes"),'Chemical Info'!H58*'Chemical Info'!AD58*'Res-Rec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Info'!E58="No",'Chemical Info'!D58=""),'Chemical Info'!H58*'Chemical Info'!AD58*'Res-Rec Equations'!$B$19*'Res-Rec Equations'!$B$23*((('Res-Rec Equations'!$B$26*'Res-Rec Equations'!$B$29)/'Res-Rec Equations'!$B$32)+(('Res-Rec Equations'!$B$27*'Res-Rec Equations'!$B$30)/'Res-Rec Equations'!$B$33)+(('Res-Rec Equations'!$B$28*'Res-Rec Equations'!$B$31)/'Res-Rec Equations'!$B$34)))))))</f>
        <v>0.115950213371266</v>
      </c>
      <c r="I57" s="166">
        <f>IF('Chemical Info'!H58="NA","NA",IF('Chemical Info'!E58="Yes",0,IF('Chemical Info'!D58="Yes",'Chemical Info'!H58/'Chemical Info'!AF58*('Res-Rec Equations'!$B$21*'Chemical Info'!AB58*'Res-Rec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Info'!H58/'Chemical Info'!AF58*('Res-Rec Equations'!$B$21*'Chemical Info'!AB58*'Res-Rec Equations'!$B$23)*((('Res-Rec Equations'!$B$26*'Res-Rec Equations'!$B$37*'Res-Rec Equations'!$B$40)/'Res-Rec Equations'!$B$32)+(('Res-Rec Equations'!$B$27*'Res-Rec Equations'!$B$38*'Res-Rec Equations'!$B$41)/'Res-Rec Equations'!$B$33)+(('Res-Rec Equations'!$B$28*'Res-Rec Equations'!$B$39*'Res-Rec Equations'!$B$42)/'Res-Rec Equations'!$B$34)))))</f>
        <v>0</v>
      </c>
      <c r="J57" s="369">
        <f>IF('Chemical Info'!J58="NA","NA",IF(AND(E57="NA",'Chemical Info'!D58="Yes"),'Res-Rec Equations'!$B$22*1000*(('Res-Rec Equations'!$B$26*'Chemical Info'!J58*'Res-Rec Equations'!$B$59)+('Res-Rec Equations'!$B$27*'Chemical Info'!J58*'Res-Rec Equations'!$B$60)+('Res-Rec Equations'!$B$28*'Chemical Info'!J58*'Res-Rec Equations'!$B$61))*'Res-Rec Calculations'!C57,IF(AND(E57="NA",'Chemical Info'!D58=""),'Res-Rec Equations'!$B$22*1000*'Res-Rec Equations'!$B$25*'Chemical Info'!J58*'Res-Rec Calculations'!C57,IF(AND('Chemical Info'!E58="Yes",'Chemical Info'!D58="Yes"),'Res-Rec Equations'!$B$22*1000*(('Res-Rec Equations'!$B$26*'Chemical Info'!J58*'Res-Rec Equations'!$B$59)+('Res-Rec Equations'!$B$27*'Chemical Info'!J58*'Res-Rec Equations'!$B$60)+('Res-Rec Equations'!$B$28*'Chemical Info'!J58*'Res-Rec Equations'!$B$61))*'Res-Rec Calculations'!E57,IF(AND('Chemical Info'!E58="Yes",'Chemical Info'!D58=""),'Res-Rec Equations'!$B$22*1000*'Res-Rec Equations'!$B$25*'Chemical Info'!J58*'Res-Rec Calculations'!E57,IF('Chemical Info'!D58="Yes",'Res-Rec Equations'!$B$22*1000*(('Res-Rec Equations'!$B$26*'Chemical Info'!J58*'Res-Rec Equations'!$B$59)+('Res-Rec Equations'!$B$27*'Chemical Info'!J58*'Res-Rec Equations'!$B$60)+('Res-Rec Equations'!$B$28*'Chemical Info'!J58*'Res-Rec Equations'!$B$61))*('Res-Rec Calculations'!C57+'Res-Rec Calculations'!E57),IF('Chemical Info'!D58="",'Res-Rec Equations'!$B$22*1000*'Res-Rec Equations'!$B$25*'Chemical Info'!J58*('Res-Rec Calculations'!C57+'Res-Rec Calculations'!E57))))))))</f>
        <v>0.29882637684798324</v>
      </c>
      <c r="K57" s="370">
        <f>IF('Chemical Info'!J58="NA","NA",IF(AND(F57="NA",'Chemical Info'!D58="Yes"),'Res-Rec Equations'!$B$22*1000*(('Res-Rec Equations'!$B$26*'Chemical Info'!J58*'Res-Rec Equations'!$B$59)+('Res-Rec Equations'!$B$27*'Chemical Info'!J58*'Res-Rec Equations'!$B$60)+('Res-Rec Equations'!$B$28*'Chemical Info'!J58*'Res-Rec Equations'!$B$61))*'Res-Rec Calculations'!C57,IF(AND(F57="NA",'Chemical Info'!D58=""),'Res-Rec Equations'!$B$22*1000*'Res-Rec Equations'!$B$25*'Chemical Info'!J58*'Res-Rec Calculations'!C57,IF(AND('Chemical Info'!F58="Yes",'Chemical Info'!D58="Yes"),'Res-Rec Equations'!$B$22*1000*(('Res-Rec Equations'!$B$26*'Chemical Info'!J58*'Res-Rec Equations'!$B$59)+('Res-Rec Equations'!$B$27*'Chemical Info'!J58*'Res-Rec Equations'!$B$60)+('Res-Rec Equations'!$B$28*'Chemical Info'!J58*'Res-Rec Equations'!$B$61))*'Res-Rec Calculations'!F57,IF(AND('Chemical Info'!F58="Yes",'Chemical Info'!D58=""),'Res-Rec Equations'!$B$22*1000*'Res-Rec Equations'!$B$25*'Chemical Info'!J58*'Res-Rec Calculations'!F57,IF('Chemical Info'!D58="Yes",'Res-Rec Equations'!$B$22*1000*(('Res-Rec Equations'!$B$26*'Chemical Info'!J58*'Res-Rec Equations'!$B$59)+('Res-Rec Equations'!$B$27*'Chemical Info'!J58*'Res-Rec Equations'!$B$60)+('Res-Rec Equations'!$B$28*'Chemical Info'!J58*'Res-Rec Equations'!$B$61))*('Res-Rec Calculations'!C57+'Res-Rec Calculations'!F57),IF('Chemical Info'!D58="",'Res-Rec Equations'!$B$22*1000*'Res-Rec Equations'!$B$25*'Chemical Info'!J58*('Res-Rec Calculations'!C57+'Res-Rec Calculations'!F57))))))))</f>
        <v>0.24146907063561693</v>
      </c>
      <c r="L57" s="167">
        <f>IF(AND(H57="NA",I57="NA",J57="NA"),"NA",IF(H57="NA",'Res-Rec Equations'!$B$15*'Res-Rec Equations'!$B$16/J57,IF(J57="NA",'Res-Rec Equations'!$B$15*'Res-Rec Equations'!$B$16/(H57+I57),'Res-Rec Equations'!$B$15*'Res-Rec Equations'!$B$16/(H57+I57+J57))))</f>
        <v>0.6159942629957581</v>
      </c>
      <c r="M57" s="167">
        <f>IF(AND(H57="NA",I57="NA",K57="NA"),"NA",IF(H57="NA",'Res-Rec Equations'!$B$15*'Res-Rec Equations'!$B$16/K57,IF(K57="NA",'Res-Rec Equations'!$B$15*'Res-Rec Equations'!$B$16/(H57+I57),'Res-Rec Equations'!$B$15*'Res-Rec Equations'!$B$16/(H57+I57+K57))))</f>
        <v>0.71484671206235129</v>
      </c>
      <c r="N57" s="167">
        <f t="shared" si="14"/>
        <v>0.71484671206235129</v>
      </c>
      <c r="O57" s="371">
        <f>IF('Chemical Info'!L58="NA","NA",IF('Chemical Info'!E58="Yes",(('Res-Rec Equations'!$B$76*'Chemical Info'!AD58*'Res-Rec Equations'!$B$78*'Res-Rec Equations'!$B$79*'Res-Rec Equations'!$B$81)/('Res-Rec Equations'!$B$84*'Res-Rec Equations'!$B$85))/'Chemical Info'!L58,(('Res-Rec Equations'!$B$76*'Chemical Info'!AD58*'Res-Rec Equations'!$B$78*'Res-Rec Equations'!$B$79*'Res-Rec Equations'!$B$80)/('Res-Rec Equations'!$B$84*'Res-Rec Equations'!$B$85))/'Chemical Info'!L58))</f>
        <v>4.3487714720591439E-3</v>
      </c>
      <c r="P57" s="166">
        <f>IF('Chemical Info'!L58="NA","NA", IF('Chemical Info'!E58="Yes",0,((('Res-Rec Equations'!$B$87*'Res-Rec Equations'!$B$88*'Res-Rec Equations'!$B$78*'Res-Rec Equations'!$B$82*'Res-Rec Equations'!$B$79*'Chemical Info'!AB58)/('Res-Rec Equations'!$B$84*'Res-Rec Equations'!$B$85))/('Chemical Info'!L58*'Chemical Info'!AF58))))</f>
        <v>0</v>
      </c>
      <c r="Q57" s="166">
        <f>IF('Chemical Info'!N58="NA","NA",IF('Res-Rec Calculations'!E57="NA",(('Res-Rec Equations'!$B$83*'Res-Rec Equations'!$B$79*'Res-Rec Calculations'!C57)/('Res-Rec Equations'!$B$85))/('Chemical Info'!N58),IF('Chemical Info'!E58="Yes",(('Res-Rec Equations'!$B$83*'Res-Rec Equations'!$B$79*'Res-Rec Calculations'!E57)/('Res-Rec Equations'!$B$85))/('Chemical Info'!N58),(('Res-Rec Equations'!$B$83*'Res-Rec Equations'!$B$79*('Res-Rec Calculations'!C57+'Res-Rec Calculations'!E57))/('Res-Rec Equations'!$B$85))/('Chemical Info'!N58))))</f>
        <v>5.8312136917609827E-3</v>
      </c>
      <c r="R57" s="166">
        <f>IF('Chemical Info'!N58="NA","NA",IF('Res-Rec Calculations'!F57="NA",(('Res-Rec Equations'!$B$83*'Res-Rec Equations'!$B$79*'Res-Rec Calculations'!C57)/('Res-Rec Equations'!$B$85))/('Chemical Info'!N58),IF('Chemical Info'!E58="Yes",(('Res-Rec Equations'!$B$83*'Res-Rec Equations'!$B$79*'Res-Rec Calculations'!F57)/('Res-Rec Equations'!$B$85))/('Chemical Info'!N58),(('Res-Rec Equations'!$B$83*'Res-Rec Equations'!$B$79*('Res-Rec Calculations'!C57+'Res-Rec Calculations'!F57))/('Res-Rec Equations'!$B$85))/('Chemical Info'!N58))))</f>
        <v>4.7119033972614806E-3</v>
      </c>
      <c r="S57" s="167">
        <f>IF(AND(O57="NA",P57="NA",Q57="NA"),"NA",IF(O57="NA",'Res-Rec Equations'!$B$75/Q57,IF(Q57="NA",'Res-Rec Equations'!$B$75/(O57+P57),'Res-Rec Equations'!$B$75/(O57+P57+Q57))))</f>
        <v>19.646394054757963</v>
      </c>
      <c r="T57" s="167">
        <f>IF(AND(O57="NA",P57="NA",R57="NA"),"NA",IF(O57="NA",'Res-Rec Equations'!$B$75/R57,IF(R57="NA",'Res-Rec Equations'!$B$75/(O57+P57),'Res-Rec Equations'!$B$75/(O57+P57+R57))))</f>
        <v>22.073410963812254</v>
      </c>
      <c r="U57" s="168">
        <f t="shared" si="15"/>
        <v>22.073410963812254</v>
      </c>
      <c r="V57" s="167" t="str">
        <f>IF('Chemical Info'!P58="NA","NA",(('Res-Rec Equations'!$B$185*'Res-Rec Equations'!$B$186)/('Res-Rec Equations'!$B$187*'Res-Rec Equations'!$B$188*(1/'Chemical Info'!P58))))</f>
        <v>NA</v>
      </c>
      <c r="W57" s="379" t="str">
        <f t="shared" si="16"/>
        <v>NA</v>
      </c>
      <c r="X57" s="372">
        <f t="shared" si="17"/>
        <v>0.71484671206235129</v>
      </c>
      <c r="Y57" s="62">
        <f t="shared" si="18"/>
        <v>0.71</v>
      </c>
      <c r="Z57" s="100" t="str">
        <f t="shared" si="19"/>
        <v>Cancer</v>
      </c>
      <c r="AA57" s="373"/>
    </row>
    <row r="58" spans="1:27">
      <c r="A58" s="413" t="s">
        <v>322</v>
      </c>
      <c r="B58" s="566" t="s">
        <v>176</v>
      </c>
      <c r="C58" s="367">
        <f>1/(('Res-Rec Equations'!$B$152*3600)/((0.036*(1-'Res-Rec Equations'!$B$153))*('Res-Rec Equations'!$B$154/'Res-Rec Equations'!$B$155)^3*'Res-Rec Equations'!$B$156))</f>
        <v>7.3567680901159717E-10</v>
      </c>
      <c r="D58" s="368">
        <f>(('Res-Rec Equations'!$B$132^(10/3)*'Chemical Info'!$AH59*'Chemical Info'!$AN59*41+'Res-Rec Equations'!$B$135^(10/3)*'Chemical Info'!$AJ59)/'Res-Rec Equations'!$B$137^2)/('Res-Rec Equations'!$B$139*'Chemical Info'!$AL59*'Res-Rec Equations'!$B$142+'Res-Rec Equations'!$B$135+'Res-Rec Equations'!$B$132*'Chemical Info'!$AN59*41)</f>
        <v>3.9948587965106492E-4</v>
      </c>
      <c r="E58" s="368">
        <f>IF(D58=0,"NA",1/(('Res-Rec Equations'!$B$103*(3.14*'Res-Rec Calculations'!$D58*'Res-Rec Equations'!$B$105)^(1/2)*0.0001)/(2*'Res-Rec Equations'!$B$106*'Res-Rec Calculations'!$D58)))</f>
        <v>1.173219574854169E-4</v>
      </c>
      <c r="F58" s="368">
        <f>IF(D58=0,"NA",(1/('Res-Rec Equations'!$B$117*('Res-Rec Equations'!$B$118*(31500000))/('Res-Rec Equations'!$B$119*'Res-Rec Equations'!$B$120*1000000))))</f>
        <v>6.1914410640015851E-5</v>
      </c>
      <c r="G58" s="167">
        <f>IF('Chemical Info'!E59="Yes",('Chemical Info'!AP59/'Res-Rec Equations'!$B$168)*((('Chemical Info'!AL59*'Res-Rec Equations'!$B$170)*'Res-Rec Equations'!$B$168)+'Res-Rec Equations'!$B$171+('Chemical Info'!AN59*41)*'Res-Rec Equations'!$B$173),"NA")</f>
        <v>2816.3853759999997</v>
      </c>
      <c r="H58" s="112" t="str">
        <f>IF('Chemical Info'!H59="NA","NA",IF(AND('Chemical Info'!E59="Yes",'Chemical Info'!D59="Yes"),'Chemical Info'!H59*'Chemical Info'!AD59*'Res-Rec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Info'!E59="Yes",'Chemical Info'!D59=""),'Chemical Info'!H59*'Chemical Info'!AD59*'Res-Rec Equations'!$B$20*'Res-Rec Equations'!$B$23*((('Res-Rec Equations'!$B$26*'Res-Rec Equations'!$B$29)/'Res-Rec Equations'!$B$32)+(('Res-Rec Equations'!$B$27*'Res-Rec Equations'!$B$30)/'Res-Rec Equations'!$B$33)+(('Res-Rec Equations'!$B$28*'Res-Rec Equations'!$B$31)/'Res-Rec Equations'!$B$34)),IF(AND('Chemical Info'!E59="No",'Chemical Info'!D59="Yes"),'Chemical Info'!H59*'Chemical Info'!AD59*'Res-Rec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Info'!E59="No",'Chemical Info'!D59=""),'Chemical Info'!H59*'Chemical Info'!AD59*'Res-Rec Equations'!$B$19*'Res-Rec Equations'!$B$23*((('Res-Rec Equations'!$B$26*'Res-Rec Equations'!$B$29)/'Res-Rec Equations'!$B$32)+(('Res-Rec Equations'!$B$27*'Res-Rec Equations'!$B$30)/'Res-Rec Equations'!$B$33)+(('Res-Rec Equations'!$B$28*'Res-Rec Equations'!$B$31)/'Res-Rec Equations'!$B$34)))))))</f>
        <v>NA</v>
      </c>
      <c r="I58" s="166" t="str">
        <f>IF('Chemical Info'!H59="NA","NA",IF('Chemical Info'!E59="Yes",0,IF('Chemical Info'!D59="Yes",'Chemical Info'!H59/'Chemical Info'!AF59*('Res-Rec Equations'!$B$21*'Chemical Info'!AB59*'Res-Rec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Info'!H59/'Chemical Info'!AF59*('Res-Rec Equations'!$B$21*'Chemical Info'!AB59*'Res-Rec Equations'!$B$23)*((('Res-Rec Equations'!$B$26*'Res-Rec Equations'!$B$37*'Res-Rec Equations'!$B$40)/'Res-Rec Equations'!$B$32)+(('Res-Rec Equations'!$B$27*'Res-Rec Equations'!$B$38*'Res-Rec Equations'!$B$41)/'Res-Rec Equations'!$B$33)+(('Res-Rec Equations'!$B$28*'Res-Rec Equations'!$B$39*'Res-Rec Equations'!$B$42)/'Res-Rec Equations'!$B$34)))))</f>
        <v>NA</v>
      </c>
      <c r="J58" s="369" t="str">
        <f>IF('Chemical Info'!J59="NA","NA",IF(AND(E58="NA",'Chemical Info'!D59="Yes"),'Res-Rec Equations'!$B$22*1000*(('Res-Rec Equations'!$B$26*'Chemical Info'!J59*'Res-Rec Equations'!$B$59)+('Res-Rec Equations'!$B$27*'Chemical Info'!J59*'Res-Rec Equations'!$B$60)+('Res-Rec Equations'!$B$28*'Chemical Info'!J59*'Res-Rec Equations'!$B$61))*'Res-Rec Calculations'!C58,IF(AND(E58="NA",'Chemical Info'!D59=""),'Res-Rec Equations'!$B$22*1000*'Res-Rec Equations'!$B$25*'Chemical Info'!J59*'Res-Rec Calculations'!C58,IF(AND('Chemical Info'!E59="Yes",'Chemical Info'!D59="Yes"),'Res-Rec Equations'!$B$22*1000*(('Res-Rec Equations'!$B$26*'Chemical Info'!J59*'Res-Rec Equations'!$B$59)+('Res-Rec Equations'!$B$27*'Chemical Info'!J59*'Res-Rec Equations'!$B$60)+('Res-Rec Equations'!$B$28*'Chemical Info'!J59*'Res-Rec Equations'!$B$61))*'Res-Rec Calculations'!E58,IF(AND('Chemical Info'!E59="Yes",'Chemical Info'!D59=""),'Res-Rec Equations'!$B$22*1000*'Res-Rec Equations'!$B$25*'Chemical Info'!J59*'Res-Rec Calculations'!E58,IF('Chemical Info'!D59="Yes",'Res-Rec Equations'!$B$22*1000*(('Res-Rec Equations'!$B$26*'Chemical Info'!J59*'Res-Rec Equations'!$B$59)+('Res-Rec Equations'!$B$27*'Chemical Info'!J59*'Res-Rec Equations'!$B$60)+('Res-Rec Equations'!$B$28*'Chemical Info'!J59*'Res-Rec Equations'!$B$61))*('Res-Rec Calculations'!C58+'Res-Rec Calculations'!E58),IF('Chemical Info'!D59="",'Res-Rec Equations'!$B$22*1000*'Res-Rec Equations'!$B$25*'Chemical Info'!J59*('Res-Rec Calculations'!C58+'Res-Rec Calculations'!E58))))))))</f>
        <v>NA</v>
      </c>
      <c r="K58" s="370" t="str">
        <f>IF('Chemical Info'!J59="NA","NA",IF(AND(F58="NA",'Chemical Info'!D59="Yes"),'Res-Rec Equations'!$B$22*1000*(('Res-Rec Equations'!$B$26*'Chemical Info'!J59*'Res-Rec Equations'!$B$59)+('Res-Rec Equations'!$B$27*'Chemical Info'!J59*'Res-Rec Equations'!$B$60)+('Res-Rec Equations'!$B$28*'Chemical Info'!J59*'Res-Rec Equations'!$B$61))*'Res-Rec Calculations'!C58,IF(AND(F58="NA",'Chemical Info'!D59=""),'Res-Rec Equations'!$B$22*1000*'Res-Rec Equations'!$B$25*'Chemical Info'!J59*'Res-Rec Calculations'!C58,IF(AND('Chemical Info'!F59="Yes",'Chemical Info'!D59="Yes"),'Res-Rec Equations'!$B$22*1000*(('Res-Rec Equations'!$B$26*'Chemical Info'!J59*'Res-Rec Equations'!$B$59)+('Res-Rec Equations'!$B$27*'Chemical Info'!J59*'Res-Rec Equations'!$B$60)+('Res-Rec Equations'!$B$28*'Chemical Info'!J59*'Res-Rec Equations'!$B$61))*'Res-Rec Calculations'!F58,IF(AND('Chemical Info'!F59="Yes",'Chemical Info'!D59=""),'Res-Rec Equations'!$B$22*1000*'Res-Rec Equations'!$B$25*'Chemical Info'!J59*'Res-Rec Calculations'!F58,IF('Chemical Info'!D59="Yes",'Res-Rec Equations'!$B$22*1000*(('Res-Rec Equations'!$B$26*'Chemical Info'!J59*'Res-Rec Equations'!$B$59)+('Res-Rec Equations'!$B$27*'Chemical Info'!J59*'Res-Rec Equations'!$B$60)+('Res-Rec Equations'!$B$28*'Chemical Info'!J59*'Res-Rec Equations'!$B$61))*('Res-Rec Calculations'!C58+'Res-Rec Calculations'!F58),IF('Chemical Info'!D59="",'Res-Rec Equations'!$B$22*1000*'Res-Rec Equations'!$B$25*'Chemical Info'!J59*('Res-Rec Calculations'!C58+'Res-Rec Calculations'!F58))))))))</f>
        <v>NA</v>
      </c>
      <c r="L58" s="167" t="str">
        <f>IF(AND(H58="NA",I58="NA",J58="NA"),"NA",IF(H58="NA",'Res-Rec Equations'!$B$15*'Res-Rec Equations'!$B$16/J58,IF(J58="NA",'Res-Rec Equations'!$B$15*'Res-Rec Equations'!$B$16/(H58+I58),'Res-Rec Equations'!$B$15*'Res-Rec Equations'!$B$16/(H58+I58+J58))))</f>
        <v>NA</v>
      </c>
      <c r="M58" s="167" t="str">
        <f>IF(AND(H58="NA",I58="NA",K58="NA"),"NA",IF(H58="NA",'Res-Rec Equations'!$B$15*'Res-Rec Equations'!$B$16/K58,IF(K58="NA",'Res-Rec Equations'!$B$15*'Res-Rec Equations'!$B$16/(H58+I58),'Res-Rec Equations'!$B$15*'Res-Rec Equations'!$B$16/(H58+I58+K58))))</f>
        <v>NA</v>
      </c>
      <c r="N58" s="167" t="str">
        <f t="shared" si="14"/>
        <v>NA</v>
      </c>
      <c r="O58" s="371">
        <f>IF('Chemical Info'!L59="NA","NA",IF('Chemical Info'!E59="Yes",(('Res-Rec Equations'!$B$76*'Chemical Info'!AD59*'Res-Rec Equations'!$B$78*'Res-Rec Equations'!$B$79*'Res-Rec Equations'!$B$81)/('Res-Rec Equations'!$B$84*'Res-Rec Equations'!$B$85))/'Chemical Info'!L59,(('Res-Rec Equations'!$B$76*'Chemical Info'!AD59*'Res-Rec Equations'!$B$78*'Res-Rec Equations'!$B$79*'Res-Rec Equations'!$B$80)/('Res-Rec Equations'!$B$84*'Res-Rec Equations'!$B$85))/'Chemical Info'!L59))</f>
        <v>3.0441400304414001E-3</v>
      </c>
      <c r="P58" s="166">
        <f>IF('Chemical Info'!L59="NA","NA", IF('Chemical Info'!E59="Yes",0,((('Res-Rec Equations'!$B$87*'Res-Rec Equations'!$B$88*'Res-Rec Equations'!$B$78*'Res-Rec Equations'!$B$82*'Res-Rec Equations'!$B$79*'Chemical Info'!AB59)/('Res-Rec Equations'!$B$84*'Res-Rec Equations'!$B$85))/('Chemical Info'!L59*'Chemical Info'!AF59))))</f>
        <v>0</v>
      </c>
      <c r="Q58" s="166">
        <f>IF('Chemical Info'!N59="NA","NA",IF('Res-Rec Calculations'!E58="NA",(('Res-Rec Equations'!$B$83*'Res-Rec Equations'!$B$79*'Res-Rec Calculations'!C58)/('Res-Rec Equations'!$B$85))/('Chemical Info'!N59),IF('Chemical Info'!E59="Yes",(('Res-Rec Equations'!$B$83*'Res-Rec Equations'!$B$79*'Res-Rec Calculations'!E58)/('Res-Rec Equations'!$B$85))/('Chemical Info'!N59),(('Res-Rec Equations'!$B$83*'Res-Rec Equations'!$B$79*('Res-Rec Calculations'!C58+'Res-Rec Calculations'!E58))/('Res-Rec Equations'!$B$85))/('Chemical Info'!N59))))</f>
        <v>2.008937628174947E-2</v>
      </c>
      <c r="R58" s="166">
        <f>IF('Chemical Info'!N59="NA","NA",IF('Res-Rec Calculations'!F58="NA",(('Res-Rec Equations'!$B$83*'Res-Rec Equations'!$B$79*'Res-Rec Calculations'!C58)/('Res-Rec Equations'!$B$85))/('Chemical Info'!N59),IF('Chemical Info'!E59="Yes",(('Res-Rec Equations'!$B$83*'Res-Rec Equations'!$B$79*'Res-Rec Calculations'!F58)/('Res-Rec Equations'!$B$85))/('Chemical Info'!N59),(('Res-Rec Equations'!$B$83*'Res-Rec Equations'!$B$79*('Res-Rec Calculations'!C58+'Res-Rec Calculations'!F58))/('Res-Rec Equations'!$B$85))/('Chemical Info'!N59))))</f>
        <v>1.060178264383833E-2</v>
      </c>
      <c r="S58" s="167">
        <f>IF(AND(O58="NA",P58="NA",Q58="NA"),"NA",IF(O58="NA",'Res-Rec Equations'!$B$75/Q58,IF(Q58="NA",'Res-Rec Equations'!$B$75/(O58+P58),'Res-Rec Equations'!$B$75/(O58+P58+Q58))))</f>
        <v>8.645464757755148</v>
      </c>
      <c r="T58" s="167">
        <f>IF(AND(O58="NA",P58="NA",R58="NA"),"NA",IF(O58="NA",'Res-Rec Equations'!$B$75/R58,IF(R58="NA",'Res-Rec Equations'!$B$75/(O58+P58),'Res-Rec Equations'!$B$75/(O58+P58+R58))))</f>
        <v>14.656392592416369</v>
      </c>
      <c r="U58" s="168">
        <f t="shared" si="15"/>
        <v>14.656392592416369</v>
      </c>
      <c r="V58" s="167" t="str">
        <f>IF('Chemical Info'!P59="NA","NA",(('Res-Rec Equations'!$B$185*'Res-Rec Equations'!$B$186)/('Res-Rec Equations'!$B$187*'Res-Rec Equations'!$B$188*(1/'Chemical Info'!P59))))</f>
        <v>NA</v>
      </c>
      <c r="W58" s="379" t="str">
        <f t="shared" si="16"/>
        <v>NA</v>
      </c>
      <c r="X58" s="372">
        <f t="shared" si="17"/>
        <v>14.656392592416369</v>
      </c>
      <c r="Y58" s="62">
        <f t="shared" si="18"/>
        <v>15</v>
      </c>
      <c r="Z58" s="100" t="str">
        <f t="shared" si="19"/>
        <v>Noncancer</v>
      </c>
      <c r="AA58" s="373"/>
    </row>
    <row r="59" spans="1:27">
      <c r="A59" s="413" t="s">
        <v>323</v>
      </c>
      <c r="B59" s="566" t="s">
        <v>0</v>
      </c>
      <c r="C59" s="367">
        <f>1/(('Res-Rec Equations'!$B$152*3600)/((0.036*(1-'Res-Rec Equations'!$B$153))*('Res-Rec Equations'!$B$154/'Res-Rec Equations'!$B$155)^3*'Res-Rec Equations'!$B$156))</f>
        <v>7.3567680901159717E-10</v>
      </c>
      <c r="D59" s="368">
        <f>(('Res-Rec Equations'!$B$132^(10/3)*'Chemical Info'!$AH60*'Chemical Info'!$AN60*41+'Res-Rec Equations'!$B$135^(10/3)*'Chemical Info'!$AJ60)/'Res-Rec Equations'!$B$137^2)/('Res-Rec Equations'!$B$139*'Chemical Info'!$AL60*'Res-Rec Equations'!$B$142+'Res-Rec Equations'!$B$135+'Res-Rec Equations'!$B$132*'Chemical Info'!$AN60*41)</f>
        <v>1.8189224802355301E-2</v>
      </c>
      <c r="E59" s="368">
        <f>IF(D59=0,"NA",1/(('Res-Rec Equations'!$B$103*(3.14*'Res-Rec Calculations'!$D59*'Res-Rec Equations'!$B$105)^(1/2)*0.0001)/(2*'Res-Rec Equations'!$B$106*'Res-Rec Calculations'!$D59)))</f>
        <v>7.9165448963762746E-4</v>
      </c>
      <c r="F59" s="368">
        <f>IF(D59=0,"NA",(1/('Res-Rec Equations'!$B$117*('Res-Rec Equations'!$B$118*(31500000))/('Res-Rec Equations'!$B$119*'Res-Rec Equations'!$B$120*1000000))))</f>
        <v>6.1914410640015851E-5</v>
      </c>
      <c r="G59" s="167">
        <f>IF('Chemical Info'!E60="Yes",('Chemical Info'!AP60/'Res-Rec Equations'!$B$168)*((('Chemical Info'!AL60*'Res-Rec Equations'!$B$170)*'Res-Rec Equations'!$B$168)+'Res-Rec Equations'!$B$171+('Chemical Info'!AN60*41)*'Res-Rec Equations'!$B$173),"NA")</f>
        <v>836.76133333333337</v>
      </c>
      <c r="H59" s="112" t="str">
        <f>IF('Chemical Info'!H60="NA","NA",IF(AND('Chemical Info'!E60="Yes",'Chemical Info'!D60="Yes"),'Chemical Info'!H60*'Chemical Info'!AD60*'Res-Rec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Info'!E60="Yes",'Chemical Info'!D60=""),'Chemical Info'!H60*'Chemical Info'!AD60*'Res-Rec Equations'!$B$20*'Res-Rec Equations'!$B$23*((('Res-Rec Equations'!$B$26*'Res-Rec Equations'!$B$29)/'Res-Rec Equations'!$B$32)+(('Res-Rec Equations'!$B$27*'Res-Rec Equations'!$B$30)/'Res-Rec Equations'!$B$33)+(('Res-Rec Equations'!$B$28*'Res-Rec Equations'!$B$31)/'Res-Rec Equations'!$B$34)),IF(AND('Chemical Info'!E60="No",'Chemical Info'!D60="Yes"),'Chemical Info'!H60*'Chemical Info'!AD60*'Res-Rec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Info'!E60="No",'Chemical Info'!D60=""),'Chemical Info'!H60*'Chemical Info'!AD60*'Res-Rec Equations'!$B$19*'Res-Rec Equations'!$B$23*((('Res-Rec Equations'!$B$26*'Res-Rec Equations'!$B$29)/'Res-Rec Equations'!$B$32)+(('Res-Rec Equations'!$B$27*'Res-Rec Equations'!$B$30)/'Res-Rec Equations'!$B$33)+(('Res-Rec Equations'!$B$28*'Res-Rec Equations'!$B$31)/'Res-Rec Equations'!$B$34)))))))</f>
        <v>NA</v>
      </c>
      <c r="I59" s="166" t="str">
        <f>IF('Chemical Info'!H60="NA","NA",IF('Chemical Info'!E60="Yes",0,IF('Chemical Info'!D60="Yes",'Chemical Info'!H60/'Chemical Info'!AF60*('Res-Rec Equations'!$B$21*'Chemical Info'!AB60*'Res-Rec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Info'!H60/'Chemical Info'!AF60*('Res-Rec Equations'!$B$21*'Chemical Info'!AB60*'Res-Rec Equations'!$B$23)*((('Res-Rec Equations'!$B$26*'Res-Rec Equations'!$B$37*'Res-Rec Equations'!$B$40)/'Res-Rec Equations'!$B$32)+(('Res-Rec Equations'!$B$27*'Res-Rec Equations'!$B$38*'Res-Rec Equations'!$B$41)/'Res-Rec Equations'!$B$33)+(('Res-Rec Equations'!$B$28*'Res-Rec Equations'!$B$39*'Res-Rec Equations'!$B$42)/'Res-Rec Equations'!$B$34)))))</f>
        <v>NA</v>
      </c>
      <c r="J59" s="369" t="str">
        <f>IF('Chemical Info'!J60="NA","NA",IF(AND(E59="NA",'Chemical Info'!D60="Yes"),'Res-Rec Equations'!$B$22*1000*(('Res-Rec Equations'!$B$26*'Chemical Info'!J60*'Res-Rec Equations'!$B$59)+('Res-Rec Equations'!$B$27*'Chemical Info'!J60*'Res-Rec Equations'!$B$60)+('Res-Rec Equations'!$B$28*'Chemical Info'!J60*'Res-Rec Equations'!$B$61))*'Res-Rec Calculations'!C59,IF(AND(E59="NA",'Chemical Info'!D60=""),'Res-Rec Equations'!$B$22*1000*'Res-Rec Equations'!$B$25*'Chemical Info'!J60*'Res-Rec Calculations'!C59,IF(AND('Chemical Info'!E60="Yes",'Chemical Info'!D60="Yes"),'Res-Rec Equations'!$B$22*1000*(('Res-Rec Equations'!$B$26*'Chemical Info'!J60*'Res-Rec Equations'!$B$59)+('Res-Rec Equations'!$B$27*'Chemical Info'!J60*'Res-Rec Equations'!$B$60)+('Res-Rec Equations'!$B$28*'Chemical Info'!J60*'Res-Rec Equations'!$B$61))*'Res-Rec Calculations'!E59,IF(AND('Chemical Info'!E60="Yes",'Chemical Info'!D60=""),'Res-Rec Equations'!$B$22*1000*'Res-Rec Equations'!$B$25*'Chemical Info'!J60*'Res-Rec Calculations'!E59,IF('Chemical Info'!D60="Yes",'Res-Rec Equations'!$B$22*1000*(('Res-Rec Equations'!$B$26*'Chemical Info'!J60*'Res-Rec Equations'!$B$59)+('Res-Rec Equations'!$B$27*'Chemical Info'!J60*'Res-Rec Equations'!$B$60)+('Res-Rec Equations'!$B$28*'Chemical Info'!J60*'Res-Rec Equations'!$B$61))*('Res-Rec Calculations'!C59+'Res-Rec Calculations'!E59),IF('Chemical Info'!D60="",'Res-Rec Equations'!$B$22*1000*'Res-Rec Equations'!$B$25*'Chemical Info'!J60*('Res-Rec Calculations'!C59+'Res-Rec Calculations'!E59))))))))</f>
        <v>NA</v>
      </c>
      <c r="K59" s="370" t="str">
        <f>IF('Chemical Info'!J60="NA","NA",IF(AND(F59="NA",'Chemical Info'!D60="Yes"),'Res-Rec Equations'!$B$22*1000*(('Res-Rec Equations'!$B$26*'Chemical Info'!J60*'Res-Rec Equations'!$B$59)+('Res-Rec Equations'!$B$27*'Chemical Info'!J60*'Res-Rec Equations'!$B$60)+('Res-Rec Equations'!$B$28*'Chemical Info'!J60*'Res-Rec Equations'!$B$61))*'Res-Rec Calculations'!C59,IF(AND(F59="NA",'Chemical Info'!D60=""),'Res-Rec Equations'!$B$22*1000*'Res-Rec Equations'!$B$25*'Chemical Info'!J60*'Res-Rec Calculations'!C59,IF(AND('Chemical Info'!F60="Yes",'Chemical Info'!D60="Yes"),'Res-Rec Equations'!$B$22*1000*(('Res-Rec Equations'!$B$26*'Chemical Info'!J60*'Res-Rec Equations'!$B$59)+('Res-Rec Equations'!$B$27*'Chemical Info'!J60*'Res-Rec Equations'!$B$60)+('Res-Rec Equations'!$B$28*'Chemical Info'!J60*'Res-Rec Equations'!$B$61))*'Res-Rec Calculations'!F59,IF(AND('Chemical Info'!F60="Yes",'Chemical Info'!D60=""),'Res-Rec Equations'!$B$22*1000*'Res-Rec Equations'!$B$25*'Chemical Info'!J60*'Res-Rec Calculations'!F59,IF('Chemical Info'!D60="Yes",'Res-Rec Equations'!$B$22*1000*(('Res-Rec Equations'!$B$26*'Chemical Info'!J60*'Res-Rec Equations'!$B$59)+('Res-Rec Equations'!$B$27*'Chemical Info'!J60*'Res-Rec Equations'!$B$60)+('Res-Rec Equations'!$B$28*'Chemical Info'!J60*'Res-Rec Equations'!$B$61))*('Res-Rec Calculations'!C59+'Res-Rec Calculations'!F59),IF('Chemical Info'!D60="",'Res-Rec Equations'!$B$22*1000*'Res-Rec Equations'!$B$25*'Chemical Info'!J60*('Res-Rec Calculations'!C59+'Res-Rec Calculations'!F59))))))))</f>
        <v>NA</v>
      </c>
      <c r="L59" s="167" t="str">
        <f>IF(AND(H59="NA",I59="NA",J59="NA"),"NA",IF(H59="NA",'Res-Rec Equations'!$B$15*'Res-Rec Equations'!$B$16/J59,IF(J59="NA",'Res-Rec Equations'!$B$15*'Res-Rec Equations'!$B$16/(H59+I59),'Res-Rec Equations'!$B$15*'Res-Rec Equations'!$B$16/(H59+I59+J59))))</f>
        <v>NA</v>
      </c>
      <c r="M59" s="167" t="str">
        <f>IF(AND(H59="NA",I59="NA",K59="NA"),"NA",IF(H59="NA",'Res-Rec Equations'!$B$15*'Res-Rec Equations'!$B$16/K59,IF(K59="NA",'Res-Rec Equations'!$B$15*'Res-Rec Equations'!$B$16/(H59+I59),'Res-Rec Equations'!$B$15*'Res-Rec Equations'!$B$16/(H59+I59+K59))))</f>
        <v>NA</v>
      </c>
      <c r="N59" s="167" t="str">
        <f t="shared" si="14"/>
        <v>NA</v>
      </c>
      <c r="O59" s="371">
        <f>IF('Chemical Info'!L60="NA","NA",IF('Chemical Info'!E60="Yes",(('Res-Rec Equations'!$B$76*'Chemical Info'!AD60*'Res-Rec Equations'!$B$78*'Res-Rec Equations'!$B$79*'Res-Rec Equations'!$B$81)/('Res-Rec Equations'!$B$84*'Res-Rec Equations'!$B$85))/'Chemical Info'!L60,(('Res-Rec Equations'!$B$76*'Chemical Info'!AD60*'Res-Rec Equations'!$B$78*'Res-Rec Equations'!$B$79*'Res-Rec Equations'!$B$80)/('Res-Rec Equations'!$B$84*'Res-Rec Equations'!$B$85))/'Chemical Info'!L60))</f>
        <v>8.3022000830220013E-5</v>
      </c>
      <c r="P59" s="166">
        <f>IF('Chemical Info'!L60="NA","NA", IF('Chemical Info'!E60="Yes",0,((('Res-Rec Equations'!$B$87*'Res-Rec Equations'!$B$88*'Res-Rec Equations'!$B$78*'Res-Rec Equations'!$B$82*'Res-Rec Equations'!$B$79*'Chemical Info'!AB60)/('Res-Rec Equations'!$B$84*'Res-Rec Equations'!$B$85))/('Chemical Info'!L60*'Chemical Info'!AF60))))</f>
        <v>0</v>
      </c>
      <c r="Q59" s="166" t="str">
        <f>IF('Chemical Info'!N60="NA","NA",IF('Res-Rec Calculations'!E59="NA",(('Res-Rec Equations'!$B$83*'Res-Rec Equations'!$B$79*'Res-Rec Calculations'!C59)/('Res-Rec Equations'!$B$85))/('Chemical Info'!N60),IF('Chemical Info'!E60="Yes",(('Res-Rec Equations'!$B$83*'Res-Rec Equations'!$B$79*'Res-Rec Calculations'!E59)/('Res-Rec Equations'!$B$85))/('Chemical Info'!N60),(('Res-Rec Equations'!$B$83*'Res-Rec Equations'!$B$79*('Res-Rec Calculations'!C59+'Res-Rec Calculations'!E59))/('Res-Rec Equations'!$B$85))/('Chemical Info'!N60))))</f>
        <v>NA</v>
      </c>
      <c r="R59" s="166" t="str">
        <f>IF('Chemical Info'!N60="NA","NA",IF('Res-Rec Calculations'!F59="NA",(('Res-Rec Equations'!$B$83*'Res-Rec Equations'!$B$79*'Res-Rec Calculations'!C59)/('Res-Rec Equations'!$B$85))/('Chemical Info'!N60),IF('Chemical Info'!E60="Yes",(('Res-Rec Equations'!$B$83*'Res-Rec Equations'!$B$79*'Res-Rec Calculations'!F59)/('Res-Rec Equations'!$B$85))/('Chemical Info'!N60),(('Res-Rec Equations'!$B$83*'Res-Rec Equations'!$B$79*('Res-Rec Calculations'!C59+'Res-Rec Calculations'!F59))/('Res-Rec Equations'!$B$85))/('Chemical Info'!N60))))</f>
        <v>NA</v>
      </c>
      <c r="S59" s="167">
        <f>IF(AND(O59="NA",P59="NA",Q59="NA"),"NA",IF(O59="NA",'Res-Rec Equations'!$B$75/Q59,IF(Q59="NA",'Res-Rec Equations'!$B$75/(O59+P59),'Res-Rec Equations'!$B$75/(O59+P59+Q59))))</f>
        <v>2409</v>
      </c>
      <c r="T59" s="167">
        <f>IF(AND(O59="NA",P59="NA",R59="NA"),"NA",IF(O59="NA",'Res-Rec Equations'!$B$75/R59,IF(R59="NA",'Res-Rec Equations'!$B$75/(O59+P59),'Res-Rec Equations'!$B$75/(O59+P59+R59))))</f>
        <v>2409</v>
      </c>
      <c r="U59" s="168">
        <f t="shared" si="15"/>
        <v>2409</v>
      </c>
      <c r="V59" s="167" t="str">
        <f>IF('Chemical Info'!P60="NA","NA",(('Res-Rec Equations'!$B$185*'Res-Rec Equations'!$B$186)/('Res-Rec Equations'!$B$187*'Res-Rec Equations'!$B$188*(1/'Chemical Info'!P60))))</f>
        <v>NA</v>
      </c>
      <c r="W59" s="379" t="str">
        <f t="shared" si="16"/>
        <v>NA</v>
      </c>
      <c r="X59" s="372">
        <f t="shared" si="17"/>
        <v>836.76133333333337</v>
      </c>
      <c r="Y59" s="62">
        <f t="shared" si="18"/>
        <v>840</v>
      </c>
      <c r="Z59" s="100" t="str">
        <f t="shared" si="19"/>
        <v>Csat</v>
      </c>
      <c r="AA59" s="373"/>
    </row>
    <row r="60" spans="1:27">
      <c r="A60" s="373" t="s">
        <v>367</v>
      </c>
      <c r="B60" s="566" t="s">
        <v>160</v>
      </c>
      <c r="C60" s="367">
        <f>1/(('Res-Rec Equations'!$B$152*3600)/((0.036*(1-'Res-Rec Equations'!$B$153))*('Res-Rec Equations'!$B$154/'Res-Rec Equations'!$B$155)^3*'Res-Rec Equations'!$B$156))</f>
        <v>7.3567680901159717E-10</v>
      </c>
      <c r="D60" s="368">
        <f>(('Res-Rec Equations'!$B$132^(10/3)*'Chemical Info'!$AH61*'Chemical Info'!$AN61*41+'Res-Rec Equations'!$B$135^(10/3)*'Chemical Info'!$AJ61)/'Res-Rec Equations'!$B$137^2)/('Res-Rec Equations'!$B$139*'Chemical Info'!$AL61*'Res-Rec Equations'!$B$142+'Res-Rec Equations'!$B$135+'Res-Rec Equations'!$B$132*'Chemical Info'!$AN61*41)</f>
        <v>2.9344617892785524E-3</v>
      </c>
      <c r="E60" s="368">
        <f>IF(D60=0,"NA",1/(('Res-Rec Equations'!$B$103*(3.14*'Res-Rec Calculations'!$D60*'Res-Rec Equations'!$B$105)^(1/2)*0.0001)/(2*'Res-Rec Equations'!$B$106*'Res-Rec Calculations'!$D60)))</f>
        <v>3.1797488083379203E-4</v>
      </c>
      <c r="F60" s="368">
        <f>IF(D60=0,"NA",(1/('Res-Rec Equations'!$B$117*('Res-Rec Equations'!$B$118*(31500000))/('Res-Rec Equations'!$B$119*'Res-Rec Equations'!$B$120*1000000))))</f>
        <v>6.1914410640015851E-5</v>
      </c>
      <c r="G60" s="167">
        <f>IF('Chemical Info'!E61="Yes",('Chemical Info'!AP61/'Res-Rec Equations'!$B$168)*((('Chemical Info'!AL61*'Res-Rec Equations'!$B$170)*'Res-Rec Equations'!$B$168)+'Res-Rec Equations'!$B$171+('Chemical Info'!AN61*41)*'Res-Rec Equations'!$B$173),"NA")</f>
        <v>1683.0159360000002</v>
      </c>
      <c r="H60" s="112" t="str">
        <f>IF('Chemical Info'!H61="NA","NA",IF(AND('Chemical Info'!E61="Yes",'Chemical Info'!D61="Yes"),'Chemical Info'!H61*'Chemical Info'!AD61*'Res-Rec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Info'!E61="Yes",'Chemical Info'!D61=""),'Chemical Info'!H61*'Chemical Info'!AD61*'Res-Rec Equations'!$B$20*'Res-Rec Equations'!$B$23*((('Res-Rec Equations'!$B$26*'Res-Rec Equations'!$B$29)/'Res-Rec Equations'!$B$32)+(('Res-Rec Equations'!$B$27*'Res-Rec Equations'!$B$30)/'Res-Rec Equations'!$B$33)+(('Res-Rec Equations'!$B$28*'Res-Rec Equations'!$B$31)/'Res-Rec Equations'!$B$34)),IF(AND('Chemical Info'!E61="No",'Chemical Info'!D61="Yes"),'Chemical Info'!H61*'Chemical Info'!AD61*'Res-Rec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Info'!E61="No",'Chemical Info'!D61=""),'Chemical Info'!H61*'Chemical Info'!AD61*'Res-Rec Equations'!$B$19*'Res-Rec Equations'!$B$23*((('Res-Rec Equations'!$B$26*'Res-Rec Equations'!$B$29)/'Res-Rec Equations'!$B$32)+(('Res-Rec Equations'!$B$27*'Res-Rec Equations'!$B$30)/'Res-Rec Equations'!$B$33)+(('Res-Rec Equations'!$B$28*'Res-Rec Equations'!$B$31)/'Res-Rec Equations'!$B$34)))))))</f>
        <v>NA</v>
      </c>
      <c r="I60" s="166" t="str">
        <f>IF('Chemical Info'!H61="NA","NA",IF('Chemical Info'!E61="Yes",0,IF('Chemical Info'!D61="Yes",'Chemical Info'!H61/'Chemical Info'!AF61*('Res-Rec Equations'!$B$21*'Chemical Info'!AB61*'Res-Rec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Info'!H61/'Chemical Info'!AF61*('Res-Rec Equations'!$B$21*'Chemical Info'!AB61*'Res-Rec Equations'!$B$23)*((('Res-Rec Equations'!$B$26*'Res-Rec Equations'!$B$37*'Res-Rec Equations'!$B$40)/'Res-Rec Equations'!$B$32)+(('Res-Rec Equations'!$B$27*'Res-Rec Equations'!$B$38*'Res-Rec Equations'!$B$41)/'Res-Rec Equations'!$B$33)+(('Res-Rec Equations'!$B$28*'Res-Rec Equations'!$B$39*'Res-Rec Equations'!$B$42)/'Res-Rec Equations'!$B$34)))))</f>
        <v>NA</v>
      </c>
      <c r="J60" s="369" t="str">
        <f>IF('Chemical Info'!J61="NA","NA",IF(AND(E60="NA",'Chemical Info'!D61="Yes"),'Res-Rec Equations'!$B$22*1000*(('Res-Rec Equations'!$B$26*'Chemical Info'!J61*'Res-Rec Equations'!$B$59)+('Res-Rec Equations'!$B$27*'Chemical Info'!J61*'Res-Rec Equations'!$B$60)+('Res-Rec Equations'!$B$28*'Chemical Info'!J61*'Res-Rec Equations'!$B$61))*'Res-Rec Calculations'!C60,IF(AND(E60="NA",'Chemical Info'!D61=""),'Res-Rec Equations'!$B$22*1000*'Res-Rec Equations'!$B$25*'Chemical Info'!J61*'Res-Rec Calculations'!C60,IF(AND('Chemical Info'!E61="Yes",'Chemical Info'!D61="Yes"),'Res-Rec Equations'!$B$22*1000*(('Res-Rec Equations'!$B$26*'Chemical Info'!J61*'Res-Rec Equations'!$B$59)+('Res-Rec Equations'!$B$27*'Chemical Info'!J61*'Res-Rec Equations'!$B$60)+('Res-Rec Equations'!$B$28*'Chemical Info'!J61*'Res-Rec Equations'!$B$61))*'Res-Rec Calculations'!E60,IF(AND('Chemical Info'!E61="Yes",'Chemical Info'!D61=""),'Res-Rec Equations'!$B$22*1000*'Res-Rec Equations'!$B$25*'Chemical Info'!J61*'Res-Rec Calculations'!E60,IF('Chemical Info'!D61="Yes",'Res-Rec Equations'!$B$22*1000*(('Res-Rec Equations'!$B$26*'Chemical Info'!J61*'Res-Rec Equations'!$B$59)+('Res-Rec Equations'!$B$27*'Chemical Info'!J61*'Res-Rec Equations'!$B$60)+('Res-Rec Equations'!$B$28*'Chemical Info'!J61*'Res-Rec Equations'!$B$61))*('Res-Rec Calculations'!C60+'Res-Rec Calculations'!E60),IF('Chemical Info'!D61="",'Res-Rec Equations'!$B$22*1000*'Res-Rec Equations'!$B$25*'Chemical Info'!J61*('Res-Rec Calculations'!C60+'Res-Rec Calculations'!E60))))))))</f>
        <v>NA</v>
      </c>
      <c r="K60" s="370" t="str">
        <f>IF('Chemical Info'!J61="NA","NA",IF(AND(F60="NA",'Chemical Info'!D61="Yes"),'Res-Rec Equations'!$B$22*1000*(('Res-Rec Equations'!$B$26*'Chemical Info'!J61*'Res-Rec Equations'!$B$59)+('Res-Rec Equations'!$B$27*'Chemical Info'!J61*'Res-Rec Equations'!$B$60)+('Res-Rec Equations'!$B$28*'Chemical Info'!J61*'Res-Rec Equations'!$B$61))*'Res-Rec Calculations'!C60,IF(AND(F60="NA",'Chemical Info'!D61=""),'Res-Rec Equations'!$B$22*1000*'Res-Rec Equations'!$B$25*'Chemical Info'!J61*'Res-Rec Calculations'!C60,IF(AND('Chemical Info'!F61="Yes",'Chemical Info'!D61="Yes"),'Res-Rec Equations'!$B$22*1000*(('Res-Rec Equations'!$B$26*'Chemical Info'!J61*'Res-Rec Equations'!$B$59)+('Res-Rec Equations'!$B$27*'Chemical Info'!J61*'Res-Rec Equations'!$B$60)+('Res-Rec Equations'!$B$28*'Chemical Info'!J61*'Res-Rec Equations'!$B$61))*'Res-Rec Calculations'!F60,IF(AND('Chemical Info'!F61="Yes",'Chemical Info'!D61=""),'Res-Rec Equations'!$B$22*1000*'Res-Rec Equations'!$B$25*'Chemical Info'!J61*'Res-Rec Calculations'!F60,IF('Chemical Info'!D61="Yes",'Res-Rec Equations'!$B$22*1000*(('Res-Rec Equations'!$B$26*'Chemical Info'!J61*'Res-Rec Equations'!$B$59)+('Res-Rec Equations'!$B$27*'Chemical Info'!J61*'Res-Rec Equations'!$B$60)+('Res-Rec Equations'!$B$28*'Chemical Info'!J61*'Res-Rec Equations'!$B$61))*('Res-Rec Calculations'!C60+'Res-Rec Calculations'!F60),IF('Chemical Info'!D61="",'Res-Rec Equations'!$B$22*1000*'Res-Rec Equations'!$B$25*'Chemical Info'!J61*('Res-Rec Calculations'!C60+'Res-Rec Calculations'!F60))))))))</f>
        <v>NA</v>
      </c>
      <c r="L60" s="167" t="str">
        <f>IF(AND(H60="NA",I60="NA",J60="NA"),"NA",IF(H60="NA",'Res-Rec Equations'!$B$15*'Res-Rec Equations'!$B$16/J60,IF(J60="NA",'Res-Rec Equations'!$B$15*'Res-Rec Equations'!$B$16/(H60+I60),'Res-Rec Equations'!$B$15*'Res-Rec Equations'!$B$16/(H60+I60+J60))))</f>
        <v>NA</v>
      </c>
      <c r="M60" s="167" t="str">
        <f>IF(AND(H60="NA",I60="NA",K60="NA"),"NA",IF(H60="NA",'Res-Rec Equations'!$B$15*'Res-Rec Equations'!$B$16/K60,IF(K60="NA",'Res-Rec Equations'!$B$15*'Res-Rec Equations'!$B$16/(H60+I60),'Res-Rec Equations'!$B$15*'Res-Rec Equations'!$B$16/(H60+I60+K60))))</f>
        <v>NA</v>
      </c>
      <c r="N60" s="167" t="str">
        <f t="shared" si="14"/>
        <v>NA</v>
      </c>
      <c r="O60" s="371">
        <f>IF('Chemical Info'!L61="NA","NA",IF('Chemical Info'!E61="Yes",(('Res-Rec Equations'!$B$76*'Chemical Info'!AD61*'Res-Rec Equations'!$B$78*'Res-Rec Equations'!$B$79*'Res-Rec Equations'!$B$81)/('Res-Rec Equations'!$B$84*'Res-Rec Equations'!$B$85))/'Chemical Info'!L61,(('Res-Rec Equations'!$B$76*'Chemical Info'!AD61*'Res-Rec Equations'!$B$78*'Res-Rec Equations'!$B$79*'Res-Rec Equations'!$B$80)/('Res-Rec Equations'!$B$84*'Res-Rec Equations'!$B$85))/'Chemical Info'!L61))</f>
        <v>5.0735667174023346E-4</v>
      </c>
      <c r="P60" s="166">
        <f>IF('Chemical Info'!L61="NA","NA", IF('Chemical Info'!E61="Yes",0,((('Res-Rec Equations'!$B$87*'Res-Rec Equations'!$B$88*'Res-Rec Equations'!$B$78*'Res-Rec Equations'!$B$82*'Res-Rec Equations'!$B$79*'Chemical Info'!AB61)/('Res-Rec Equations'!$B$84*'Res-Rec Equations'!$B$85))/('Chemical Info'!L61*'Chemical Info'!AF61))))</f>
        <v>0</v>
      </c>
      <c r="Q60" s="166" t="str">
        <f>IF('Chemical Info'!N61="NA","NA",IF('Res-Rec Calculations'!E60="NA",(('Res-Rec Equations'!$B$83*'Res-Rec Equations'!$B$79*'Res-Rec Calculations'!C60)/('Res-Rec Equations'!$B$85))/('Chemical Info'!N61),IF('Chemical Info'!E61="Yes",(('Res-Rec Equations'!$B$83*'Res-Rec Equations'!$B$79*'Res-Rec Calculations'!E60)/('Res-Rec Equations'!$B$85))/('Chemical Info'!N61),(('Res-Rec Equations'!$B$83*'Res-Rec Equations'!$B$79*('Res-Rec Calculations'!C60+'Res-Rec Calculations'!E60))/('Res-Rec Equations'!$B$85))/('Chemical Info'!N61))))</f>
        <v>NA</v>
      </c>
      <c r="R60" s="166" t="str">
        <f>IF('Chemical Info'!N61="NA","NA",IF('Res-Rec Calculations'!F60="NA",(('Res-Rec Equations'!$B$83*'Res-Rec Equations'!$B$79*'Res-Rec Calculations'!C60)/('Res-Rec Equations'!$B$85))/('Chemical Info'!N61),IF('Chemical Info'!E61="Yes",(('Res-Rec Equations'!$B$83*'Res-Rec Equations'!$B$79*'Res-Rec Calculations'!F60)/('Res-Rec Equations'!$B$85))/('Chemical Info'!N61),(('Res-Rec Equations'!$B$83*'Res-Rec Equations'!$B$79*('Res-Rec Calculations'!C60+'Res-Rec Calculations'!F60))/('Res-Rec Equations'!$B$85))/('Chemical Info'!N61))))</f>
        <v>NA</v>
      </c>
      <c r="S60" s="167">
        <f>IF(AND(O60="NA",P60="NA",Q60="NA"),"NA",IF(O60="NA",'Res-Rec Equations'!$B$75/Q60,IF(Q60="NA",'Res-Rec Equations'!$B$75/(O60+P60),'Res-Rec Equations'!$B$75/(O60+P60+Q60))))</f>
        <v>394.19999999999993</v>
      </c>
      <c r="T60" s="167">
        <f>IF(AND(O60="NA",P60="NA",R60="NA"),"NA",IF(O60="NA",'Res-Rec Equations'!$B$75/R60,IF(R60="NA",'Res-Rec Equations'!$B$75/(O60+P60),'Res-Rec Equations'!$B$75/(O60+P60+R60))))</f>
        <v>394.19999999999993</v>
      </c>
      <c r="U60" s="168">
        <f t="shared" si="15"/>
        <v>394.19999999999993</v>
      </c>
      <c r="V60" s="167" t="str">
        <f>IF('Chemical Info'!P61="NA","NA",(('Res-Rec Equations'!$B$185*'Res-Rec Equations'!$B$186)/('Res-Rec Equations'!$B$187*'Res-Rec Equations'!$B$188*(1/'Chemical Info'!P61))))</f>
        <v>NA</v>
      </c>
      <c r="W60" s="379" t="str">
        <f t="shared" si="16"/>
        <v>NA</v>
      </c>
      <c r="X60" s="372">
        <f t="shared" si="17"/>
        <v>394.19999999999993</v>
      </c>
      <c r="Y60" s="62">
        <f t="shared" si="18"/>
        <v>390</v>
      </c>
      <c r="Z60" s="100" t="str">
        <f t="shared" si="19"/>
        <v>Noncancer</v>
      </c>
      <c r="AA60" s="373"/>
    </row>
    <row r="61" spans="1:27">
      <c r="A61" s="373" t="s">
        <v>368</v>
      </c>
      <c r="B61" s="566" t="s">
        <v>161</v>
      </c>
      <c r="C61" s="367">
        <f>1/(('Res-Rec Equations'!$B$152*3600)/((0.036*(1-'Res-Rec Equations'!$B$153))*('Res-Rec Equations'!$B$154/'Res-Rec Equations'!$B$155)^3*'Res-Rec Equations'!$B$156))</f>
        <v>7.3567680901159717E-10</v>
      </c>
      <c r="D61" s="368">
        <f>(('Res-Rec Equations'!$B$132^(10/3)*'Chemical Info'!$AH62*'Chemical Info'!$AN62*41+'Res-Rec Equations'!$B$135^(10/3)*'Chemical Info'!$AJ62)/'Res-Rec Equations'!$B$137^2)/('Res-Rec Equations'!$B$139*'Chemical Info'!$AL62*'Res-Rec Equations'!$B$142+'Res-Rec Equations'!$B$135+'Res-Rec Equations'!$B$132*'Chemical Info'!$AN62*41)</f>
        <v>6.0846192295957631E-4</v>
      </c>
      <c r="E61" s="368">
        <f>IF(D61=0,"NA",1/(('Res-Rec Equations'!$B$103*(3.14*'Res-Rec Calculations'!$D61*'Res-Rec Equations'!$B$105)^(1/2)*0.0001)/(2*'Res-Rec Equations'!$B$106*'Res-Rec Calculations'!$D61)))</f>
        <v>1.4479223992329754E-4</v>
      </c>
      <c r="F61" s="368">
        <f>IF(D61=0,"NA",(1/('Res-Rec Equations'!$B$117*('Res-Rec Equations'!$B$118*(31500000))/('Res-Rec Equations'!$B$119*'Res-Rec Equations'!$B$120*1000000))))</f>
        <v>6.1914410640015851E-5</v>
      </c>
      <c r="G61" s="167">
        <f>IF('Chemical Info'!E62="Yes",('Chemical Info'!AP62/'Res-Rec Equations'!$B$168)*((('Chemical Info'!AL62*'Res-Rec Equations'!$B$170)*'Res-Rec Equations'!$B$168)+'Res-Rec Equations'!$B$171+('Chemical Info'!AN62*41)*'Res-Rec Equations'!$B$173),"NA")</f>
        <v>2981.026026666666</v>
      </c>
      <c r="H61" s="112">
        <f>IF('Chemical Info'!H62="NA","NA",IF(AND('Chemical Info'!E62="Yes",'Chemical Info'!D62="Yes"),'Chemical Info'!H62*'Chemical Info'!AD62*'Res-Rec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Info'!E62="Yes",'Chemical Info'!D62=""),'Chemical Info'!H62*'Chemical Info'!AD62*'Res-Rec Equations'!$B$20*'Res-Rec Equations'!$B$23*((('Res-Rec Equations'!$B$26*'Res-Rec Equations'!$B$29)/'Res-Rec Equations'!$B$32)+(('Res-Rec Equations'!$B$27*'Res-Rec Equations'!$B$30)/'Res-Rec Equations'!$B$33)+(('Res-Rec Equations'!$B$28*'Res-Rec Equations'!$B$31)/'Res-Rec Equations'!$B$34)),IF(AND('Chemical Info'!E62="No",'Chemical Info'!D62="Yes"),'Chemical Info'!H62*'Chemical Info'!AD62*'Res-Rec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Info'!E62="No",'Chemical Info'!D62=""),'Chemical Info'!H62*'Chemical Info'!AD62*'Res-Rec Equations'!$B$19*'Res-Rec Equations'!$B$23*((('Res-Rec Equations'!$B$26*'Res-Rec Equations'!$B$29)/'Res-Rec Equations'!$B$32)+(('Res-Rec Equations'!$B$27*'Res-Rec Equations'!$B$30)/'Res-Rec Equations'!$B$33)+(('Res-Rec Equations'!$B$28*'Res-Rec Equations'!$B$31)/'Res-Rec Equations'!$B$34)))))))</f>
        <v>1.4564206970128023E-2</v>
      </c>
      <c r="I61" s="166">
        <f>IF('Chemical Info'!H62="NA","NA",IF('Chemical Info'!E62="Yes",0,IF('Chemical Info'!D62="Yes",'Chemical Info'!H62/'Chemical Info'!AF62*('Res-Rec Equations'!$B$21*'Chemical Info'!AB62*'Res-Rec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Info'!H62/'Chemical Info'!AF62*('Res-Rec Equations'!$B$21*'Chemical Info'!AB62*'Res-Rec Equations'!$B$23)*((('Res-Rec Equations'!$B$26*'Res-Rec Equations'!$B$37*'Res-Rec Equations'!$B$40)/'Res-Rec Equations'!$B$32)+(('Res-Rec Equations'!$B$27*'Res-Rec Equations'!$B$38*'Res-Rec Equations'!$B$41)/'Res-Rec Equations'!$B$33)+(('Res-Rec Equations'!$B$28*'Res-Rec Equations'!$B$39*'Res-Rec Equations'!$B$42)/'Res-Rec Equations'!$B$34)))))</f>
        <v>0</v>
      </c>
      <c r="J61" s="369">
        <f>IF('Chemical Info'!J62="NA","NA",IF(AND(E61="NA",'Chemical Info'!D62="Yes"),'Res-Rec Equations'!$B$22*1000*(('Res-Rec Equations'!$B$26*'Chemical Info'!J62*'Res-Rec Equations'!$B$59)+('Res-Rec Equations'!$B$27*'Chemical Info'!J62*'Res-Rec Equations'!$B$60)+('Res-Rec Equations'!$B$28*'Chemical Info'!J62*'Res-Rec Equations'!$B$61))*'Res-Rec Calculations'!C61,IF(AND(E61="NA",'Chemical Info'!D62=""),'Res-Rec Equations'!$B$22*1000*'Res-Rec Equations'!$B$25*'Chemical Info'!J62*'Res-Rec Calculations'!C61,IF(AND('Chemical Info'!E62="Yes",'Chemical Info'!D62="Yes"),'Res-Rec Equations'!$B$22*1000*(('Res-Rec Equations'!$B$26*'Chemical Info'!J62*'Res-Rec Equations'!$B$59)+('Res-Rec Equations'!$B$27*'Chemical Info'!J62*'Res-Rec Equations'!$B$60)+('Res-Rec Equations'!$B$28*'Chemical Info'!J62*'Res-Rec Equations'!$B$61))*'Res-Rec Calculations'!E61,IF(AND('Chemical Info'!E62="Yes",'Chemical Info'!D62=""),'Res-Rec Equations'!$B$22*1000*'Res-Rec Equations'!$B$25*'Chemical Info'!J62*'Res-Rec Calculations'!E61,IF('Chemical Info'!D62="Yes",'Res-Rec Equations'!$B$22*1000*(('Res-Rec Equations'!$B$26*'Chemical Info'!J62*'Res-Rec Equations'!$B$59)+('Res-Rec Equations'!$B$27*'Chemical Info'!J62*'Res-Rec Equations'!$B$60)+('Res-Rec Equations'!$B$28*'Chemical Info'!J62*'Res-Rec Equations'!$B$61))*('Res-Rec Calculations'!C61+'Res-Rec Calculations'!E61),IF('Chemical Info'!D62="",'Res-Rec Equations'!$B$22*1000*'Res-Rec Equations'!$B$25*'Chemical Info'!J62*('Res-Rec Calculations'!C61+'Res-Rec Calculations'!E61))))))))</f>
        <v>6.7762768284103242E-2</v>
      </c>
      <c r="K61" s="370">
        <f>IF('Chemical Info'!J62="NA","NA",IF(AND(F61="NA",'Chemical Info'!D62="Yes"),'Res-Rec Equations'!$B$22*1000*(('Res-Rec Equations'!$B$26*'Chemical Info'!J62*'Res-Rec Equations'!$B$59)+('Res-Rec Equations'!$B$27*'Chemical Info'!J62*'Res-Rec Equations'!$B$60)+('Res-Rec Equations'!$B$28*'Chemical Info'!J62*'Res-Rec Equations'!$B$61))*'Res-Rec Calculations'!C61,IF(AND(F61="NA",'Chemical Info'!D62=""),'Res-Rec Equations'!$B$22*1000*'Res-Rec Equations'!$B$25*'Chemical Info'!J62*'Res-Rec Calculations'!C61,IF(AND('Chemical Info'!F62="Yes",'Chemical Info'!D62="Yes"),'Res-Rec Equations'!$B$22*1000*(('Res-Rec Equations'!$B$26*'Chemical Info'!J62*'Res-Rec Equations'!$B$59)+('Res-Rec Equations'!$B$27*'Chemical Info'!J62*'Res-Rec Equations'!$B$60)+('Res-Rec Equations'!$B$28*'Chemical Info'!J62*'Res-Rec Equations'!$B$61))*'Res-Rec Calculations'!F61,IF(AND('Chemical Info'!F62="Yes",'Chemical Info'!D62=""),'Res-Rec Equations'!$B$22*1000*'Res-Rec Equations'!$B$25*'Chemical Info'!J62*'Res-Rec Calculations'!F61,IF('Chemical Info'!D62="Yes",'Res-Rec Equations'!$B$22*1000*(('Res-Rec Equations'!$B$26*'Chemical Info'!J62*'Res-Rec Equations'!$B$59)+('Res-Rec Equations'!$B$27*'Chemical Info'!J62*'Res-Rec Equations'!$B$60)+('Res-Rec Equations'!$B$28*'Chemical Info'!J62*'Res-Rec Equations'!$B$61))*('Res-Rec Calculations'!C61+'Res-Rec Calculations'!F61),IF('Chemical Info'!D62="",'Res-Rec Equations'!$B$22*1000*'Res-Rec Equations'!$B$25*'Chemical Info'!J62*('Res-Rec Calculations'!C61+'Res-Rec Calculations'!F61))))))))</f>
        <v>2.897628847627403E-2</v>
      </c>
      <c r="L61" s="167">
        <f>IF(AND(H61="NA",I61="NA",J61="NA"),"NA",IF(H61="NA",'Res-Rec Equations'!$B$15*'Res-Rec Equations'!$B$16/J61,IF(J61="NA",'Res-Rec Equations'!$B$15*'Res-Rec Equations'!$B$16/(H61+I61),'Res-Rec Equations'!$B$15*'Res-Rec Equations'!$B$16/(H61+I61+J61))))</f>
        <v>3.1034785282830897</v>
      </c>
      <c r="M61" s="167">
        <f>IF(AND(H61="NA",I61="NA",K61="NA"),"NA",IF(H61="NA",'Res-Rec Equations'!$B$15*'Res-Rec Equations'!$B$16/K61,IF(K61="NA",'Res-Rec Equations'!$B$15*'Res-Rec Equations'!$B$16/(H61+I61),'Res-Rec Equations'!$B$15*'Res-Rec Equations'!$B$16/(H61+I61+K61))))</f>
        <v>5.8681004288184582</v>
      </c>
      <c r="N61" s="167">
        <f t="shared" si="14"/>
        <v>5.8681004288184582</v>
      </c>
      <c r="O61" s="371">
        <f>IF('Chemical Info'!L62="NA","NA",IF('Chemical Info'!E62="Yes",(('Res-Rec Equations'!$B$76*'Chemical Info'!AD62*'Res-Rec Equations'!$B$78*'Res-Rec Equations'!$B$79*'Res-Rec Equations'!$B$81)/('Res-Rec Equations'!$B$84*'Res-Rec Equations'!$B$85))/'Chemical Info'!L62,(('Res-Rec Equations'!$B$76*'Chemical Info'!AD62*'Res-Rec Equations'!$B$78*'Res-Rec Equations'!$B$79*'Res-Rec Equations'!$B$80)/('Res-Rec Equations'!$B$84*'Res-Rec Equations'!$B$85))/'Chemical Info'!L62))</f>
        <v>7.6103500761035003E-4</v>
      </c>
      <c r="P61" s="166">
        <f>IF('Chemical Info'!L62="NA","NA", IF('Chemical Info'!E62="Yes",0,((('Res-Rec Equations'!$B$87*'Res-Rec Equations'!$B$88*'Res-Rec Equations'!$B$78*'Res-Rec Equations'!$B$82*'Res-Rec Equations'!$B$79*'Chemical Info'!AB62)/('Res-Rec Equations'!$B$84*'Res-Rec Equations'!$B$85))/('Chemical Info'!L62*'Chemical Info'!AF62))))</f>
        <v>0</v>
      </c>
      <c r="Q61" s="166">
        <f>IF('Chemical Info'!N62="NA","NA",IF('Res-Rec Calculations'!E61="NA",(('Res-Rec Equations'!$B$83*'Res-Rec Equations'!$B$79*'Res-Rec Calculations'!C61)/('Res-Rec Equations'!$B$85))/('Chemical Info'!N62),IF('Chemical Info'!E62="Yes",(('Res-Rec Equations'!$B$83*'Res-Rec Equations'!$B$79*'Res-Rec Calculations'!E61)/('Res-Rec Equations'!$B$85))/('Chemical Info'!N62),(('Res-Rec Equations'!$B$83*'Res-Rec Equations'!$B$79*('Res-Rec Calculations'!C61+'Res-Rec Calculations'!E61))/('Res-Rec Equations'!$B$85))/('Chemical Info'!N62))))</f>
        <v>1.4167538152964534E-2</v>
      </c>
      <c r="R61" s="166">
        <f>IF('Chemical Info'!N62="NA","NA",IF('Res-Rec Calculations'!F61="NA",(('Res-Rec Equations'!$B$83*'Res-Rec Equations'!$B$79*'Res-Rec Calculations'!C61)/('Res-Rec Equations'!$B$85))/('Chemical Info'!N62),IF('Chemical Info'!E62="Yes",(('Res-Rec Equations'!$B$83*'Res-Rec Equations'!$B$79*'Res-Rec Calculations'!F61)/('Res-Rec Equations'!$B$85))/('Chemical Info'!N62),(('Res-Rec Equations'!$B$83*'Res-Rec Equations'!$B$79*('Res-Rec Calculations'!C61+'Res-Rec Calculations'!F61))/('Res-Rec Equations'!$B$85))/('Chemical Info'!N62))))</f>
        <v>6.0581615107647598E-3</v>
      </c>
      <c r="S61" s="167">
        <f>IF(AND(O61="NA",P61="NA",Q61="NA"),"NA",IF(O61="NA",'Res-Rec Equations'!$B$75/Q61,IF(Q61="NA",'Res-Rec Equations'!$B$75/(O61+P61),'Res-Rec Equations'!$B$75/(O61+P61+Q61))))</f>
        <v>13.397127632276561</v>
      </c>
      <c r="T61" s="167">
        <f>IF(AND(O61="NA",P61="NA",R61="NA"),"NA",IF(O61="NA",'Res-Rec Equations'!$B$75/R61,IF(R61="NA",'Res-Rec Equations'!$B$75/(O61+P61),'Res-Rec Equations'!$B$75/(O61+P61+R61))))</f>
        <v>29.328968517196564</v>
      </c>
      <c r="U61" s="168">
        <f t="shared" si="15"/>
        <v>29.328968517196564</v>
      </c>
      <c r="V61" s="167" t="str">
        <f>IF('Chemical Info'!P62="NA","NA",(('Res-Rec Equations'!$B$185*'Res-Rec Equations'!$B$186)/('Res-Rec Equations'!$B$187*'Res-Rec Equations'!$B$188*(1/'Chemical Info'!P62))))</f>
        <v>NA</v>
      </c>
      <c r="W61" s="379" t="str">
        <f t="shared" si="16"/>
        <v>NA</v>
      </c>
      <c r="X61" s="372">
        <f t="shared" si="17"/>
        <v>5.8681004288184582</v>
      </c>
      <c r="Y61" s="62">
        <f t="shared" si="18"/>
        <v>5.9</v>
      </c>
      <c r="Z61" s="100" t="str">
        <f t="shared" si="19"/>
        <v>Cancer</v>
      </c>
      <c r="AA61" s="373"/>
    </row>
    <row r="62" spans="1:27">
      <c r="A62" s="373" t="s">
        <v>369</v>
      </c>
      <c r="B62" s="566" t="s">
        <v>162</v>
      </c>
      <c r="C62" s="367">
        <f>1/(('Res-Rec Equations'!$B$152*3600)/((0.036*(1-'Res-Rec Equations'!$B$153))*('Res-Rec Equations'!$B$154/'Res-Rec Equations'!$B$155)^3*'Res-Rec Equations'!$B$156))</f>
        <v>7.3567680901159717E-10</v>
      </c>
      <c r="D62" s="368">
        <f>(('Res-Rec Equations'!$B$132^(10/3)*'Chemical Info'!$AH63*'Chemical Info'!$AN63*41+'Res-Rec Equations'!$B$135^(10/3)*'Chemical Info'!$AJ63)/'Res-Rec Equations'!$B$137^2)/('Res-Rec Equations'!$B$139*'Chemical Info'!$AL63*'Res-Rec Equations'!$B$142+'Res-Rec Equations'!$B$135+'Res-Rec Equations'!$B$132*'Chemical Info'!$AN63*41)</f>
        <v>9.5701342338191994E-3</v>
      </c>
      <c r="E62" s="368">
        <f>IF(D62=0,"NA",1/(('Res-Rec Equations'!$B$103*(3.14*'Res-Rec Calculations'!$D62*'Res-Rec Equations'!$B$105)^(1/2)*0.0001)/(2*'Res-Rec Equations'!$B$106*'Res-Rec Calculations'!$D62)))</f>
        <v>5.742322749463099E-4</v>
      </c>
      <c r="F62" s="368">
        <f>IF(D62=0,"NA",(1/('Res-Rec Equations'!$B$117*('Res-Rec Equations'!$B$118*(31500000))/('Res-Rec Equations'!$B$119*'Res-Rec Equations'!$B$120*1000000))))</f>
        <v>6.1914410640015851E-5</v>
      </c>
      <c r="G62" s="167">
        <f>IF('Chemical Info'!E63="Yes",('Chemical Info'!AP63/'Res-Rec Equations'!$B$168)*((('Chemical Info'!AL63*'Res-Rec Equations'!$B$170)*'Res-Rec Equations'!$B$168)+'Res-Rec Equations'!$B$171+('Chemical Info'!AN63*41)*'Res-Rec Equations'!$B$173),"NA")</f>
        <v>1187.42624</v>
      </c>
      <c r="H62" s="112" t="str">
        <f>IF('Chemical Info'!H63="NA","NA",IF(AND('Chemical Info'!E63="Yes",'Chemical Info'!D63="Yes"),'Chemical Info'!H63*'Chemical Info'!AD63*'Res-Rec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Info'!E63="Yes",'Chemical Info'!D63=""),'Chemical Info'!H63*'Chemical Info'!AD63*'Res-Rec Equations'!$B$20*'Res-Rec Equations'!$B$23*((('Res-Rec Equations'!$B$26*'Res-Rec Equations'!$B$29)/'Res-Rec Equations'!$B$32)+(('Res-Rec Equations'!$B$27*'Res-Rec Equations'!$B$30)/'Res-Rec Equations'!$B$33)+(('Res-Rec Equations'!$B$28*'Res-Rec Equations'!$B$31)/'Res-Rec Equations'!$B$34)),IF(AND('Chemical Info'!E63="No",'Chemical Info'!D63="Yes"),'Chemical Info'!H63*'Chemical Info'!AD63*'Res-Rec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Info'!E63="No",'Chemical Info'!D63=""),'Chemical Info'!H63*'Chemical Info'!AD63*'Res-Rec Equations'!$B$19*'Res-Rec Equations'!$B$23*((('Res-Rec Equations'!$B$26*'Res-Rec Equations'!$B$29)/'Res-Rec Equations'!$B$32)+(('Res-Rec Equations'!$B$27*'Res-Rec Equations'!$B$30)/'Res-Rec Equations'!$B$33)+(('Res-Rec Equations'!$B$28*'Res-Rec Equations'!$B$31)/'Res-Rec Equations'!$B$34)))))))</f>
        <v>NA</v>
      </c>
      <c r="I62" s="166" t="str">
        <f>IF('Chemical Info'!H63="NA","NA",IF('Chemical Info'!E63="Yes",0,IF('Chemical Info'!D63="Yes",'Chemical Info'!H63/'Chemical Info'!AF63*('Res-Rec Equations'!$B$21*'Chemical Info'!AB63*'Res-Rec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Info'!H63/'Chemical Info'!AF63*('Res-Rec Equations'!$B$21*'Chemical Info'!AB63*'Res-Rec Equations'!$B$23)*((('Res-Rec Equations'!$B$26*'Res-Rec Equations'!$B$37*'Res-Rec Equations'!$B$40)/'Res-Rec Equations'!$B$32)+(('Res-Rec Equations'!$B$27*'Res-Rec Equations'!$B$38*'Res-Rec Equations'!$B$41)/'Res-Rec Equations'!$B$33)+(('Res-Rec Equations'!$B$28*'Res-Rec Equations'!$B$39*'Res-Rec Equations'!$B$42)/'Res-Rec Equations'!$B$34)))))</f>
        <v>NA</v>
      </c>
      <c r="J62" s="369" t="str">
        <f>IF('Chemical Info'!J63="NA","NA",IF(AND(E62="NA",'Chemical Info'!D63="Yes"),'Res-Rec Equations'!$B$22*1000*(('Res-Rec Equations'!$B$26*'Chemical Info'!J63*'Res-Rec Equations'!$B$59)+('Res-Rec Equations'!$B$27*'Chemical Info'!J63*'Res-Rec Equations'!$B$60)+('Res-Rec Equations'!$B$28*'Chemical Info'!J63*'Res-Rec Equations'!$B$61))*'Res-Rec Calculations'!C62,IF(AND(E62="NA",'Chemical Info'!D63=""),'Res-Rec Equations'!$B$22*1000*'Res-Rec Equations'!$B$25*'Chemical Info'!J63*'Res-Rec Calculations'!C62,IF(AND('Chemical Info'!E63="Yes",'Chemical Info'!D63="Yes"),'Res-Rec Equations'!$B$22*1000*(('Res-Rec Equations'!$B$26*'Chemical Info'!J63*'Res-Rec Equations'!$B$59)+('Res-Rec Equations'!$B$27*'Chemical Info'!J63*'Res-Rec Equations'!$B$60)+('Res-Rec Equations'!$B$28*'Chemical Info'!J63*'Res-Rec Equations'!$B$61))*'Res-Rec Calculations'!E62,IF(AND('Chemical Info'!E63="Yes",'Chemical Info'!D63=""),'Res-Rec Equations'!$B$22*1000*'Res-Rec Equations'!$B$25*'Chemical Info'!J63*'Res-Rec Calculations'!E62,IF('Chemical Info'!D63="Yes",'Res-Rec Equations'!$B$22*1000*(('Res-Rec Equations'!$B$26*'Chemical Info'!J63*'Res-Rec Equations'!$B$59)+('Res-Rec Equations'!$B$27*'Chemical Info'!J63*'Res-Rec Equations'!$B$60)+('Res-Rec Equations'!$B$28*'Chemical Info'!J63*'Res-Rec Equations'!$B$61))*('Res-Rec Calculations'!C62+'Res-Rec Calculations'!E62),IF('Chemical Info'!D63="",'Res-Rec Equations'!$B$22*1000*'Res-Rec Equations'!$B$25*'Chemical Info'!J63*('Res-Rec Calculations'!C62+'Res-Rec Calculations'!E62))))))))</f>
        <v>NA</v>
      </c>
      <c r="K62" s="370" t="str">
        <f>IF('Chemical Info'!J63="NA","NA",IF(AND(F62="NA",'Chemical Info'!D63="Yes"),'Res-Rec Equations'!$B$22*1000*(('Res-Rec Equations'!$B$26*'Chemical Info'!J63*'Res-Rec Equations'!$B$59)+('Res-Rec Equations'!$B$27*'Chemical Info'!J63*'Res-Rec Equations'!$B$60)+('Res-Rec Equations'!$B$28*'Chemical Info'!J63*'Res-Rec Equations'!$B$61))*'Res-Rec Calculations'!C62,IF(AND(F62="NA",'Chemical Info'!D63=""),'Res-Rec Equations'!$B$22*1000*'Res-Rec Equations'!$B$25*'Chemical Info'!J63*'Res-Rec Calculations'!C62,IF(AND('Chemical Info'!F63="Yes",'Chemical Info'!D63="Yes"),'Res-Rec Equations'!$B$22*1000*(('Res-Rec Equations'!$B$26*'Chemical Info'!J63*'Res-Rec Equations'!$B$59)+('Res-Rec Equations'!$B$27*'Chemical Info'!J63*'Res-Rec Equations'!$B$60)+('Res-Rec Equations'!$B$28*'Chemical Info'!J63*'Res-Rec Equations'!$B$61))*'Res-Rec Calculations'!F62,IF(AND('Chemical Info'!F63="Yes",'Chemical Info'!D63=""),'Res-Rec Equations'!$B$22*1000*'Res-Rec Equations'!$B$25*'Chemical Info'!J63*'Res-Rec Calculations'!F62,IF('Chemical Info'!D63="Yes",'Res-Rec Equations'!$B$22*1000*(('Res-Rec Equations'!$B$26*'Chemical Info'!J63*'Res-Rec Equations'!$B$59)+('Res-Rec Equations'!$B$27*'Chemical Info'!J63*'Res-Rec Equations'!$B$60)+('Res-Rec Equations'!$B$28*'Chemical Info'!J63*'Res-Rec Equations'!$B$61))*('Res-Rec Calculations'!C62+'Res-Rec Calculations'!F62),IF('Chemical Info'!D63="",'Res-Rec Equations'!$B$22*1000*'Res-Rec Equations'!$B$25*'Chemical Info'!J63*('Res-Rec Calculations'!C62+'Res-Rec Calculations'!F62))))))))</f>
        <v>NA</v>
      </c>
      <c r="L62" s="167" t="str">
        <f>IF(AND(H62="NA",I62="NA",J62="NA"),"NA",IF(H62="NA",'Res-Rec Equations'!$B$15*'Res-Rec Equations'!$B$16/J62,IF(J62="NA",'Res-Rec Equations'!$B$15*'Res-Rec Equations'!$B$16/(H62+I62),'Res-Rec Equations'!$B$15*'Res-Rec Equations'!$B$16/(H62+I62+J62))))</f>
        <v>NA</v>
      </c>
      <c r="M62" s="167" t="str">
        <f>IF(AND(H62="NA",I62="NA",K62="NA"),"NA",IF(H62="NA",'Res-Rec Equations'!$B$15*'Res-Rec Equations'!$B$16/K62,IF(K62="NA",'Res-Rec Equations'!$B$15*'Res-Rec Equations'!$B$16/(H62+I62),'Res-Rec Equations'!$B$15*'Res-Rec Equations'!$B$16/(H62+I62+K62))))</f>
        <v>NA</v>
      </c>
      <c r="N62" s="167" t="str">
        <f t="shared" si="14"/>
        <v>NA</v>
      </c>
      <c r="O62" s="371">
        <f>IF('Chemical Info'!L63="NA","NA",IF('Chemical Info'!E63="Yes",(('Res-Rec Equations'!$B$76*'Chemical Info'!AD63*'Res-Rec Equations'!$B$78*'Res-Rec Equations'!$B$79*'Res-Rec Equations'!$B$81)/('Res-Rec Equations'!$B$84*'Res-Rec Equations'!$B$85))/'Chemical Info'!L63,(('Res-Rec Equations'!$B$76*'Chemical Info'!AD63*'Res-Rec Equations'!$B$78*'Res-Rec Equations'!$B$79*'Res-Rec Equations'!$B$80)/('Res-Rec Equations'!$B$84*'Res-Rec Equations'!$B$85))/'Chemical Info'!L63))</f>
        <v>2.2831050228310502E-4</v>
      </c>
      <c r="P62" s="166">
        <f>IF('Chemical Info'!L63="NA","NA", IF('Chemical Info'!E63="Yes",0,((('Res-Rec Equations'!$B$87*'Res-Rec Equations'!$B$88*'Res-Rec Equations'!$B$78*'Res-Rec Equations'!$B$82*'Res-Rec Equations'!$B$79*'Chemical Info'!AB63)/('Res-Rec Equations'!$B$84*'Res-Rec Equations'!$B$85))/('Chemical Info'!L63*'Chemical Info'!AF63))))</f>
        <v>0</v>
      </c>
      <c r="Q62" s="166">
        <f>IF('Chemical Info'!N63="NA","NA",IF('Res-Rec Calculations'!E62="NA",(('Res-Rec Equations'!$B$83*'Res-Rec Equations'!$B$79*'Res-Rec Calculations'!C62)/('Res-Rec Equations'!$B$85))/('Chemical Info'!N63),IF('Chemical Info'!E63="Yes",(('Res-Rec Equations'!$B$83*'Res-Rec Equations'!$B$79*'Res-Rec Calculations'!E62)/('Res-Rec Equations'!$B$85))/('Chemical Info'!N63),(('Res-Rec Equations'!$B$83*'Res-Rec Equations'!$B$79*('Res-Rec Calculations'!C62+'Res-Rec Calculations'!E62))/('Res-Rec Equations'!$B$85))/('Chemical Info'!N63))))</f>
        <v>1.9665488868024308E-3</v>
      </c>
      <c r="R62" s="166">
        <f>IF('Chemical Info'!N63="NA","NA",IF('Res-Rec Calculations'!F62="NA",(('Res-Rec Equations'!$B$83*'Res-Rec Equations'!$B$79*'Res-Rec Calculations'!C62)/('Res-Rec Equations'!$B$85))/('Chemical Info'!N63),IF('Chemical Info'!E63="Yes",(('Res-Rec Equations'!$B$83*'Res-Rec Equations'!$B$79*'Res-Rec Calculations'!F62)/('Res-Rec Equations'!$B$85))/('Chemical Info'!N63),(('Res-Rec Equations'!$B$83*'Res-Rec Equations'!$B$79*('Res-Rec Calculations'!C62+'Res-Rec Calculations'!F62))/('Res-Rec Equations'!$B$85))/('Chemical Info'!N63))))</f>
        <v>2.120356528767666E-4</v>
      </c>
      <c r="S62" s="167">
        <f>IF(AND(O62="NA",P62="NA",Q62="NA"),"NA",IF(O62="NA",'Res-Rec Equations'!$B$75/Q62,IF(Q62="NA",'Res-Rec Equations'!$B$75/(O62+P62),'Res-Rec Equations'!$B$75/(O62+P62+Q62))))</f>
        <v>91.122010364102564</v>
      </c>
      <c r="T62" s="167">
        <f>IF(AND(O62="NA",P62="NA",R62="NA"),"NA",IF(O62="NA",'Res-Rec Equations'!$B$75/R62,IF(R62="NA",'Res-Rec Equations'!$B$75/(O62+P62),'Res-Rec Equations'!$B$75/(O62+P62+R62))))</f>
        <v>454.18813734705651</v>
      </c>
      <c r="U62" s="168">
        <f t="shared" si="15"/>
        <v>454.18813734705651</v>
      </c>
      <c r="V62" s="167" t="str">
        <f>IF('Chemical Info'!P63="NA","NA",(('Res-Rec Equations'!$B$185*'Res-Rec Equations'!$B$186)/('Res-Rec Equations'!$B$187*'Res-Rec Equations'!$B$188*(1/'Chemical Info'!P63))))</f>
        <v>NA</v>
      </c>
      <c r="W62" s="379" t="str">
        <f t="shared" si="16"/>
        <v>NA</v>
      </c>
      <c r="X62" s="372">
        <f t="shared" si="17"/>
        <v>454.18813734705651</v>
      </c>
      <c r="Y62" s="62">
        <f t="shared" si="18"/>
        <v>450</v>
      </c>
      <c r="Z62" s="100" t="str">
        <f t="shared" si="19"/>
        <v>Noncancer</v>
      </c>
      <c r="AA62" s="373"/>
    </row>
    <row r="63" spans="1:27">
      <c r="A63" s="413" t="s">
        <v>370</v>
      </c>
      <c r="B63" s="566" t="s">
        <v>113</v>
      </c>
      <c r="C63" s="367">
        <f>1/(('Res-Rec Equations'!$B$152*3600)/((0.036*(1-'Res-Rec Equations'!$B$153))*('Res-Rec Equations'!$B$154/'Res-Rec Equations'!$B$155)^3*'Res-Rec Equations'!$B$156))</f>
        <v>7.3567680901159717E-10</v>
      </c>
      <c r="D63" s="368">
        <f>(('Res-Rec Equations'!$B$132^(10/3)*'Chemical Info'!$AH64*'Chemical Info'!$AN64*41+'Res-Rec Equations'!$B$135^(10/3)*'Chemical Info'!$AJ64)/'Res-Rec Equations'!$B$137^2)/('Res-Rec Equations'!$B$139*'Chemical Info'!$AL64*'Res-Rec Equations'!$B$142+'Res-Rec Equations'!$B$135+'Res-Rec Equations'!$B$132*'Chemical Info'!$AN64*41)</f>
        <v>2.0387225985662866E-3</v>
      </c>
      <c r="E63" s="368">
        <f>IF(D63=0,"NA",1/(('Res-Rec Equations'!$B$103*(3.14*'Res-Rec Calculations'!$D63*'Res-Rec Equations'!$B$105)^(1/2)*0.0001)/(2*'Res-Rec Equations'!$B$106*'Res-Rec Calculations'!$D63)))</f>
        <v>2.6503769893053858E-4</v>
      </c>
      <c r="F63" s="368">
        <f>IF(D63=0,"NA",(1/('Res-Rec Equations'!$B$117*('Res-Rec Equations'!$B$118*(31500000))/('Res-Rec Equations'!$B$119*'Res-Rec Equations'!$B$120*1000000))))</f>
        <v>6.1914410640015851E-5</v>
      </c>
      <c r="G63" s="167">
        <f>IF('Chemical Info'!E64="Yes",('Chemical Info'!AP64/'Res-Rec Equations'!$B$168)*((('Chemical Info'!AL64*'Res-Rec Equations'!$B$170)*'Res-Rec Equations'!$B$168)+'Res-Rec Equations'!$B$171+('Chemical Info'!AN64*41)*'Res-Rec Equations'!$B$173),"NA")</f>
        <v>2364.1720959999998</v>
      </c>
      <c r="H63" s="112" t="str">
        <f>IF('Chemical Info'!H64="NA","NA",IF(AND('Chemical Info'!E64="Yes",'Chemical Info'!D64="Yes"),'Chemical Info'!H64*'Chemical Info'!AD64*'Res-Rec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Info'!E64="Yes",'Chemical Info'!D64=""),'Chemical Info'!H64*'Chemical Info'!AD64*'Res-Rec Equations'!$B$20*'Res-Rec Equations'!$B$23*((('Res-Rec Equations'!$B$26*'Res-Rec Equations'!$B$29)/'Res-Rec Equations'!$B$32)+(('Res-Rec Equations'!$B$27*'Res-Rec Equations'!$B$30)/'Res-Rec Equations'!$B$33)+(('Res-Rec Equations'!$B$28*'Res-Rec Equations'!$B$31)/'Res-Rec Equations'!$B$34)),IF(AND('Chemical Info'!E64="No",'Chemical Info'!D64="Yes"),'Chemical Info'!H64*'Chemical Info'!AD64*'Res-Rec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Info'!E64="No",'Chemical Info'!D64=""),'Chemical Info'!H64*'Chemical Info'!AD64*'Res-Rec Equations'!$B$19*'Res-Rec Equations'!$B$23*((('Res-Rec Equations'!$B$26*'Res-Rec Equations'!$B$29)/'Res-Rec Equations'!$B$32)+(('Res-Rec Equations'!$B$27*'Res-Rec Equations'!$B$30)/'Res-Rec Equations'!$B$33)+(('Res-Rec Equations'!$B$28*'Res-Rec Equations'!$B$31)/'Res-Rec Equations'!$B$34)))))))</f>
        <v>NA</v>
      </c>
      <c r="I63" s="166" t="str">
        <f>IF('Chemical Info'!H64="NA","NA",IF('Chemical Info'!E64="Yes",0,IF('Chemical Info'!D64="Yes",'Chemical Info'!H64/'Chemical Info'!AF64*('Res-Rec Equations'!$B$21*'Chemical Info'!AB64*'Res-Rec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Info'!H64/'Chemical Info'!AF64*('Res-Rec Equations'!$B$21*'Chemical Info'!AB64*'Res-Rec Equations'!$B$23)*((('Res-Rec Equations'!$B$26*'Res-Rec Equations'!$B$37*'Res-Rec Equations'!$B$40)/'Res-Rec Equations'!$B$32)+(('Res-Rec Equations'!$B$27*'Res-Rec Equations'!$B$38*'Res-Rec Equations'!$B$41)/'Res-Rec Equations'!$B$33)+(('Res-Rec Equations'!$B$28*'Res-Rec Equations'!$B$39*'Res-Rec Equations'!$B$42)/'Res-Rec Equations'!$B$34)))))</f>
        <v>NA</v>
      </c>
      <c r="J63" s="369" t="str">
        <f>IF('Chemical Info'!J64="NA","NA",IF(AND(E63="NA",'Chemical Info'!D64="Yes"),'Res-Rec Equations'!$B$22*1000*(('Res-Rec Equations'!$B$26*'Chemical Info'!J64*'Res-Rec Equations'!$B$59)+('Res-Rec Equations'!$B$27*'Chemical Info'!J64*'Res-Rec Equations'!$B$60)+('Res-Rec Equations'!$B$28*'Chemical Info'!J64*'Res-Rec Equations'!$B$61))*'Res-Rec Calculations'!C63,IF(AND(E63="NA",'Chemical Info'!D64=""),'Res-Rec Equations'!$B$22*1000*'Res-Rec Equations'!$B$25*'Chemical Info'!J64*'Res-Rec Calculations'!C63,IF(AND('Chemical Info'!E64="Yes",'Chemical Info'!D64="Yes"),'Res-Rec Equations'!$B$22*1000*(('Res-Rec Equations'!$B$26*'Chemical Info'!J64*'Res-Rec Equations'!$B$59)+('Res-Rec Equations'!$B$27*'Chemical Info'!J64*'Res-Rec Equations'!$B$60)+('Res-Rec Equations'!$B$28*'Chemical Info'!J64*'Res-Rec Equations'!$B$61))*'Res-Rec Calculations'!E63,IF(AND('Chemical Info'!E64="Yes",'Chemical Info'!D64=""),'Res-Rec Equations'!$B$22*1000*'Res-Rec Equations'!$B$25*'Chemical Info'!J64*'Res-Rec Calculations'!E63,IF('Chemical Info'!D64="Yes",'Res-Rec Equations'!$B$22*1000*(('Res-Rec Equations'!$B$26*'Chemical Info'!J64*'Res-Rec Equations'!$B$59)+('Res-Rec Equations'!$B$27*'Chemical Info'!J64*'Res-Rec Equations'!$B$60)+('Res-Rec Equations'!$B$28*'Chemical Info'!J64*'Res-Rec Equations'!$B$61))*('Res-Rec Calculations'!C63+'Res-Rec Calculations'!E63),IF('Chemical Info'!D64="",'Res-Rec Equations'!$B$22*1000*'Res-Rec Equations'!$B$25*'Chemical Info'!J64*('Res-Rec Calculations'!C63+'Res-Rec Calculations'!E63))))))))</f>
        <v>NA</v>
      </c>
      <c r="K63" s="370" t="str">
        <f>IF('Chemical Info'!J64="NA","NA",IF(AND(F63="NA",'Chemical Info'!D64="Yes"),'Res-Rec Equations'!$B$22*1000*(('Res-Rec Equations'!$B$26*'Chemical Info'!J64*'Res-Rec Equations'!$B$59)+('Res-Rec Equations'!$B$27*'Chemical Info'!J64*'Res-Rec Equations'!$B$60)+('Res-Rec Equations'!$B$28*'Chemical Info'!J64*'Res-Rec Equations'!$B$61))*'Res-Rec Calculations'!C63,IF(AND(F63="NA",'Chemical Info'!D64=""),'Res-Rec Equations'!$B$22*1000*'Res-Rec Equations'!$B$25*'Chemical Info'!J64*'Res-Rec Calculations'!C63,IF(AND('Chemical Info'!F64="Yes",'Chemical Info'!D64="Yes"),'Res-Rec Equations'!$B$22*1000*(('Res-Rec Equations'!$B$26*'Chemical Info'!J64*'Res-Rec Equations'!$B$59)+('Res-Rec Equations'!$B$27*'Chemical Info'!J64*'Res-Rec Equations'!$B$60)+('Res-Rec Equations'!$B$28*'Chemical Info'!J64*'Res-Rec Equations'!$B$61))*'Res-Rec Calculations'!F63,IF(AND('Chemical Info'!F64="Yes",'Chemical Info'!D64=""),'Res-Rec Equations'!$B$22*1000*'Res-Rec Equations'!$B$25*'Chemical Info'!J64*'Res-Rec Calculations'!F63,IF('Chemical Info'!D64="Yes",'Res-Rec Equations'!$B$22*1000*(('Res-Rec Equations'!$B$26*'Chemical Info'!J64*'Res-Rec Equations'!$B$59)+('Res-Rec Equations'!$B$27*'Chemical Info'!J64*'Res-Rec Equations'!$B$60)+('Res-Rec Equations'!$B$28*'Chemical Info'!J64*'Res-Rec Equations'!$B$61))*('Res-Rec Calculations'!C63+'Res-Rec Calculations'!F63),IF('Chemical Info'!D64="",'Res-Rec Equations'!$B$22*1000*'Res-Rec Equations'!$B$25*'Chemical Info'!J64*('Res-Rec Calculations'!C63+'Res-Rec Calculations'!F63))))))))</f>
        <v>NA</v>
      </c>
      <c r="L63" s="167" t="str">
        <f>IF(AND(H63="NA",I63="NA",J63="NA"),"NA",IF(H63="NA",'Res-Rec Equations'!$B$15*'Res-Rec Equations'!$B$16/J63,IF(J63="NA",'Res-Rec Equations'!$B$15*'Res-Rec Equations'!$B$16/(H63+I63),'Res-Rec Equations'!$B$15*'Res-Rec Equations'!$B$16/(H63+I63+J63))))</f>
        <v>NA</v>
      </c>
      <c r="M63" s="167" t="str">
        <f>IF(AND(H63="NA",I63="NA",K63="NA"),"NA",IF(H63="NA",'Res-Rec Equations'!$B$15*'Res-Rec Equations'!$B$16/K63,IF(K63="NA",'Res-Rec Equations'!$B$15*'Res-Rec Equations'!$B$16/(H63+I63),'Res-Rec Equations'!$B$15*'Res-Rec Equations'!$B$16/(H63+I63+K63))))</f>
        <v>NA</v>
      </c>
      <c r="N63" s="167" t="str">
        <f t="shared" si="14"/>
        <v>NA</v>
      </c>
      <c r="O63" s="371">
        <f>IF('Chemical Info'!L64="NA","NA",IF('Chemical Info'!E64="Yes",(('Res-Rec Equations'!$B$76*'Chemical Info'!AD64*'Res-Rec Equations'!$B$78*'Res-Rec Equations'!$B$79*'Res-Rec Equations'!$B$81)/('Res-Rec Equations'!$B$84*'Res-Rec Equations'!$B$85))/'Chemical Info'!L64,(('Res-Rec Equations'!$B$76*'Chemical Info'!AD64*'Res-Rec Equations'!$B$78*'Res-Rec Equations'!$B$79*'Res-Rec Equations'!$B$80)/('Res-Rec Equations'!$B$84*'Res-Rec Equations'!$B$85))/'Chemical Info'!L64))</f>
        <v>7.0249385317878478E-3</v>
      </c>
      <c r="P63" s="166">
        <f>IF('Chemical Info'!L64="NA","NA", IF('Chemical Info'!E64="Yes",0,((('Res-Rec Equations'!$B$87*'Res-Rec Equations'!$B$88*'Res-Rec Equations'!$B$78*'Res-Rec Equations'!$B$82*'Res-Rec Equations'!$B$79*'Chemical Info'!AB64)/('Res-Rec Equations'!$B$84*'Res-Rec Equations'!$B$85))/('Chemical Info'!L64*'Chemical Info'!AF64))))</f>
        <v>0</v>
      </c>
      <c r="Q63" s="166">
        <f>IF('Chemical Info'!N64="NA","NA",IF('Res-Rec Calculations'!E63="NA",(('Res-Rec Equations'!$B$83*'Res-Rec Equations'!$B$79*'Res-Rec Calculations'!C63)/('Res-Rec Equations'!$B$85))/('Chemical Info'!N64),IF('Chemical Info'!E64="Yes",(('Res-Rec Equations'!$B$83*'Res-Rec Equations'!$B$79*'Res-Rec Calculations'!E63)/('Res-Rec Equations'!$B$85))/('Chemical Info'!N64),(('Res-Rec Equations'!$B$83*'Res-Rec Equations'!$B$79*('Res-Rec Calculations'!C63+'Res-Rec Calculations'!E63))/('Res-Rec Equations'!$B$85))/('Chemical Info'!N64))))</f>
        <v>4.538316762509223E-3</v>
      </c>
      <c r="R63" s="166">
        <f>IF('Chemical Info'!N64="NA","NA",IF('Res-Rec Calculations'!F63="NA",(('Res-Rec Equations'!$B$83*'Res-Rec Equations'!$B$79*'Res-Rec Calculations'!C63)/('Res-Rec Equations'!$B$85))/('Chemical Info'!N64),IF('Chemical Info'!E64="Yes",(('Res-Rec Equations'!$B$83*'Res-Rec Equations'!$B$79*'Res-Rec Calculations'!F63)/('Res-Rec Equations'!$B$85))/('Chemical Info'!N64),(('Res-Rec Equations'!$B$83*'Res-Rec Equations'!$B$79*('Res-Rec Calculations'!C63+'Res-Rec Calculations'!F63))/('Res-Rec Equations'!$B$85))/('Chemical Info'!N64))))</f>
        <v>1.0601782643838329E-3</v>
      </c>
      <c r="S63" s="167">
        <f>IF(AND(O63="NA",P63="NA",Q63="NA"),"NA",IF(O63="NA",'Res-Rec Equations'!$B$75/Q63,IF(Q63="NA",'Res-Rec Equations'!$B$75/(O63+P63),'Res-Rec Equations'!$B$75/(O63+P63+Q63))))</f>
        <v>17.296167464073793</v>
      </c>
      <c r="T63" s="167">
        <f>IF(AND(O63="NA",P63="NA",R63="NA"),"NA",IF(O63="NA",'Res-Rec Equations'!$B$75/R63,IF(R63="NA",'Res-Rec Equations'!$B$75/(O63+P63),'Res-Rec Equations'!$B$75/(O63+P63+R63))))</f>
        <v>24.736810245549009</v>
      </c>
      <c r="U63" s="168">
        <f t="shared" si="15"/>
        <v>24.736810245549009</v>
      </c>
      <c r="V63" s="167" t="str">
        <f>IF('Chemical Info'!P64="NA","NA",(('Res-Rec Equations'!$B$185*'Res-Rec Equations'!$B$186)/('Res-Rec Equations'!$B$187*'Res-Rec Equations'!$B$188*(1/'Chemical Info'!P64))))</f>
        <v>NA</v>
      </c>
      <c r="W63" s="379" t="str">
        <f t="shared" si="16"/>
        <v>NA</v>
      </c>
      <c r="X63" s="372">
        <f t="shared" si="17"/>
        <v>24.736810245549009</v>
      </c>
      <c r="Y63" s="62">
        <f t="shared" si="18"/>
        <v>25</v>
      </c>
      <c r="Z63" s="100" t="str">
        <f t="shared" si="19"/>
        <v>Noncancer</v>
      </c>
      <c r="AA63" s="373"/>
    </row>
    <row r="64" spans="1:27">
      <c r="A64" s="413" t="s">
        <v>371</v>
      </c>
      <c r="B64" s="566" t="s">
        <v>152</v>
      </c>
      <c r="C64" s="367">
        <f>1/(('Res-Rec Equations'!$B$152*3600)/((0.036*(1-'Res-Rec Equations'!$B$153))*('Res-Rec Equations'!$B$154/'Res-Rec Equations'!$B$155)^3*'Res-Rec Equations'!$B$156))</f>
        <v>7.3567680901159717E-10</v>
      </c>
      <c r="D64" s="368">
        <f>(('Res-Rec Equations'!$B$132^(10/3)*'Chemical Info'!$AH65*'Chemical Info'!$AN65*41+'Res-Rec Equations'!$B$135^(10/3)*'Chemical Info'!$AJ65)/'Res-Rec Equations'!$B$137^2)/('Res-Rec Equations'!$B$139*'Chemical Info'!$AL65*'Res-Rec Equations'!$B$142+'Res-Rec Equations'!$B$135+'Res-Rec Equations'!$B$132*'Chemical Info'!$AN65*41)</f>
        <v>4.1844091561776819E-3</v>
      </c>
      <c r="E64" s="368">
        <f>IF(D64=0,"NA",1/(('Res-Rec Equations'!$B$103*(3.14*'Res-Rec Calculations'!$D64*'Res-Rec Equations'!$B$105)^(1/2)*0.0001)/(2*'Res-Rec Equations'!$B$106*'Res-Rec Calculations'!$D64)))</f>
        <v>3.7970442269434022E-4</v>
      </c>
      <c r="F64" s="368">
        <f>IF(D64=0,"NA",(1/('Res-Rec Equations'!$B$117*('Res-Rec Equations'!$B$118*(31500000))/('Res-Rec Equations'!$B$119*'Res-Rec Equations'!$B$120*1000000))))</f>
        <v>6.1914410640015851E-5</v>
      </c>
      <c r="G64" s="167">
        <f>IF('Chemical Info'!E65="Yes",('Chemical Info'!AP65/'Res-Rec Equations'!$B$168)*((('Chemical Info'!AL65*'Res-Rec Equations'!$B$170)*'Res-Rec Equations'!$B$168)+'Res-Rec Equations'!$B$171+('Chemical Info'!AN65*41)*'Res-Rec Equations'!$B$173),"NA")</f>
        <v>1850.4349653333331</v>
      </c>
      <c r="H64" s="112" t="str">
        <f>IF('Chemical Info'!H65="NA","NA",IF(AND('Chemical Info'!E65="Yes",'Chemical Info'!D65="Yes"),'Chemical Info'!H65*'Chemical Info'!AD65*'Res-Rec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Info'!E65="Yes",'Chemical Info'!D65=""),'Chemical Info'!H65*'Chemical Info'!AD65*'Res-Rec Equations'!$B$20*'Res-Rec Equations'!$B$23*((('Res-Rec Equations'!$B$26*'Res-Rec Equations'!$B$29)/'Res-Rec Equations'!$B$32)+(('Res-Rec Equations'!$B$27*'Res-Rec Equations'!$B$30)/'Res-Rec Equations'!$B$33)+(('Res-Rec Equations'!$B$28*'Res-Rec Equations'!$B$31)/'Res-Rec Equations'!$B$34)),IF(AND('Chemical Info'!E65="No",'Chemical Info'!D65="Yes"),'Chemical Info'!H65*'Chemical Info'!AD65*'Res-Rec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Info'!E65="No",'Chemical Info'!D65=""),'Chemical Info'!H65*'Chemical Info'!AD65*'Res-Rec Equations'!$B$19*'Res-Rec Equations'!$B$23*((('Res-Rec Equations'!$B$26*'Res-Rec Equations'!$B$29)/'Res-Rec Equations'!$B$32)+(('Res-Rec Equations'!$B$27*'Res-Rec Equations'!$B$30)/'Res-Rec Equations'!$B$33)+(('Res-Rec Equations'!$B$28*'Res-Rec Equations'!$B$31)/'Res-Rec Equations'!$B$34)))))))</f>
        <v>NA</v>
      </c>
      <c r="I64" s="166" t="str">
        <f>IF('Chemical Info'!H65="NA","NA",IF('Chemical Info'!E65="Yes",0,IF('Chemical Info'!D65="Yes",'Chemical Info'!H65/'Chemical Info'!AF65*('Res-Rec Equations'!$B$21*'Chemical Info'!AB65*'Res-Rec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Info'!H65/'Chemical Info'!AF65*('Res-Rec Equations'!$B$21*'Chemical Info'!AB65*'Res-Rec Equations'!$B$23)*((('Res-Rec Equations'!$B$26*'Res-Rec Equations'!$B$37*'Res-Rec Equations'!$B$40)/'Res-Rec Equations'!$B$32)+(('Res-Rec Equations'!$B$27*'Res-Rec Equations'!$B$38*'Res-Rec Equations'!$B$41)/'Res-Rec Equations'!$B$33)+(('Res-Rec Equations'!$B$28*'Res-Rec Equations'!$B$39*'Res-Rec Equations'!$B$42)/'Res-Rec Equations'!$B$34)))))</f>
        <v>NA</v>
      </c>
      <c r="J64" s="369" t="str">
        <f>IF('Chemical Info'!J65="NA","NA",IF(AND(E64="NA",'Chemical Info'!D65="Yes"),'Res-Rec Equations'!$B$22*1000*(('Res-Rec Equations'!$B$26*'Chemical Info'!J65*'Res-Rec Equations'!$B$59)+('Res-Rec Equations'!$B$27*'Chemical Info'!J65*'Res-Rec Equations'!$B$60)+('Res-Rec Equations'!$B$28*'Chemical Info'!J65*'Res-Rec Equations'!$B$61))*'Res-Rec Calculations'!C64,IF(AND(E64="NA",'Chemical Info'!D65=""),'Res-Rec Equations'!$B$22*1000*'Res-Rec Equations'!$B$25*'Chemical Info'!J65*'Res-Rec Calculations'!C64,IF(AND('Chemical Info'!E65="Yes",'Chemical Info'!D65="Yes"),'Res-Rec Equations'!$B$22*1000*(('Res-Rec Equations'!$B$26*'Chemical Info'!J65*'Res-Rec Equations'!$B$59)+('Res-Rec Equations'!$B$27*'Chemical Info'!J65*'Res-Rec Equations'!$B$60)+('Res-Rec Equations'!$B$28*'Chemical Info'!J65*'Res-Rec Equations'!$B$61))*'Res-Rec Calculations'!E64,IF(AND('Chemical Info'!E65="Yes",'Chemical Info'!D65=""),'Res-Rec Equations'!$B$22*1000*'Res-Rec Equations'!$B$25*'Chemical Info'!J65*'Res-Rec Calculations'!E64,IF('Chemical Info'!D65="Yes",'Res-Rec Equations'!$B$22*1000*(('Res-Rec Equations'!$B$26*'Chemical Info'!J65*'Res-Rec Equations'!$B$59)+('Res-Rec Equations'!$B$27*'Chemical Info'!J65*'Res-Rec Equations'!$B$60)+('Res-Rec Equations'!$B$28*'Chemical Info'!J65*'Res-Rec Equations'!$B$61))*('Res-Rec Calculations'!C64+'Res-Rec Calculations'!E64),IF('Chemical Info'!D65="",'Res-Rec Equations'!$B$22*1000*'Res-Rec Equations'!$B$25*'Chemical Info'!J65*('Res-Rec Calculations'!C64+'Res-Rec Calculations'!E64))))))))</f>
        <v>NA</v>
      </c>
      <c r="K64" s="370" t="str">
        <f>IF('Chemical Info'!J65="NA","NA",IF(AND(F64="NA",'Chemical Info'!D65="Yes"),'Res-Rec Equations'!$B$22*1000*(('Res-Rec Equations'!$B$26*'Chemical Info'!J65*'Res-Rec Equations'!$B$59)+('Res-Rec Equations'!$B$27*'Chemical Info'!J65*'Res-Rec Equations'!$B$60)+('Res-Rec Equations'!$B$28*'Chemical Info'!J65*'Res-Rec Equations'!$B$61))*'Res-Rec Calculations'!C64,IF(AND(F64="NA",'Chemical Info'!D65=""),'Res-Rec Equations'!$B$22*1000*'Res-Rec Equations'!$B$25*'Chemical Info'!J65*'Res-Rec Calculations'!C64,IF(AND('Chemical Info'!F65="Yes",'Chemical Info'!D65="Yes"),'Res-Rec Equations'!$B$22*1000*(('Res-Rec Equations'!$B$26*'Chemical Info'!J65*'Res-Rec Equations'!$B$59)+('Res-Rec Equations'!$B$27*'Chemical Info'!J65*'Res-Rec Equations'!$B$60)+('Res-Rec Equations'!$B$28*'Chemical Info'!J65*'Res-Rec Equations'!$B$61))*'Res-Rec Calculations'!F64,IF(AND('Chemical Info'!F65="Yes",'Chemical Info'!D65=""),'Res-Rec Equations'!$B$22*1000*'Res-Rec Equations'!$B$25*'Chemical Info'!J65*'Res-Rec Calculations'!F64,IF('Chemical Info'!D65="Yes",'Res-Rec Equations'!$B$22*1000*(('Res-Rec Equations'!$B$26*'Chemical Info'!J65*'Res-Rec Equations'!$B$59)+('Res-Rec Equations'!$B$27*'Chemical Info'!J65*'Res-Rec Equations'!$B$60)+('Res-Rec Equations'!$B$28*'Chemical Info'!J65*'Res-Rec Equations'!$B$61))*('Res-Rec Calculations'!C64+'Res-Rec Calculations'!F64),IF('Chemical Info'!D65="",'Res-Rec Equations'!$B$22*1000*'Res-Rec Equations'!$B$25*'Chemical Info'!J65*('Res-Rec Calculations'!C64+'Res-Rec Calculations'!F64))))))))</f>
        <v>NA</v>
      </c>
      <c r="L64" s="167" t="str">
        <f>IF(AND(H64="NA",I64="NA",J64="NA"),"NA",IF(H64="NA",'Res-Rec Equations'!$B$15*'Res-Rec Equations'!$B$16/J64,IF(J64="NA",'Res-Rec Equations'!$B$15*'Res-Rec Equations'!$B$16/(H64+I64),'Res-Rec Equations'!$B$15*'Res-Rec Equations'!$B$16/(H64+I64+J64))))</f>
        <v>NA</v>
      </c>
      <c r="M64" s="167" t="str">
        <f>IF(AND(H64="NA",I64="NA",K64="NA"),"NA",IF(H64="NA",'Res-Rec Equations'!$B$15*'Res-Rec Equations'!$B$16/K64,IF(K64="NA",'Res-Rec Equations'!$B$15*'Res-Rec Equations'!$B$16/(H64+I64),'Res-Rec Equations'!$B$15*'Res-Rec Equations'!$B$16/(H64+I64+K64))))</f>
        <v>NA</v>
      </c>
      <c r="N64" s="167" t="str">
        <f t="shared" si="14"/>
        <v>NA</v>
      </c>
      <c r="O64" s="371">
        <f>IF('Chemical Info'!L65="NA","NA",IF('Chemical Info'!E65="Yes",(('Res-Rec Equations'!$B$76*'Chemical Info'!AD65*'Res-Rec Equations'!$B$78*'Res-Rec Equations'!$B$79*'Res-Rec Equations'!$B$81)/('Res-Rec Equations'!$B$84*'Res-Rec Equations'!$B$85))/'Chemical Info'!L65,(('Res-Rec Equations'!$B$76*'Chemical Info'!AD65*'Res-Rec Equations'!$B$78*'Res-Rec Equations'!$B$79*'Res-Rec Equations'!$B$80)/('Res-Rec Equations'!$B$84*'Res-Rec Equations'!$B$85))/'Chemical Info'!L65))</f>
        <v>4.5662100456621002E-3</v>
      </c>
      <c r="P64" s="166">
        <f>IF('Chemical Info'!L65="NA","NA", IF('Chemical Info'!E65="Yes",0,((('Res-Rec Equations'!$B$87*'Res-Rec Equations'!$B$88*'Res-Rec Equations'!$B$78*'Res-Rec Equations'!$B$82*'Res-Rec Equations'!$B$79*'Chemical Info'!AB65)/('Res-Rec Equations'!$B$84*'Res-Rec Equations'!$B$85))/('Chemical Info'!L65*'Chemical Info'!AF65))))</f>
        <v>0</v>
      </c>
      <c r="Q64" s="166">
        <f>IF('Chemical Info'!N65="NA","NA",IF('Res-Rec Calculations'!E64="NA",(('Res-Rec Equations'!$B$83*'Res-Rec Equations'!$B$79*'Res-Rec Calculations'!C64)/('Res-Rec Equations'!$B$85))/('Chemical Info'!N65),IF('Chemical Info'!E65="Yes",(('Res-Rec Equations'!$B$83*'Res-Rec Equations'!$B$79*'Res-Rec Calculations'!E64)/('Res-Rec Equations'!$B$85))/('Chemical Info'!N65),(('Res-Rec Equations'!$B$83*'Res-Rec Equations'!$B$79*('Res-Rec Calculations'!C64+'Res-Rec Calculations'!E64))/('Res-Rec Equations'!$B$85))/('Chemical Info'!N65))))</f>
        <v>1.3003576119669185E-2</v>
      </c>
      <c r="R64" s="166">
        <f>IF('Chemical Info'!N65="NA","NA",IF('Res-Rec Calculations'!F64="NA",(('Res-Rec Equations'!$B$83*'Res-Rec Equations'!$B$79*'Res-Rec Calculations'!C64)/('Res-Rec Equations'!$B$85))/('Chemical Info'!N65),IF('Chemical Info'!E65="Yes",(('Res-Rec Equations'!$B$83*'Res-Rec Equations'!$B$79*'Res-Rec Calculations'!F64)/('Res-Rec Equations'!$B$85))/('Chemical Info'!N65),(('Res-Rec Equations'!$B$83*'Res-Rec Equations'!$B$79*('Res-Rec Calculations'!C64+'Res-Rec Calculations'!F64))/('Res-Rec Equations'!$B$85))/('Chemical Info'!N65))))</f>
        <v>2.1203565287676658E-3</v>
      </c>
      <c r="S64" s="167">
        <f>IF(AND(O64="NA",P64="NA",Q64="NA"),"NA",IF(O64="NA",'Res-Rec Equations'!$B$75/Q64,IF(Q64="NA",'Res-Rec Equations'!$B$75/(O64+P64),'Res-Rec Equations'!$B$75/(O64+P64+Q64))))</f>
        <v>11.383177809792594</v>
      </c>
      <c r="T64" s="167">
        <f>IF(AND(O64="NA",P64="NA",R64="NA"),"NA",IF(O64="NA",'Res-Rec Equations'!$B$75/R64,IF(R64="NA",'Res-Rec Equations'!$B$75/(O64+P64),'Res-Rec Equations'!$B$75/(O64+P64+R64))))</f>
        <v>29.910716923813194</v>
      </c>
      <c r="U64" s="168">
        <f t="shared" si="15"/>
        <v>29.910716923813194</v>
      </c>
      <c r="V64" s="167" t="str">
        <f>IF('Chemical Info'!P65="NA","NA",(('Res-Rec Equations'!$B$185*'Res-Rec Equations'!$B$186)/('Res-Rec Equations'!$B$187*'Res-Rec Equations'!$B$188*(1/'Chemical Info'!P65))))</f>
        <v>NA</v>
      </c>
      <c r="W64" s="379" t="str">
        <f t="shared" si="16"/>
        <v>NA</v>
      </c>
      <c r="X64" s="372">
        <f t="shared" si="17"/>
        <v>29.910716923813194</v>
      </c>
      <c r="Y64" s="62">
        <f t="shared" si="18"/>
        <v>30</v>
      </c>
      <c r="Z64" s="100" t="str">
        <f t="shared" si="19"/>
        <v>Noncancer</v>
      </c>
      <c r="AA64" s="373"/>
    </row>
    <row r="65" spans="1:27">
      <c r="A65" s="373" t="s">
        <v>372</v>
      </c>
      <c r="B65" s="566" t="s">
        <v>153</v>
      </c>
      <c r="C65" s="367">
        <f>1/(('Res-Rec Equations'!$B$152*3600)/((0.036*(1-'Res-Rec Equations'!$B$153))*('Res-Rec Equations'!$B$154/'Res-Rec Equations'!$B$155)^3*'Res-Rec Equations'!$B$156))</f>
        <v>7.3567680901159717E-10</v>
      </c>
      <c r="D65" s="368">
        <f>(('Res-Rec Equations'!$B$132^(10/3)*'Chemical Info'!$AH66*'Chemical Info'!$AN66*41+'Res-Rec Equations'!$B$135^(10/3)*'Chemical Info'!$AJ66)/'Res-Rec Equations'!$B$137^2)/('Res-Rec Equations'!$B$139*'Chemical Info'!$AL66*'Res-Rec Equations'!$B$142+'Res-Rec Equations'!$B$135+'Res-Rec Equations'!$B$132*'Chemical Info'!$AN66*41)</f>
        <v>2.026128915978215E-3</v>
      </c>
      <c r="E65" s="368">
        <f>IF(D65=0,"NA",1/(('Res-Rec Equations'!$B$103*(3.14*'Res-Rec Calculations'!$D65*'Res-Rec Equations'!$B$105)^(1/2)*0.0001)/(2*'Res-Rec Equations'!$B$106*'Res-Rec Calculations'!$D65)))</f>
        <v>2.6421782985188612E-4</v>
      </c>
      <c r="F65" s="368">
        <f>IF(D65=0,"NA",(1/('Res-Rec Equations'!$B$117*('Res-Rec Equations'!$B$118*(31500000))/('Res-Rec Equations'!$B$119*'Res-Rec Equations'!$B$120*1000000))))</f>
        <v>6.1914410640015851E-5</v>
      </c>
      <c r="G65" s="167">
        <f>IF('Chemical Info'!E66="Yes",('Chemical Info'!AP66/'Res-Rec Equations'!$B$168)*((('Chemical Info'!AL66*'Res-Rec Equations'!$B$170)*'Res-Rec Equations'!$B$168)+'Res-Rec Equations'!$B$171+('Chemical Info'!AN66*41)*'Res-Rec Equations'!$B$173),"NA")</f>
        <v>1290.8896000000002</v>
      </c>
      <c r="H65" s="112" t="str">
        <f>IF('Chemical Info'!H66="NA","NA",IF(AND('Chemical Info'!E66="Yes",'Chemical Info'!D66="Yes"),'Chemical Info'!H66*'Chemical Info'!AD66*'Res-Rec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Info'!E66="Yes",'Chemical Info'!D66=""),'Chemical Info'!H66*'Chemical Info'!AD66*'Res-Rec Equations'!$B$20*'Res-Rec Equations'!$B$23*((('Res-Rec Equations'!$B$26*'Res-Rec Equations'!$B$29)/'Res-Rec Equations'!$B$32)+(('Res-Rec Equations'!$B$27*'Res-Rec Equations'!$B$30)/'Res-Rec Equations'!$B$33)+(('Res-Rec Equations'!$B$28*'Res-Rec Equations'!$B$31)/'Res-Rec Equations'!$B$34)),IF(AND('Chemical Info'!E66="No",'Chemical Info'!D66="Yes"),'Chemical Info'!H66*'Chemical Info'!AD66*'Res-Rec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Info'!E66="No",'Chemical Info'!D66=""),'Chemical Info'!H66*'Chemical Info'!AD66*'Res-Rec Equations'!$B$19*'Res-Rec Equations'!$B$23*((('Res-Rec Equations'!$B$26*'Res-Rec Equations'!$B$29)/'Res-Rec Equations'!$B$32)+(('Res-Rec Equations'!$B$27*'Res-Rec Equations'!$B$30)/'Res-Rec Equations'!$B$33)+(('Res-Rec Equations'!$B$28*'Res-Rec Equations'!$B$31)/'Res-Rec Equations'!$B$34)))))))</f>
        <v>NA</v>
      </c>
      <c r="I65" s="166" t="str">
        <f>IF('Chemical Info'!H66="NA","NA",IF('Chemical Info'!E66="Yes",0,IF('Chemical Info'!D66="Yes",'Chemical Info'!H66/'Chemical Info'!AF66*('Res-Rec Equations'!$B$21*'Chemical Info'!AB66*'Res-Rec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Info'!H66/'Chemical Info'!AF66*('Res-Rec Equations'!$B$21*'Chemical Info'!AB66*'Res-Rec Equations'!$B$23)*((('Res-Rec Equations'!$B$26*'Res-Rec Equations'!$B$37*'Res-Rec Equations'!$B$40)/'Res-Rec Equations'!$B$32)+(('Res-Rec Equations'!$B$27*'Res-Rec Equations'!$B$38*'Res-Rec Equations'!$B$41)/'Res-Rec Equations'!$B$33)+(('Res-Rec Equations'!$B$28*'Res-Rec Equations'!$B$39*'Res-Rec Equations'!$B$42)/'Res-Rec Equations'!$B$34)))))</f>
        <v>NA</v>
      </c>
      <c r="J65" s="369" t="str">
        <f>IF('Chemical Info'!J66="NA","NA",IF(AND(E65="NA",'Chemical Info'!D66="Yes"),'Res-Rec Equations'!$B$22*1000*(('Res-Rec Equations'!$B$26*'Chemical Info'!J66*'Res-Rec Equations'!$B$59)+('Res-Rec Equations'!$B$27*'Chemical Info'!J66*'Res-Rec Equations'!$B$60)+('Res-Rec Equations'!$B$28*'Chemical Info'!J66*'Res-Rec Equations'!$B$61))*'Res-Rec Calculations'!C65,IF(AND(E65="NA",'Chemical Info'!D66=""),'Res-Rec Equations'!$B$22*1000*'Res-Rec Equations'!$B$25*'Chemical Info'!J66*'Res-Rec Calculations'!C65,IF(AND('Chemical Info'!E66="Yes",'Chemical Info'!D66="Yes"),'Res-Rec Equations'!$B$22*1000*(('Res-Rec Equations'!$B$26*'Chemical Info'!J66*'Res-Rec Equations'!$B$59)+('Res-Rec Equations'!$B$27*'Chemical Info'!J66*'Res-Rec Equations'!$B$60)+('Res-Rec Equations'!$B$28*'Chemical Info'!J66*'Res-Rec Equations'!$B$61))*'Res-Rec Calculations'!E65,IF(AND('Chemical Info'!E66="Yes",'Chemical Info'!D66=""),'Res-Rec Equations'!$B$22*1000*'Res-Rec Equations'!$B$25*'Chemical Info'!J66*'Res-Rec Calculations'!E65,IF('Chemical Info'!D66="Yes",'Res-Rec Equations'!$B$22*1000*(('Res-Rec Equations'!$B$26*'Chemical Info'!J66*'Res-Rec Equations'!$B$59)+('Res-Rec Equations'!$B$27*'Chemical Info'!J66*'Res-Rec Equations'!$B$60)+('Res-Rec Equations'!$B$28*'Chemical Info'!J66*'Res-Rec Equations'!$B$61))*('Res-Rec Calculations'!C65+'Res-Rec Calculations'!E65),IF('Chemical Info'!D66="",'Res-Rec Equations'!$B$22*1000*'Res-Rec Equations'!$B$25*'Chemical Info'!J66*('Res-Rec Calculations'!C65+'Res-Rec Calculations'!E65))))))))</f>
        <v>NA</v>
      </c>
      <c r="K65" s="370" t="str">
        <f>IF('Chemical Info'!J66="NA","NA",IF(AND(F65="NA",'Chemical Info'!D66="Yes"),'Res-Rec Equations'!$B$22*1000*(('Res-Rec Equations'!$B$26*'Chemical Info'!J66*'Res-Rec Equations'!$B$59)+('Res-Rec Equations'!$B$27*'Chemical Info'!J66*'Res-Rec Equations'!$B$60)+('Res-Rec Equations'!$B$28*'Chemical Info'!J66*'Res-Rec Equations'!$B$61))*'Res-Rec Calculations'!C65,IF(AND(F65="NA",'Chemical Info'!D66=""),'Res-Rec Equations'!$B$22*1000*'Res-Rec Equations'!$B$25*'Chemical Info'!J66*'Res-Rec Calculations'!C65,IF(AND('Chemical Info'!F66="Yes",'Chemical Info'!D66="Yes"),'Res-Rec Equations'!$B$22*1000*(('Res-Rec Equations'!$B$26*'Chemical Info'!J66*'Res-Rec Equations'!$B$59)+('Res-Rec Equations'!$B$27*'Chemical Info'!J66*'Res-Rec Equations'!$B$60)+('Res-Rec Equations'!$B$28*'Chemical Info'!J66*'Res-Rec Equations'!$B$61))*'Res-Rec Calculations'!F65,IF(AND('Chemical Info'!F66="Yes",'Chemical Info'!D66=""),'Res-Rec Equations'!$B$22*1000*'Res-Rec Equations'!$B$25*'Chemical Info'!J66*'Res-Rec Calculations'!F65,IF('Chemical Info'!D66="Yes",'Res-Rec Equations'!$B$22*1000*(('Res-Rec Equations'!$B$26*'Chemical Info'!J66*'Res-Rec Equations'!$B$59)+('Res-Rec Equations'!$B$27*'Chemical Info'!J66*'Res-Rec Equations'!$B$60)+('Res-Rec Equations'!$B$28*'Chemical Info'!J66*'Res-Rec Equations'!$B$61))*('Res-Rec Calculations'!C65+'Res-Rec Calculations'!F65),IF('Chemical Info'!D66="",'Res-Rec Equations'!$B$22*1000*'Res-Rec Equations'!$B$25*'Chemical Info'!J66*('Res-Rec Calculations'!C65+'Res-Rec Calculations'!F65))))))))</f>
        <v>NA</v>
      </c>
      <c r="L65" s="167" t="str">
        <f>IF(AND(H65="NA",I65="NA",J65="NA"),"NA",IF(H65="NA",'Res-Rec Equations'!$B$15*'Res-Rec Equations'!$B$16/J65,IF(J65="NA",'Res-Rec Equations'!$B$15*'Res-Rec Equations'!$B$16/(H65+I65),'Res-Rec Equations'!$B$15*'Res-Rec Equations'!$B$16/(H65+I65+J65))))</f>
        <v>NA</v>
      </c>
      <c r="M65" s="167" t="str">
        <f>IF(AND(H65="NA",I65="NA",K65="NA"),"NA",IF(H65="NA",'Res-Rec Equations'!$B$15*'Res-Rec Equations'!$B$16/K65,IF(K65="NA",'Res-Rec Equations'!$B$15*'Res-Rec Equations'!$B$16/(H65+I65),'Res-Rec Equations'!$B$15*'Res-Rec Equations'!$B$16/(H65+I65+K65))))</f>
        <v>NA</v>
      </c>
      <c r="N65" s="167" t="str">
        <f t="shared" si="14"/>
        <v>NA</v>
      </c>
      <c r="O65" s="371">
        <f>IF('Chemical Info'!L66="NA","NA",IF('Chemical Info'!E66="Yes",(('Res-Rec Equations'!$B$76*'Chemical Info'!AD66*'Res-Rec Equations'!$B$78*'Res-Rec Equations'!$B$79*'Res-Rec Equations'!$B$81)/('Res-Rec Equations'!$B$84*'Res-Rec Equations'!$B$85))/'Chemical Info'!L66,(('Res-Rec Equations'!$B$76*'Chemical Info'!AD66*'Res-Rec Equations'!$B$78*'Res-Rec Equations'!$B$79*'Res-Rec Equations'!$B$80)/('Res-Rec Equations'!$B$84*'Res-Rec Equations'!$B$85))/'Chemical Info'!L66))</f>
        <v>1.0147133434804669E-3</v>
      </c>
      <c r="P65" s="166">
        <f>IF('Chemical Info'!L66="NA","NA", IF('Chemical Info'!E66="Yes",0,((('Res-Rec Equations'!$B$87*'Res-Rec Equations'!$B$88*'Res-Rec Equations'!$B$78*'Res-Rec Equations'!$B$82*'Res-Rec Equations'!$B$79*'Chemical Info'!AB66)/('Res-Rec Equations'!$B$84*'Res-Rec Equations'!$B$85))/('Chemical Info'!L66*'Chemical Info'!AF66))))</f>
        <v>0</v>
      </c>
      <c r="Q65" s="166" t="str">
        <f>IF('Chemical Info'!N66="NA","NA",IF('Res-Rec Calculations'!E65="NA",(('Res-Rec Equations'!$B$83*'Res-Rec Equations'!$B$79*'Res-Rec Calculations'!C65)/('Res-Rec Equations'!$B$85))/('Chemical Info'!N66),IF('Chemical Info'!E66="Yes",(('Res-Rec Equations'!$B$83*'Res-Rec Equations'!$B$79*'Res-Rec Calculations'!E65)/('Res-Rec Equations'!$B$85))/('Chemical Info'!N66),(('Res-Rec Equations'!$B$83*'Res-Rec Equations'!$B$79*('Res-Rec Calculations'!C65+'Res-Rec Calculations'!E65))/('Res-Rec Equations'!$B$85))/('Chemical Info'!N66))))</f>
        <v>NA</v>
      </c>
      <c r="R65" s="166" t="str">
        <f>IF('Chemical Info'!N66="NA","NA",IF('Res-Rec Calculations'!F65="NA",(('Res-Rec Equations'!$B$83*'Res-Rec Equations'!$B$79*'Res-Rec Calculations'!C65)/('Res-Rec Equations'!$B$85))/('Chemical Info'!N66),IF('Chemical Info'!E66="Yes",(('Res-Rec Equations'!$B$83*'Res-Rec Equations'!$B$79*'Res-Rec Calculations'!F65)/('Res-Rec Equations'!$B$85))/('Chemical Info'!N66),(('Res-Rec Equations'!$B$83*'Res-Rec Equations'!$B$79*('Res-Rec Calculations'!C65+'Res-Rec Calculations'!F65))/('Res-Rec Equations'!$B$85))/('Chemical Info'!N66))))</f>
        <v>NA</v>
      </c>
      <c r="S65" s="167">
        <f>IF(AND(O65="NA",P65="NA",Q65="NA"),"NA",IF(O65="NA",'Res-Rec Equations'!$B$75/Q65,IF(Q65="NA",'Res-Rec Equations'!$B$75/(O65+P65),'Res-Rec Equations'!$B$75/(O65+P65+Q65))))</f>
        <v>197.09999999999997</v>
      </c>
      <c r="T65" s="167">
        <f>IF(AND(O65="NA",P65="NA",R65="NA"),"NA",IF(O65="NA",'Res-Rec Equations'!$B$75/R65,IF(R65="NA",'Res-Rec Equations'!$B$75/(O65+P65),'Res-Rec Equations'!$B$75/(O65+P65+R65))))</f>
        <v>197.09999999999997</v>
      </c>
      <c r="U65" s="168">
        <f t="shared" si="15"/>
        <v>197.09999999999997</v>
      </c>
      <c r="V65" s="167" t="str">
        <f>IF('Chemical Info'!P66="NA","NA",(('Res-Rec Equations'!$B$185*'Res-Rec Equations'!$B$186)/('Res-Rec Equations'!$B$187*'Res-Rec Equations'!$B$188*(1/'Chemical Info'!P66))))</f>
        <v>NA</v>
      </c>
      <c r="W65" s="379" t="str">
        <f t="shared" si="16"/>
        <v>NA</v>
      </c>
      <c r="X65" s="372">
        <f t="shared" si="17"/>
        <v>197.09999999999997</v>
      </c>
      <c r="Y65" s="62">
        <f t="shared" si="18"/>
        <v>200</v>
      </c>
      <c r="Z65" s="100" t="str">
        <f t="shared" si="19"/>
        <v>Noncancer</v>
      </c>
      <c r="AA65" s="373"/>
    </row>
    <row r="66" spans="1:27">
      <c r="A66" s="413" t="s">
        <v>324</v>
      </c>
      <c r="B66" s="566" t="s">
        <v>27</v>
      </c>
      <c r="C66" s="367">
        <f>1/(('Res-Rec Equations'!$B$152*3600)/((0.036*(1-'Res-Rec Equations'!$B$153))*('Res-Rec Equations'!$B$154/'Res-Rec Equations'!$B$155)^3*'Res-Rec Equations'!$B$156))</f>
        <v>7.3567680901159717E-10</v>
      </c>
      <c r="D66" s="368">
        <f>(('Res-Rec Equations'!$B$132^(10/3)*'Chemical Info'!$AH67*'Chemical Info'!$AN67*41+'Res-Rec Equations'!$B$135^(10/3)*'Chemical Info'!$AJ67)/'Res-Rec Equations'!$B$137^2)/('Res-Rec Equations'!$B$139*'Chemical Info'!$AL67*'Res-Rec Equations'!$B$142+'Res-Rec Equations'!$B$135+'Res-Rec Equations'!$B$132*'Chemical Info'!$AN67*41)</f>
        <v>2.6526472769937567E-3</v>
      </c>
      <c r="E66" s="368">
        <f>IF(D66=0,"NA",1/(('Res-Rec Equations'!$B$103*(3.14*'Res-Rec Calculations'!$D66*'Res-Rec Equations'!$B$105)^(1/2)*0.0001)/(2*'Res-Rec Equations'!$B$106*'Res-Rec Calculations'!$D66)))</f>
        <v>3.0232101475997415E-4</v>
      </c>
      <c r="F66" s="368">
        <f>IF(D66=0,"NA",(1/('Res-Rec Equations'!$B$117*('Res-Rec Equations'!$B$118*(31500000))/('Res-Rec Equations'!$B$119*'Res-Rec Equations'!$B$120*1000000))))</f>
        <v>6.1914410640015851E-5</v>
      </c>
      <c r="G66" s="167">
        <f>IF('Chemical Info'!E67="Yes",('Chemical Info'!AP67/'Res-Rec Equations'!$B$168)*((('Chemical Info'!AL67*'Res-Rec Equations'!$B$170)*'Res-Rec Equations'!$B$168)+'Res-Rec Equations'!$B$171+('Chemical Info'!AN67*41)*'Res-Rec Equations'!$B$173),"NA")</f>
        <v>3318.2933333333331</v>
      </c>
      <c r="H66" s="112">
        <f>IF('Chemical Info'!H67="NA","NA",IF(AND('Chemical Info'!E67="Yes",'Chemical Info'!D67="Yes"),'Chemical Info'!H67*'Chemical Info'!AD67*'Res-Rec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Info'!E67="Yes",'Chemical Info'!D67=""),'Chemical Info'!H67*'Chemical Info'!AD67*'Res-Rec Equations'!$B$20*'Res-Rec Equations'!$B$23*((('Res-Rec Equations'!$B$26*'Res-Rec Equations'!$B$29)/'Res-Rec Equations'!$B$32)+(('Res-Rec Equations'!$B$27*'Res-Rec Equations'!$B$30)/'Res-Rec Equations'!$B$33)+(('Res-Rec Equations'!$B$28*'Res-Rec Equations'!$B$31)/'Res-Rec Equations'!$B$34)),IF(AND('Chemical Info'!E67="No",'Chemical Info'!D67="Yes"),'Chemical Info'!H67*'Chemical Info'!AD67*'Res-Rec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Info'!E67="No",'Chemical Info'!D67=""),'Chemical Info'!H67*'Chemical Info'!AD67*'Res-Rec Equations'!$B$19*'Res-Rec Equations'!$B$23*((('Res-Rec Equations'!$B$26*'Res-Rec Equations'!$B$29)/'Res-Rec Equations'!$B$32)+(('Res-Rec Equations'!$B$27*'Res-Rec Equations'!$B$30)/'Res-Rec Equations'!$B$33)+(('Res-Rec Equations'!$B$28*'Res-Rec Equations'!$B$31)/'Res-Rec Equations'!$B$34)))))))</f>
        <v>3.2009246088193457E-4</v>
      </c>
      <c r="I66" s="166">
        <f>IF('Chemical Info'!H67="NA","NA",IF('Chemical Info'!E67="Yes",0,IF('Chemical Info'!D67="Yes",'Chemical Info'!H67/'Chemical Info'!AF67*('Res-Rec Equations'!$B$21*'Chemical Info'!AB67*'Res-Rec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Info'!H67/'Chemical Info'!AF67*('Res-Rec Equations'!$B$21*'Chemical Info'!AB67*'Res-Rec Equations'!$B$23)*((('Res-Rec Equations'!$B$26*'Res-Rec Equations'!$B$37*'Res-Rec Equations'!$B$40)/'Res-Rec Equations'!$B$32)+(('Res-Rec Equations'!$B$27*'Res-Rec Equations'!$B$38*'Res-Rec Equations'!$B$41)/'Res-Rec Equations'!$B$33)+(('Res-Rec Equations'!$B$28*'Res-Rec Equations'!$B$39*'Res-Rec Equations'!$B$42)/'Res-Rec Equations'!$B$34)))))</f>
        <v>0</v>
      </c>
      <c r="J66" s="369">
        <f>IF('Chemical Info'!J67="NA","NA",IF(AND(E66="NA",'Chemical Info'!D67="Yes"),'Res-Rec Equations'!$B$22*1000*(('Res-Rec Equations'!$B$26*'Chemical Info'!J67*'Res-Rec Equations'!$B$59)+('Res-Rec Equations'!$B$27*'Chemical Info'!J67*'Res-Rec Equations'!$B$60)+('Res-Rec Equations'!$B$28*'Chemical Info'!J67*'Res-Rec Equations'!$B$61))*'Res-Rec Calculations'!C66,IF(AND(E66="NA",'Chemical Info'!D67=""),'Res-Rec Equations'!$B$22*1000*'Res-Rec Equations'!$B$25*'Chemical Info'!J67*'Res-Rec Calculations'!C66,IF(AND('Chemical Info'!E67="Yes",'Chemical Info'!D67="Yes"),'Res-Rec Equations'!$B$22*1000*(('Res-Rec Equations'!$B$26*'Chemical Info'!J67*'Res-Rec Equations'!$B$59)+('Res-Rec Equations'!$B$27*'Chemical Info'!J67*'Res-Rec Equations'!$B$60)+('Res-Rec Equations'!$B$28*'Chemical Info'!J67*'Res-Rec Equations'!$B$61))*'Res-Rec Calculations'!E66,IF(AND('Chemical Info'!E67="Yes",'Chemical Info'!D67=""),'Res-Rec Equations'!$B$22*1000*'Res-Rec Equations'!$B$25*'Chemical Info'!J67*'Res-Rec Calculations'!E66,IF('Chemical Info'!D67="Yes",'Res-Rec Equations'!$B$22*1000*(('Res-Rec Equations'!$B$26*'Chemical Info'!J67*'Res-Rec Equations'!$B$59)+('Res-Rec Equations'!$B$27*'Chemical Info'!J67*'Res-Rec Equations'!$B$60)+('Res-Rec Equations'!$B$28*'Chemical Info'!J67*'Res-Rec Equations'!$B$61))*('Res-Rec Calculations'!C66+'Res-Rec Calculations'!E66),IF('Chemical Info'!D67="",'Res-Rec Equations'!$B$22*1000*'Res-Rec Equations'!$B$25*'Chemical Info'!J67*('Res-Rec Calculations'!C66+'Res-Rec Calculations'!E66))))))))</f>
        <v>5.4417782656795348E-5</v>
      </c>
      <c r="K66" s="370">
        <f>IF('Chemical Info'!J67="NA","NA",IF(AND(F66="NA",'Chemical Info'!D67="Yes"),'Res-Rec Equations'!$B$22*1000*(('Res-Rec Equations'!$B$26*'Chemical Info'!J67*'Res-Rec Equations'!$B$59)+('Res-Rec Equations'!$B$27*'Chemical Info'!J67*'Res-Rec Equations'!$B$60)+('Res-Rec Equations'!$B$28*'Chemical Info'!J67*'Res-Rec Equations'!$B$61))*'Res-Rec Calculations'!C66,IF(AND(F66="NA",'Chemical Info'!D67=""),'Res-Rec Equations'!$B$22*1000*'Res-Rec Equations'!$B$25*'Chemical Info'!J67*'Res-Rec Calculations'!C66,IF(AND('Chemical Info'!F67="Yes",'Chemical Info'!D67="Yes"),'Res-Rec Equations'!$B$22*1000*(('Res-Rec Equations'!$B$26*'Chemical Info'!J67*'Res-Rec Equations'!$B$59)+('Res-Rec Equations'!$B$27*'Chemical Info'!J67*'Res-Rec Equations'!$B$60)+('Res-Rec Equations'!$B$28*'Chemical Info'!J67*'Res-Rec Equations'!$B$61))*'Res-Rec Calculations'!F66,IF(AND('Chemical Info'!F67="Yes",'Chemical Info'!D67=""),'Res-Rec Equations'!$B$22*1000*'Res-Rec Equations'!$B$25*'Chemical Info'!J67*'Res-Rec Calculations'!F66,IF('Chemical Info'!D67="Yes",'Res-Rec Equations'!$B$22*1000*(('Res-Rec Equations'!$B$26*'Chemical Info'!J67*'Res-Rec Equations'!$B$59)+('Res-Rec Equations'!$B$27*'Chemical Info'!J67*'Res-Rec Equations'!$B$60)+('Res-Rec Equations'!$B$28*'Chemical Info'!J67*'Res-Rec Equations'!$B$61))*('Res-Rec Calculations'!C66+'Res-Rec Calculations'!F66),IF('Chemical Info'!D67="",'Res-Rec Equations'!$B$22*1000*'Res-Rec Equations'!$B$25*'Chemical Info'!J67*('Res-Rec Calculations'!C66+'Res-Rec Calculations'!F66))))))))</f>
        <v>1.1144726337028475E-5</v>
      </c>
      <c r="L66" s="167">
        <f>IF(AND(H66="NA",I66="NA",J66="NA"),"NA",IF(H66="NA",'Res-Rec Equations'!$B$15*'Res-Rec Equations'!$B$16/J66,IF(J66="NA",'Res-Rec Equations'!$B$15*'Res-Rec Equations'!$B$16/(H66+I66),'Res-Rec Equations'!$B$15*'Res-Rec Equations'!$B$16/(H66+I66+J66))))</f>
        <v>682.22433006315759</v>
      </c>
      <c r="M66" s="167">
        <f>IF(AND(H66="NA",I66="NA",K66="NA"),"NA",IF(H66="NA",'Res-Rec Equations'!$B$15*'Res-Rec Equations'!$B$16/K66,IF(K66="NA",'Res-Rec Equations'!$B$15*'Res-Rec Equations'!$B$16/(H66+I66),'Res-Rec Equations'!$B$15*'Res-Rec Equations'!$B$16/(H66+I66+K66))))</f>
        <v>771.35059063009953</v>
      </c>
      <c r="N66" s="167">
        <f t="shared" si="14"/>
        <v>771.35059063009953</v>
      </c>
      <c r="O66" s="371">
        <f>IF('Chemical Info'!L67="NA","NA",IF('Chemical Info'!E67="Yes",(('Res-Rec Equations'!$B$76*'Chemical Info'!AD67*'Res-Rec Equations'!$B$78*'Res-Rec Equations'!$B$79*'Res-Rec Equations'!$B$81)/('Res-Rec Equations'!$B$84*'Res-Rec Equations'!$B$85))/'Chemical Info'!L67,(('Res-Rec Equations'!$B$76*'Chemical Info'!AD67*'Res-Rec Equations'!$B$78*'Res-Rec Equations'!$B$79*'Res-Rec Equations'!$B$80)/('Res-Rec Equations'!$B$84*'Res-Rec Equations'!$B$85))/'Chemical Info'!L67))</f>
        <v>1.5220700152207001E-3</v>
      </c>
      <c r="P66" s="166">
        <f>IF('Chemical Info'!L67="NA","NA", IF('Chemical Info'!E67="Yes",0,((('Res-Rec Equations'!$B$87*'Res-Rec Equations'!$B$88*'Res-Rec Equations'!$B$78*'Res-Rec Equations'!$B$82*'Res-Rec Equations'!$B$79*'Chemical Info'!AB67)/('Res-Rec Equations'!$B$84*'Res-Rec Equations'!$B$85))/('Chemical Info'!L67*'Chemical Info'!AF67))))</f>
        <v>0</v>
      </c>
      <c r="Q66" s="166">
        <f>IF('Chemical Info'!N67="NA","NA",IF('Res-Rec Calculations'!E66="NA",(('Res-Rec Equations'!$B$83*'Res-Rec Equations'!$B$79*'Res-Rec Calculations'!C66)/('Res-Rec Equations'!$B$85))/('Chemical Info'!N67),IF('Chemical Info'!E67="Yes",(('Res-Rec Equations'!$B$83*'Res-Rec Equations'!$B$79*'Res-Rec Calculations'!E66)/('Res-Rec Equations'!$B$85))/('Chemical Info'!N67),(('Res-Rec Equations'!$B$83*'Res-Rec Equations'!$B$79*('Res-Rec Calculations'!C66+'Res-Rec Calculations'!E66))/('Res-Rec Equations'!$B$85))/('Chemical Info'!N67))))</f>
        <v>3.4511531365293853E-4</v>
      </c>
      <c r="R66" s="166">
        <f>IF('Chemical Info'!N67="NA","NA",IF('Res-Rec Calculations'!F66="NA",(('Res-Rec Equations'!$B$83*'Res-Rec Equations'!$B$79*'Res-Rec Calculations'!C66)/('Res-Rec Equations'!$B$85))/('Chemical Info'!N67),IF('Chemical Info'!E67="Yes",(('Res-Rec Equations'!$B$83*'Res-Rec Equations'!$B$79*'Res-Rec Calculations'!F66)/('Res-Rec Equations'!$B$85))/('Chemical Info'!N67),(('Res-Rec Equations'!$B$83*'Res-Rec Equations'!$B$79*('Res-Rec Calculations'!C66+'Res-Rec Calculations'!F66))/('Res-Rec Equations'!$B$85))/('Chemical Info'!N67))))</f>
        <v>7.0678550958922206E-5</v>
      </c>
      <c r="S66" s="167">
        <f>IF(AND(O66="NA",P66="NA",Q66="NA"),"NA",IF(O66="NA",'Res-Rec Equations'!$B$75/Q66,IF(Q66="NA",'Res-Rec Equations'!$B$75/(O66+P66),'Res-Rec Equations'!$B$75/(O66+P66+Q66))))</f>
        <v>107.11309526015185</v>
      </c>
      <c r="T66" s="167">
        <f>IF(AND(O66="NA",P66="NA",R66="NA"),"NA",IF(O66="NA",'Res-Rec Equations'!$B$75/R66,IF(R66="NA",'Res-Rec Equations'!$B$75/(O66+P66),'Res-Rec Equations'!$B$75/(O66+P66+R66))))</f>
        <v>125.5690975002548</v>
      </c>
      <c r="U66" s="168">
        <f t="shared" si="15"/>
        <v>125.5690975002548</v>
      </c>
      <c r="V66" s="167" t="str">
        <f>IF('Chemical Info'!P67="NA","NA",(('Res-Rec Equations'!$B$185*'Res-Rec Equations'!$B$186)/('Res-Rec Equations'!$B$187*'Res-Rec Equations'!$B$188*(1/'Chemical Info'!P67))))</f>
        <v>NA</v>
      </c>
      <c r="W66" s="379" t="str">
        <f t="shared" si="16"/>
        <v>NA</v>
      </c>
      <c r="X66" s="372">
        <f t="shared" si="17"/>
        <v>125.5690975002548</v>
      </c>
      <c r="Y66" s="62">
        <f t="shared" si="18"/>
        <v>130</v>
      </c>
      <c r="Z66" s="100" t="str">
        <f t="shared" si="19"/>
        <v>Noncancer</v>
      </c>
      <c r="AA66" s="373"/>
    </row>
    <row r="67" spans="1:27">
      <c r="A67" s="373" t="s">
        <v>373</v>
      </c>
      <c r="B67" s="566" t="s">
        <v>123</v>
      </c>
      <c r="C67" s="367">
        <f>1/(('Res-Rec Equations'!$B$152*3600)/((0.036*(1-'Res-Rec Equations'!$B$153))*('Res-Rec Equations'!$B$154/'Res-Rec Equations'!$B$155)^3*'Res-Rec Equations'!$B$156))</f>
        <v>7.3567680901159717E-10</v>
      </c>
      <c r="D67" s="368">
        <f>(('Res-Rec Equations'!$B$132^(10/3)*'Chemical Info'!$AH68*'Chemical Info'!$AN68*41+'Res-Rec Equations'!$B$135^(10/3)*'Chemical Info'!$AJ68)/'Res-Rec Equations'!$B$137^2)/('Res-Rec Equations'!$B$139*'Chemical Info'!$AL68*'Res-Rec Equations'!$B$142+'Res-Rec Equations'!$B$135+'Res-Rec Equations'!$B$132*'Chemical Info'!$AN68*41)</f>
        <v>8.8755181158528919E-4</v>
      </c>
      <c r="E67" s="368">
        <f>IF(D67=0,"NA",1/(('Res-Rec Equations'!$B$103*(3.14*'Res-Rec Calculations'!$D67*'Res-Rec Equations'!$B$105)^(1/2)*0.0001)/(2*'Res-Rec Equations'!$B$106*'Res-Rec Calculations'!$D67)))</f>
        <v>1.7487407940430084E-4</v>
      </c>
      <c r="F67" s="368">
        <f>IF(D67=0,"NA",(1/('Res-Rec Equations'!$B$117*('Res-Rec Equations'!$B$118*(31500000))/('Res-Rec Equations'!$B$119*'Res-Rec Equations'!$B$120*1000000))))</f>
        <v>6.1914410640015851E-5</v>
      </c>
      <c r="G67" s="167">
        <f>IF('Chemical Info'!E68="Yes",('Chemical Info'!AP68/'Res-Rec Equations'!$B$168)*((('Chemical Info'!AL68*'Res-Rec Equations'!$B$170)*'Res-Rec Equations'!$B$168)+'Res-Rec Equations'!$B$171+('Chemical Info'!AN68*41)*'Res-Rec Equations'!$B$173),"NA")</f>
        <v>1360.1907200000001</v>
      </c>
      <c r="H67" s="112">
        <f>IF('Chemical Info'!H68="NA","NA",IF(AND('Chemical Info'!E68="Yes",'Chemical Info'!D68="Yes"),'Chemical Info'!H68*'Chemical Info'!AD68*'Res-Rec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Info'!E68="Yes",'Chemical Info'!D68=""),'Chemical Info'!H68*'Chemical Info'!AD68*'Res-Rec Equations'!$B$20*'Res-Rec Equations'!$B$23*((('Res-Rec Equations'!$B$26*'Res-Rec Equations'!$B$29)/'Res-Rec Equations'!$B$32)+(('Res-Rec Equations'!$B$27*'Res-Rec Equations'!$B$30)/'Res-Rec Equations'!$B$33)+(('Res-Rec Equations'!$B$28*'Res-Rec Equations'!$B$31)/'Res-Rec Equations'!$B$34)),IF(AND('Chemical Info'!E68="No",'Chemical Info'!D68="Yes"),'Chemical Info'!H68*'Chemical Info'!AD68*'Res-Rec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Info'!E68="No",'Chemical Info'!D68=""),'Chemical Info'!H68*'Chemical Info'!AD68*'Res-Rec Equations'!$B$19*'Res-Rec Equations'!$B$23*((('Res-Rec Equations'!$B$26*'Res-Rec Equations'!$B$29)/'Res-Rec Equations'!$B$32)+(('Res-Rec Equations'!$B$27*'Res-Rec Equations'!$B$30)/'Res-Rec Equations'!$B$33)+(('Res-Rec Equations'!$B$28*'Res-Rec Equations'!$B$31)/'Res-Rec Equations'!$B$34)))))))</f>
        <v>5.9217105263157897E-3</v>
      </c>
      <c r="I67" s="166">
        <f>IF('Chemical Info'!H68="NA","NA",IF('Chemical Info'!E68="Yes",0,IF('Chemical Info'!D68="Yes",'Chemical Info'!H68/'Chemical Info'!AF68*('Res-Rec Equations'!$B$21*'Chemical Info'!AB68*'Res-Rec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Info'!H68/'Chemical Info'!AF68*('Res-Rec Equations'!$B$21*'Chemical Info'!AB68*'Res-Rec Equations'!$B$23)*((('Res-Rec Equations'!$B$26*'Res-Rec Equations'!$B$37*'Res-Rec Equations'!$B$40)/'Res-Rec Equations'!$B$32)+(('Res-Rec Equations'!$B$27*'Res-Rec Equations'!$B$38*'Res-Rec Equations'!$B$41)/'Res-Rec Equations'!$B$33)+(('Res-Rec Equations'!$B$28*'Res-Rec Equations'!$B$39*'Res-Rec Equations'!$B$42)/'Res-Rec Equations'!$B$34)))))</f>
        <v>0</v>
      </c>
      <c r="J67" s="369">
        <f>IF('Chemical Info'!J68="NA","NA",IF(AND(E67="NA",'Chemical Info'!D68="Yes"),'Res-Rec Equations'!$B$22*1000*(('Res-Rec Equations'!$B$26*'Chemical Info'!J68*'Res-Rec Equations'!$B$59)+('Res-Rec Equations'!$B$27*'Chemical Info'!J68*'Res-Rec Equations'!$B$60)+('Res-Rec Equations'!$B$28*'Chemical Info'!J68*'Res-Rec Equations'!$B$61))*'Res-Rec Calculations'!C67,IF(AND(E67="NA",'Chemical Info'!D68=""),'Res-Rec Equations'!$B$22*1000*'Res-Rec Equations'!$B$25*'Chemical Info'!J68*'Res-Rec Calculations'!C67,IF(AND('Chemical Info'!E68="Yes",'Chemical Info'!D68="Yes"),'Res-Rec Equations'!$B$22*1000*(('Res-Rec Equations'!$B$26*'Chemical Info'!J68*'Res-Rec Equations'!$B$59)+('Res-Rec Equations'!$B$27*'Chemical Info'!J68*'Res-Rec Equations'!$B$60)+('Res-Rec Equations'!$B$28*'Chemical Info'!J68*'Res-Rec Equations'!$B$61))*'Res-Rec Calculations'!E67,IF(AND('Chemical Info'!E68="Yes",'Chemical Info'!D68=""),'Res-Rec Equations'!$B$22*1000*'Res-Rec Equations'!$B$25*'Chemical Info'!J68*'Res-Rec Calculations'!E67,IF('Chemical Info'!D68="Yes",'Res-Rec Equations'!$B$22*1000*(('Res-Rec Equations'!$B$26*'Chemical Info'!J68*'Res-Rec Equations'!$B$59)+('Res-Rec Equations'!$B$27*'Chemical Info'!J68*'Res-Rec Equations'!$B$60)+('Res-Rec Equations'!$B$28*'Chemical Info'!J68*'Res-Rec Equations'!$B$61))*('Res-Rec Calculations'!C67+'Res-Rec Calculations'!E67),IF('Chemical Info'!D68="",'Res-Rec Equations'!$B$22*1000*'Res-Rec Equations'!$B$25*'Chemical Info'!J68*('Res-Rec Calculations'!C67+'Res-Rec Calculations'!E67))))))))</f>
        <v>1.1646613688326434E-2</v>
      </c>
      <c r="K67" s="370">
        <f>IF('Chemical Info'!J68="NA","NA",IF(AND(F67="NA",'Chemical Info'!D68="Yes"),'Res-Rec Equations'!$B$22*1000*(('Res-Rec Equations'!$B$26*'Chemical Info'!J68*'Res-Rec Equations'!$B$59)+('Res-Rec Equations'!$B$27*'Chemical Info'!J68*'Res-Rec Equations'!$B$60)+('Res-Rec Equations'!$B$28*'Chemical Info'!J68*'Res-Rec Equations'!$B$61))*'Res-Rec Calculations'!C67,IF(AND(F67="NA",'Chemical Info'!D68=""),'Res-Rec Equations'!$B$22*1000*'Res-Rec Equations'!$B$25*'Chemical Info'!J68*'Res-Rec Calculations'!C67,IF(AND('Chemical Info'!F68="Yes",'Chemical Info'!D68="Yes"),'Res-Rec Equations'!$B$22*1000*(('Res-Rec Equations'!$B$26*'Chemical Info'!J68*'Res-Rec Equations'!$B$59)+('Res-Rec Equations'!$B$27*'Chemical Info'!J68*'Res-Rec Equations'!$B$60)+('Res-Rec Equations'!$B$28*'Chemical Info'!J68*'Res-Rec Equations'!$B$61))*'Res-Rec Calculations'!F67,IF(AND('Chemical Info'!F68="Yes",'Chemical Info'!D68=""),'Res-Rec Equations'!$B$22*1000*'Res-Rec Equations'!$B$25*'Chemical Info'!J68*'Res-Rec Calculations'!F67,IF('Chemical Info'!D68="Yes",'Res-Rec Equations'!$B$22*1000*(('Res-Rec Equations'!$B$26*'Chemical Info'!J68*'Res-Rec Equations'!$B$59)+('Res-Rec Equations'!$B$27*'Chemical Info'!J68*'Res-Rec Equations'!$B$60)+('Res-Rec Equations'!$B$28*'Chemical Info'!J68*'Res-Rec Equations'!$B$61))*('Res-Rec Calculations'!C67+'Res-Rec Calculations'!F67),IF('Chemical Info'!D68="",'Res-Rec Equations'!$B$22*1000*'Res-Rec Equations'!$B$25*'Chemical Info'!J68*('Res-Rec Calculations'!C67+'Res-Rec Calculations'!F67))))))))</f>
        <v>4.1235487447005351E-3</v>
      </c>
      <c r="L67" s="167">
        <f>IF(AND(H67="NA",I67="NA",J67="NA"),"NA",IF(H67="NA",'Res-Rec Equations'!$B$15*'Res-Rec Equations'!$B$16/J67,IF(J67="NA",'Res-Rec Equations'!$B$15*'Res-Rec Equations'!$B$16/(H67+I67),'Res-Rec Equations'!$B$15*'Res-Rec Equations'!$B$16/(H67+I67+J67))))</f>
        <v>14.543219767486697</v>
      </c>
      <c r="M67" s="167">
        <f>IF(AND(H67="NA",I67="NA",K67="NA"),"NA",IF(H67="NA",'Res-Rec Equations'!$B$15*'Res-Rec Equations'!$B$16/K67,IF(K67="NA",'Res-Rec Equations'!$B$15*'Res-Rec Equations'!$B$16/(H67+I67),'Res-Rec Equations'!$B$15*'Res-Rec Equations'!$B$16/(H67+I67+K67))))</f>
        <v>25.434883571118608</v>
      </c>
      <c r="N67" s="167">
        <f t="shared" si="14"/>
        <v>25.434883571118608</v>
      </c>
      <c r="O67" s="371">
        <f>IF('Chemical Info'!L68="NA","NA",IF('Chemical Info'!E68="Yes",(('Res-Rec Equations'!$B$76*'Chemical Info'!AD68*'Res-Rec Equations'!$B$78*'Res-Rec Equations'!$B$79*'Res-Rec Equations'!$B$81)/('Res-Rec Equations'!$B$84*'Res-Rec Equations'!$B$85))/'Chemical Info'!L68,(('Res-Rec Equations'!$B$76*'Chemical Info'!AD68*'Res-Rec Equations'!$B$78*'Res-Rec Equations'!$B$79*'Res-Rec Equations'!$B$80)/('Res-Rec Equations'!$B$84*'Res-Rec Equations'!$B$85))/'Chemical Info'!L68))</f>
        <v>5.0735667174023346E-4</v>
      </c>
      <c r="P67" s="166">
        <f>IF('Chemical Info'!L68="NA","NA", IF('Chemical Info'!E68="Yes",0,((('Res-Rec Equations'!$B$87*'Res-Rec Equations'!$B$88*'Res-Rec Equations'!$B$78*'Res-Rec Equations'!$B$82*'Res-Rec Equations'!$B$79*'Chemical Info'!AB68)/('Res-Rec Equations'!$B$84*'Res-Rec Equations'!$B$85))/('Chemical Info'!L68*'Chemical Info'!AF68))))</f>
        <v>0</v>
      </c>
      <c r="Q67" s="166">
        <f>IF('Chemical Info'!N68="NA","NA",IF('Res-Rec Calculations'!E67="NA",(('Res-Rec Equations'!$B$83*'Res-Rec Equations'!$B$79*'Res-Rec Calculations'!C67)/('Res-Rec Equations'!$B$85))/('Chemical Info'!N68),IF('Chemical Info'!E68="Yes",(('Res-Rec Equations'!$B$83*'Res-Rec Equations'!$B$79*'Res-Rec Calculations'!E67)/('Res-Rec Equations'!$B$85))/('Chemical Info'!N68),(('Res-Rec Equations'!$B$83*'Res-Rec Equations'!$B$79*('Res-Rec Calculations'!C67+'Res-Rec Calculations'!E67))/('Res-Rec Equations'!$B$85))/('Chemical Info'!N68))))</f>
        <v>2.9944191678818635E-2</v>
      </c>
      <c r="R67" s="166">
        <f>IF('Chemical Info'!N68="NA","NA",IF('Res-Rec Calculations'!F67="NA",(('Res-Rec Equations'!$B$83*'Res-Rec Equations'!$B$79*'Res-Rec Calculations'!C67)/('Res-Rec Equations'!$B$85))/('Chemical Info'!N68),IF('Chemical Info'!E68="Yes",(('Res-Rec Equations'!$B$83*'Res-Rec Equations'!$B$79*'Res-Rec Calculations'!F67)/('Res-Rec Equations'!$B$85))/('Chemical Info'!N68),(('Res-Rec Equations'!$B$83*'Res-Rec Equations'!$B$79*('Res-Rec Calculations'!C67+'Res-Rec Calculations'!F67))/('Res-Rec Equations'!$B$85))/('Chemical Info'!N68))))</f>
        <v>1.060178264383833E-2</v>
      </c>
      <c r="S67" s="167">
        <f>IF(AND(O67="NA",P67="NA",Q67="NA"),"NA",IF(O67="NA",'Res-Rec Equations'!$B$75/Q67,IF(Q67="NA",'Res-Rec Equations'!$B$75/(O67+P67),'Res-Rec Equations'!$B$75/(O67+P67+Q67))))</f>
        <v>6.5678105329028194</v>
      </c>
      <c r="T67" s="167">
        <f>IF(AND(O67="NA",P67="NA",R67="NA"),"NA",IF(O67="NA",'Res-Rec Equations'!$B$75/R67,IF(R67="NA",'Res-Rec Equations'!$B$75/(O67+P67),'Res-Rec Equations'!$B$75/(O67+P67+R67))))</f>
        <v>18.003194875730479</v>
      </c>
      <c r="U67" s="168">
        <f t="shared" si="15"/>
        <v>18.003194875730479</v>
      </c>
      <c r="V67" s="167" t="str">
        <f>IF('Chemical Info'!P68="NA","NA",(('Res-Rec Equations'!$B$185*'Res-Rec Equations'!$B$186)/('Res-Rec Equations'!$B$187*'Res-Rec Equations'!$B$188*(1/'Chemical Info'!P68))))</f>
        <v>NA</v>
      </c>
      <c r="W67" s="379" t="str">
        <f t="shared" si="16"/>
        <v>NA</v>
      </c>
      <c r="X67" s="372">
        <f t="shared" si="17"/>
        <v>18.003194875730479</v>
      </c>
      <c r="Y67" s="62">
        <f t="shared" si="18"/>
        <v>18</v>
      </c>
      <c r="Z67" s="100" t="str">
        <f t="shared" si="19"/>
        <v>Noncancer</v>
      </c>
      <c r="AA67" s="373"/>
    </row>
    <row r="68" spans="1:27">
      <c r="A68" s="373" t="s">
        <v>1183</v>
      </c>
      <c r="B68" s="566" t="s">
        <v>1184</v>
      </c>
      <c r="C68" s="367">
        <f>1/(('Res-Rec Equations'!$B$152*3600)/((0.036*(1-'Res-Rec Equations'!$B$153))*('Res-Rec Equations'!$B$154/'Res-Rec Equations'!$B$155)^3*'Res-Rec Equations'!$B$156))</f>
        <v>7.3567680901159717E-10</v>
      </c>
      <c r="D68" s="368">
        <f>(('Res-Rec Equations'!$B$132^(10/3)*'Chemical Info'!$AH69*'Chemical Info'!$AN69*41+'Res-Rec Equations'!$B$135^(10/3)*'Chemical Info'!$AJ69)/'Res-Rec Equations'!$B$137^2)/('Res-Rec Equations'!$B$139*'Chemical Info'!$AL69*'Res-Rec Equations'!$B$142+'Res-Rec Equations'!$B$135+'Res-Rec Equations'!$B$132*'Chemical Info'!$AN69*41)</f>
        <v>2.7817316141068001E-4</v>
      </c>
      <c r="E68" s="368">
        <f>IF(D68=0,"NA",1/(('Res-Rec Equations'!$B$103*(3.14*'Res-Rec Calculations'!$D68*'Res-Rec Equations'!$B$105)^(1/2)*0.0001)/(2*'Res-Rec Equations'!$B$106*'Res-Rec Calculations'!$D68)))</f>
        <v>9.7900790149772117E-5</v>
      </c>
      <c r="F68" s="368">
        <f>IF(D68=0,"NA",(1/('Res-Rec Equations'!$B$117*('Res-Rec Equations'!$B$118*(31500000))/('Res-Rec Equations'!$B$119*'Res-Rec Equations'!$B$120*1000000))))</f>
        <v>6.1914410640015851E-5</v>
      </c>
      <c r="G68" s="167">
        <f>IF('Chemical Info'!E69="Yes",('Chemical Info'!AP69/'Res-Rec Equations'!$B$168)*((('Chemical Info'!AL69*'Res-Rec Equations'!$B$170)*'Res-Rec Equations'!$B$168)+'Res-Rec Equations'!$B$171+('Chemical Info'!AN69*41)*'Res-Rec Equations'!$B$173),"NA")</f>
        <v>1486.3465466666667</v>
      </c>
      <c r="H68" s="112" t="str">
        <f>IF('Chemical Info'!H69="NA","NA",IF(AND('Chemical Info'!E69="Yes",'Chemical Info'!D69="Yes"),'Chemical Info'!H69*'Chemical Info'!AD69*'Res-Rec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Info'!E69="Yes",'Chemical Info'!D69=""),'Chemical Info'!H69*'Chemical Info'!AD69*'Res-Rec Equations'!$B$20*'Res-Rec Equations'!$B$23*((('Res-Rec Equations'!$B$26*'Res-Rec Equations'!$B$29)/'Res-Rec Equations'!$B$32)+(('Res-Rec Equations'!$B$27*'Res-Rec Equations'!$B$30)/'Res-Rec Equations'!$B$33)+(('Res-Rec Equations'!$B$28*'Res-Rec Equations'!$B$31)/'Res-Rec Equations'!$B$34)),IF(AND('Chemical Info'!E69="No",'Chemical Info'!D69="Yes"),'Chemical Info'!H69*'Chemical Info'!AD69*'Res-Rec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Info'!E69="No",'Chemical Info'!D69=""),'Chemical Info'!H69*'Chemical Info'!AD69*'Res-Rec Equations'!$B$19*'Res-Rec Equations'!$B$23*((('Res-Rec Equations'!$B$26*'Res-Rec Equations'!$B$29)/'Res-Rec Equations'!$B$32)+(('Res-Rec Equations'!$B$27*'Res-Rec Equations'!$B$30)/'Res-Rec Equations'!$B$33)+(('Res-Rec Equations'!$B$28*'Res-Rec Equations'!$B$31)/'Res-Rec Equations'!$B$34)))))))</f>
        <v>NA</v>
      </c>
      <c r="I68" s="166" t="str">
        <f>IF('Chemical Info'!H69="NA","NA",IF('Chemical Info'!E69="Yes",0,IF('Chemical Info'!D69="Yes",'Chemical Info'!H69/'Chemical Info'!AF69*('Res-Rec Equations'!$B$21*'Chemical Info'!AB69*'Res-Rec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Info'!H69/'Chemical Info'!AF69*('Res-Rec Equations'!$B$21*'Chemical Info'!AB69*'Res-Rec Equations'!$B$23)*((('Res-Rec Equations'!$B$26*'Res-Rec Equations'!$B$37*'Res-Rec Equations'!$B$40)/'Res-Rec Equations'!$B$32)+(('Res-Rec Equations'!$B$27*'Res-Rec Equations'!$B$38*'Res-Rec Equations'!$B$41)/'Res-Rec Equations'!$B$33)+(('Res-Rec Equations'!$B$28*'Res-Rec Equations'!$B$39*'Res-Rec Equations'!$B$42)/'Res-Rec Equations'!$B$34)))))</f>
        <v>NA</v>
      </c>
      <c r="J68" s="369" t="str">
        <f>IF('Chemical Info'!J69="NA","NA",IF(AND(E68="NA",'Chemical Info'!D69="Yes"),'Res-Rec Equations'!$B$22*1000*(('Res-Rec Equations'!$B$26*'Chemical Info'!J69*'Res-Rec Equations'!$B$59)+('Res-Rec Equations'!$B$27*'Chemical Info'!J69*'Res-Rec Equations'!$B$60)+('Res-Rec Equations'!$B$28*'Chemical Info'!J69*'Res-Rec Equations'!$B$61))*'Res-Rec Calculations'!C68,IF(AND(E68="NA",'Chemical Info'!D69=""),'Res-Rec Equations'!$B$22*1000*'Res-Rec Equations'!$B$25*'Chemical Info'!J69*'Res-Rec Calculations'!C68,IF(AND('Chemical Info'!E69="Yes",'Chemical Info'!D69="Yes"),'Res-Rec Equations'!$B$22*1000*(('Res-Rec Equations'!$B$26*'Chemical Info'!J69*'Res-Rec Equations'!$B$59)+('Res-Rec Equations'!$B$27*'Chemical Info'!J69*'Res-Rec Equations'!$B$60)+('Res-Rec Equations'!$B$28*'Chemical Info'!J69*'Res-Rec Equations'!$B$61))*'Res-Rec Calculations'!E68,IF(AND('Chemical Info'!E69="Yes",'Chemical Info'!D69=""),'Res-Rec Equations'!$B$22*1000*'Res-Rec Equations'!$B$25*'Chemical Info'!J69*'Res-Rec Calculations'!E68,IF('Chemical Info'!D69="Yes",'Res-Rec Equations'!$B$22*1000*(('Res-Rec Equations'!$B$26*'Chemical Info'!J69*'Res-Rec Equations'!$B$59)+('Res-Rec Equations'!$B$27*'Chemical Info'!J69*'Res-Rec Equations'!$B$60)+('Res-Rec Equations'!$B$28*'Chemical Info'!J69*'Res-Rec Equations'!$B$61))*('Res-Rec Calculations'!C68+'Res-Rec Calculations'!E68),IF('Chemical Info'!D69="",'Res-Rec Equations'!$B$22*1000*'Res-Rec Equations'!$B$25*'Chemical Info'!J69*('Res-Rec Calculations'!C68+'Res-Rec Calculations'!E68))))))))</f>
        <v>NA</v>
      </c>
      <c r="K68" s="370" t="str">
        <f>IF('Chemical Info'!J69="NA","NA",IF(AND(F68="NA",'Chemical Info'!D69="Yes"),'Res-Rec Equations'!$B$22*1000*(('Res-Rec Equations'!$B$26*'Chemical Info'!J69*'Res-Rec Equations'!$B$59)+('Res-Rec Equations'!$B$27*'Chemical Info'!J69*'Res-Rec Equations'!$B$60)+('Res-Rec Equations'!$B$28*'Chemical Info'!J69*'Res-Rec Equations'!$B$61))*'Res-Rec Calculations'!C68,IF(AND(F68="NA",'Chemical Info'!D69=""),'Res-Rec Equations'!$B$22*1000*'Res-Rec Equations'!$B$25*'Chemical Info'!J69*'Res-Rec Calculations'!C68,IF(AND('Chemical Info'!F69="Yes",'Chemical Info'!D69="Yes"),'Res-Rec Equations'!$B$22*1000*(('Res-Rec Equations'!$B$26*'Chemical Info'!J69*'Res-Rec Equations'!$B$59)+('Res-Rec Equations'!$B$27*'Chemical Info'!J69*'Res-Rec Equations'!$B$60)+('Res-Rec Equations'!$B$28*'Chemical Info'!J69*'Res-Rec Equations'!$B$61))*'Res-Rec Calculations'!F68,IF(AND('Chemical Info'!F69="Yes",'Chemical Info'!D69=""),'Res-Rec Equations'!$B$22*1000*'Res-Rec Equations'!$B$25*'Chemical Info'!J69*'Res-Rec Calculations'!F68,IF('Chemical Info'!D69="Yes",'Res-Rec Equations'!$B$22*1000*(('Res-Rec Equations'!$B$26*'Chemical Info'!J69*'Res-Rec Equations'!$B$59)+('Res-Rec Equations'!$B$27*'Chemical Info'!J69*'Res-Rec Equations'!$B$60)+('Res-Rec Equations'!$B$28*'Chemical Info'!J69*'Res-Rec Equations'!$B$61))*('Res-Rec Calculations'!C68+'Res-Rec Calculations'!F68),IF('Chemical Info'!D69="",'Res-Rec Equations'!$B$22*1000*'Res-Rec Equations'!$B$25*'Chemical Info'!J69*('Res-Rec Calculations'!C68+'Res-Rec Calculations'!F68))))))))</f>
        <v>NA</v>
      </c>
      <c r="L68" s="167" t="str">
        <f>IF(AND(H68="NA",I68="NA",J68="NA"),"NA",IF(H68="NA",'Res-Rec Equations'!$B$15*'Res-Rec Equations'!$B$16/J68,IF(J68="NA",'Res-Rec Equations'!$B$15*'Res-Rec Equations'!$B$16/(H68+I68),'Res-Rec Equations'!$B$15*'Res-Rec Equations'!$B$16/(H68+I68+J68))))</f>
        <v>NA</v>
      </c>
      <c r="M68" s="167" t="str">
        <f>IF(AND(H68="NA",I68="NA",K68="NA"),"NA",IF(H68="NA",'Res-Rec Equations'!$B$15*'Res-Rec Equations'!$B$16/K68,IF(K68="NA",'Res-Rec Equations'!$B$15*'Res-Rec Equations'!$B$16/(H68+I68),'Res-Rec Equations'!$B$15*'Res-Rec Equations'!$B$16/(H68+I68+K68))))</f>
        <v>NA</v>
      </c>
      <c r="N68" s="167" t="str">
        <f t="shared" ref="N68" si="62">IF(AND(L68="NA",M68="NA"),"NA",MAX(L68,M68))</f>
        <v>NA</v>
      </c>
      <c r="O68" s="371">
        <f>IF('Chemical Info'!L69="NA","NA",IF('Chemical Info'!E69="Yes",(('Res-Rec Equations'!$B$76*'Chemical Info'!AD69*'Res-Rec Equations'!$B$78*'Res-Rec Equations'!$B$79*'Res-Rec Equations'!$B$81)/('Res-Rec Equations'!$B$84*'Res-Rec Equations'!$B$85))/'Chemical Info'!L69,(('Res-Rec Equations'!$B$76*'Chemical Info'!AD69*'Res-Rec Equations'!$B$78*'Res-Rec Equations'!$B$79*'Res-Rec Equations'!$B$80)/('Res-Rec Equations'!$B$84*'Res-Rec Equations'!$B$85))/'Chemical Info'!L69))</f>
        <v>4.5662100456621003E-4</v>
      </c>
      <c r="P68" s="166">
        <f>IF('Chemical Info'!L69="NA","NA", IF('Chemical Info'!E69="Yes",0,((('Res-Rec Equations'!$B$87*'Res-Rec Equations'!$B$88*'Res-Rec Equations'!$B$78*'Res-Rec Equations'!$B$82*'Res-Rec Equations'!$B$79*'Chemical Info'!AB69)/('Res-Rec Equations'!$B$84*'Res-Rec Equations'!$B$85))/('Chemical Info'!L69*'Chemical Info'!AF69))))</f>
        <v>0</v>
      </c>
      <c r="Q68" s="166" t="str">
        <f>IF('Chemical Info'!N69="NA","NA",IF('Res-Rec Calculations'!E68="NA",(('Res-Rec Equations'!$B$83*'Res-Rec Equations'!$B$79*'Res-Rec Calculations'!C68)/('Res-Rec Equations'!$B$85))/('Chemical Info'!N69),IF('Chemical Info'!E69="Yes",(('Res-Rec Equations'!$B$83*'Res-Rec Equations'!$B$79*'Res-Rec Calculations'!E68)/('Res-Rec Equations'!$B$85))/('Chemical Info'!N69),(('Res-Rec Equations'!$B$83*'Res-Rec Equations'!$B$79*('Res-Rec Calculations'!C68+'Res-Rec Calculations'!E68))/('Res-Rec Equations'!$B$85))/('Chemical Info'!N69))))</f>
        <v>NA</v>
      </c>
      <c r="R68" s="166" t="str">
        <f>IF('Chemical Info'!N69="NA","NA",IF('Res-Rec Calculations'!F68="NA",(('Res-Rec Equations'!$B$83*'Res-Rec Equations'!$B$79*'Res-Rec Calculations'!C68)/('Res-Rec Equations'!$B$85))/('Chemical Info'!N69),IF('Chemical Info'!E69="Yes",(('Res-Rec Equations'!$B$83*'Res-Rec Equations'!$B$79*'Res-Rec Calculations'!F68)/('Res-Rec Equations'!$B$85))/('Chemical Info'!N69),(('Res-Rec Equations'!$B$83*'Res-Rec Equations'!$B$79*('Res-Rec Calculations'!C68+'Res-Rec Calculations'!F68))/('Res-Rec Equations'!$B$85))/('Chemical Info'!N69))))</f>
        <v>NA</v>
      </c>
      <c r="S68" s="167">
        <f>IF(AND(O68="NA",P68="NA",Q68="NA"),"NA",IF(O68="NA",'Res-Rec Equations'!$B$75/Q68,IF(Q68="NA",'Res-Rec Equations'!$B$75/(O68+P68),'Res-Rec Equations'!$B$75/(O68+P68+Q68))))</f>
        <v>438.00000000000006</v>
      </c>
      <c r="T68" s="167">
        <f>IF(AND(O68="NA",P68="NA",R68="NA"),"NA",IF(O68="NA",'Res-Rec Equations'!$B$75/R68,IF(R68="NA",'Res-Rec Equations'!$B$75/(O68+P68),'Res-Rec Equations'!$B$75/(O68+P68+R68))))</f>
        <v>438.00000000000006</v>
      </c>
      <c r="U68" s="168">
        <f t="shared" ref="U68" si="63">IF(AND(S68="NA",T68="NA"),"NA",MAX(S68,T68))</f>
        <v>438.00000000000006</v>
      </c>
      <c r="V68" s="167" t="str">
        <f>IF('Chemical Info'!P69="NA","NA",(('Res-Rec Equations'!$B$185*'Res-Rec Equations'!$B$186)/('Res-Rec Equations'!$B$187*'Res-Rec Equations'!$B$188*(1/'Chemical Info'!P69))))</f>
        <v>NA</v>
      </c>
      <c r="W68" s="379" t="str">
        <f t="shared" ref="W68" si="64">IF(V68="NA","NA",IF(V68&gt;100000,100000,IF(ISNUMBER(ROUND(V68*1000000,2-LEN(INT(V68*1000000)))/1000000),ROUND(V68*1000000,2-LEN(INT(V68*1000000)))/1000000,"NA")))</f>
        <v>NA</v>
      </c>
      <c r="X68" s="372">
        <f t="shared" ref="X68" si="65">IF(AND(N68="NA",U68="NA",G68="NA"),"NA",MIN(N68,U68,G68))</f>
        <v>438.00000000000006</v>
      </c>
      <c r="Y68" s="62">
        <f t="shared" ref="Y68" si="66">IF(X68&gt;100000,100000,IF(ISNUMBER(ROUND(X68*1000000,2-LEN(INT(X68*1000000)))/1000000),ROUND(X68*1000000,2-LEN(INT(X68*1000000)))/1000000,"NA"))</f>
        <v>440</v>
      </c>
      <c r="Z68" s="100" t="str">
        <f t="shared" ref="Z68" si="67">IF(Y68=100000,"Max Limit",IF(X68=G68,"Csat",IF(X68=N68,"Cancer",IF(X68=V68,"Acute",IF(X68=U68,"Noncancer","")))))</f>
        <v>Noncancer</v>
      </c>
      <c r="AA68" s="373"/>
    </row>
    <row r="69" spans="1:27">
      <c r="A69" s="413" t="s">
        <v>124</v>
      </c>
      <c r="B69" s="566" t="s">
        <v>125</v>
      </c>
      <c r="C69" s="367">
        <f>1/(('Res-Rec Equations'!$B$152*3600)/((0.036*(1-'Res-Rec Equations'!$B$153))*('Res-Rec Equations'!$B$154/'Res-Rec Equations'!$B$155)^3*'Res-Rec Equations'!$B$156))</f>
        <v>7.3567680901159717E-10</v>
      </c>
      <c r="D69" s="368">
        <f>(('Res-Rec Equations'!$B$132^(10/3)*'Chemical Info'!$AH70*'Chemical Info'!$AN70*41+'Res-Rec Equations'!$B$135^(10/3)*'Chemical Info'!$AJ70)/'Res-Rec Equations'!$B$137^2)/('Res-Rec Equations'!$B$139*'Chemical Info'!$AL70*'Res-Rec Equations'!$B$142+'Res-Rec Equations'!$B$135+'Res-Rec Equations'!$B$132*'Chemical Info'!$AN70*41)</f>
        <v>3.9641824831938767E-4</v>
      </c>
      <c r="E69" s="368">
        <f>IF(D69=0,"NA",1/(('Res-Rec Equations'!$B$103*(3.14*'Res-Rec Calculations'!$D69*'Res-Rec Equations'!$B$105)^(1/2)*0.0001)/(2*'Res-Rec Equations'!$B$106*'Res-Rec Calculations'!$D69)))</f>
        <v>1.1687063478425249E-4</v>
      </c>
      <c r="F69" s="368">
        <f>IF(D69=0,"NA",(1/('Res-Rec Equations'!$B$117*('Res-Rec Equations'!$B$118*(31500000))/('Res-Rec Equations'!$B$119*'Res-Rec Equations'!$B$120*1000000))))</f>
        <v>6.1914410640015851E-5</v>
      </c>
      <c r="G69" s="167">
        <f>IF('Chemical Info'!E70="Yes",('Chemical Info'!AP70/'Res-Rec Equations'!$B$168)*((('Chemical Info'!AL70*'Res-Rec Equations'!$B$170)*'Res-Rec Equations'!$B$168)+'Res-Rec Equations'!$B$171+('Chemical Info'!AN70*41)*'Res-Rec Equations'!$B$173),"NA")</f>
        <v>479.43749706666671</v>
      </c>
      <c r="H69" s="112">
        <f>IF('Chemical Info'!H70="NA","NA",IF(AND('Chemical Info'!E70="Yes",'Chemical Info'!D70="Yes"),'Chemical Info'!H70*'Chemical Info'!AD70*'Res-Rec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Info'!E70="Yes",'Chemical Info'!D70=""),'Chemical Info'!H70*'Chemical Info'!AD70*'Res-Rec Equations'!$B$20*'Res-Rec Equations'!$B$23*((('Res-Rec Equations'!$B$26*'Res-Rec Equations'!$B$29)/'Res-Rec Equations'!$B$32)+(('Res-Rec Equations'!$B$27*'Res-Rec Equations'!$B$30)/'Res-Rec Equations'!$B$33)+(('Res-Rec Equations'!$B$28*'Res-Rec Equations'!$B$31)/'Res-Rec Equations'!$B$34)),IF(AND('Chemical Info'!E70="No",'Chemical Info'!D70="Yes"),'Chemical Info'!H70*'Chemical Info'!AD70*'Res-Rec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Info'!E70="No",'Chemical Info'!D70=""),'Chemical Info'!H70*'Chemical Info'!AD70*'Res-Rec Equations'!$B$19*'Res-Rec Equations'!$B$23*((('Res-Rec Equations'!$B$26*'Res-Rec Equations'!$B$29)/'Res-Rec Equations'!$B$32)+(('Res-Rec Equations'!$B$27*'Res-Rec Equations'!$B$30)/'Res-Rec Equations'!$B$33)+(('Res-Rec Equations'!$B$28*'Res-Rec Equations'!$B$31)/'Res-Rec Equations'!$B$34)))))))</f>
        <v>1.7605085348506402E-3</v>
      </c>
      <c r="I69" s="166">
        <f>IF('Chemical Info'!H70="NA","NA",IF('Chemical Info'!E70="Yes",0,IF('Chemical Info'!D70="Yes",'Chemical Info'!H70/'Chemical Info'!AF70*('Res-Rec Equations'!$B$21*'Chemical Info'!AB70*'Res-Rec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Info'!H70/'Chemical Info'!AF70*('Res-Rec Equations'!$B$21*'Chemical Info'!AB70*'Res-Rec Equations'!$B$23)*((('Res-Rec Equations'!$B$26*'Res-Rec Equations'!$B$37*'Res-Rec Equations'!$B$40)/'Res-Rec Equations'!$B$32)+(('Res-Rec Equations'!$B$27*'Res-Rec Equations'!$B$38*'Res-Rec Equations'!$B$41)/'Res-Rec Equations'!$B$33)+(('Res-Rec Equations'!$B$28*'Res-Rec Equations'!$B$39*'Res-Rec Equations'!$B$42)/'Res-Rec Equations'!$B$34)))))</f>
        <v>0</v>
      </c>
      <c r="J69" s="369">
        <f>IF('Chemical Info'!J70="NA","NA",IF(AND(E69="NA",'Chemical Info'!D70="Yes"),'Res-Rec Equations'!$B$22*1000*(('Res-Rec Equations'!$B$26*'Chemical Info'!J70*'Res-Rec Equations'!$B$59)+('Res-Rec Equations'!$B$27*'Chemical Info'!J70*'Res-Rec Equations'!$B$60)+('Res-Rec Equations'!$B$28*'Chemical Info'!J70*'Res-Rec Equations'!$B$61))*'Res-Rec Calculations'!C69,IF(AND(E69="NA",'Chemical Info'!D70=""),'Res-Rec Equations'!$B$22*1000*'Res-Rec Equations'!$B$25*'Chemical Info'!J70*'Res-Rec Calculations'!C69,IF(AND('Chemical Info'!E70="Yes",'Chemical Info'!D70="Yes"),'Res-Rec Equations'!$B$22*1000*(('Res-Rec Equations'!$B$26*'Chemical Info'!J70*'Res-Rec Equations'!$B$59)+('Res-Rec Equations'!$B$27*'Chemical Info'!J70*'Res-Rec Equations'!$B$60)+('Res-Rec Equations'!$B$28*'Chemical Info'!J70*'Res-Rec Equations'!$B$61))*'Res-Rec Calculations'!E69,IF(AND('Chemical Info'!E70="Yes",'Chemical Info'!D70=""),'Res-Rec Equations'!$B$22*1000*'Res-Rec Equations'!$B$25*'Chemical Info'!J70*'Res-Rec Calculations'!E69,IF('Chemical Info'!D70="Yes",'Res-Rec Equations'!$B$22*1000*(('Res-Rec Equations'!$B$26*'Chemical Info'!J70*'Res-Rec Equations'!$B$59)+('Res-Rec Equations'!$B$27*'Chemical Info'!J70*'Res-Rec Equations'!$B$60)+('Res-Rec Equations'!$B$28*'Chemical Info'!J70*'Res-Rec Equations'!$B$61))*('Res-Rec Calculations'!C69+'Res-Rec Calculations'!E69),IF('Chemical Info'!D70="",'Res-Rec Equations'!$B$22*1000*'Res-Rec Equations'!$B$25*'Chemical Info'!J70*('Res-Rec Calculations'!C69+'Res-Rec Calculations'!E69))))))))</f>
        <v>5.2591785652913621E-3</v>
      </c>
      <c r="K69" s="370">
        <f>IF('Chemical Info'!J70="NA","NA",IF(AND(F69="NA",'Chemical Info'!D70="Yes"),'Res-Rec Equations'!$B$22*1000*(('Res-Rec Equations'!$B$26*'Chemical Info'!J70*'Res-Rec Equations'!$B$59)+('Res-Rec Equations'!$B$27*'Chemical Info'!J70*'Res-Rec Equations'!$B$60)+('Res-Rec Equations'!$B$28*'Chemical Info'!J70*'Res-Rec Equations'!$B$61))*'Res-Rec Calculations'!C69,IF(AND(F69="NA",'Chemical Info'!D70=""),'Res-Rec Equations'!$B$22*1000*'Res-Rec Equations'!$B$25*'Chemical Info'!J70*'Res-Rec Calculations'!C69,IF(AND('Chemical Info'!F70="Yes",'Chemical Info'!D70="Yes"),'Res-Rec Equations'!$B$22*1000*(('Res-Rec Equations'!$B$26*'Chemical Info'!J70*'Res-Rec Equations'!$B$59)+('Res-Rec Equations'!$B$27*'Chemical Info'!J70*'Res-Rec Equations'!$B$60)+('Res-Rec Equations'!$B$28*'Chemical Info'!J70*'Res-Rec Equations'!$B$61))*'Res-Rec Calculations'!F69,IF(AND('Chemical Info'!F70="Yes",'Chemical Info'!D70=""),'Res-Rec Equations'!$B$22*1000*'Res-Rec Equations'!$B$25*'Chemical Info'!J70*'Res-Rec Calculations'!F69,IF('Chemical Info'!D70="Yes",'Res-Rec Equations'!$B$22*1000*(('Res-Rec Equations'!$B$26*'Chemical Info'!J70*'Res-Rec Equations'!$B$59)+('Res-Rec Equations'!$B$27*'Chemical Info'!J70*'Res-Rec Equations'!$B$60)+('Res-Rec Equations'!$B$28*'Chemical Info'!J70*'Res-Rec Equations'!$B$61))*('Res-Rec Calculations'!C69+'Res-Rec Calculations'!F69),IF('Chemical Info'!D70="",'Res-Rec Equations'!$B$22*1000*'Res-Rec Equations'!$B$25*'Chemical Info'!J70*('Res-Rec Calculations'!C69+'Res-Rec Calculations'!F69))))))))</f>
        <v>2.7861815842571188E-3</v>
      </c>
      <c r="L69" s="167">
        <f>IF(AND(H69="NA",I69="NA",J69="NA"),"NA",IF(H69="NA",'Res-Rec Equations'!$B$15*'Res-Rec Equations'!$B$16/J69,IF(J69="NA",'Res-Rec Equations'!$B$15*'Res-Rec Equations'!$B$16/(H69+I69),'Res-Rec Equations'!$B$15*'Res-Rec Equations'!$B$16/(H69+I69+J69))))</f>
        <v>36.397633734248849</v>
      </c>
      <c r="M69" s="167">
        <f>IF(AND(H69="NA",I69="NA",K69="NA"),"NA",IF(H69="NA",'Res-Rec Equations'!$B$15*'Res-Rec Equations'!$B$16/K69,IF(K69="NA",'Res-Rec Equations'!$B$15*'Res-Rec Equations'!$B$16/(H69+I69),'Res-Rec Equations'!$B$15*'Res-Rec Equations'!$B$16/(H69+I69+K69))))</f>
        <v>56.194724801288906</v>
      </c>
      <c r="N69" s="167">
        <f t="shared" si="14"/>
        <v>56.194724801288906</v>
      </c>
      <c r="O69" s="371">
        <f>IF('Chemical Info'!L70="NA","NA",IF('Chemical Info'!E70="Yes",(('Res-Rec Equations'!$B$76*'Chemical Info'!AD70*'Res-Rec Equations'!$B$78*'Res-Rec Equations'!$B$79*'Res-Rec Equations'!$B$81)/('Res-Rec Equations'!$B$84*'Res-Rec Equations'!$B$85))/'Chemical Info'!L70,(('Res-Rec Equations'!$B$76*'Chemical Info'!AD70*'Res-Rec Equations'!$B$78*'Res-Rec Equations'!$B$79*'Res-Rec Equations'!$B$80)/('Res-Rec Equations'!$B$84*'Res-Rec Equations'!$B$85))/'Chemical Info'!L70))</f>
        <v>8.3022000830220018E-4</v>
      </c>
      <c r="P69" s="166">
        <f>IF('Chemical Info'!L70="NA","NA", IF('Chemical Info'!E70="Yes",0,((('Res-Rec Equations'!$B$87*'Res-Rec Equations'!$B$88*'Res-Rec Equations'!$B$78*'Res-Rec Equations'!$B$82*'Res-Rec Equations'!$B$79*'Chemical Info'!AB70)/('Res-Rec Equations'!$B$84*'Res-Rec Equations'!$B$85))/('Chemical Info'!L70*'Chemical Info'!AF70))))</f>
        <v>0</v>
      </c>
      <c r="Q69" s="166">
        <f>IF('Chemical Info'!N70="NA","NA",IF('Res-Rec Calculations'!E69="NA",(('Res-Rec Equations'!$B$83*'Res-Rec Equations'!$B$79*'Res-Rec Calculations'!C69)/('Res-Rec Equations'!$B$85))/('Chemical Info'!N70),IF('Chemical Info'!E70="Yes",(('Res-Rec Equations'!$B$83*'Res-Rec Equations'!$B$79*'Res-Rec Calculations'!E69)/('Res-Rec Equations'!$B$85))/('Chemical Info'!N70),(('Res-Rec Equations'!$B$83*'Res-Rec Equations'!$B$79*('Res-Rec Calculations'!C69+'Res-Rec Calculations'!E69))/('Res-Rec Equations'!$B$85))/('Chemical Info'!N70))))</f>
        <v>3.0787838457390011E-4</v>
      </c>
      <c r="R69" s="166">
        <f>IF('Chemical Info'!N70="NA","NA",IF('Res-Rec Calculations'!F69="NA",(('Res-Rec Equations'!$B$83*'Res-Rec Equations'!$B$79*'Res-Rec Calculations'!C69)/('Res-Rec Equations'!$B$85))/('Chemical Info'!N70),IF('Chemical Info'!E70="Yes",(('Res-Rec Equations'!$B$83*'Res-Rec Equations'!$B$79*'Res-Rec Calculations'!F69)/('Res-Rec Equations'!$B$85))/('Chemical Info'!N70),(('Res-Rec Equations'!$B$83*'Res-Rec Equations'!$B$79*('Res-Rec Calculations'!C69+'Res-Rec Calculations'!F69))/('Res-Rec Equations'!$B$85))/('Chemical Info'!N70))))</f>
        <v>1.6310434836674354E-4</v>
      </c>
      <c r="S69" s="167">
        <f>IF(AND(O69="NA",P69="NA",Q69="NA"),"NA",IF(O69="NA",'Res-Rec Equations'!$B$75/Q69,IF(Q69="NA",'Res-Rec Equations'!$B$75/(O69+P69),'Res-Rec Equations'!$B$75/(O69+P69+Q69))))</f>
        <v>175.73173044782001</v>
      </c>
      <c r="T69" s="167">
        <f>IF(AND(O69="NA",P69="NA",R69="NA"),"NA",IF(O69="NA",'Res-Rec Equations'!$B$75/R69,IF(R69="NA",'Res-Rec Equations'!$B$75/(O69+P69),'Res-Rec Equations'!$B$75/(O69+P69+R69))))</f>
        <v>201.34410140781057</v>
      </c>
      <c r="U69" s="168">
        <f t="shared" si="15"/>
        <v>201.34410140781057</v>
      </c>
      <c r="V69" s="167" t="str">
        <f>IF('Chemical Info'!P70="NA","NA",(('Res-Rec Equations'!$B$185*'Res-Rec Equations'!$B$186)/('Res-Rec Equations'!$B$187*'Res-Rec Equations'!$B$188*(1/'Chemical Info'!P70))))</f>
        <v>NA</v>
      </c>
      <c r="W69" s="379" t="str">
        <f t="shared" si="16"/>
        <v>NA</v>
      </c>
      <c r="X69" s="372">
        <f t="shared" si="17"/>
        <v>56.194724801288906</v>
      </c>
      <c r="Y69" s="62">
        <f t="shared" si="18"/>
        <v>56</v>
      </c>
      <c r="Z69" s="100" t="str">
        <f t="shared" si="19"/>
        <v>Cancer</v>
      </c>
      <c r="AA69" s="373"/>
    </row>
    <row r="70" spans="1:27">
      <c r="A70" s="413" t="s">
        <v>1122</v>
      </c>
      <c r="B70" s="566" t="s">
        <v>1114</v>
      </c>
      <c r="C70" s="367">
        <f>1/(('Res-Rec Equations'!$B$152*3600)/((0.036*(1-'Res-Rec Equations'!$B$153))*('Res-Rec Equations'!$B$154/'Res-Rec Equations'!$B$155)^3*'Res-Rec Equations'!$B$156))</f>
        <v>7.3567680901159717E-10</v>
      </c>
      <c r="D70" s="368">
        <f>(('Res-Rec Equations'!$B$132^(10/3)*'Chemical Info'!$AH71*'Chemical Info'!$AN71*41+'Res-Rec Equations'!$B$135^(10/3)*'Chemical Info'!$AJ71)/'Res-Rec Equations'!$B$137^2)/('Res-Rec Equations'!$B$139*'Chemical Info'!$AL71*'Res-Rec Equations'!$B$142+'Res-Rec Equations'!$B$135+'Res-Rec Equations'!$B$132*'Chemical Info'!$AN71*41)</f>
        <v>1.3043024782643962E-3</v>
      </c>
      <c r="E70" s="368">
        <f>IF(D70=0,"NA",1/(('Res-Rec Equations'!$B$103*(3.14*'Res-Rec Calculations'!$D70*'Res-Rec Equations'!$B$105)^(1/2)*0.0001)/(2*'Res-Rec Equations'!$B$106*'Res-Rec Calculations'!$D70)))</f>
        <v>2.11991156237243E-4</v>
      </c>
      <c r="F70" s="368">
        <f>IF(D70=0,"NA",(1/('Res-Rec Equations'!$B$117*('Res-Rec Equations'!$B$118*(31500000))/('Res-Rec Equations'!$B$119*'Res-Rec Equations'!$B$120*1000000))))</f>
        <v>6.1914410640015851E-5</v>
      </c>
      <c r="G70" s="167">
        <f>IF('Chemical Info'!E71="Yes",('Chemical Info'!AP71/'Res-Rec Equations'!$B$168)*((('Chemical Info'!AL71*'Res-Rec Equations'!$B$170)*'Res-Rec Equations'!$B$168)+'Res-Rec Equations'!$B$171+('Chemical Info'!AN71*41)*'Res-Rec Equations'!$B$173),"NA")</f>
        <v>10123.499039999999</v>
      </c>
      <c r="H70" s="112" t="str">
        <f>IF('Chemical Info'!H71="NA","NA",IF(AND('Chemical Info'!E71="Yes",'Chemical Info'!D71="Yes"),'Chemical Info'!H71*'Chemical Info'!AD71*'Res-Rec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Info'!E71="Yes",'Chemical Info'!D71=""),'Chemical Info'!H71*'Chemical Info'!AD71*'Res-Rec Equations'!$B$20*'Res-Rec Equations'!$B$23*((('Res-Rec Equations'!$B$26*'Res-Rec Equations'!$B$29)/'Res-Rec Equations'!$B$32)+(('Res-Rec Equations'!$B$27*'Res-Rec Equations'!$B$30)/'Res-Rec Equations'!$B$33)+(('Res-Rec Equations'!$B$28*'Res-Rec Equations'!$B$31)/'Res-Rec Equations'!$B$34)),IF(AND('Chemical Info'!E71="No",'Chemical Info'!D71="Yes"),'Chemical Info'!H71*'Chemical Info'!AD71*'Res-Rec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Info'!E71="No",'Chemical Info'!D71=""),'Chemical Info'!H71*'Chemical Info'!AD71*'Res-Rec Equations'!$B$19*'Res-Rec Equations'!$B$23*((('Res-Rec Equations'!$B$26*'Res-Rec Equations'!$B$29)/'Res-Rec Equations'!$B$32)+(('Res-Rec Equations'!$B$27*'Res-Rec Equations'!$B$30)/'Res-Rec Equations'!$B$33)+(('Res-Rec Equations'!$B$28*'Res-Rec Equations'!$B$31)/'Res-Rec Equations'!$B$34)))))))</f>
        <v>NA</v>
      </c>
      <c r="I70" s="166" t="str">
        <f>IF('Chemical Info'!H71="NA","NA",IF('Chemical Info'!E71="Yes",0,IF('Chemical Info'!D71="Yes",'Chemical Info'!H71/'Chemical Info'!AF71*('Res-Rec Equations'!$B$21*'Chemical Info'!AB71*'Res-Rec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Info'!H71/'Chemical Info'!AF71*('Res-Rec Equations'!$B$21*'Chemical Info'!AB71*'Res-Rec Equations'!$B$23)*((('Res-Rec Equations'!$B$26*'Res-Rec Equations'!$B$37*'Res-Rec Equations'!$B$40)/'Res-Rec Equations'!$B$32)+(('Res-Rec Equations'!$B$27*'Res-Rec Equations'!$B$38*'Res-Rec Equations'!$B$41)/'Res-Rec Equations'!$B$33)+(('Res-Rec Equations'!$B$28*'Res-Rec Equations'!$B$39*'Res-Rec Equations'!$B$42)/'Res-Rec Equations'!$B$34)))))</f>
        <v>NA</v>
      </c>
      <c r="J70" s="369" t="str">
        <f>IF('Chemical Info'!J71="NA","NA",IF(AND(E70="NA",'Chemical Info'!D71="Yes"),'Res-Rec Equations'!$B$22*1000*(('Res-Rec Equations'!$B$26*'Chemical Info'!J71*'Res-Rec Equations'!$B$59)+('Res-Rec Equations'!$B$27*'Chemical Info'!J71*'Res-Rec Equations'!$B$60)+('Res-Rec Equations'!$B$28*'Chemical Info'!J71*'Res-Rec Equations'!$B$61))*'Res-Rec Calculations'!C70,IF(AND(E70="NA",'Chemical Info'!D71=""),'Res-Rec Equations'!$B$22*1000*'Res-Rec Equations'!$B$25*'Chemical Info'!J71*'Res-Rec Calculations'!C70,IF(AND('Chemical Info'!E71="Yes",'Chemical Info'!D71="Yes"),'Res-Rec Equations'!$B$22*1000*(('Res-Rec Equations'!$B$26*'Chemical Info'!J71*'Res-Rec Equations'!$B$59)+('Res-Rec Equations'!$B$27*'Chemical Info'!J71*'Res-Rec Equations'!$B$60)+('Res-Rec Equations'!$B$28*'Chemical Info'!J71*'Res-Rec Equations'!$B$61))*'Res-Rec Calculations'!E70,IF(AND('Chemical Info'!E71="Yes",'Chemical Info'!D71=""),'Res-Rec Equations'!$B$22*1000*'Res-Rec Equations'!$B$25*'Chemical Info'!J71*'Res-Rec Calculations'!E70,IF('Chemical Info'!D71="Yes",'Res-Rec Equations'!$B$22*1000*(('Res-Rec Equations'!$B$26*'Chemical Info'!J71*'Res-Rec Equations'!$B$59)+('Res-Rec Equations'!$B$27*'Chemical Info'!J71*'Res-Rec Equations'!$B$60)+('Res-Rec Equations'!$B$28*'Chemical Info'!J71*'Res-Rec Equations'!$B$61))*('Res-Rec Calculations'!C70+'Res-Rec Calculations'!E70),IF('Chemical Info'!D71="",'Res-Rec Equations'!$B$22*1000*'Res-Rec Equations'!$B$25*'Chemical Info'!J71*('Res-Rec Calculations'!C70+'Res-Rec Calculations'!E70))))))))</f>
        <v>NA</v>
      </c>
      <c r="K70" s="370" t="str">
        <f>IF('Chemical Info'!J71="NA","NA",IF(AND(F70="NA",'Chemical Info'!D71="Yes"),'Res-Rec Equations'!$B$22*1000*(('Res-Rec Equations'!$B$26*'Chemical Info'!J71*'Res-Rec Equations'!$B$59)+('Res-Rec Equations'!$B$27*'Chemical Info'!J71*'Res-Rec Equations'!$B$60)+('Res-Rec Equations'!$B$28*'Chemical Info'!J71*'Res-Rec Equations'!$B$61))*'Res-Rec Calculations'!C70,IF(AND(F70="NA",'Chemical Info'!D71=""),'Res-Rec Equations'!$B$22*1000*'Res-Rec Equations'!$B$25*'Chemical Info'!J71*'Res-Rec Calculations'!C70,IF(AND('Chemical Info'!F71="Yes",'Chemical Info'!D71="Yes"),'Res-Rec Equations'!$B$22*1000*(('Res-Rec Equations'!$B$26*'Chemical Info'!J71*'Res-Rec Equations'!$B$59)+('Res-Rec Equations'!$B$27*'Chemical Info'!J71*'Res-Rec Equations'!$B$60)+('Res-Rec Equations'!$B$28*'Chemical Info'!J71*'Res-Rec Equations'!$B$61))*'Res-Rec Calculations'!F70,IF(AND('Chemical Info'!F71="Yes",'Chemical Info'!D71=""),'Res-Rec Equations'!$B$22*1000*'Res-Rec Equations'!$B$25*'Chemical Info'!J71*'Res-Rec Calculations'!F70,IF('Chemical Info'!D71="Yes",'Res-Rec Equations'!$B$22*1000*(('Res-Rec Equations'!$B$26*'Chemical Info'!J71*'Res-Rec Equations'!$B$59)+('Res-Rec Equations'!$B$27*'Chemical Info'!J71*'Res-Rec Equations'!$B$60)+('Res-Rec Equations'!$B$28*'Chemical Info'!J71*'Res-Rec Equations'!$B$61))*('Res-Rec Calculations'!C70+'Res-Rec Calculations'!F70),IF('Chemical Info'!D71="",'Res-Rec Equations'!$B$22*1000*'Res-Rec Equations'!$B$25*'Chemical Info'!J71*('Res-Rec Calculations'!C70+'Res-Rec Calculations'!F70))))))))</f>
        <v>NA</v>
      </c>
      <c r="L70" s="167" t="str">
        <f>IF(AND(H70="NA",I70="NA",J70="NA"),"NA",IF(H70="NA",'Res-Rec Equations'!$B$15*'Res-Rec Equations'!$B$16/J70,IF(J70="NA",'Res-Rec Equations'!$B$15*'Res-Rec Equations'!$B$16/(H70+I70),'Res-Rec Equations'!$B$15*'Res-Rec Equations'!$B$16/(H70+I70+J70))))</f>
        <v>NA</v>
      </c>
      <c r="M70" s="167" t="str">
        <f>IF(AND(H70="NA",I70="NA",K70="NA"),"NA",IF(H70="NA",'Res-Rec Equations'!$B$15*'Res-Rec Equations'!$B$16/K70,IF(K70="NA",'Res-Rec Equations'!$B$15*'Res-Rec Equations'!$B$16/(H70+I70),'Res-Rec Equations'!$B$15*'Res-Rec Equations'!$B$16/(H70+I70+K70))))</f>
        <v>NA</v>
      </c>
      <c r="N70" s="167" t="str">
        <f t="shared" ref="N70" si="68">IF(AND(L70="NA",M70="NA"),"NA",MAX(L70,M70))</f>
        <v>NA</v>
      </c>
      <c r="O70" s="371">
        <f>IF('Chemical Info'!L71="NA","NA",IF('Chemical Info'!E71="Yes",(('Res-Rec Equations'!$B$76*'Chemical Info'!AD71*'Res-Rec Equations'!$B$78*'Res-Rec Equations'!$B$79*'Res-Rec Equations'!$B$81)/('Res-Rec Equations'!$B$84*'Res-Rec Equations'!$B$85))/'Chemical Info'!L71,(('Res-Rec Equations'!$B$76*'Chemical Info'!AD71*'Res-Rec Equations'!$B$78*'Res-Rec Equations'!$B$79*'Res-Rec Equations'!$B$80)/('Res-Rec Equations'!$B$84*'Res-Rec Equations'!$B$85))/'Chemical Info'!L71))</f>
        <v>2.1743857360295715E-4</v>
      </c>
      <c r="P70" s="166">
        <f>IF('Chemical Info'!L71="NA","NA", IF('Chemical Info'!E71="Yes",0,((('Res-Rec Equations'!$B$87*'Res-Rec Equations'!$B$88*'Res-Rec Equations'!$B$78*'Res-Rec Equations'!$B$82*'Res-Rec Equations'!$B$79*'Chemical Info'!AB71)/('Res-Rec Equations'!$B$84*'Res-Rec Equations'!$B$85))/('Chemical Info'!L71*'Chemical Info'!AF71))))</f>
        <v>0</v>
      </c>
      <c r="Q70" s="166" t="str">
        <f>IF('Chemical Info'!N71="NA","NA",IF('Res-Rec Calculations'!E70="NA",(('Res-Rec Equations'!$B$83*'Res-Rec Equations'!$B$79*'Res-Rec Calculations'!C70)/('Res-Rec Equations'!$B$85))/('Chemical Info'!N71),IF('Chemical Info'!E71="Yes",(('Res-Rec Equations'!$B$83*'Res-Rec Equations'!$B$79*'Res-Rec Calculations'!E70)/('Res-Rec Equations'!$B$85))/('Chemical Info'!N71),(('Res-Rec Equations'!$B$83*'Res-Rec Equations'!$B$79*('Res-Rec Calculations'!C70+'Res-Rec Calculations'!E70))/('Res-Rec Equations'!$B$85))/('Chemical Info'!N71))))</f>
        <v>NA</v>
      </c>
      <c r="R70" s="166" t="str">
        <f>IF('Chemical Info'!N71="NA","NA",IF('Res-Rec Calculations'!F70="NA",(('Res-Rec Equations'!$B$83*'Res-Rec Equations'!$B$79*'Res-Rec Calculations'!C70)/('Res-Rec Equations'!$B$85))/('Chemical Info'!N71),IF('Chemical Info'!E71="Yes",(('Res-Rec Equations'!$B$83*'Res-Rec Equations'!$B$79*'Res-Rec Calculations'!F70)/('Res-Rec Equations'!$B$85))/('Chemical Info'!N71),(('Res-Rec Equations'!$B$83*'Res-Rec Equations'!$B$79*('Res-Rec Calculations'!C70+'Res-Rec Calculations'!F70))/('Res-Rec Equations'!$B$85))/('Chemical Info'!N71))))</f>
        <v>NA</v>
      </c>
      <c r="S70" s="167">
        <f>IF(AND(O70="NA",P70="NA",Q70="NA"),"NA",IF(O70="NA",'Res-Rec Equations'!$B$75/Q70,IF(Q70="NA",'Res-Rec Equations'!$B$75/(O70+P70),'Res-Rec Equations'!$B$75/(O70+P70+Q70))))</f>
        <v>919.80000000000007</v>
      </c>
      <c r="T70" s="167">
        <f>IF(AND(O70="NA",P70="NA",R70="NA"),"NA",IF(O70="NA",'Res-Rec Equations'!$B$75/R70,IF(R70="NA",'Res-Rec Equations'!$B$75/(O70+P70),'Res-Rec Equations'!$B$75/(O70+P70+R70))))</f>
        <v>919.80000000000007</v>
      </c>
      <c r="U70" s="168">
        <f t="shared" ref="U70" si="69">IF(AND(S70="NA",T70="NA"),"NA",MAX(S70,T70))</f>
        <v>919.80000000000007</v>
      </c>
      <c r="V70" s="167" t="str">
        <f>IF('Chemical Info'!P71="NA","NA",(('Res-Rec Equations'!$B$185*'Res-Rec Equations'!$B$186)/('Res-Rec Equations'!$B$187*'Res-Rec Equations'!$B$188*(1/'Chemical Info'!P71))))</f>
        <v>NA</v>
      </c>
      <c r="W70" s="379" t="str">
        <f t="shared" ref="W70" si="70">IF(V70="NA","NA",IF(V70&gt;100000,100000,IF(ISNUMBER(ROUND(V70*1000000,2-LEN(INT(V70*1000000)))/1000000),ROUND(V70*1000000,2-LEN(INT(V70*1000000)))/1000000,"NA")))</f>
        <v>NA</v>
      </c>
      <c r="X70" s="372">
        <f t="shared" ref="X70" si="71">IF(AND(N70="NA",U70="NA",G70="NA"),"NA",MIN(N70,U70,G70))</f>
        <v>919.80000000000007</v>
      </c>
      <c r="Y70" s="62">
        <f t="shared" ref="Y70" si="72">IF(X70&gt;100000,100000,IF(ISNUMBER(ROUND(X70*1000000,2-LEN(INT(X70*1000000)))/1000000),ROUND(X70*1000000,2-LEN(INT(X70*1000000)))/1000000,"NA"))</f>
        <v>920</v>
      </c>
      <c r="Z70" s="100" t="str">
        <f t="shared" ref="Z70" si="73">IF(Y70=100000,"Max Limit",IF(X70=G70,"Csat",IF(X70=N70,"Cancer",IF(X70=V70,"Acute",IF(X70=U70,"Noncancer","")))))</f>
        <v>Noncancer</v>
      </c>
      <c r="AA70" s="373"/>
    </row>
    <row r="71" spans="1:27">
      <c r="A71" s="413" t="s">
        <v>1228</v>
      </c>
      <c r="B71" s="566" t="s">
        <v>1229</v>
      </c>
      <c r="C71" s="367">
        <f>1/(('Res-Rec Equations'!$B$152*3600)/((0.036*(1-'Res-Rec Equations'!$B$153))*('Res-Rec Equations'!$B$154/'Res-Rec Equations'!$B$155)^3*'Res-Rec Equations'!$B$156))</f>
        <v>7.3567680901159717E-10</v>
      </c>
      <c r="D71" s="368">
        <f>(('Res-Rec Equations'!$B$132^(10/3)*'Chemical Info'!$AH72*'Chemical Info'!$AN72*41+'Res-Rec Equations'!$B$135^(10/3)*'Chemical Info'!$AJ72)/'Res-Rec Equations'!$B$137^2)/('Res-Rec Equations'!$B$139*'Chemical Info'!$AL72*'Res-Rec Equations'!$B$142+'Res-Rec Equations'!$B$135+'Res-Rec Equations'!$B$132*'Chemical Info'!$AN72*41)</f>
        <v>9.4590034898362971E-4</v>
      </c>
      <c r="E71" s="368">
        <f>IF(D71=0,"NA",1/(('Res-Rec Equations'!$B$103*(3.14*'Res-Rec Calculations'!$D71*'Res-Rec Equations'!$B$105)^(1/2)*0.0001)/(2*'Res-Rec Equations'!$B$106*'Res-Rec Calculations'!$D71)))</f>
        <v>1.8053078753660351E-4</v>
      </c>
      <c r="F71" s="368">
        <f>IF(D71=0,"NA",(1/('Res-Rec Equations'!$B$117*('Res-Rec Equations'!$B$118*(31500000))/('Res-Rec Equations'!$B$119*'Res-Rec Equations'!$B$120*1000000))))</f>
        <v>6.1914410640015851E-5</v>
      </c>
      <c r="G71" s="167">
        <f>IF('Chemical Info'!E72="Yes",('Chemical Info'!AP72/'Res-Rec Equations'!$B$168)*((('Chemical Info'!AL72*'Res-Rec Equations'!$B$170)*'Res-Rec Equations'!$B$168)+'Res-Rec Equations'!$B$171+('Chemical Info'!AN72*41)*'Res-Rec Equations'!$B$173),"NA")</f>
        <v>2867.6576</v>
      </c>
      <c r="H71" s="112" t="str">
        <f>IF('Chemical Info'!H72="NA","NA",IF(AND('Chemical Info'!E72="Yes",'Chemical Info'!D72="Yes"),'Chemical Info'!H72*'Chemical Info'!AD72*'Res-Rec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Info'!E72="Yes",'Chemical Info'!D72=""),'Chemical Info'!H72*'Chemical Info'!AD72*'Res-Rec Equations'!$B$20*'Res-Rec Equations'!$B$23*((('Res-Rec Equations'!$B$26*'Res-Rec Equations'!$B$29)/'Res-Rec Equations'!$B$32)+(('Res-Rec Equations'!$B$27*'Res-Rec Equations'!$B$30)/'Res-Rec Equations'!$B$33)+(('Res-Rec Equations'!$B$28*'Res-Rec Equations'!$B$31)/'Res-Rec Equations'!$B$34)),IF(AND('Chemical Info'!E72="No",'Chemical Info'!D72="Yes"),'Chemical Info'!H72*'Chemical Info'!AD72*'Res-Rec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Info'!E72="No",'Chemical Info'!D72=""),'Chemical Info'!H72*'Chemical Info'!AD72*'Res-Rec Equations'!$B$19*'Res-Rec Equations'!$B$23*((('Res-Rec Equations'!$B$26*'Res-Rec Equations'!$B$29)/'Res-Rec Equations'!$B$32)+(('Res-Rec Equations'!$B$27*'Res-Rec Equations'!$B$30)/'Res-Rec Equations'!$B$33)+(('Res-Rec Equations'!$B$28*'Res-Rec Equations'!$B$31)/'Res-Rec Equations'!$B$34)))))))</f>
        <v>NA</v>
      </c>
      <c r="I71" s="166" t="str">
        <f>IF('Chemical Info'!H72="NA","NA",IF('Chemical Info'!E72="Yes",0,IF('Chemical Info'!D72="Yes",'Chemical Info'!H72/'Chemical Info'!AF72*('Res-Rec Equations'!$B$21*'Chemical Info'!AB72*'Res-Rec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Info'!H72/'Chemical Info'!AF72*('Res-Rec Equations'!$B$21*'Chemical Info'!AB72*'Res-Rec Equations'!$B$23)*((('Res-Rec Equations'!$B$26*'Res-Rec Equations'!$B$37*'Res-Rec Equations'!$B$40)/'Res-Rec Equations'!$B$32)+(('Res-Rec Equations'!$B$27*'Res-Rec Equations'!$B$38*'Res-Rec Equations'!$B$41)/'Res-Rec Equations'!$B$33)+(('Res-Rec Equations'!$B$28*'Res-Rec Equations'!$B$39*'Res-Rec Equations'!$B$42)/'Res-Rec Equations'!$B$34)))))</f>
        <v>NA</v>
      </c>
      <c r="J71" s="369">
        <f>IF('Chemical Info'!J72="NA","NA",IF(AND(E71="NA",'Chemical Info'!D72="Yes"),'Res-Rec Equations'!$B$22*1000*(('Res-Rec Equations'!$B$26*'Chemical Info'!J72*'Res-Rec Equations'!$B$59)+('Res-Rec Equations'!$B$27*'Chemical Info'!J72*'Res-Rec Equations'!$B$60)+('Res-Rec Equations'!$B$28*'Chemical Info'!J72*'Res-Rec Equations'!$B$61))*'Res-Rec Calculations'!C71,IF(AND(E71="NA",'Chemical Info'!D72=""),'Res-Rec Equations'!$B$22*1000*'Res-Rec Equations'!$B$25*'Chemical Info'!J72*'Res-Rec Calculations'!C71,IF(AND('Chemical Info'!E72="Yes",'Chemical Info'!D72="Yes"),'Res-Rec Equations'!$B$22*1000*(('Res-Rec Equations'!$B$26*'Chemical Info'!J72*'Res-Rec Equations'!$B$59)+('Res-Rec Equations'!$B$27*'Chemical Info'!J72*'Res-Rec Equations'!$B$60)+('Res-Rec Equations'!$B$28*'Chemical Info'!J72*'Res-Rec Equations'!$B$61))*'Res-Rec Calculations'!E71,IF(AND('Chemical Info'!E72="Yes",'Chemical Info'!D72=""),'Res-Rec Equations'!$B$22*1000*'Res-Rec Equations'!$B$25*'Chemical Info'!J72*'Res-Rec Calculations'!E71,IF('Chemical Info'!D72="Yes",'Res-Rec Equations'!$B$22*1000*(('Res-Rec Equations'!$B$26*'Chemical Info'!J72*'Res-Rec Equations'!$B$59)+('Res-Rec Equations'!$B$27*'Chemical Info'!J72*'Res-Rec Equations'!$B$60)+('Res-Rec Equations'!$B$28*'Chemical Info'!J72*'Res-Rec Equations'!$B$61))*('Res-Rec Calculations'!C71+'Res-Rec Calculations'!E71),IF('Chemical Info'!D72="",'Res-Rec Equations'!$B$22*1000*'Res-Rec Equations'!$B$25*'Chemical Info'!J72*('Res-Rec Calculations'!C71+'Res-Rec Calculations'!E71))))))))</f>
        <v>9.387600951903383E-5</v>
      </c>
      <c r="K71" s="370">
        <f>IF('Chemical Info'!J72="NA","NA",IF(AND(F71="NA",'Chemical Info'!D72="Yes"),'Res-Rec Equations'!$B$22*1000*(('Res-Rec Equations'!$B$26*'Chemical Info'!J72*'Res-Rec Equations'!$B$59)+('Res-Rec Equations'!$B$27*'Chemical Info'!J72*'Res-Rec Equations'!$B$60)+('Res-Rec Equations'!$B$28*'Chemical Info'!J72*'Res-Rec Equations'!$B$61))*'Res-Rec Calculations'!C71,IF(AND(F71="NA",'Chemical Info'!D72=""),'Res-Rec Equations'!$B$22*1000*'Res-Rec Equations'!$B$25*'Chemical Info'!J72*'Res-Rec Calculations'!C71,IF(AND('Chemical Info'!F72="Yes",'Chemical Info'!D72="Yes"),'Res-Rec Equations'!$B$22*1000*(('Res-Rec Equations'!$B$26*'Chemical Info'!J72*'Res-Rec Equations'!$B$59)+('Res-Rec Equations'!$B$27*'Chemical Info'!J72*'Res-Rec Equations'!$B$60)+('Res-Rec Equations'!$B$28*'Chemical Info'!J72*'Res-Rec Equations'!$B$61))*'Res-Rec Calculations'!F71,IF(AND('Chemical Info'!F72="Yes",'Chemical Info'!D72=""),'Res-Rec Equations'!$B$22*1000*'Res-Rec Equations'!$B$25*'Chemical Info'!J72*'Res-Rec Calculations'!F71,IF('Chemical Info'!D72="Yes",'Res-Rec Equations'!$B$22*1000*(('Res-Rec Equations'!$B$26*'Chemical Info'!J72*'Res-Rec Equations'!$B$59)+('Res-Rec Equations'!$B$27*'Chemical Info'!J72*'Res-Rec Equations'!$B$60)+('Res-Rec Equations'!$B$28*'Chemical Info'!J72*'Res-Rec Equations'!$B$61))*('Res-Rec Calculations'!C71+'Res-Rec Calculations'!F71),IF('Chemical Info'!D72="",'Res-Rec Equations'!$B$22*1000*'Res-Rec Equations'!$B$25*'Chemical Info'!J72*('Res-Rec Calculations'!C71+'Res-Rec Calculations'!F71))))))))</f>
        <v>3.2195876084748928E-5</v>
      </c>
      <c r="L71" s="167">
        <f>IF(AND(H71="NA",I71="NA",J71="NA"),"NA",IF(H71="NA",'Res-Rec Equations'!$B$15*'Res-Rec Equations'!$B$16/J71,IF(J71="NA",'Res-Rec Equations'!$B$15*'Res-Rec Equations'!$B$16/(H71+I71),'Res-Rec Equations'!$B$15*'Res-Rec Equations'!$B$16/(H71+I71+J71))))</f>
        <v>2721.6751256155185</v>
      </c>
      <c r="M71" s="167">
        <f>IF(AND(H71="NA",I71="NA",K71="NA"),"NA",IF(H71="NA",'Res-Rec Equations'!$B$15*'Res-Rec Equations'!$B$16/K71,IF(K71="NA",'Res-Rec Equations'!$B$15*'Res-Rec Equations'!$B$16/(H71+I71),'Res-Rec Equations'!$B$15*'Res-Rec Equations'!$B$16/(H71+I71+K71))))</f>
        <v>7935.7989615641936</v>
      </c>
      <c r="N71" s="167">
        <f t="shared" ref="N71" si="74">IF(AND(L71="NA",M71="NA"),"NA",MAX(L71,M71))</f>
        <v>7935.7989615641936</v>
      </c>
      <c r="O71" s="371">
        <f>IF('Chemical Info'!L72="NA","NA",IF('Chemical Info'!E72="Yes",(('Res-Rec Equations'!$B$76*'Chemical Info'!AD72*'Res-Rec Equations'!$B$78*'Res-Rec Equations'!$B$79*'Res-Rec Equations'!$B$81)/('Res-Rec Equations'!$B$84*'Res-Rec Equations'!$B$85))/'Chemical Info'!L72,(('Res-Rec Equations'!$B$76*'Chemical Info'!AD72*'Res-Rec Equations'!$B$78*'Res-Rec Equations'!$B$79*'Res-Rec Equations'!$B$80)/('Res-Rec Equations'!$B$84*'Res-Rec Equations'!$B$85))/'Chemical Info'!L72))</f>
        <v>9.1324200913242012E-6</v>
      </c>
      <c r="P71" s="166">
        <f>IF('Chemical Info'!L72="NA","NA", IF('Chemical Info'!E72="Yes",0,((('Res-Rec Equations'!$B$87*'Res-Rec Equations'!$B$88*'Res-Rec Equations'!$B$78*'Res-Rec Equations'!$B$82*'Res-Rec Equations'!$B$79*'Chemical Info'!AB72)/('Res-Rec Equations'!$B$84*'Res-Rec Equations'!$B$85))/('Chemical Info'!L72*'Chemical Info'!AF72))))</f>
        <v>0</v>
      </c>
      <c r="Q71" s="166">
        <f>IF('Chemical Info'!N72="NA","NA",IF('Res-Rec Calculations'!E71="NA",(('Res-Rec Equations'!$B$83*'Res-Rec Equations'!$B$79*'Res-Rec Calculations'!C71)/('Res-Rec Equations'!$B$85))/('Chemical Info'!N72),IF('Chemical Info'!E72="Yes",(('Res-Rec Equations'!$B$83*'Res-Rec Equations'!$B$79*'Res-Rec Calculations'!E71)/('Res-Rec Equations'!$B$85))/('Chemical Info'!N72),(('Res-Rec Equations'!$B$83*'Res-Rec Equations'!$B$79*('Res-Rec Calculations'!C71+'Res-Rec Calculations'!E71))/('Res-Rec Equations'!$B$85))/('Chemical Info'!N72))))</f>
        <v>3.0912806085034852E-6</v>
      </c>
      <c r="R71" s="166">
        <f>IF('Chemical Info'!N72="NA","NA",IF('Res-Rec Calculations'!F71="NA",(('Res-Rec Equations'!$B$83*'Res-Rec Equations'!$B$79*'Res-Rec Calculations'!C71)/('Res-Rec Equations'!$B$85))/('Chemical Info'!N72),IF('Chemical Info'!E72="Yes",(('Res-Rec Equations'!$B$83*'Res-Rec Equations'!$B$79*'Res-Rec Calculations'!F71)/('Res-Rec Equations'!$B$85))/('Chemical Info'!N72),(('Res-Rec Equations'!$B$83*'Res-Rec Equations'!$B$79*('Res-Rec Calculations'!C71+'Res-Rec Calculations'!F71))/('Res-Rec Equations'!$B$85))/('Chemical Info'!N72))))</f>
        <v>1.0601782643838329E-6</v>
      </c>
      <c r="S71" s="167">
        <f>IF(AND(O71="NA",P71="NA",Q71="NA"),"NA",IF(O71="NA",'Res-Rec Equations'!$B$75/Q71,IF(Q71="NA",'Res-Rec Equations'!$B$75/(O71+P71),'Res-Rec Equations'!$B$75/(O71+P71+Q71))))</f>
        <v>16361.657153698088</v>
      </c>
      <c r="T71" s="167">
        <f>IF(AND(O71="NA",P71="NA",R71="NA"),"NA",IF(O71="NA",'Res-Rec Equations'!$B$75/R71,IF(R71="NA",'Res-Rec Equations'!$B$75/(O71+P71),'Res-Rec Equations'!$B$75/(O71+P71+R71))))</f>
        <v>19622.081928500251</v>
      </c>
      <c r="U71" s="168">
        <f t="shared" ref="U71" si="75">IF(AND(S71="NA",T71="NA"),"NA",MAX(S71,T71))</f>
        <v>19622.081928500251</v>
      </c>
      <c r="V71" s="167" t="str">
        <f>IF('Chemical Info'!P72="NA","NA",(('Res-Rec Equations'!$B$185*'Res-Rec Equations'!$B$186)/('Res-Rec Equations'!$B$187*'Res-Rec Equations'!$B$188*(1/'Chemical Info'!P72))))</f>
        <v>NA</v>
      </c>
      <c r="W71" s="379" t="str">
        <f t="shared" ref="W71" si="76">IF(V71="NA","NA",IF(V71&gt;100000,100000,IF(ISNUMBER(ROUND(V71*1000000,2-LEN(INT(V71*1000000)))/1000000),ROUND(V71*1000000,2-LEN(INT(V71*1000000)))/1000000,"NA")))</f>
        <v>NA</v>
      </c>
      <c r="X71" s="372">
        <f t="shared" ref="X71" si="77">IF(AND(N71="NA",U71="NA",G71="NA"),"NA",MIN(N71,U71,G71))</f>
        <v>2867.6576</v>
      </c>
      <c r="Y71" s="62">
        <f t="shared" ref="Y71" si="78">IF(X71&gt;100000,100000,IF(ISNUMBER(ROUND(X71*1000000,2-LEN(INT(X71*1000000)))/1000000),ROUND(X71*1000000,2-LEN(INT(X71*1000000)))/1000000,"NA"))</f>
        <v>2900</v>
      </c>
      <c r="Z71" s="100" t="str">
        <f t="shared" ref="Z71" si="79">IF(Y71=100000,"Max Limit",IF(X71=G71,"Csat",IF(X71=N71,"Cancer",IF(X71=V71,"Acute",IF(X71=U71,"Noncancer","")))))</f>
        <v>Csat</v>
      </c>
      <c r="AA71" s="373"/>
    </row>
    <row r="72" spans="1:27">
      <c r="A72" s="413" t="s">
        <v>1167</v>
      </c>
      <c r="B72" s="566" t="s">
        <v>1168</v>
      </c>
      <c r="C72" s="367">
        <f>1/(('Res-Rec Equations'!$B$152*3600)/((0.036*(1-'Res-Rec Equations'!$B$153))*('Res-Rec Equations'!$B$154/'Res-Rec Equations'!$B$155)^3*'Res-Rec Equations'!$B$156))</f>
        <v>7.3567680901159717E-10</v>
      </c>
      <c r="D72" s="368">
        <f>(('Res-Rec Equations'!$B$132^(10/3)*'Chemical Info'!$AH73*'Chemical Info'!$AN73*41+'Res-Rec Equations'!$B$135^(10/3)*'Chemical Info'!$AJ73)/'Res-Rec Equations'!$B$137^2)/('Res-Rec Equations'!$B$139*'Chemical Info'!$AL73*'Res-Rec Equations'!$B$142+'Res-Rec Equations'!$B$135+'Res-Rec Equations'!$B$132*'Chemical Info'!$AN73*41)</f>
        <v>3.5708096391766474E-5</v>
      </c>
      <c r="E72" s="368">
        <f>IF(D72=0,"NA",1/(('Res-Rec Equations'!$B$103*(3.14*'Res-Rec Calculations'!$D72*'Res-Rec Equations'!$B$105)^(1/2)*0.0001)/(2*'Res-Rec Equations'!$B$106*'Res-Rec Calculations'!$D72)))</f>
        <v>3.5076151166602715E-5</v>
      </c>
      <c r="F72" s="368">
        <f>IF(D72=0,"NA",(1/('Res-Rec Equations'!$B$117*('Res-Rec Equations'!$B$118*(31500000))/('Res-Rec Equations'!$B$119*'Res-Rec Equations'!$B$120*1000000))))</f>
        <v>6.1914410640015851E-5</v>
      </c>
      <c r="G72" s="167">
        <f>IF('Chemical Info'!E73="Yes",('Chemical Info'!AP73/'Res-Rec Equations'!$B$168)*((('Chemical Info'!AL73*'Res-Rec Equations'!$B$170)*'Res-Rec Equations'!$B$168)+'Res-Rec Equations'!$B$171+('Chemical Info'!AN73*41)*'Res-Rec Equations'!$B$173),"NA")</f>
        <v>10522.560181866667</v>
      </c>
      <c r="H72" s="112">
        <f>IF('Chemical Info'!H73="NA","NA",IF(AND('Chemical Info'!E73="Yes",'Chemical Info'!D73="Yes"),'Chemical Info'!H73*'Chemical Info'!AD73*'Res-Rec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Info'!E73="Yes",'Chemical Info'!D73=""),'Chemical Info'!H73*'Chemical Info'!AD73*'Res-Rec Equations'!$B$20*'Res-Rec Equations'!$B$23*((('Res-Rec Equations'!$B$26*'Res-Rec Equations'!$B$29)/'Res-Rec Equations'!$B$32)+(('Res-Rec Equations'!$B$27*'Res-Rec Equations'!$B$30)/'Res-Rec Equations'!$B$33)+(('Res-Rec Equations'!$B$28*'Res-Rec Equations'!$B$31)/'Res-Rec Equations'!$B$34)),IF(AND('Chemical Info'!E73="No",'Chemical Info'!D73="Yes"),'Chemical Info'!H73*'Chemical Info'!AD73*'Res-Rec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Info'!E73="No",'Chemical Info'!D73=""),'Chemical Info'!H73*'Chemical Info'!AD73*'Res-Rec Equations'!$B$19*'Res-Rec Equations'!$B$23*((('Res-Rec Equations'!$B$26*'Res-Rec Equations'!$B$29)/'Res-Rec Equations'!$B$32)+(('Res-Rec Equations'!$B$27*'Res-Rec Equations'!$B$30)/'Res-Rec Equations'!$B$33)+(('Res-Rec Equations'!$B$28*'Res-Rec Equations'!$B$31)/'Res-Rec Equations'!$B$34)))))))</f>
        <v>3.1886308677098153E-4</v>
      </c>
      <c r="I72" s="166">
        <f>IF('Chemical Info'!H73="NA","NA",IF('Chemical Info'!E73="Yes",0,IF('Chemical Info'!D73="Yes",'Chemical Info'!H73/'Chemical Info'!AF73*('Res-Rec Equations'!$B$21*'Chemical Info'!AB73*'Res-Rec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Info'!H73/'Chemical Info'!AF73*('Res-Rec Equations'!$B$21*'Chemical Info'!AB73*'Res-Rec Equations'!$B$23)*((('Res-Rec Equations'!$B$26*'Res-Rec Equations'!$B$37*'Res-Rec Equations'!$B$40)/'Res-Rec Equations'!$B$32)+(('Res-Rec Equations'!$B$27*'Res-Rec Equations'!$B$38*'Res-Rec Equations'!$B$41)/'Res-Rec Equations'!$B$33)+(('Res-Rec Equations'!$B$28*'Res-Rec Equations'!$B$39*'Res-Rec Equations'!$B$42)/'Res-Rec Equations'!$B$34)))))</f>
        <v>0</v>
      </c>
      <c r="J72" s="369">
        <f>IF('Chemical Info'!J73="NA","NA",IF(AND(E72="NA",'Chemical Info'!D73="Yes"),'Res-Rec Equations'!$B$22*1000*(('Res-Rec Equations'!$B$26*'Chemical Info'!J73*'Res-Rec Equations'!$B$59)+('Res-Rec Equations'!$B$27*'Chemical Info'!J73*'Res-Rec Equations'!$B$60)+('Res-Rec Equations'!$B$28*'Chemical Info'!J73*'Res-Rec Equations'!$B$61))*'Res-Rec Calculations'!C72,IF(AND(E72="NA",'Chemical Info'!D73=""),'Res-Rec Equations'!$B$22*1000*'Res-Rec Equations'!$B$25*'Chemical Info'!J73*'Res-Rec Calculations'!C72,IF(AND('Chemical Info'!E73="Yes",'Chemical Info'!D73="Yes"),'Res-Rec Equations'!$B$22*1000*(('Res-Rec Equations'!$B$26*'Chemical Info'!J73*'Res-Rec Equations'!$B$59)+('Res-Rec Equations'!$B$27*'Chemical Info'!J73*'Res-Rec Equations'!$B$60)+('Res-Rec Equations'!$B$28*'Chemical Info'!J73*'Res-Rec Equations'!$B$61))*'Res-Rec Calculations'!E72,IF(AND('Chemical Info'!E73="Yes",'Chemical Info'!D73=""),'Res-Rec Equations'!$B$22*1000*'Res-Rec Equations'!$B$25*'Chemical Info'!J73*'Res-Rec Calculations'!E72,IF('Chemical Info'!D73="Yes",'Res-Rec Equations'!$B$22*1000*(('Res-Rec Equations'!$B$26*'Chemical Info'!J73*'Res-Rec Equations'!$B$59)+('Res-Rec Equations'!$B$27*'Chemical Info'!J73*'Res-Rec Equations'!$B$60)+('Res-Rec Equations'!$B$28*'Chemical Info'!J73*'Res-Rec Equations'!$B$61))*('Res-Rec Calculations'!C72+'Res-Rec Calculations'!E72),IF('Chemical Info'!D73="",'Res-Rec Equations'!$B$22*1000*'Res-Rec Equations'!$B$25*'Chemical Info'!J73*('Res-Rec Calculations'!C72+'Res-Rec Calculations'!E72))))))))</f>
        <v>2.7359397909950116E-4</v>
      </c>
      <c r="K72" s="370">
        <f>IF('Chemical Info'!J73="NA","NA",IF(AND(F72="NA",'Chemical Info'!D73="Yes"),'Res-Rec Equations'!$B$22*1000*(('Res-Rec Equations'!$B$26*'Chemical Info'!J73*'Res-Rec Equations'!$B$59)+('Res-Rec Equations'!$B$27*'Chemical Info'!J73*'Res-Rec Equations'!$B$60)+('Res-Rec Equations'!$B$28*'Chemical Info'!J73*'Res-Rec Equations'!$B$61))*'Res-Rec Calculations'!C72,IF(AND(F72="NA",'Chemical Info'!D73=""),'Res-Rec Equations'!$B$22*1000*'Res-Rec Equations'!$B$25*'Chemical Info'!J73*'Res-Rec Calculations'!C72,IF(AND('Chemical Info'!F73="Yes",'Chemical Info'!D73="Yes"),'Res-Rec Equations'!$B$22*1000*(('Res-Rec Equations'!$B$26*'Chemical Info'!J73*'Res-Rec Equations'!$B$59)+('Res-Rec Equations'!$B$27*'Chemical Info'!J73*'Res-Rec Equations'!$B$60)+('Res-Rec Equations'!$B$28*'Chemical Info'!J73*'Res-Rec Equations'!$B$61))*'Res-Rec Calculations'!F72,IF(AND('Chemical Info'!F73="Yes",'Chemical Info'!D73=""),'Res-Rec Equations'!$B$22*1000*'Res-Rec Equations'!$B$25*'Chemical Info'!J73*'Res-Rec Calculations'!F72,IF('Chemical Info'!D73="Yes",'Res-Rec Equations'!$B$22*1000*(('Res-Rec Equations'!$B$26*'Chemical Info'!J73*'Res-Rec Equations'!$B$59)+('Res-Rec Equations'!$B$27*'Chemical Info'!J73*'Res-Rec Equations'!$B$60)+('Res-Rec Equations'!$B$28*'Chemical Info'!J73*'Res-Rec Equations'!$B$61))*('Res-Rec Calculations'!C72+'Res-Rec Calculations'!F72),IF('Chemical Info'!D73="",'Res-Rec Equations'!$B$22*1000*'Res-Rec Equations'!$B$25*'Chemical Info'!J73*('Res-Rec Calculations'!C72+'Res-Rec Calculations'!F72))))))))</f>
        <v>4.8293814127123389E-4</v>
      </c>
      <c r="L72" s="167">
        <f>IF(AND(H72="NA",I72="NA",J72="NA"),"NA",IF(H72="NA",'Res-Rec Equations'!$B$15*'Res-Rec Equations'!$B$16/J72,IF(J72="NA",'Res-Rec Equations'!$B$15*'Res-Rec Equations'!$B$16/(H72+I72),'Res-Rec Equations'!$B$15*'Res-Rec Equations'!$B$16/(H72+I72+J72))))</f>
        <v>431.25487857014599</v>
      </c>
      <c r="M72" s="167">
        <f>IF(AND(H72="NA",I72="NA",K72="NA"),"NA",IF(H72="NA",'Res-Rec Equations'!$B$15*'Res-Rec Equations'!$B$16/K72,IF(K72="NA",'Res-Rec Equations'!$B$15*'Res-Rec Equations'!$B$16/(H72+I72),'Res-Rec Equations'!$B$15*'Res-Rec Equations'!$B$16/(H72+I72+K72))))</f>
        <v>318.65753139822795</v>
      </c>
      <c r="N72" s="167">
        <f t="shared" ref="N72" si="80">IF(AND(L72="NA",M72="NA"),"NA",MAX(L72,M72))</f>
        <v>431.25487857014599</v>
      </c>
      <c r="O72" s="371">
        <f>IF('Chemical Info'!L73="NA","NA",IF('Chemical Info'!E73="Yes",(('Res-Rec Equations'!$B$76*'Chemical Info'!AD73*'Res-Rec Equations'!$B$78*'Res-Rec Equations'!$B$79*'Res-Rec Equations'!$B$81)/('Res-Rec Equations'!$B$84*'Res-Rec Equations'!$B$85))/'Chemical Info'!L73,(('Res-Rec Equations'!$B$76*'Chemical Info'!AD73*'Res-Rec Equations'!$B$78*'Res-Rec Equations'!$B$79*'Res-Rec Equations'!$B$80)/('Res-Rec Equations'!$B$84*'Res-Rec Equations'!$B$85))/'Chemical Info'!L73))</f>
        <v>1.5220700152207001E-3</v>
      </c>
      <c r="P72" s="166">
        <f>IF('Chemical Info'!L73="NA","NA", IF('Chemical Info'!E73="Yes",0,((('Res-Rec Equations'!$B$87*'Res-Rec Equations'!$B$88*'Res-Rec Equations'!$B$78*'Res-Rec Equations'!$B$82*'Res-Rec Equations'!$B$79*'Chemical Info'!AB73)/('Res-Rec Equations'!$B$84*'Res-Rec Equations'!$B$85))/('Chemical Info'!L73*'Chemical Info'!AF73))))</f>
        <v>0</v>
      </c>
      <c r="Q72" s="166">
        <f>IF('Chemical Info'!N73="NA","NA",IF('Res-Rec Calculations'!E72="NA",(('Res-Rec Equations'!$B$83*'Res-Rec Equations'!$B$79*'Res-Rec Calculations'!C72)/('Res-Rec Equations'!$B$85))/('Chemical Info'!N73),IF('Chemical Info'!E73="Yes",(('Res-Rec Equations'!$B$83*'Res-Rec Equations'!$B$79*'Res-Rec Calculations'!E72)/('Res-Rec Equations'!$B$85))/('Chemical Info'!N73),(('Res-Rec Equations'!$B$83*'Res-Rec Equations'!$B$79*('Res-Rec Calculations'!C72+'Res-Rec Calculations'!E72))/('Res-Rec Equations'!$B$85))/('Chemical Info'!N73))))</f>
        <v>2.4024761073015554E-2</v>
      </c>
      <c r="R72" s="166">
        <f>IF('Chemical Info'!N73="NA","NA",IF('Res-Rec Calculations'!F72="NA",(('Res-Rec Equations'!$B$83*'Res-Rec Equations'!$B$79*'Res-Rec Calculations'!C72)/('Res-Rec Equations'!$B$85))/('Chemical Info'!N73),IF('Chemical Info'!E73="Yes",(('Res-Rec Equations'!$B$83*'Res-Rec Equations'!$B$79*'Res-Rec Calculations'!F72)/('Res-Rec Equations'!$B$85))/('Chemical Info'!N73),(('Res-Rec Equations'!$B$83*'Res-Rec Equations'!$B$79*('Res-Rec Calculations'!C72+'Res-Rec Calculations'!F72))/('Res-Rec Equations'!$B$85))/('Chemical Info'!N73))))</f>
        <v>4.2407130575353322E-2</v>
      </c>
      <c r="S72" s="167">
        <f>IF(AND(O72="NA",P72="NA",Q72="NA"),"NA",IF(O72="NA",'Res-Rec Equations'!$B$75/Q72,IF(Q72="NA",'Res-Rec Equations'!$B$75/(O72+P72),'Res-Rec Equations'!$B$75/(O72+P72+Q72))))</f>
        <v>7.8287596339921608</v>
      </c>
      <c r="T72" s="167">
        <f>IF(AND(O72="NA",P72="NA",R72="NA"),"NA",IF(O72="NA",'Res-Rec Equations'!$B$75/R72,IF(R72="NA",'Res-Rec Equations'!$B$75/(O72+P72),'Res-Rec Equations'!$B$75/(O72+P72+R72))))</f>
        <v>4.5527803217733585</v>
      </c>
      <c r="U72" s="168">
        <f t="shared" ref="U72" si="81">IF(AND(S72="NA",T72="NA"),"NA",MAX(S72,T72))</f>
        <v>7.8287596339921608</v>
      </c>
      <c r="V72" s="167" t="str">
        <f>IF('Chemical Info'!P73="NA","NA",(('Res-Rec Equations'!$B$185*'Res-Rec Equations'!$B$186)/('Res-Rec Equations'!$B$187*'Res-Rec Equations'!$B$188*(1/'Chemical Info'!P73))))</f>
        <v>NA</v>
      </c>
      <c r="W72" s="379" t="str">
        <f t="shared" ref="W72" si="82">IF(V72="NA","NA",IF(V72&gt;100000,100000,IF(ISNUMBER(ROUND(V72*1000000,2-LEN(INT(V72*1000000)))/1000000),ROUND(V72*1000000,2-LEN(INT(V72*1000000)))/1000000,"NA")))</f>
        <v>NA</v>
      </c>
      <c r="X72" s="372">
        <f t="shared" ref="X72" si="83">IF(AND(N72="NA",U72="NA",G72="NA"),"NA",MIN(N72,U72,G72))</f>
        <v>7.8287596339921608</v>
      </c>
      <c r="Y72" s="62">
        <f t="shared" ref="Y72" si="84">IF(X72&gt;100000,100000,IF(ISNUMBER(ROUND(X72*1000000,2-LEN(INT(X72*1000000)))/1000000),ROUND(X72*1000000,2-LEN(INT(X72*1000000)))/1000000,"NA"))</f>
        <v>7.8</v>
      </c>
      <c r="Z72" s="100" t="str">
        <f t="shared" ref="Z72" si="85">IF(Y72=100000,"Max Limit",IF(X72=G72,"Csat",IF(X72=N72,"Cancer",IF(X72=V72,"Acute",IF(X72=U72,"Noncancer","")))))</f>
        <v>Noncancer</v>
      </c>
      <c r="AA72" s="373"/>
    </row>
    <row r="73" spans="1:27">
      <c r="A73" s="413" t="s">
        <v>166</v>
      </c>
      <c r="B73" s="566" t="s">
        <v>167</v>
      </c>
      <c r="C73" s="367">
        <f>1/(('Res-Rec Equations'!$B$152*3600)/((0.036*(1-'Res-Rec Equations'!$B$153))*('Res-Rec Equations'!$B$154/'Res-Rec Equations'!$B$155)^3*'Res-Rec Equations'!$B$156))</f>
        <v>7.3567680901159717E-10</v>
      </c>
      <c r="D73" s="368">
        <f>(('Res-Rec Equations'!$B$132^(10/3)*'Chemical Info'!$AH74*'Chemical Info'!$AN74*41+'Res-Rec Equations'!$B$135^(10/3)*'Chemical Info'!$AJ74)/'Res-Rec Equations'!$B$137^2)/('Res-Rec Equations'!$B$139*'Chemical Info'!$AL74*'Res-Rec Equations'!$B$142+'Res-Rec Equations'!$B$135+'Res-Rec Equations'!$B$132*'Chemical Info'!$AN74*41)</f>
        <v>1.8602880405295963E-3</v>
      </c>
      <c r="E73" s="368">
        <f>IF(D73=0,"NA",1/(('Res-Rec Equations'!$B$103*(3.14*'Res-Rec Calculations'!$D73*'Res-Rec Equations'!$B$105)^(1/2)*0.0001)/(2*'Res-Rec Equations'!$B$106*'Res-Rec Calculations'!$D73)))</f>
        <v>2.5317375377615844E-4</v>
      </c>
      <c r="F73" s="368">
        <f>IF(D73=0,"NA",(1/('Res-Rec Equations'!$B$117*('Res-Rec Equations'!$B$118*(31500000))/('Res-Rec Equations'!$B$119*'Res-Rec Equations'!$B$120*1000000))))</f>
        <v>6.1914410640015851E-5</v>
      </c>
      <c r="G73" s="167">
        <f>IF('Chemical Info'!E74="Yes",('Chemical Info'!AP74/'Res-Rec Equations'!$B$168)*((('Chemical Info'!AL74*'Res-Rec Equations'!$B$170)*'Res-Rec Equations'!$B$168)+'Res-Rec Equations'!$B$171+('Chemical Info'!AN74*41)*'Res-Rec Equations'!$B$173),"NA")</f>
        <v>6212.68</v>
      </c>
      <c r="H73" s="112" t="str">
        <f>IF('Chemical Info'!H74="NA","NA",IF(AND('Chemical Info'!E74="Yes",'Chemical Info'!D74="Yes"),'Chemical Info'!H74*'Chemical Info'!AD74*'Res-Rec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Info'!E74="Yes",'Chemical Info'!D74=""),'Chemical Info'!H74*'Chemical Info'!AD74*'Res-Rec Equations'!$B$20*'Res-Rec Equations'!$B$23*((('Res-Rec Equations'!$B$26*'Res-Rec Equations'!$B$29)/'Res-Rec Equations'!$B$32)+(('Res-Rec Equations'!$B$27*'Res-Rec Equations'!$B$30)/'Res-Rec Equations'!$B$33)+(('Res-Rec Equations'!$B$28*'Res-Rec Equations'!$B$31)/'Res-Rec Equations'!$B$34)),IF(AND('Chemical Info'!E74="No",'Chemical Info'!D74="Yes"),'Chemical Info'!H74*'Chemical Info'!AD74*'Res-Rec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Info'!E74="No",'Chemical Info'!D74=""),'Chemical Info'!H74*'Chemical Info'!AD74*'Res-Rec Equations'!$B$19*'Res-Rec Equations'!$B$23*((('Res-Rec Equations'!$B$26*'Res-Rec Equations'!$B$29)/'Res-Rec Equations'!$B$32)+(('Res-Rec Equations'!$B$27*'Res-Rec Equations'!$B$30)/'Res-Rec Equations'!$B$33)+(('Res-Rec Equations'!$B$28*'Res-Rec Equations'!$B$31)/'Res-Rec Equations'!$B$34)))))))</f>
        <v>NA</v>
      </c>
      <c r="I73" s="166" t="str">
        <f>IF('Chemical Info'!H74="NA","NA",IF('Chemical Info'!E74="Yes",0,IF('Chemical Info'!D74="Yes",'Chemical Info'!H74/'Chemical Info'!AF74*('Res-Rec Equations'!$B$21*'Chemical Info'!AB74*'Res-Rec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Info'!H74/'Chemical Info'!AF74*('Res-Rec Equations'!$B$21*'Chemical Info'!AB74*'Res-Rec Equations'!$B$23)*((('Res-Rec Equations'!$B$26*'Res-Rec Equations'!$B$37*'Res-Rec Equations'!$B$40)/'Res-Rec Equations'!$B$32)+(('Res-Rec Equations'!$B$27*'Res-Rec Equations'!$B$38*'Res-Rec Equations'!$B$41)/'Res-Rec Equations'!$B$33)+(('Res-Rec Equations'!$B$28*'Res-Rec Equations'!$B$39*'Res-Rec Equations'!$B$42)/'Res-Rec Equations'!$B$34)))))</f>
        <v>NA</v>
      </c>
      <c r="J73" s="369" t="str">
        <f>IF('Chemical Info'!J74="NA","NA",IF(AND(E73="NA",'Chemical Info'!D74="Yes"),'Res-Rec Equations'!$B$22*1000*(('Res-Rec Equations'!$B$26*'Chemical Info'!J74*'Res-Rec Equations'!$B$59)+('Res-Rec Equations'!$B$27*'Chemical Info'!J74*'Res-Rec Equations'!$B$60)+('Res-Rec Equations'!$B$28*'Chemical Info'!J74*'Res-Rec Equations'!$B$61))*'Res-Rec Calculations'!C73,IF(AND(E73="NA",'Chemical Info'!D74=""),'Res-Rec Equations'!$B$22*1000*'Res-Rec Equations'!$B$25*'Chemical Info'!J74*'Res-Rec Calculations'!C73,IF(AND('Chemical Info'!E74="Yes",'Chemical Info'!D74="Yes"),'Res-Rec Equations'!$B$22*1000*(('Res-Rec Equations'!$B$26*'Chemical Info'!J74*'Res-Rec Equations'!$B$59)+('Res-Rec Equations'!$B$27*'Chemical Info'!J74*'Res-Rec Equations'!$B$60)+('Res-Rec Equations'!$B$28*'Chemical Info'!J74*'Res-Rec Equations'!$B$61))*'Res-Rec Calculations'!E73,IF(AND('Chemical Info'!E74="Yes",'Chemical Info'!D74=""),'Res-Rec Equations'!$B$22*1000*'Res-Rec Equations'!$B$25*'Chemical Info'!J74*'Res-Rec Calculations'!E73,IF('Chemical Info'!D74="Yes",'Res-Rec Equations'!$B$22*1000*(('Res-Rec Equations'!$B$26*'Chemical Info'!J74*'Res-Rec Equations'!$B$59)+('Res-Rec Equations'!$B$27*'Chemical Info'!J74*'Res-Rec Equations'!$B$60)+('Res-Rec Equations'!$B$28*'Chemical Info'!J74*'Res-Rec Equations'!$B$61))*('Res-Rec Calculations'!C73+'Res-Rec Calculations'!E73),IF('Chemical Info'!D74="",'Res-Rec Equations'!$B$22*1000*'Res-Rec Equations'!$B$25*'Chemical Info'!J74*('Res-Rec Calculations'!C73+'Res-Rec Calculations'!E73))))))))</f>
        <v>NA</v>
      </c>
      <c r="K73" s="370" t="str">
        <f>IF('Chemical Info'!J74="NA","NA",IF(AND(F73="NA",'Chemical Info'!D74="Yes"),'Res-Rec Equations'!$B$22*1000*(('Res-Rec Equations'!$B$26*'Chemical Info'!J74*'Res-Rec Equations'!$B$59)+('Res-Rec Equations'!$B$27*'Chemical Info'!J74*'Res-Rec Equations'!$B$60)+('Res-Rec Equations'!$B$28*'Chemical Info'!J74*'Res-Rec Equations'!$B$61))*'Res-Rec Calculations'!C73,IF(AND(F73="NA",'Chemical Info'!D74=""),'Res-Rec Equations'!$B$22*1000*'Res-Rec Equations'!$B$25*'Chemical Info'!J74*'Res-Rec Calculations'!C73,IF(AND('Chemical Info'!F74="Yes",'Chemical Info'!D74="Yes"),'Res-Rec Equations'!$B$22*1000*(('Res-Rec Equations'!$B$26*'Chemical Info'!J74*'Res-Rec Equations'!$B$59)+('Res-Rec Equations'!$B$27*'Chemical Info'!J74*'Res-Rec Equations'!$B$60)+('Res-Rec Equations'!$B$28*'Chemical Info'!J74*'Res-Rec Equations'!$B$61))*'Res-Rec Calculations'!F73,IF(AND('Chemical Info'!F74="Yes",'Chemical Info'!D74=""),'Res-Rec Equations'!$B$22*1000*'Res-Rec Equations'!$B$25*'Chemical Info'!J74*'Res-Rec Calculations'!F73,IF('Chemical Info'!D74="Yes",'Res-Rec Equations'!$B$22*1000*(('Res-Rec Equations'!$B$26*'Chemical Info'!J74*'Res-Rec Equations'!$B$59)+('Res-Rec Equations'!$B$27*'Chemical Info'!J74*'Res-Rec Equations'!$B$60)+('Res-Rec Equations'!$B$28*'Chemical Info'!J74*'Res-Rec Equations'!$B$61))*('Res-Rec Calculations'!C73+'Res-Rec Calculations'!F73),IF('Chemical Info'!D74="",'Res-Rec Equations'!$B$22*1000*'Res-Rec Equations'!$B$25*'Chemical Info'!J74*('Res-Rec Calculations'!C73+'Res-Rec Calculations'!F73))))))))</f>
        <v>NA</v>
      </c>
      <c r="L73" s="167" t="str">
        <f>IF(AND(H73="NA",I73="NA",J73="NA"),"NA",IF(H73="NA",'Res-Rec Equations'!$B$15*'Res-Rec Equations'!$B$16/J73,IF(J73="NA",'Res-Rec Equations'!$B$15*'Res-Rec Equations'!$B$16/(H73+I73),'Res-Rec Equations'!$B$15*'Res-Rec Equations'!$B$16/(H73+I73+J73))))</f>
        <v>NA</v>
      </c>
      <c r="M73" s="167" t="str">
        <f>IF(AND(H73="NA",I73="NA",K73="NA"),"NA",IF(H73="NA",'Res-Rec Equations'!$B$15*'Res-Rec Equations'!$B$16/K73,IF(K73="NA",'Res-Rec Equations'!$B$15*'Res-Rec Equations'!$B$16/(H73+I73),'Res-Rec Equations'!$B$15*'Res-Rec Equations'!$B$16/(H73+I73+K73))))</f>
        <v>NA</v>
      </c>
      <c r="N73" s="167" t="str">
        <f t="shared" si="14"/>
        <v>NA</v>
      </c>
      <c r="O73" s="371">
        <f>IF('Chemical Info'!L74="NA","NA",IF('Chemical Info'!E74="Yes",(('Res-Rec Equations'!$B$76*'Chemical Info'!AD74*'Res-Rec Equations'!$B$78*'Res-Rec Equations'!$B$79*'Res-Rec Equations'!$B$81)/('Res-Rec Equations'!$B$84*'Res-Rec Equations'!$B$85))/'Chemical Info'!L74,(('Res-Rec Equations'!$B$76*'Chemical Info'!AD74*'Res-Rec Equations'!$B$78*'Res-Rec Equations'!$B$79*'Res-Rec Equations'!$B$80)/('Res-Rec Equations'!$B$84*'Res-Rec Equations'!$B$85))/'Chemical Info'!L74))</f>
        <v>9.1324200913242004E-3</v>
      </c>
      <c r="P73" s="166">
        <f>IF('Chemical Info'!L74="NA","NA", IF('Chemical Info'!E74="Yes",0,((('Res-Rec Equations'!$B$87*'Res-Rec Equations'!$B$88*'Res-Rec Equations'!$B$78*'Res-Rec Equations'!$B$82*'Res-Rec Equations'!$B$79*'Chemical Info'!AB74)/('Res-Rec Equations'!$B$84*'Res-Rec Equations'!$B$85))/('Chemical Info'!L74*'Chemical Info'!AF74))))</f>
        <v>0</v>
      </c>
      <c r="Q73" s="166" t="str">
        <f>IF('Chemical Info'!N74="NA","NA",IF('Res-Rec Calculations'!E73="NA",(('Res-Rec Equations'!$B$83*'Res-Rec Equations'!$B$79*'Res-Rec Calculations'!C73)/('Res-Rec Equations'!$B$85))/('Chemical Info'!N74),IF('Chemical Info'!E74="Yes",(('Res-Rec Equations'!$B$83*'Res-Rec Equations'!$B$79*'Res-Rec Calculations'!E73)/('Res-Rec Equations'!$B$85))/('Chemical Info'!N74),(('Res-Rec Equations'!$B$83*'Res-Rec Equations'!$B$79*('Res-Rec Calculations'!C73+'Res-Rec Calculations'!E73))/('Res-Rec Equations'!$B$85))/('Chemical Info'!N74))))</f>
        <v>NA</v>
      </c>
      <c r="R73" s="166" t="str">
        <f>IF('Chemical Info'!N74="NA","NA",IF('Res-Rec Calculations'!F73="NA",(('Res-Rec Equations'!$B$83*'Res-Rec Equations'!$B$79*'Res-Rec Calculations'!C73)/('Res-Rec Equations'!$B$85))/('Chemical Info'!N74),IF('Chemical Info'!E74="Yes",(('Res-Rec Equations'!$B$83*'Res-Rec Equations'!$B$79*'Res-Rec Calculations'!F73)/('Res-Rec Equations'!$B$85))/('Chemical Info'!N74),(('Res-Rec Equations'!$B$83*'Res-Rec Equations'!$B$79*('Res-Rec Calculations'!C73+'Res-Rec Calculations'!F73))/('Res-Rec Equations'!$B$85))/('Chemical Info'!N74))))</f>
        <v>NA</v>
      </c>
      <c r="S73" s="167">
        <f>IF(AND(O73="NA",P73="NA",Q73="NA"),"NA",IF(O73="NA",'Res-Rec Equations'!$B$75/Q73,IF(Q73="NA",'Res-Rec Equations'!$B$75/(O73+P73),'Res-Rec Equations'!$B$75/(O73+P73+Q73))))</f>
        <v>21.900000000000002</v>
      </c>
      <c r="T73" s="167">
        <f>IF(AND(O73="NA",P73="NA",R73="NA"),"NA",IF(O73="NA",'Res-Rec Equations'!$B$75/R73,IF(R73="NA",'Res-Rec Equations'!$B$75/(O73+P73),'Res-Rec Equations'!$B$75/(O73+P73+R73))))</f>
        <v>21.900000000000002</v>
      </c>
      <c r="U73" s="168">
        <f t="shared" si="15"/>
        <v>21.900000000000002</v>
      </c>
      <c r="V73" s="167" t="str">
        <f>IF('Chemical Info'!P74="NA","NA",(('Res-Rec Equations'!$B$185*'Res-Rec Equations'!$B$186)/('Res-Rec Equations'!$B$187*'Res-Rec Equations'!$B$188*(1/'Chemical Info'!P74))))</f>
        <v>NA</v>
      </c>
      <c r="W73" s="379" t="str">
        <f t="shared" si="16"/>
        <v>NA</v>
      </c>
      <c r="X73" s="372">
        <f t="shared" si="17"/>
        <v>21.900000000000002</v>
      </c>
      <c r="Y73" s="62">
        <f t="shared" si="18"/>
        <v>22</v>
      </c>
      <c r="Z73" s="100" t="str">
        <f t="shared" si="19"/>
        <v>Noncancer</v>
      </c>
      <c r="AA73" s="373"/>
    </row>
    <row r="74" spans="1:27">
      <c r="A74" s="413" t="s">
        <v>63</v>
      </c>
      <c r="B74" s="566" t="s">
        <v>64</v>
      </c>
      <c r="C74" s="367">
        <f>1/(('Res-Rec Equations'!$B$152*3600)/((0.036*(1-'Res-Rec Equations'!$B$153))*('Res-Rec Equations'!$B$154/'Res-Rec Equations'!$B$155)^3*'Res-Rec Equations'!$B$156))</f>
        <v>7.3567680901159717E-10</v>
      </c>
      <c r="D74" s="368">
        <f>(('Res-Rec Equations'!$B$132^(10/3)*'Chemical Info'!$AH75*'Chemical Info'!$AN75*41+'Res-Rec Equations'!$B$135^(10/3)*'Chemical Info'!$AJ75)/'Res-Rec Equations'!$B$137^2)/('Res-Rec Equations'!$B$139*'Chemical Info'!$AL75*'Res-Rec Equations'!$B$142+'Res-Rec Equations'!$B$135+'Res-Rec Equations'!$B$132*'Chemical Info'!$AN75*41)</f>
        <v>1.8703721226738607E-2</v>
      </c>
      <c r="E74" s="368">
        <f>IF(D74=0,"NA",1/(('Res-Rec Equations'!$B$103*(3.14*'Res-Rec Calculations'!$D74*'Res-Rec Equations'!$B$105)^(1/2)*0.0001)/(2*'Res-Rec Equations'!$B$106*'Res-Rec Calculations'!$D74)))</f>
        <v>8.0277269872797076E-4</v>
      </c>
      <c r="F74" s="368">
        <f>IF(D74=0,"NA",(1/('Res-Rec Equations'!$B$117*('Res-Rec Equations'!$B$118*(31500000))/('Res-Rec Equations'!$B$119*'Res-Rec Equations'!$B$120*1000000))))</f>
        <v>6.1914410640015851E-5</v>
      </c>
      <c r="G74" s="167">
        <f>IF('Chemical Info'!E75="Yes",('Chemical Info'!AP75/'Res-Rec Equations'!$B$168)*((('Chemical Info'!AL75*'Res-Rec Equations'!$B$170)*'Res-Rec Equations'!$B$168)+'Res-Rec Equations'!$B$171+('Chemical Info'!AN75*41)*'Res-Rec Equations'!$B$173),"NA")</f>
        <v>139.3175</v>
      </c>
      <c r="H74" s="112" t="str">
        <f>IF('Chemical Info'!H75="NA","NA",IF(AND('Chemical Info'!E75="Yes",'Chemical Info'!D75="Yes"),'Chemical Info'!H75*'Chemical Info'!AD75*'Res-Rec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Info'!E75="Yes",'Chemical Info'!D75=""),'Chemical Info'!H75*'Chemical Info'!AD75*'Res-Rec Equations'!$B$20*'Res-Rec Equations'!$B$23*((('Res-Rec Equations'!$B$26*'Res-Rec Equations'!$B$29)/'Res-Rec Equations'!$B$32)+(('Res-Rec Equations'!$B$27*'Res-Rec Equations'!$B$30)/'Res-Rec Equations'!$B$33)+(('Res-Rec Equations'!$B$28*'Res-Rec Equations'!$B$31)/'Res-Rec Equations'!$B$34)),IF(AND('Chemical Info'!E75="No",'Chemical Info'!D75="Yes"),'Chemical Info'!H75*'Chemical Info'!AD75*'Res-Rec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Info'!E75="No",'Chemical Info'!D75=""),'Chemical Info'!H75*'Chemical Info'!AD75*'Res-Rec Equations'!$B$19*'Res-Rec Equations'!$B$23*((('Res-Rec Equations'!$B$26*'Res-Rec Equations'!$B$29)/'Res-Rec Equations'!$B$32)+(('Res-Rec Equations'!$B$27*'Res-Rec Equations'!$B$30)/'Res-Rec Equations'!$B$33)+(('Res-Rec Equations'!$B$28*'Res-Rec Equations'!$B$31)/'Res-Rec Equations'!$B$34)))))))</f>
        <v>NA</v>
      </c>
      <c r="I74" s="166" t="str">
        <f>IF('Chemical Info'!H75="NA","NA",IF('Chemical Info'!E75="Yes",0,IF('Chemical Info'!D75="Yes",'Chemical Info'!H75/'Chemical Info'!AF75*('Res-Rec Equations'!$B$21*'Chemical Info'!AB75*'Res-Rec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Info'!H75/'Chemical Info'!AF75*('Res-Rec Equations'!$B$21*'Chemical Info'!AB75*'Res-Rec Equations'!$B$23)*((('Res-Rec Equations'!$B$26*'Res-Rec Equations'!$B$37*'Res-Rec Equations'!$B$40)/'Res-Rec Equations'!$B$32)+(('Res-Rec Equations'!$B$27*'Res-Rec Equations'!$B$38*'Res-Rec Equations'!$B$41)/'Res-Rec Equations'!$B$33)+(('Res-Rec Equations'!$B$28*'Res-Rec Equations'!$B$39*'Res-Rec Equations'!$B$42)/'Res-Rec Equations'!$B$34)))))</f>
        <v>NA</v>
      </c>
      <c r="J74" s="369" t="str">
        <f>IF('Chemical Info'!J75="NA","NA",IF(AND(E74="NA",'Chemical Info'!D75="Yes"),'Res-Rec Equations'!$B$22*1000*(('Res-Rec Equations'!$B$26*'Chemical Info'!J75*'Res-Rec Equations'!$B$59)+('Res-Rec Equations'!$B$27*'Chemical Info'!J75*'Res-Rec Equations'!$B$60)+('Res-Rec Equations'!$B$28*'Chemical Info'!J75*'Res-Rec Equations'!$B$61))*'Res-Rec Calculations'!C74,IF(AND(E74="NA",'Chemical Info'!D75=""),'Res-Rec Equations'!$B$22*1000*'Res-Rec Equations'!$B$25*'Chemical Info'!J75*'Res-Rec Calculations'!C74,IF(AND('Chemical Info'!E75="Yes",'Chemical Info'!D75="Yes"),'Res-Rec Equations'!$B$22*1000*(('Res-Rec Equations'!$B$26*'Chemical Info'!J75*'Res-Rec Equations'!$B$59)+('Res-Rec Equations'!$B$27*'Chemical Info'!J75*'Res-Rec Equations'!$B$60)+('Res-Rec Equations'!$B$28*'Chemical Info'!J75*'Res-Rec Equations'!$B$61))*'Res-Rec Calculations'!E74,IF(AND('Chemical Info'!E75="Yes",'Chemical Info'!D75=""),'Res-Rec Equations'!$B$22*1000*'Res-Rec Equations'!$B$25*'Chemical Info'!J75*'Res-Rec Calculations'!E74,IF('Chemical Info'!D75="Yes",'Res-Rec Equations'!$B$22*1000*(('Res-Rec Equations'!$B$26*'Chemical Info'!J75*'Res-Rec Equations'!$B$59)+('Res-Rec Equations'!$B$27*'Chemical Info'!J75*'Res-Rec Equations'!$B$60)+('Res-Rec Equations'!$B$28*'Chemical Info'!J75*'Res-Rec Equations'!$B$61))*('Res-Rec Calculations'!C74+'Res-Rec Calculations'!E74),IF('Chemical Info'!D75="",'Res-Rec Equations'!$B$22*1000*'Res-Rec Equations'!$B$25*'Chemical Info'!J75*('Res-Rec Calculations'!C74+'Res-Rec Calculations'!E74))))))))</f>
        <v>NA</v>
      </c>
      <c r="K74" s="370" t="str">
        <f>IF('Chemical Info'!J75="NA","NA",IF(AND(F74="NA",'Chemical Info'!D75="Yes"),'Res-Rec Equations'!$B$22*1000*(('Res-Rec Equations'!$B$26*'Chemical Info'!J75*'Res-Rec Equations'!$B$59)+('Res-Rec Equations'!$B$27*'Chemical Info'!J75*'Res-Rec Equations'!$B$60)+('Res-Rec Equations'!$B$28*'Chemical Info'!J75*'Res-Rec Equations'!$B$61))*'Res-Rec Calculations'!C74,IF(AND(F74="NA",'Chemical Info'!D75=""),'Res-Rec Equations'!$B$22*1000*'Res-Rec Equations'!$B$25*'Chemical Info'!J75*'Res-Rec Calculations'!C74,IF(AND('Chemical Info'!F75="Yes",'Chemical Info'!D75="Yes"),'Res-Rec Equations'!$B$22*1000*(('Res-Rec Equations'!$B$26*'Chemical Info'!J75*'Res-Rec Equations'!$B$59)+('Res-Rec Equations'!$B$27*'Chemical Info'!J75*'Res-Rec Equations'!$B$60)+('Res-Rec Equations'!$B$28*'Chemical Info'!J75*'Res-Rec Equations'!$B$61))*'Res-Rec Calculations'!F74,IF(AND('Chemical Info'!F75="Yes",'Chemical Info'!D75=""),'Res-Rec Equations'!$B$22*1000*'Res-Rec Equations'!$B$25*'Chemical Info'!J75*'Res-Rec Calculations'!F74,IF('Chemical Info'!D75="Yes",'Res-Rec Equations'!$B$22*1000*(('Res-Rec Equations'!$B$26*'Chemical Info'!J75*'Res-Rec Equations'!$B$59)+('Res-Rec Equations'!$B$27*'Chemical Info'!J75*'Res-Rec Equations'!$B$60)+('Res-Rec Equations'!$B$28*'Chemical Info'!J75*'Res-Rec Equations'!$B$61))*('Res-Rec Calculations'!C74+'Res-Rec Calculations'!F74),IF('Chemical Info'!D75="",'Res-Rec Equations'!$B$22*1000*'Res-Rec Equations'!$B$25*'Chemical Info'!J75*('Res-Rec Calculations'!C74+'Res-Rec Calculations'!F74))))))))</f>
        <v>NA</v>
      </c>
      <c r="L74" s="167" t="str">
        <f>IF(AND(H74="NA",I74="NA",J74="NA"),"NA",IF(H74="NA",'Res-Rec Equations'!$B$15*'Res-Rec Equations'!$B$16/J74,IF(J74="NA",'Res-Rec Equations'!$B$15*'Res-Rec Equations'!$B$16/(H74+I74),'Res-Rec Equations'!$B$15*'Res-Rec Equations'!$B$16/(H74+I74+J74))))</f>
        <v>NA</v>
      </c>
      <c r="M74" s="167" t="str">
        <f>IF(AND(H74="NA",I74="NA",K74="NA"),"NA",IF(H74="NA",'Res-Rec Equations'!$B$15*'Res-Rec Equations'!$B$16/K74,IF(K74="NA",'Res-Rec Equations'!$B$15*'Res-Rec Equations'!$B$16/(H74+I74),'Res-Rec Equations'!$B$15*'Res-Rec Equations'!$B$16/(H74+I74+K74))))</f>
        <v>NA</v>
      </c>
      <c r="N74" s="167" t="str">
        <f t="shared" si="14"/>
        <v>NA</v>
      </c>
      <c r="O74" s="371">
        <f>IF('Chemical Info'!L75="NA","NA",IF('Chemical Info'!E75="Yes",(('Res-Rec Equations'!$B$76*'Chemical Info'!AD75*'Res-Rec Equations'!$B$78*'Res-Rec Equations'!$B$79*'Res-Rec Equations'!$B$81)/('Res-Rec Equations'!$B$84*'Res-Rec Equations'!$B$85))/'Chemical Info'!L75,(('Res-Rec Equations'!$B$76*'Chemical Info'!AD75*'Res-Rec Equations'!$B$78*'Res-Rec Equations'!$B$79*'Res-Rec Equations'!$B$80)/('Res-Rec Equations'!$B$84*'Res-Rec Equations'!$B$85))/'Chemical Info'!L75))</f>
        <v>4.8065368901706323E-4</v>
      </c>
      <c r="P74" s="166">
        <f>IF('Chemical Info'!L75="NA","NA", IF('Chemical Info'!E75="Yes",0,((('Res-Rec Equations'!$B$87*'Res-Rec Equations'!$B$88*'Res-Rec Equations'!$B$78*'Res-Rec Equations'!$B$82*'Res-Rec Equations'!$B$79*'Chemical Info'!AB75)/('Res-Rec Equations'!$B$84*'Res-Rec Equations'!$B$85))/('Chemical Info'!L75*'Chemical Info'!AF75))))</f>
        <v>0</v>
      </c>
      <c r="Q74" s="166">
        <f>IF('Chemical Info'!N75="NA","NA",IF('Res-Rec Calculations'!E74="NA",(('Res-Rec Equations'!$B$83*'Res-Rec Equations'!$B$79*'Res-Rec Calculations'!C74)/('Res-Rec Equations'!$B$85))/('Chemical Info'!N75),IF('Chemical Info'!E75="Yes",(('Res-Rec Equations'!$B$83*'Res-Rec Equations'!$B$79*'Res-Rec Calculations'!E74)/('Res-Rec Equations'!$B$85))/('Chemical Info'!N75),(('Res-Rec Equations'!$B$83*'Res-Rec Equations'!$B$79*('Res-Rec Calculations'!C74+'Res-Rec Calculations'!E74))/('Res-Rec Equations'!$B$85))/('Chemical Info'!N75))))</f>
        <v>7.8549187742462897E-4</v>
      </c>
      <c r="R74" s="166">
        <f>IF('Chemical Info'!N75="NA","NA",IF('Res-Rec Calculations'!F74="NA",(('Res-Rec Equations'!$B$83*'Res-Rec Equations'!$B$79*'Res-Rec Calculations'!C74)/('Res-Rec Equations'!$B$85))/('Chemical Info'!N75),IF('Chemical Info'!E75="Yes",(('Res-Rec Equations'!$B$83*'Res-Rec Equations'!$B$79*'Res-Rec Calculations'!F74)/('Res-Rec Equations'!$B$85))/('Chemical Info'!N75),(('Res-Rec Equations'!$B$83*'Res-Rec Equations'!$B$79*('Res-Rec Calculations'!C74+'Res-Rec Calculations'!F74))/('Res-Rec Equations'!$B$85))/('Chemical Info'!N75))))</f>
        <v>6.0581615107647605E-5</v>
      </c>
      <c r="S74" s="167">
        <f>IF(AND(O74="NA",P74="NA",Q74="NA"),"NA",IF(O74="NA",'Res-Rec Equations'!$B$75/Q74,IF(Q74="NA",'Res-Rec Equations'!$B$75/(O74+P74),'Res-Rec Equations'!$B$75/(O74+P74+Q74))))</f>
        <v>157.95972066787655</v>
      </c>
      <c r="T74" s="167">
        <f>IF(AND(O74="NA",P74="NA",R74="NA"),"NA",IF(O74="NA",'Res-Rec Equations'!$B$75/R74,IF(R74="NA",'Res-Rec Equations'!$B$75/(O74+P74),'Res-Rec Equations'!$B$75/(O74+P74+R74))))</f>
        <v>369.5250447925626</v>
      </c>
      <c r="U74" s="168">
        <f t="shared" si="15"/>
        <v>369.5250447925626</v>
      </c>
      <c r="V74" s="167" t="str">
        <f>IF('Chemical Info'!P75="NA","NA",(('Res-Rec Equations'!$B$185*'Res-Rec Equations'!$B$186)/('Res-Rec Equations'!$B$187*'Res-Rec Equations'!$B$188*(1/'Chemical Info'!P75))))</f>
        <v>NA</v>
      </c>
      <c r="W74" s="379" t="str">
        <f t="shared" si="16"/>
        <v>NA</v>
      </c>
      <c r="X74" s="372">
        <f t="shared" si="17"/>
        <v>139.3175</v>
      </c>
      <c r="Y74" s="62">
        <f t="shared" si="18"/>
        <v>140</v>
      </c>
      <c r="Z74" s="100" t="str">
        <f t="shared" si="19"/>
        <v>Csat</v>
      </c>
      <c r="AA74" s="373"/>
    </row>
    <row r="75" spans="1:27">
      <c r="A75" s="413" t="s">
        <v>1173</v>
      </c>
      <c r="B75" s="566" t="s">
        <v>1174</v>
      </c>
      <c r="C75" s="367">
        <f>1/(('Res-Rec Equations'!$B$152*3600)/((0.036*(1-'Res-Rec Equations'!$B$153))*('Res-Rec Equations'!$B$154/'Res-Rec Equations'!$B$155)^3*'Res-Rec Equations'!$B$156))</f>
        <v>7.3567680901159717E-10</v>
      </c>
      <c r="D75" s="368">
        <f>(('Res-Rec Equations'!$B$132^(10/3)*'Chemical Info'!$AH76*'Chemical Info'!$AN76*41+'Res-Rec Equations'!$B$135^(10/3)*'Chemical Info'!$AJ76)/'Res-Rec Equations'!$B$137^2)/('Res-Rec Equations'!$B$139*'Chemical Info'!$AL76*'Res-Rec Equations'!$B$142+'Res-Rec Equations'!$B$135+'Res-Rec Equations'!$B$132*'Chemical Info'!$AN76*41)</f>
        <v>2.4163704790764365E-4</v>
      </c>
      <c r="E75" s="368">
        <f>IF(D75=0,"NA",1/(('Res-Rec Equations'!$B$103*(3.14*'Res-Rec Calculations'!$D75*'Res-Rec Equations'!$B$105)^(1/2)*0.0001)/(2*'Res-Rec Equations'!$B$106*'Res-Rec Calculations'!$D75)))</f>
        <v>9.1245266611187146E-5</v>
      </c>
      <c r="F75" s="368">
        <f>IF(D75=0,"NA",(1/('Res-Rec Equations'!$B$117*('Res-Rec Equations'!$B$118*(31500000))/('Res-Rec Equations'!$B$119*'Res-Rec Equations'!$B$120*1000000))))</f>
        <v>6.1914410640015851E-5</v>
      </c>
      <c r="G75" s="167">
        <f>IF('Chemical Info'!E76="Yes",('Chemical Info'!AP76/'Res-Rec Equations'!$B$168)*((('Chemical Info'!AL76*'Res-Rec Equations'!$B$170)*'Res-Rec Equations'!$B$168)+'Res-Rec Equations'!$B$171+('Chemical Info'!AN76*41)*'Res-Rec Equations'!$B$173),"NA")</f>
        <v>4570.8092479999996</v>
      </c>
      <c r="H75" s="112" t="str">
        <f>IF('Chemical Info'!H76="NA","NA",IF(AND('Chemical Info'!E76="Yes",'Chemical Info'!D76="Yes"),'Chemical Info'!H76*'Chemical Info'!AD76*'Res-Rec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Info'!E76="Yes",'Chemical Info'!D76=""),'Chemical Info'!H76*'Chemical Info'!AD76*'Res-Rec Equations'!$B$20*'Res-Rec Equations'!$B$23*((('Res-Rec Equations'!$B$26*'Res-Rec Equations'!$B$29)/'Res-Rec Equations'!$B$32)+(('Res-Rec Equations'!$B$27*'Res-Rec Equations'!$B$30)/'Res-Rec Equations'!$B$33)+(('Res-Rec Equations'!$B$28*'Res-Rec Equations'!$B$31)/'Res-Rec Equations'!$B$34)),IF(AND('Chemical Info'!E76="No",'Chemical Info'!D76="Yes"),'Chemical Info'!H76*'Chemical Info'!AD76*'Res-Rec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Info'!E76="No",'Chemical Info'!D76=""),'Chemical Info'!H76*'Chemical Info'!AD76*'Res-Rec Equations'!$B$19*'Res-Rec Equations'!$B$23*((('Res-Rec Equations'!$B$26*'Res-Rec Equations'!$B$29)/'Res-Rec Equations'!$B$32)+(('Res-Rec Equations'!$B$27*'Res-Rec Equations'!$B$30)/'Res-Rec Equations'!$B$33)+(('Res-Rec Equations'!$B$28*'Res-Rec Equations'!$B$31)/'Res-Rec Equations'!$B$34)))))))</f>
        <v>NA</v>
      </c>
      <c r="I75" s="166" t="str">
        <f>IF('Chemical Info'!H76="NA","NA",IF('Chemical Info'!E76="Yes",0,IF('Chemical Info'!D76="Yes",'Chemical Info'!H76/'Chemical Info'!AF76*('Res-Rec Equations'!$B$21*'Chemical Info'!AB76*'Res-Rec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Info'!H76/'Chemical Info'!AF76*('Res-Rec Equations'!$B$21*'Chemical Info'!AB76*'Res-Rec Equations'!$B$23)*((('Res-Rec Equations'!$B$26*'Res-Rec Equations'!$B$37*'Res-Rec Equations'!$B$40)/'Res-Rec Equations'!$B$32)+(('Res-Rec Equations'!$B$27*'Res-Rec Equations'!$B$38*'Res-Rec Equations'!$B$41)/'Res-Rec Equations'!$B$33)+(('Res-Rec Equations'!$B$28*'Res-Rec Equations'!$B$39*'Res-Rec Equations'!$B$42)/'Res-Rec Equations'!$B$34)))))</f>
        <v>NA</v>
      </c>
      <c r="J75" s="369" t="str">
        <f>IF('Chemical Info'!J76="NA","NA",IF(AND(E75="NA",'Chemical Info'!D76="Yes"),'Res-Rec Equations'!$B$22*1000*(('Res-Rec Equations'!$B$26*'Chemical Info'!J76*'Res-Rec Equations'!$B$59)+('Res-Rec Equations'!$B$27*'Chemical Info'!J76*'Res-Rec Equations'!$B$60)+('Res-Rec Equations'!$B$28*'Chemical Info'!J76*'Res-Rec Equations'!$B$61))*'Res-Rec Calculations'!C75,IF(AND(E75="NA",'Chemical Info'!D76=""),'Res-Rec Equations'!$B$22*1000*'Res-Rec Equations'!$B$25*'Chemical Info'!J76*'Res-Rec Calculations'!C75,IF(AND('Chemical Info'!E76="Yes",'Chemical Info'!D76="Yes"),'Res-Rec Equations'!$B$22*1000*(('Res-Rec Equations'!$B$26*'Chemical Info'!J76*'Res-Rec Equations'!$B$59)+('Res-Rec Equations'!$B$27*'Chemical Info'!J76*'Res-Rec Equations'!$B$60)+('Res-Rec Equations'!$B$28*'Chemical Info'!J76*'Res-Rec Equations'!$B$61))*'Res-Rec Calculations'!E75,IF(AND('Chemical Info'!E76="Yes",'Chemical Info'!D76=""),'Res-Rec Equations'!$B$22*1000*'Res-Rec Equations'!$B$25*'Chemical Info'!J76*'Res-Rec Calculations'!E75,IF('Chemical Info'!D76="Yes",'Res-Rec Equations'!$B$22*1000*(('Res-Rec Equations'!$B$26*'Chemical Info'!J76*'Res-Rec Equations'!$B$59)+('Res-Rec Equations'!$B$27*'Chemical Info'!J76*'Res-Rec Equations'!$B$60)+('Res-Rec Equations'!$B$28*'Chemical Info'!J76*'Res-Rec Equations'!$B$61))*('Res-Rec Calculations'!C75+'Res-Rec Calculations'!E75),IF('Chemical Info'!D76="",'Res-Rec Equations'!$B$22*1000*'Res-Rec Equations'!$B$25*'Chemical Info'!J76*('Res-Rec Calculations'!C75+'Res-Rec Calculations'!E75))))))))</f>
        <v>NA</v>
      </c>
      <c r="K75" s="370" t="str">
        <f>IF('Chemical Info'!J76="NA","NA",IF(AND(F75="NA",'Chemical Info'!D76="Yes"),'Res-Rec Equations'!$B$22*1000*(('Res-Rec Equations'!$B$26*'Chemical Info'!J76*'Res-Rec Equations'!$B$59)+('Res-Rec Equations'!$B$27*'Chemical Info'!J76*'Res-Rec Equations'!$B$60)+('Res-Rec Equations'!$B$28*'Chemical Info'!J76*'Res-Rec Equations'!$B$61))*'Res-Rec Calculations'!C75,IF(AND(F75="NA",'Chemical Info'!D76=""),'Res-Rec Equations'!$B$22*1000*'Res-Rec Equations'!$B$25*'Chemical Info'!J76*'Res-Rec Calculations'!C75,IF(AND('Chemical Info'!F76="Yes",'Chemical Info'!D76="Yes"),'Res-Rec Equations'!$B$22*1000*(('Res-Rec Equations'!$B$26*'Chemical Info'!J76*'Res-Rec Equations'!$B$59)+('Res-Rec Equations'!$B$27*'Chemical Info'!J76*'Res-Rec Equations'!$B$60)+('Res-Rec Equations'!$B$28*'Chemical Info'!J76*'Res-Rec Equations'!$B$61))*'Res-Rec Calculations'!F75,IF(AND('Chemical Info'!F76="Yes",'Chemical Info'!D76=""),'Res-Rec Equations'!$B$22*1000*'Res-Rec Equations'!$B$25*'Chemical Info'!J76*'Res-Rec Calculations'!F75,IF('Chemical Info'!D76="Yes",'Res-Rec Equations'!$B$22*1000*(('Res-Rec Equations'!$B$26*'Chemical Info'!J76*'Res-Rec Equations'!$B$59)+('Res-Rec Equations'!$B$27*'Chemical Info'!J76*'Res-Rec Equations'!$B$60)+('Res-Rec Equations'!$B$28*'Chemical Info'!J76*'Res-Rec Equations'!$B$61))*('Res-Rec Calculations'!C75+'Res-Rec Calculations'!F75),IF('Chemical Info'!D76="",'Res-Rec Equations'!$B$22*1000*'Res-Rec Equations'!$B$25*'Chemical Info'!J76*('Res-Rec Calculations'!C75+'Res-Rec Calculations'!F75))))))))</f>
        <v>NA</v>
      </c>
      <c r="L75" s="167" t="str">
        <f>IF(AND(H75="NA",I75="NA",J75="NA"),"NA",IF(H75="NA",'Res-Rec Equations'!$B$15*'Res-Rec Equations'!$B$16/J75,IF(J75="NA",'Res-Rec Equations'!$B$15*'Res-Rec Equations'!$B$16/(H75+I75),'Res-Rec Equations'!$B$15*'Res-Rec Equations'!$B$16/(H75+I75+J75))))</f>
        <v>NA</v>
      </c>
      <c r="M75" s="167" t="str">
        <f>IF(AND(H75="NA",I75="NA",K75="NA"),"NA",IF(H75="NA",'Res-Rec Equations'!$B$15*'Res-Rec Equations'!$B$16/K75,IF(K75="NA",'Res-Rec Equations'!$B$15*'Res-Rec Equations'!$B$16/(H75+I75),'Res-Rec Equations'!$B$15*'Res-Rec Equations'!$B$16/(H75+I75+K75))))</f>
        <v>NA</v>
      </c>
      <c r="N75" s="167" t="str">
        <f t="shared" ref="N75" si="86">IF(AND(L75="NA",M75="NA"),"NA",MAX(L75,M75))</f>
        <v>NA</v>
      </c>
      <c r="O75" s="371">
        <f>IF('Chemical Info'!L76="NA","NA",IF('Chemical Info'!E76="Yes",(('Res-Rec Equations'!$B$76*'Chemical Info'!AD76*'Res-Rec Equations'!$B$78*'Res-Rec Equations'!$B$79*'Res-Rec Equations'!$B$81)/('Res-Rec Equations'!$B$84*'Res-Rec Equations'!$B$85))/'Chemical Info'!L76,(('Res-Rec Equations'!$B$76*'Chemical Info'!AD76*'Res-Rec Equations'!$B$78*'Res-Rec Equations'!$B$79*'Res-Rec Equations'!$B$80)/('Res-Rec Equations'!$B$84*'Res-Rec Equations'!$B$85))/'Chemical Info'!L76))</f>
        <v>9.1324200913242004E-2</v>
      </c>
      <c r="P75" s="166">
        <f>IF('Chemical Info'!L76="NA","NA", IF('Chemical Info'!E76="Yes",0,((('Res-Rec Equations'!$B$87*'Res-Rec Equations'!$B$88*'Res-Rec Equations'!$B$78*'Res-Rec Equations'!$B$82*'Res-Rec Equations'!$B$79*'Chemical Info'!AB76)/('Res-Rec Equations'!$B$84*'Res-Rec Equations'!$B$85))/('Chemical Info'!L76*'Chemical Info'!AF76))))</f>
        <v>0</v>
      </c>
      <c r="Q75" s="166">
        <f>IF('Chemical Info'!N76="NA","NA",IF('Res-Rec Calculations'!E75="NA",(('Res-Rec Equations'!$B$83*'Res-Rec Equations'!$B$79*'Res-Rec Calculations'!C75)/('Res-Rec Equations'!$B$85))/('Chemical Info'!N76),IF('Chemical Info'!E76="Yes",(('Res-Rec Equations'!$B$83*'Res-Rec Equations'!$B$79*'Res-Rec Calculations'!E75)/('Res-Rec Equations'!$B$85))/('Chemical Info'!N76),(('Res-Rec Equations'!$B$83*'Res-Rec Equations'!$B$79*('Res-Rec Calculations'!C75+'Res-Rec Calculations'!E75))/('Res-Rec Equations'!$B$85))/('Chemical Info'!N76))))</f>
        <v>2.0832252650955971E-3</v>
      </c>
      <c r="R75" s="166">
        <f>IF('Chemical Info'!N76="NA","NA",IF('Res-Rec Calculations'!F75="NA",(('Res-Rec Equations'!$B$83*'Res-Rec Equations'!$B$79*'Res-Rec Calculations'!C75)/('Res-Rec Equations'!$B$85))/('Chemical Info'!N76),IF('Chemical Info'!E76="Yes",(('Res-Rec Equations'!$B$83*'Res-Rec Equations'!$B$79*'Res-Rec Calculations'!F75)/('Res-Rec Equations'!$B$85))/('Chemical Info'!N76),(('Res-Rec Equations'!$B$83*'Res-Rec Equations'!$B$79*('Res-Rec Calculations'!C75+'Res-Rec Calculations'!F75))/('Res-Rec Equations'!$B$85))/('Chemical Info'!N76))))</f>
        <v>1.4135710191784442E-3</v>
      </c>
      <c r="S75" s="167">
        <f>IF(AND(O75="NA",P75="NA",Q75="NA"),"NA",IF(O75="NA",'Res-Rec Equations'!$B$75/Q75,IF(Q75="NA",'Res-Rec Equations'!$B$75/(O75+P75),'Res-Rec Equations'!$B$75/(O75+P75+Q75))))</f>
        <v>2.1411573809790152</v>
      </c>
      <c r="T75" s="167">
        <f>IF(AND(O75="NA",P75="NA",R75="NA"),"NA",IF(O75="NA",'Res-Rec Equations'!$B$75/R75,IF(R75="NA",'Res-Rec Equations'!$B$75/(O75+P75),'Res-Rec Equations'!$B$75/(O75+P75+R75))))</f>
        <v>2.1566185582476938</v>
      </c>
      <c r="U75" s="168">
        <f t="shared" ref="U75" si="87">IF(AND(S75="NA",T75="NA"),"NA",MAX(S75,T75))</f>
        <v>2.1566185582476938</v>
      </c>
      <c r="V75" s="167" t="str">
        <f>IF('Chemical Info'!P76="NA","NA",(('Res-Rec Equations'!$B$185*'Res-Rec Equations'!$B$186)/('Res-Rec Equations'!$B$187*'Res-Rec Equations'!$B$188*(1/'Chemical Info'!P76))))</f>
        <v>NA</v>
      </c>
      <c r="W75" s="379" t="str">
        <f t="shared" ref="W75" si="88">IF(V75="NA","NA",IF(V75&gt;100000,100000,IF(ISNUMBER(ROUND(V75*1000000,2-LEN(INT(V75*1000000)))/1000000),ROUND(V75*1000000,2-LEN(INT(V75*1000000)))/1000000,"NA")))</f>
        <v>NA</v>
      </c>
      <c r="X75" s="372">
        <f t="shared" ref="X75" si="89">IF(AND(N75="NA",U75="NA",G75="NA"),"NA",MIN(N75,U75,G75))</f>
        <v>2.1566185582476938</v>
      </c>
      <c r="Y75" s="62">
        <f t="shared" ref="Y75" si="90">IF(X75&gt;100000,100000,IF(ISNUMBER(ROUND(X75*1000000,2-LEN(INT(X75*1000000)))/1000000),ROUND(X75*1000000,2-LEN(INT(X75*1000000)))/1000000,"NA"))</f>
        <v>2.2000000000000002</v>
      </c>
      <c r="Z75" s="100" t="str">
        <f t="shared" ref="Z75" si="91">IF(Y75=100000,"Max Limit",IF(X75=G75,"Csat",IF(X75=N75,"Cancer",IF(X75=V75,"Acute",IF(X75=U75,"Noncancer","")))))</f>
        <v>Noncancer</v>
      </c>
      <c r="AA75" s="373"/>
    </row>
    <row r="76" spans="1:27">
      <c r="A76" s="413" t="s">
        <v>325</v>
      </c>
      <c r="B76" s="566" t="s">
        <v>225</v>
      </c>
      <c r="C76" s="367">
        <f>1/(('Res-Rec Equations'!$B$152*3600)/((0.036*(1-'Res-Rec Equations'!$B$153))*('Res-Rec Equations'!$B$154/'Res-Rec Equations'!$B$155)^3*'Res-Rec Equations'!$B$156))</f>
        <v>7.3567680901159717E-10</v>
      </c>
      <c r="D76" s="368">
        <f>(('Res-Rec Equations'!$B$132^(10/3)*'Chemical Info'!$AH77*'Chemical Info'!$AN77*41+'Res-Rec Equations'!$B$135^(10/3)*'Chemical Info'!$AJ77)/'Res-Rec Equations'!$B$137^2)/('Res-Rec Equations'!$B$139*'Chemical Info'!$AL77*'Res-Rec Equations'!$B$142+'Res-Rec Equations'!$B$135+'Res-Rec Equations'!$B$132*'Chemical Info'!$AN77*41)</f>
        <v>8.55739088031356E-5</v>
      </c>
      <c r="E76" s="368">
        <f>IF(D76=0,"NA",1/(('Res-Rec Equations'!$B$103*(3.14*'Res-Rec Calculations'!$D76*'Res-Rec Equations'!$B$105)^(1/2)*0.0001)/(2*'Res-Rec Equations'!$B$106*'Res-Rec Calculations'!$D76)))</f>
        <v>5.4299929886174161E-5</v>
      </c>
      <c r="F76" s="368">
        <f>IF(D76=0,"NA",(1/('Res-Rec Equations'!$B$117*('Res-Rec Equations'!$B$118*(31500000))/('Res-Rec Equations'!$B$119*'Res-Rec Equations'!$B$120*1000000))))</f>
        <v>6.1914410640015851E-5</v>
      </c>
      <c r="G76" s="167">
        <f>IF('Chemical Info'!E77="Yes",('Chemical Info'!AP77/'Res-Rec Equations'!$B$168)*((('Chemical Info'!AL77*'Res-Rec Equations'!$B$170)*'Res-Rec Equations'!$B$168)+'Res-Rec Equations'!$B$171+('Chemical Info'!AN77*41)*'Res-Rec Equations'!$B$173),"NA")</f>
        <v>28431.490850666662</v>
      </c>
      <c r="H76" s="112" t="str">
        <f>IF('Chemical Info'!H77="NA","NA",IF(AND('Chemical Info'!E77="Yes",'Chemical Info'!D77="Yes"),'Chemical Info'!H77*'Chemical Info'!AD77*'Res-Rec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Info'!E77="Yes",'Chemical Info'!D77=""),'Chemical Info'!H77*'Chemical Info'!AD77*'Res-Rec Equations'!$B$20*'Res-Rec Equations'!$B$23*((('Res-Rec Equations'!$B$26*'Res-Rec Equations'!$B$29)/'Res-Rec Equations'!$B$32)+(('Res-Rec Equations'!$B$27*'Res-Rec Equations'!$B$30)/'Res-Rec Equations'!$B$33)+(('Res-Rec Equations'!$B$28*'Res-Rec Equations'!$B$31)/'Res-Rec Equations'!$B$34)),IF(AND('Chemical Info'!E77="No",'Chemical Info'!D77="Yes"),'Chemical Info'!H77*'Chemical Info'!AD77*'Res-Rec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Info'!E77="No",'Chemical Info'!D77=""),'Chemical Info'!H77*'Chemical Info'!AD77*'Res-Rec Equations'!$B$19*'Res-Rec Equations'!$B$23*((('Res-Rec Equations'!$B$26*'Res-Rec Equations'!$B$29)/'Res-Rec Equations'!$B$32)+(('Res-Rec Equations'!$B$27*'Res-Rec Equations'!$B$30)/'Res-Rec Equations'!$B$33)+(('Res-Rec Equations'!$B$28*'Res-Rec Equations'!$B$31)/'Res-Rec Equations'!$B$34)))))))</f>
        <v>NA</v>
      </c>
      <c r="I76" s="166" t="str">
        <f>IF('Chemical Info'!H77="NA","NA",IF('Chemical Info'!E77="Yes",0,IF('Chemical Info'!D77="Yes",'Chemical Info'!H77/'Chemical Info'!AF77*('Res-Rec Equations'!$B$21*'Chemical Info'!AB77*'Res-Rec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Info'!H77/'Chemical Info'!AF77*('Res-Rec Equations'!$B$21*'Chemical Info'!AB77*'Res-Rec Equations'!$B$23)*((('Res-Rec Equations'!$B$26*'Res-Rec Equations'!$B$37*'Res-Rec Equations'!$B$40)/'Res-Rec Equations'!$B$32)+(('Res-Rec Equations'!$B$27*'Res-Rec Equations'!$B$38*'Res-Rec Equations'!$B$41)/'Res-Rec Equations'!$B$33)+(('Res-Rec Equations'!$B$28*'Res-Rec Equations'!$B$39*'Res-Rec Equations'!$B$42)/'Res-Rec Equations'!$B$34)))))</f>
        <v>NA</v>
      </c>
      <c r="J76" s="369" t="str">
        <f>IF('Chemical Info'!J77="NA","NA",IF(AND(E76="NA",'Chemical Info'!D77="Yes"),'Res-Rec Equations'!$B$22*1000*(('Res-Rec Equations'!$B$26*'Chemical Info'!J77*'Res-Rec Equations'!$B$59)+('Res-Rec Equations'!$B$27*'Chemical Info'!J77*'Res-Rec Equations'!$B$60)+('Res-Rec Equations'!$B$28*'Chemical Info'!J77*'Res-Rec Equations'!$B$61))*'Res-Rec Calculations'!C76,IF(AND(E76="NA",'Chemical Info'!D77=""),'Res-Rec Equations'!$B$22*1000*'Res-Rec Equations'!$B$25*'Chemical Info'!J77*'Res-Rec Calculations'!C76,IF(AND('Chemical Info'!E77="Yes",'Chemical Info'!D77="Yes"),'Res-Rec Equations'!$B$22*1000*(('Res-Rec Equations'!$B$26*'Chemical Info'!J77*'Res-Rec Equations'!$B$59)+('Res-Rec Equations'!$B$27*'Chemical Info'!J77*'Res-Rec Equations'!$B$60)+('Res-Rec Equations'!$B$28*'Chemical Info'!J77*'Res-Rec Equations'!$B$61))*'Res-Rec Calculations'!E76,IF(AND('Chemical Info'!E77="Yes",'Chemical Info'!D77=""),'Res-Rec Equations'!$B$22*1000*'Res-Rec Equations'!$B$25*'Chemical Info'!J77*'Res-Rec Calculations'!E76,IF('Chemical Info'!D77="Yes",'Res-Rec Equations'!$B$22*1000*(('Res-Rec Equations'!$B$26*'Chemical Info'!J77*'Res-Rec Equations'!$B$59)+('Res-Rec Equations'!$B$27*'Chemical Info'!J77*'Res-Rec Equations'!$B$60)+('Res-Rec Equations'!$B$28*'Chemical Info'!J77*'Res-Rec Equations'!$B$61))*('Res-Rec Calculations'!C76+'Res-Rec Calculations'!E76),IF('Chemical Info'!D77="",'Res-Rec Equations'!$B$22*1000*'Res-Rec Equations'!$B$25*'Chemical Info'!J77*('Res-Rec Calculations'!C76+'Res-Rec Calculations'!E76))))))))</f>
        <v>NA</v>
      </c>
      <c r="K76" s="370" t="str">
        <f>IF('Chemical Info'!J77="NA","NA",IF(AND(F76="NA",'Chemical Info'!D77="Yes"),'Res-Rec Equations'!$B$22*1000*(('Res-Rec Equations'!$B$26*'Chemical Info'!J77*'Res-Rec Equations'!$B$59)+('Res-Rec Equations'!$B$27*'Chemical Info'!J77*'Res-Rec Equations'!$B$60)+('Res-Rec Equations'!$B$28*'Chemical Info'!J77*'Res-Rec Equations'!$B$61))*'Res-Rec Calculations'!C76,IF(AND(F76="NA",'Chemical Info'!D77=""),'Res-Rec Equations'!$B$22*1000*'Res-Rec Equations'!$B$25*'Chemical Info'!J77*'Res-Rec Calculations'!C76,IF(AND('Chemical Info'!F77="Yes",'Chemical Info'!D77="Yes"),'Res-Rec Equations'!$B$22*1000*(('Res-Rec Equations'!$B$26*'Chemical Info'!J77*'Res-Rec Equations'!$B$59)+('Res-Rec Equations'!$B$27*'Chemical Info'!J77*'Res-Rec Equations'!$B$60)+('Res-Rec Equations'!$B$28*'Chemical Info'!J77*'Res-Rec Equations'!$B$61))*'Res-Rec Calculations'!F76,IF(AND('Chemical Info'!F77="Yes",'Chemical Info'!D77=""),'Res-Rec Equations'!$B$22*1000*'Res-Rec Equations'!$B$25*'Chemical Info'!J77*'Res-Rec Calculations'!F76,IF('Chemical Info'!D77="Yes",'Res-Rec Equations'!$B$22*1000*(('Res-Rec Equations'!$B$26*'Chemical Info'!J77*'Res-Rec Equations'!$B$59)+('Res-Rec Equations'!$B$27*'Chemical Info'!J77*'Res-Rec Equations'!$B$60)+('Res-Rec Equations'!$B$28*'Chemical Info'!J77*'Res-Rec Equations'!$B$61))*('Res-Rec Calculations'!C76+'Res-Rec Calculations'!F76),IF('Chemical Info'!D77="",'Res-Rec Equations'!$B$22*1000*'Res-Rec Equations'!$B$25*'Chemical Info'!J77*('Res-Rec Calculations'!C76+'Res-Rec Calculations'!F76))))))))</f>
        <v>NA</v>
      </c>
      <c r="L76" s="167" t="str">
        <f>IF(AND(H76="NA",I76="NA",J76="NA"),"NA",IF(H76="NA",'Res-Rec Equations'!$B$15*'Res-Rec Equations'!$B$16/J76,IF(J76="NA",'Res-Rec Equations'!$B$15*'Res-Rec Equations'!$B$16/(H76+I76),'Res-Rec Equations'!$B$15*'Res-Rec Equations'!$B$16/(H76+I76+J76))))</f>
        <v>NA</v>
      </c>
      <c r="M76" s="167" t="str">
        <f>IF(AND(H76="NA",I76="NA",K76="NA"),"NA",IF(H76="NA",'Res-Rec Equations'!$B$15*'Res-Rec Equations'!$B$16/K76,IF(K76="NA",'Res-Rec Equations'!$B$15*'Res-Rec Equations'!$B$16/(H76+I76),'Res-Rec Equations'!$B$15*'Res-Rec Equations'!$B$16/(H76+I76+K76))))</f>
        <v>NA</v>
      </c>
      <c r="N76" s="167" t="str">
        <f t="shared" si="14"/>
        <v>NA</v>
      </c>
      <c r="O76" s="371">
        <f>IF('Chemical Info'!L77="NA","NA",IF('Chemical Info'!E77="Yes",(('Res-Rec Equations'!$B$76*'Chemical Info'!AD77*'Res-Rec Equations'!$B$78*'Res-Rec Equations'!$B$79*'Res-Rec Equations'!$B$81)/('Res-Rec Equations'!$B$84*'Res-Rec Equations'!$B$85))/'Chemical Info'!L77,(('Res-Rec Equations'!$B$76*'Chemical Info'!AD77*'Res-Rec Equations'!$B$78*'Res-Rec Equations'!$B$79*'Res-Rec Equations'!$B$80)/('Res-Rec Equations'!$B$84*'Res-Rec Equations'!$B$85))/'Chemical Info'!L77))</f>
        <v>1.5220700152207003E-5</v>
      </c>
      <c r="P76" s="166">
        <f>IF('Chemical Info'!L77="NA","NA", IF('Chemical Info'!E77="Yes",0,((('Res-Rec Equations'!$B$87*'Res-Rec Equations'!$B$88*'Res-Rec Equations'!$B$78*'Res-Rec Equations'!$B$82*'Res-Rec Equations'!$B$79*'Chemical Info'!AB77)/('Res-Rec Equations'!$B$84*'Res-Rec Equations'!$B$85))/('Chemical Info'!L77*'Chemical Info'!AF77))))</f>
        <v>0</v>
      </c>
      <c r="Q76" s="166">
        <f>IF('Chemical Info'!N77="NA","NA",IF('Res-Rec Calculations'!E76="NA",(('Res-Rec Equations'!$B$83*'Res-Rec Equations'!$B$79*'Res-Rec Calculations'!C76)/('Res-Rec Equations'!$B$85))/('Chemical Info'!N77),IF('Chemical Info'!E77="Yes",(('Res-Rec Equations'!$B$83*'Res-Rec Equations'!$B$79*'Res-Rec Calculations'!E76)/('Res-Rec Equations'!$B$85))/('Chemical Info'!N77),(('Res-Rec Equations'!$B$83*'Res-Rec Equations'!$B$79*('Res-Rec Calculations'!C76+'Res-Rec Calculations'!E76))/('Res-Rec Equations'!$B$85))/('Chemical Info'!N77))))</f>
        <v>7.4383465597498855E-6</v>
      </c>
      <c r="R76" s="166">
        <f>IF('Chemical Info'!N77="NA","NA",IF('Res-Rec Calculations'!F76="NA",(('Res-Rec Equations'!$B$83*'Res-Rec Equations'!$B$79*'Res-Rec Calculations'!C76)/('Res-Rec Equations'!$B$85))/('Chemical Info'!N77),IF('Chemical Info'!E77="Yes",(('Res-Rec Equations'!$B$83*'Res-Rec Equations'!$B$79*'Res-Rec Calculations'!F76)/('Res-Rec Equations'!$B$85))/('Chemical Info'!N77),(('Res-Rec Equations'!$B$83*'Res-Rec Equations'!$B$79*('Res-Rec Calculations'!C76+'Res-Rec Calculations'!F76))/('Res-Rec Equations'!$B$85))/('Chemical Info'!N77))))</f>
        <v>8.4814261150706635E-6</v>
      </c>
      <c r="S76" s="167">
        <f>IF(AND(O76="NA",P76="NA",Q76="NA"),"NA",IF(O76="NA",'Res-Rec Equations'!$B$75/Q76,IF(Q76="NA",'Res-Rec Equations'!$B$75/(O76+P76),'Res-Rec Equations'!$B$75/(O76+P76+Q76))))</f>
        <v>8826.496654621511</v>
      </c>
      <c r="T76" s="167">
        <f>IF(AND(O76="NA",P76="NA",R76="NA"),"NA",IF(O76="NA",'Res-Rec Equations'!$B$75/R76,IF(R76="NA",'Res-Rec Equations'!$B$75/(O76+P76),'Res-Rec Equations'!$B$75/(O76+P76+R76))))</f>
        <v>8438.0615369564166</v>
      </c>
      <c r="U76" s="168">
        <f t="shared" si="15"/>
        <v>8826.496654621511</v>
      </c>
      <c r="V76" s="167" t="str">
        <f>IF('Chemical Info'!P77="NA","NA",(('Res-Rec Equations'!$B$185*'Res-Rec Equations'!$B$186)/('Res-Rec Equations'!$B$187*'Res-Rec Equations'!$B$188*(1/'Chemical Info'!P77))))</f>
        <v>NA</v>
      </c>
      <c r="W76" s="379" t="str">
        <f t="shared" si="16"/>
        <v>NA</v>
      </c>
      <c r="X76" s="372">
        <f t="shared" si="17"/>
        <v>8826.496654621511</v>
      </c>
      <c r="Y76" s="62">
        <f t="shared" si="18"/>
        <v>8800</v>
      </c>
      <c r="Z76" s="100" t="str">
        <f t="shared" si="19"/>
        <v>Noncancer</v>
      </c>
      <c r="AA76" s="373"/>
    </row>
    <row r="77" spans="1:27">
      <c r="A77" s="413" t="s">
        <v>1175</v>
      </c>
      <c r="B77" s="566" t="s">
        <v>1176</v>
      </c>
      <c r="C77" s="367">
        <f>1/(('Res-Rec Equations'!$B$152*3600)/((0.036*(1-'Res-Rec Equations'!$B$153))*('Res-Rec Equations'!$B$154/'Res-Rec Equations'!$B$155)^3*'Res-Rec Equations'!$B$156))</f>
        <v>7.3567680901159717E-10</v>
      </c>
      <c r="D77" s="368">
        <f>(('Res-Rec Equations'!$B$132^(10/3)*'Chemical Info'!$AH78*'Chemical Info'!$AN78*41+'Res-Rec Equations'!$B$135^(10/3)*'Chemical Info'!$AJ78)/'Res-Rec Equations'!$B$137^2)/('Res-Rec Equations'!$B$139*'Chemical Info'!$AL78*'Res-Rec Equations'!$B$142+'Res-Rec Equations'!$B$135+'Res-Rec Equations'!$B$132*'Chemical Info'!$AN78*41)</f>
        <v>3.1763160143163509E-4</v>
      </c>
      <c r="E77" s="368">
        <f>IF(D77=0,"NA",1/(('Res-Rec Equations'!$B$103*(3.14*'Res-Rec Calculations'!$D77*'Res-Rec Equations'!$B$105)^(1/2)*0.0001)/(2*'Res-Rec Equations'!$B$106*'Res-Rec Calculations'!$D77)))</f>
        <v>1.0461415126209687E-4</v>
      </c>
      <c r="F77" s="368">
        <f>IF(D77=0,"NA",(1/('Res-Rec Equations'!$B$117*('Res-Rec Equations'!$B$118*(31500000))/('Res-Rec Equations'!$B$119*'Res-Rec Equations'!$B$120*1000000))))</f>
        <v>6.1914410640015851E-5</v>
      </c>
      <c r="G77" s="167">
        <f>IF('Chemical Info'!E78="Yes",('Chemical Info'!AP78/'Res-Rec Equations'!$B$168)*((('Chemical Info'!AL78*'Res-Rec Equations'!$B$170)*'Res-Rec Equations'!$B$168)+'Res-Rec Equations'!$B$171+('Chemical Info'!AN78*41)*'Res-Rec Equations'!$B$173),"NA")</f>
        <v>2359.2212</v>
      </c>
      <c r="H77" s="112" t="str">
        <f>IF('Chemical Info'!H78="NA","NA",IF(AND('Chemical Info'!E78="Yes",'Chemical Info'!D78="Yes"),'Chemical Info'!H78*'Chemical Info'!AD78*'Res-Rec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Info'!E78="Yes",'Chemical Info'!D78=""),'Chemical Info'!H78*'Chemical Info'!AD78*'Res-Rec Equations'!$B$20*'Res-Rec Equations'!$B$23*((('Res-Rec Equations'!$B$26*'Res-Rec Equations'!$B$29)/'Res-Rec Equations'!$B$32)+(('Res-Rec Equations'!$B$27*'Res-Rec Equations'!$B$30)/'Res-Rec Equations'!$B$33)+(('Res-Rec Equations'!$B$28*'Res-Rec Equations'!$B$31)/'Res-Rec Equations'!$B$34)),IF(AND('Chemical Info'!E78="No",'Chemical Info'!D78="Yes"),'Chemical Info'!H78*'Chemical Info'!AD78*'Res-Rec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Info'!E78="No",'Chemical Info'!D78=""),'Chemical Info'!H78*'Chemical Info'!AD78*'Res-Rec Equations'!$B$19*'Res-Rec Equations'!$B$23*((('Res-Rec Equations'!$B$26*'Res-Rec Equations'!$B$29)/'Res-Rec Equations'!$B$32)+(('Res-Rec Equations'!$B$27*'Res-Rec Equations'!$B$30)/'Res-Rec Equations'!$B$33)+(('Res-Rec Equations'!$B$28*'Res-Rec Equations'!$B$31)/'Res-Rec Equations'!$B$34)))))))</f>
        <v>NA</v>
      </c>
      <c r="I77" s="166" t="str">
        <f>IF('Chemical Info'!H78="NA","NA",IF('Chemical Info'!E78="Yes",0,IF('Chemical Info'!D78="Yes",'Chemical Info'!H78/'Chemical Info'!AF78*('Res-Rec Equations'!$B$21*'Chemical Info'!AB78*'Res-Rec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Info'!H78/'Chemical Info'!AF78*('Res-Rec Equations'!$B$21*'Chemical Info'!AB78*'Res-Rec Equations'!$B$23)*((('Res-Rec Equations'!$B$26*'Res-Rec Equations'!$B$37*'Res-Rec Equations'!$B$40)/'Res-Rec Equations'!$B$32)+(('Res-Rec Equations'!$B$27*'Res-Rec Equations'!$B$38*'Res-Rec Equations'!$B$41)/'Res-Rec Equations'!$B$33)+(('Res-Rec Equations'!$B$28*'Res-Rec Equations'!$B$39*'Res-Rec Equations'!$B$42)/'Res-Rec Equations'!$B$34)))))</f>
        <v>NA</v>
      </c>
      <c r="J77" s="369" t="str">
        <f>IF('Chemical Info'!J78="NA","NA",IF(AND(E77="NA",'Chemical Info'!D78="Yes"),'Res-Rec Equations'!$B$22*1000*(('Res-Rec Equations'!$B$26*'Chemical Info'!J78*'Res-Rec Equations'!$B$59)+('Res-Rec Equations'!$B$27*'Chemical Info'!J78*'Res-Rec Equations'!$B$60)+('Res-Rec Equations'!$B$28*'Chemical Info'!J78*'Res-Rec Equations'!$B$61))*'Res-Rec Calculations'!C77,IF(AND(E77="NA",'Chemical Info'!D78=""),'Res-Rec Equations'!$B$22*1000*'Res-Rec Equations'!$B$25*'Chemical Info'!J78*'Res-Rec Calculations'!C77,IF(AND('Chemical Info'!E78="Yes",'Chemical Info'!D78="Yes"),'Res-Rec Equations'!$B$22*1000*(('Res-Rec Equations'!$B$26*'Chemical Info'!J78*'Res-Rec Equations'!$B$59)+('Res-Rec Equations'!$B$27*'Chemical Info'!J78*'Res-Rec Equations'!$B$60)+('Res-Rec Equations'!$B$28*'Chemical Info'!J78*'Res-Rec Equations'!$B$61))*'Res-Rec Calculations'!E77,IF(AND('Chemical Info'!E78="Yes",'Chemical Info'!D78=""),'Res-Rec Equations'!$B$22*1000*'Res-Rec Equations'!$B$25*'Chemical Info'!J78*'Res-Rec Calculations'!E77,IF('Chemical Info'!D78="Yes",'Res-Rec Equations'!$B$22*1000*(('Res-Rec Equations'!$B$26*'Chemical Info'!J78*'Res-Rec Equations'!$B$59)+('Res-Rec Equations'!$B$27*'Chemical Info'!J78*'Res-Rec Equations'!$B$60)+('Res-Rec Equations'!$B$28*'Chemical Info'!J78*'Res-Rec Equations'!$B$61))*('Res-Rec Calculations'!C77+'Res-Rec Calculations'!E77),IF('Chemical Info'!D78="",'Res-Rec Equations'!$B$22*1000*'Res-Rec Equations'!$B$25*'Chemical Info'!J78*('Res-Rec Calculations'!C77+'Res-Rec Calculations'!E77))))))))</f>
        <v>NA</v>
      </c>
      <c r="K77" s="370" t="str">
        <f>IF('Chemical Info'!J78="NA","NA",IF(AND(F77="NA",'Chemical Info'!D78="Yes"),'Res-Rec Equations'!$B$22*1000*(('Res-Rec Equations'!$B$26*'Chemical Info'!J78*'Res-Rec Equations'!$B$59)+('Res-Rec Equations'!$B$27*'Chemical Info'!J78*'Res-Rec Equations'!$B$60)+('Res-Rec Equations'!$B$28*'Chemical Info'!J78*'Res-Rec Equations'!$B$61))*'Res-Rec Calculations'!C77,IF(AND(F77="NA",'Chemical Info'!D78=""),'Res-Rec Equations'!$B$22*1000*'Res-Rec Equations'!$B$25*'Chemical Info'!J78*'Res-Rec Calculations'!C77,IF(AND('Chemical Info'!F78="Yes",'Chemical Info'!D78="Yes"),'Res-Rec Equations'!$B$22*1000*(('Res-Rec Equations'!$B$26*'Chemical Info'!J78*'Res-Rec Equations'!$B$59)+('Res-Rec Equations'!$B$27*'Chemical Info'!J78*'Res-Rec Equations'!$B$60)+('Res-Rec Equations'!$B$28*'Chemical Info'!J78*'Res-Rec Equations'!$B$61))*'Res-Rec Calculations'!F77,IF(AND('Chemical Info'!F78="Yes",'Chemical Info'!D78=""),'Res-Rec Equations'!$B$22*1000*'Res-Rec Equations'!$B$25*'Chemical Info'!J78*'Res-Rec Calculations'!F77,IF('Chemical Info'!D78="Yes",'Res-Rec Equations'!$B$22*1000*(('Res-Rec Equations'!$B$26*'Chemical Info'!J78*'Res-Rec Equations'!$B$59)+('Res-Rec Equations'!$B$27*'Chemical Info'!J78*'Res-Rec Equations'!$B$60)+('Res-Rec Equations'!$B$28*'Chemical Info'!J78*'Res-Rec Equations'!$B$61))*('Res-Rec Calculations'!C77+'Res-Rec Calculations'!F77),IF('Chemical Info'!D78="",'Res-Rec Equations'!$B$22*1000*'Res-Rec Equations'!$B$25*'Chemical Info'!J78*('Res-Rec Calculations'!C77+'Res-Rec Calculations'!F77))))))))</f>
        <v>NA</v>
      </c>
      <c r="L77" s="167" t="str">
        <f>IF(AND(H77="NA",I77="NA",J77="NA"),"NA",IF(H77="NA",'Res-Rec Equations'!$B$15*'Res-Rec Equations'!$B$16/J77,IF(J77="NA",'Res-Rec Equations'!$B$15*'Res-Rec Equations'!$B$16/(H77+I77),'Res-Rec Equations'!$B$15*'Res-Rec Equations'!$B$16/(H77+I77+J77))))</f>
        <v>NA</v>
      </c>
      <c r="M77" s="167" t="str">
        <f>IF(AND(H77="NA",I77="NA",K77="NA"),"NA",IF(H77="NA",'Res-Rec Equations'!$B$15*'Res-Rec Equations'!$B$16/K77,IF(K77="NA",'Res-Rec Equations'!$B$15*'Res-Rec Equations'!$B$16/(H77+I77),'Res-Rec Equations'!$B$15*'Res-Rec Equations'!$B$16/(H77+I77+K77))))</f>
        <v>NA</v>
      </c>
      <c r="N77" s="167" t="str">
        <f t="shared" ref="N77" si="92">IF(AND(L77="NA",M77="NA"),"NA",MAX(L77,M77))</f>
        <v>NA</v>
      </c>
      <c r="O77" s="371">
        <f>IF('Chemical Info'!L78="NA","NA",IF('Chemical Info'!E78="Yes",(('Res-Rec Equations'!$B$76*'Chemical Info'!AD78*'Res-Rec Equations'!$B$78*'Res-Rec Equations'!$B$79*'Res-Rec Equations'!$B$81)/('Res-Rec Equations'!$B$84*'Res-Rec Equations'!$B$85))/'Chemical Info'!L78,(('Res-Rec Equations'!$B$76*'Chemical Info'!AD78*'Res-Rec Equations'!$B$78*'Res-Rec Equations'!$B$79*'Res-Rec Equations'!$B$80)/('Res-Rec Equations'!$B$84*'Res-Rec Equations'!$B$85))/'Chemical Info'!L78))</f>
        <v>6.5231572080887151E-6</v>
      </c>
      <c r="P77" s="166">
        <f>IF('Chemical Info'!L78="NA","NA", IF('Chemical Info'!E78="Yes",0,((('Res-Rec Equations'!$B$87*'Res-Rec Equations'!$B$88*'Res-Rec Equations'!$B$78*'Res-Rec Equations'!$B$82*'Res-Rec Equations'!$B$79*'Chemical Info'!AB78)/('Res-Rec Equations'!$B$84*'Res-Rec Equations'!$B$85))/('Chemical Info'!L78*'Chemical Info'!AF78))))</f>
        <v>0</v>
      </c>
      <c r="Q77" s="166">
        <f>IF('Chemical Info'!N78="NA","NA",IF('Res-Rec Calculations'!E77="NA",(('Res-Rec Equations'!$B$83*'Res-Rec Equations'!$B$79*'Res-Rec Calculations'!C77)/('Res-Rec Equations'!$B$85))/('Chemical Info'!N78),IF('Chemical Info'!E78="Yes",(('Res-Rec Equations'!$B$83*'Res-Rec Equations'!$B$79*'Res-Rec Calculations'!E77)/('Res-Rec Equations'!$B$85))/('Chemical Info'!N78),(('Res-Rec Equations'!$B$83*'Res-Rec Equations'!$B$79*('Res-Rec Calculations'!C77+'Res-Rec Calculations'!E77))/('Res-Rec Equations'!$B$85))/('Chemical Info'!N78))))</f>
        <v>1.0236218323101456E-4</v>
      </c>
      <c r="R77" s="166">
        <f>IF('Chemical Info'!N78="NA","NA",IF('Res-Rec Calculations'!F77="NA",(('Res-Rec Equations'!$B$83*'Res-Rec Equations'!$B$79*'Res-Rec Calculations'!C77)/('Res-Rec Equations'!$B$85))/('Chemical Info'!N78),IF('Chemical Info'!E78="Yes",(('Res-Rec Equations'!$B$83*'Res-Rec Equations'!$B$79*'Res-Rec Calculations'!F77)/('Res-Rec Equations'!$B$85))/('Chemical Info'!N78),(('Res-Rec Equations'!$B$83*'Res-Rec Equations'!$B$79*('Res-Rec Calculations'!C77+'Res-Rec Calculations'!F77))/('Res-Rec Equations'!$B$85))/('Chemical Info'!N78))))</f>
        <v>6.0581615107647605E-5</v>
      </c>
      <c r="S77" s="167">
        <f>IF(AND(O77="NA",P77="NA",Q77="NA"),"NA",IF(O77="NA",'Res-Rec Equations'!$B$75/Q77,IF(Q77="NA",'Res-Rec Equations'!$B$75/(O77+P77),'Res-Rec Equations'!$B$75/(O77+P77+Q77))))</f>
        <v>1836.7945509786489</v>
      </c>
      <c r="T77" s="167">
        <f>IF(AND(O77="NA",P77="NA",R77="NA"),"NA",IF(O77="NA",'Res-Rec Equations'!$B$75/R77,IF(R77="NA",'Res-Rec Equations'!$B$75/(O77+P77),'Res-Rec Equations'!$B$75/(O77+P77+R77))))</f>
        <v>2980.4139571322153</v>
      </c>
      <c r="U77" s="168">
        <f t="shared" ref="U77" si="93">IF(AND(S77="NA",T77="NA"),"NA",MAX(S77,T77))</f>
        <v>2980.4139571322153</v>
      </c>
      <c r="V77" s="167" t="str">
        <f>IF('Chemical Info'!P78="NA","NA",(('Res-Rec Equations'!$B$185*'Res-Rec Equations'!$B$186)/('Res-Rec Equations'!$B$187*'Res-Rec Equations'!$B$188*(1/'Chemical Info'!P78))))</f>
        <v>NA</v>
      </c>
      <c r="W77" s="379" t="str">
        <f t="shared" ref="W77" si="94">IF(V77="NA","NA",IF(V77&gt;100000,100000,IF(ISNUMBER(ROUND(V77*1000000,2-LEN(INT(V77*1000000)))/1000000),ROUND(V77*1000000,2-LEN(INT(V77*1000000)))/1000000,"NA")))</f>
        <v>NA</v>
      </c>
      <c r="X77" s="372">
        <f t="shared" ref="X77" si="95">IF(AND(N77="NA",U77="NA",G77="NA"),"NA",MIN(N77,U77,G77))</f>
        <v>2359.2212</v>
      </c>
      <c r="Y77" s="62">
        <f t="shared" ref="Y77" si="96">IF(X77&gt;100000,100000,IF(ISNUMBER(ROUND(X77*1000000,2-LEN(INT(X77*1000000)))/1000000),ROUND(X77*1000000,2-LEN(INT(X77*1000000)))/1000000,"NA"))</f>
        <v>2400</v>
      </c>
      <c r="Z77" s="100" t="str">
        <f t="shared" ref="Z77" si="97">IF(Y77=100000,"Max Limit",IF(X77=G77,"Csat",IF(X77=N77,"Cancer",IF(X77=V77,"Acute",IF(X77=U77,"Noncancer","")))))</f>
        <v>Csat</v>
      </c>
      <c r="AA77" s="373"/>
    </row>
    <row r="78" spans="1:27">
      <c r="A78" s="413" t="s">
        <v>918</v>
      </c>
      <c r="B78" s="566" t="s">
        <v>34</v>
      </c>
      <c r="C78" s="367">
        <f>1/(('Res-Rec Equations'!$B$152*3600)/((0.036*(1-'Res-Rec Equations'!$B$153))*('Res-Rec Equations'!$B$154/'Res-Rec Equations'!$B$155)^3*'Res-Rec Equations'!$B$156))</f>
        <v>7.3567680901159717E-10</v>
      </c>
      <c r="D78" s="368">
        <f>(('Res-Rec Equations'!$B$132^(10/3)*'Chemical Info'!$AH79*'Chemical Info'!$AN79*41+'Res-Rec Equations'!$B$135^(10/3)*'Chemical Info'!$AJ79)/'Res-Rec Equations'!$B$137^2)/('Res-Rec Equations'!$B$139*'Chemical Info'!$AL79*'Res-Rec Equations'!$B$142+'Res-Rec Equations'!$B$135+'Res-Rec Equations'!$B$132*'Chemical Info'!$AN79*41)</f>
        <v>1.1392172887189942E-4</v>
      </c>
      <c r="E78" s="368">
        <f>IF(D78=0,"NA",1/(('Res-Rec Equations'!$B$103*(3.14*'Res-Rec Calculations'!$D78*'Res-Rec Equations'!$B$105)^(1/2)*0.0001)/(2*'Res-Rec Equations'!$B$106*'Res-Rec Calculations'!$D78)))</f>
        <v>6.2651556855871859E-5</v>
      </c>
      <c r="F78" s="368">
        <f>IF(D78=0,"NA",(1/('Res-Rec Equations'!$B$117*('Res-Rec Equations'!$B$118*(31500000))/('Res-Rec Equations'!$B$119*'Res-Rec Equations'!$B$120*1000000))))</f>
        <v>6.1914410640015851E-5</v>
      </c>
      <c r="G78" s="167">
        <f>IF('Chemical Info'!E79="Yes",('Chemical Info'!AP79/'Res-Rec Equations'!$B$168)*((('Chemical Info'!AL79*'Res-Rec Equations'!$B$170)*'Res-Rec Equations'!$B$168)+'Res-Rec Equations'!$B$171+('Chemical Info'!AN79*41)*'Res-Rec Equations'!$B$173),"NA")</f>
        <v>3356.4670399999995</v>
      </c>
      <c r="H78" s="112" t="str">
        <f>IF('Chemical Info'!H79="NA","NA",IF(AND('Chemical Info'!E79="Yes",'Chemical Info'!D79="Yes"),'Chemical Info'!H79*'Chemical Info'!AD79*'Res-Rec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Info'!E79="Yes",'Chemical Info'!D79=""),'Chemical Info'!H79*'Chemical Info'!AD79*'Res-Rec Equations'!$B$20*'Res-Rec Equations'!$B$23*((('Res-Rec Equations'!$B$26*'Res-Rec Equations'!$B$29)/'Res-Rec Equations'!$B$32)+(('Res-Rec Equations'!$B$27*'Res-Rec Equations'!$B$30)/'Res-Rec Equations'!$B$33)+(('Res-Rec Equations'!$B$28*'Res-Rec Equations'!$B$31)/'Res-Rec Equations'!$B$34)),IF(AND('Chemical Info'!E79="No",'Chemical Info'!D79="Yes"),'Chemical Info'!H79*'Chemical Info'!AD79*'Res-Rec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Info'!E79="No",'Chemical Info'!D79=""),'Chemical Info'!H79*'Chemical Info'!AD79*'Res-Rec Equations'!$B$19*'Res-Rec Equations'!$B$23*((('Res-Rec Equations'!$B$26*'Res-Rec Equations'!$B$29)/'Res-Rec Equations'!$B$32)+(('Res-Rec Equations'!$B$27*'Res-Rec Equations'!$B$30)/'Res-Rec Equations'!$B$33)+(('Res-Rec Equations'!$B$28*'Res-Rec Equations'!$B$31)/'Res-Rec Equations'!$B$34)))))))</f>
        <v>NA</v>
      </c>
      <c r="I78" s="166" t="str">
        <f>IF('Chemical Info'!H79="NA","NA",IF('Chemical Info'!E79="Yes",0,IF('Chemical Info'!D79="Yes",'Chemical Info'!H79/'Chemical Info'!AF79*('Res-Rec Equations'!$B$21*'Chemical Info'!AB79*'Res-Rec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Info'!H79/'Chemical Info'!AF79*('Res-Rec Equations'!$B$21*'Chemical Info'!AB79*'Res-Rec Equations'!$B$23)*((('Res-Rec Equations'!$B$26*'Res-Rec Equations'!$B$37*'Res-Rec Equations'!$B$40)/'Res-Rec Equations'!$B$32)+(('Res-Rec Equations'!$B$27*'Res-Rec Equations'!$B$38*'Res-Rec Equations'!$B$41)/'Res-Rec Equations'!$B$33)+(('Res-Rec Equations'!$B$28*'Res-Rec Equations'!$B$39*'Res-Rec Equations'!$B$42)/'Res-Rec Equations'!$B$34)))))</f>
        <v>NA</v>
      </c>
      <c r="J78" s="369" t="str">
        <f>IF('Chemical Info'!J79="NA","NA",IF(AND(E78="NA",'Chemical Info'!D79="Yes"),'Res-Rec Equations'!$B$22*1000*(('Res-Rec Equations'!$B$26*'Chemical Info'!J79*'Res-Rec Equations'!$B$59)+('Res-Rec Equations'!$B$27*'Chemical Info'!J79*'Res-Rec Equations'!$B$60)+('Res-Rec Equations'!$B$28*'Chemical Info'!J79*'Res-Rec Equations'!$B$61))*'Res-Rec Calculations'!C78,IF(AND(E78="NA",'Chemical Info'!D79=""),'Res-Rec Equations'!$B$22*1000*'Res-Rec Equations'!$B$25*'Chemical Info'!J79*'Res-Rec Calculations'!C78,IF(AND('Chemical Info'!E79="Yes",'Chemical Info'!D79="Yes"),'Res-Rec Equations'!$B$22*1000*(('Res-Rec Equations'!$B$26*'Chemical Info'!J79*'Res-Rec Equations'!$B$59)+('Res-Rec Equations'!$B$27*'Chemical Info'!J79*'Res-Rec Equations'!$B$60)+('Res-Rec Equations'!$B$28*'Chemical Info'!J79*'Res-Rec Equations'!$B$61))*'Res-Rec Calculations'!E78,IF(AND('Chemical Info'!E79="Yes",'Chemical Info'!D79=""),'Res-Rec Equations'!$B$22*1000*'Res-Rec Equations'!$B$25*'Chemical Info'!J79*'Res-Rec Calculations'!E78,IF('Chemical Info'!D79="Yes",'Res-Rec Equations'!$B$22*1000*(('Res-Rec Equations'!$B$26*'Chemical Info'!J79*'Res-Rec Equations'!$B$59)+('Res-Rec Equations'!$B$27*'Chemical Info'!J79*'Res-Rec Equations'!$B$60)+('Res-Rec Equations'!$B$28*'Chemical Info'!J79*'Res-Rec Equations'!$B$61))*('Res-Rec Calculations'!C78+'Res-Rec Calculations'!E78),IF('Chemical Info'!D79="",'Res-Rec Equations'!$B$22*1000*'Res-Rec Equations'!$B$25*'Chemical Info'!J79*('Res-Rec Calculations'!C78+'Res-Rec Calculations'!E78))))))))</f>
        <v>NA</v>
      </c>
      <c r="K78" s="370" t="str">
        <f>IF('Chemical Info'!J79="NA","NA",IF(AND(F78="NA",'Chemical Info'!D79="Yes"),'Res-Rec Equations'!$B$22*1000*(('Res-Rec Equations'!$B$26*'Chemical Info'!J79*'Res-Rec Equations'!$B$59)+('Res-Rec Equations'!$B$27*'Chemical Info'!J79*'Res-Rec Equations'!$B$60)+('Res-Rec Equations'!$B$28*'Chemical Info'!J79*'Res-Rec Equations'!$B$61))*'Res-Rec Calculations'!C78,IF(AND(F78="NA",'Chemical Info'!D79=""),'Res-Rec Equations'!$B$22*1000*'Res-Rec Equations'!$B$25*'Chemical Info'!J79*'Res-Rec Calculations'!C78,IF(AND('Chemical Info'!F79="Yes",'Chemical Info'!D79="Yes"),'Res-Rec Equations'!$B$22*1000*(('Res-Rec Equations'!$B$26*'Chemical Info'!J79*'Res-Rec Equations'!$B$59)+('Res-Rec Equations'!$B$27*'Chemical Info'!J79*'Res-Rec Equations'!$B$60)+('Res-Rec Equations'!$B$28*'Chemical Info'!J79*'Res-Rec Equations'!$B$61))*'Res-Rec Calculations'!F78,IF(AND('Chemical Info'!F79="Yes",'Chemical Info'!D79=""),'Res-Rec Equations'!$B$22*1000*'Res-Rec Equations'!$B$25*'Chemical Info'!J79*'Res-Rec Calculations'!F78,IF('Chemical Info'!D79="Yes",'Res-Rec Equations'!$B$22*1000*(('Res-Rec Equations'!$B$26*'Chemical Info'!J79*'Res-Rec Equations'!$B$59)+('Res-Rec Equations'!$B$27*'Chemical Info'!J79*'Res-Rec Equations'!$B$60)+('Res-Rec Equations'!$B$28*'Chemical Info'!J79*'Res-Rec Equations'!$B$61))*('Res-Rec Calculations'!C78+'Res-Rec Calculations'!F78),IF('Chemical Info'!D79="",'Res-Rec Equations'!$B$22*1000*'Res-Rec Equations'!$B$25*'Chemical Info'!J79*('Res-Rec Calculations'!C78+'Res-Rec Calculations'!F78))))))))</f>
        <v>NA</v>
      </c>
      <c r="L78" s="167" t="str">
        <f>IF(AND(H78="NA",I78="NA",J78="NA"),"NA",IF(H78="NA",'Res-Rec Equations'!$B$15*'Res-Rec Equations'!$B$16/J78,IF(J78="NA",'Res-Rec Equations'!$B$15*'Res-Rec Equations'!$B$16/(H78+I78),'Res-Rec Equations'!$B$15*'Res-Rec Equations'!$B$16/(H78+I78+J78))))</f>
        <v>NA</v>
      </c>
      <c r="M78" s="167" t="str">
        <f>IF(AND(H78="NA",I78="NA",K78="NA"),"NA",IF(H78="NA",'Res-Rec Equations'!$B$15*'Res-Rec Equations'!$B$16/K78,IF(K78="NA",'Res-Rec Equations'!$B$15*'Res-Rec Equations'!$B$16/(H78+I78),'Res-Rec Equations'!$B$15*'Res-Rec Equations'!$B$16/(H78+I78+K78))))</f>
        <v>NA</v>
      </c>
      <c r="N78" s="167" t="str">
        <f t="shared" si="14"/>
        <v>NA</v>
      </c>
      <c r="O78" s="371">
        <f>IF('Chemical Info'!L79="NA","NA",IF('Chemical Info'!E79="Yes",(('Res-Rec Equations'!$B$76*'Chemical Info'!AD79*'Res-Rec Equations'!$B$78*'Res-Rec Equations'!$B$79*'Res-Rec Equations'!$B$81)/('Res-Rec Equations'!$B$84*'Res-Rec Equations'!$B$85))/'Chemical Info'!L79,(('Res-Rec Equations'!$B$76*'Chemical Info'!AD79*'Res-Rec Equations'!$B$78*'Res-Rec Equations'!$B$79*'Res-Rec Equations'!$B$80)/('Res-Rec Equations'!$B$84*'Res-Rec Equations'!$B$85))/'Chemical Info'!L79))</f>
        <v>1.1415525114155251E-4</v>
      </c>
      <c r="P78" s="166">
        <f>IF('Chemical Info'!L79="NA","NA", IF('Chemical Info'!E79="Yes",0,((('Res-Rec Equations'!$B$87*'Res-Rec Equations'!$B$88*'Res-Rec Equations'!$B$78*'Res-Rec Equations'!$B$82*'Res-Rec Equations'!$B$79*'Chemical Info'!AB79)/('Res-Rec Equations'!$B$84*'Res-Rec Equations'!$B$85))/('Chemical Info'!L79*'Chemical Info'!AF79))))</f>
        <v>0</v>
      </c>
      <c r="Q78" s="166">
        <f>IF('Chemical Info'!N79="NA","NA",IF('Res-Rec Calculations'!E78="NA",(('Res-Rec Equations'!$B$83*'Res-Rec Equations'!$B$79*'Res-Rec Calculations'!C78)/('Res-Rec Equations'!$B$85))/('Chemical Info'!N79),IF('Chemical Info'!E79="Yes",(('Res-Rec Equations'!$B$83*'Res-Rec Equations'!$B$79*'Res-Rec Calculations'!E78)/('Res-Rec Equations'!$B$85))/('Chemical Info'!N79),(('Res-Rec Equations'!$B$83*'Res-Rec Equations'!$B$79*('Res-Rec Calculations'!C78+'Res-Rec Calculations'!E78))/('Res-Rec Equations'!$B$85))/('Chemical Info'!N79))))</f>
        <v>1.4304008414582618E-5</v>
      </c>
      <c r="R78" s="166">
        <f>IF('Chemical Info'!N79="NA","NA",IF('Res-Rec Calculations'!F78="NA",(('Res-Rec Equations'!$B$83*'Res-Rec Equations'!$B$79*'Res-Rec Calculations'!C78)/('Res-Rec Equations'!$B$85))/('Chemical Info'!N79),IF('Chemical Info'!E79="Yes",(('Res-Rec Equations'!$B$83*'Res-Rec Equations'!$B$79*'Res-Rec Calculations'!F78)/('Res-Rec Equations'!$B$85))/('Chemical Info'!N79),(('Res-Rec Equations'!$B$83*'Res-Rec Equations'!$B$79*('Res-Rec Calculations'!C78+'Res-Rec Calculations'!F78))/('Res-Rec Equations'!$B$85))/('Chemical Info'!N79))))</f>
        <v>1.4135710191784441E-5</v>
      </c>
      <c r="S78" s="167">
        <f>IF(AND(O78="NA",P78="NA",Q78="NA"),"NA",IF(O78="NA",'Res-Rec Equations'!$B$75/Q78,IF(Q78="NA",'Res-Rec Equations'!$B$75/(O78+P78),'Res-Rec Equations'!$B$75/(O78+P78+Q78))))</f>
        <v>1556.9138471688175</v>
      </c>
      <c r="T78" s="167">
        <f>IF(AND(O78="NA",P78="NA",R78="NA"),"NA",IF(O78="NA",'Res-Rec Equations'!$B$75/R78,IF(R78="NA",'Res-Rec Equations'!$B$75/(O78+P78),'Res-Rec Equations'!$B$75/(O78+P78+R78))))</f>
        <v>1558.9562812639799</v>
      </c>
      <c r="U78" s="168">
        <f t="shared" si="15"/>
        <v>1558.9562812639799</v>
      </c>
      <c r="V78" s="167" t="str">
        <f>IF('Chemical Info'!P79="NA","NA",(('Res-Rec Equations'!$B$185*'Res-Rec Equations'!$B$186)/('Res-Rec Equations'!$B$187*'Res-Rec Equations'!$B$188*(1/'Chemical Info'!P79))))</f>
        <v>NA</v>
      </c>
      <c r="W78" s="379" t="str">
        <f t="shared" si="16"/>
        <v>NA</v>
      </c>
      <c r="X78" s="372">
        <f t="shared" si="17"/>
        <v>1558.9562812639799</v>
      </c>
      <c r="Y78" s="62">
        <f t="shared" si="18"/>
        <v>1600</v>
      </c>
      <c r="Z78" s="100" t="str">
        <f t="shared" si="19"/>
        <v>Noncancer</v>
      </c>
      <c r="AA78" s="373"/>
    </row>
    <row r="79" spans="1:27">
      <c r="A79" s="413" t="s">
        <v>1110</v>
      </c>
      <c r="B79" s="566" t="s">
        <v>1111</v>
      </c>
      <c r="C79" s="367">
        <f>1/(('Res-Rec Equations'!$B$152*3600)/((0.036*(1-'Res-Rec Equations'!$B$153))*('Res-Rec Equations'!$B$154/'Res-Rec Equations'!$B$155)^3*'Res-Rec Equations'!$B$156))</f>
        <v>7.3567680901159717E-10</v>
      </c>
      <c r="D79" s="368">
        <f>(('Res-Rec Equations'!$B$132^(10/3)*'Chemical Info'!$AH80*'Chemical Info'!$AN80*41+'Res-Rec Equations'!$B$135^(10/3)*'Chemical Info'!$AJ80)/'Res-Rec Equations'!$B$137^2)/('Res-Rec Equations'!$B$139*'Chemical Info'!$AL80*'Res-Rec Equations'!$B$142+'Res-Rec Equations'!$B$135+'Res-Rec Equations'!$B$132*'Chemical Info'!$AN80*41)</f>
        <v>5.3003202979548991E-4</v>
      </c>
      <c r="E79" s="368">
        <f>IF(D79=0,"NA",1/(('Res-Rec Equations'!$B$103*(3.14*'Res-Rec Calculations'!$D79*'Res-Rec Equations'!$B$105)^(1/2)*0.0001)/(2*'Res-Rec Equations'!$B$106*'Res-Rec Calculations'!$D79)))</f>
        <v>1.3513867026146404E-4</v>
      </c>
      <c r="F79" s="368">
        <f>IF(D79=0,"NA",(1/('Res-Rec Equations'!$B$117*('Res-Rec Equations'!$B$118*(31500000))/('Res-Rec Equations'!$B$119*'Res-Rec Equations'!$B$120*1000000))))</f>
        <v>6.1914410640015851E-5</v>
      </c>
      <c r="G79" s="167">
        <f>IF('Chemical Info'!E80="Yes",('Chemical Info'!AP80/'Res-Rec Equations'!$B$168)*((('Chemical Info'!AL80*'Res-Rec Equations'!$B$170)*'Res-Rec Equations'!$B$168)+'Res-Rec Equations'!$B$171+('Chemical Info'!AN80*41)*'Res-Rec Equations'!$B$173),"NA")</f>
        <v>8866.4778399999996</v>
      </c>
      <c r="H79" s="112">
        <f>IF('Chemical Info'!H80="NA","NA",IF(AND('Chemical Info'!E80="Yes",'Chemical Info'!D80="Yes"),'Chemical Info'!H80*'Chemical Info'!AD80*'Res-Rec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Info'!E80="Yes",'Chemical Info'!D80=""),'Chemical Info'!H80*'Chemical Info'!AD80*'Res-Rec Equations'!$B$20*'Res-Rec Equations'!$B$23*((('Res-Rec Equations'!$B$26*'Res-Rec Equations'!$B$29)/'Res-Rec Equations'!$B$32)+(('Res-Rec Equations'!$B$27*'Res-Rec Equations'!$B$30)/'Res-Rec Equations'!$B$33)+(('Res-Rec Equations'!$B$28*'Res-Rec Equations'!$B$31)/'Res-Rec Equations'!$B$34)),IF(AND('Chemical Info'!E80="No",'Chemical Info'!D80="Yes"),'Chemical Info'!H80*'Chemical Info'!AD80*'Res-Rec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Info'!E80="No",'Chemical Info'!D80=""),'Chemical Info'!H80*'Chemical Info'!AD80*'Res-Rec Equations'!$B$19*'Res-Rec Equations'!$B$23*((('Res-Rec Equations'!$B$26*'Res-Rec Equations'!$B$29)/'Res-Rec Equations'!$B$32)+(('Res-Rec Equations'!$B$27*'Res-Rec Equations'!$B$30)/'Res-Rec Equations'!$B$33)+(('Res-Rec Equations'!$B$28*'Res-Rec Equations'!$B$31)/'Res-Rec Equations'!$B$34)))))))</f>
        <v>2.8808321479374113E-4</v>
      </c>
      <c r="I79" s="166">
        <f>IF('Chemical Info'!H80="NA","NA",IF('Chemical Info'!E80="Yes",0,IF('Chemical Info'!D80="Yes",'Chemical Info'!H80/'Chemical Info'!AF80*('Res-Rec Equations'!$B$21*'Chemical Info'!AB80*'Res-Rec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Info'!H80/'Chemical Info'!AF80*('Res-Rec Equations'!$B$21*'Chemical Info'!AB80*'Res-Rec Equations'!$B$23)*((('Res-Rec Equations'!$B$26*'Res-Rec Equations'!$B$37*'Res-Rec Equations'!$B$40)/'Res-Rec Equations'!$B$32)+(('Res-Rec Equations'!$B$27*'Res-Rec Equations'!$B$38*'Res-Rec Equations'!$B$41)/'Res-Rec Equations'!$B$33)+(('Res-Rec Equations'!$B$28*'Res-Rec Equations'!$B$39*'Res-Rec Equations'!$B$42)/'Res-Rec Equations'!$B$34)))))</f>
        <v>0</v>
      </c>
      <c r="J79" s="369">
        <f>IF('Chemical Info'!J80="NA","NA",IF(AND(E79="NA",'Chemical Info'!D80="Yes"),'Res-Rec Equations'!$B$22*1000*(('Res-Rec Equations'!$B$26*'Chemical Info'!J80*'Res-Rec Equations'!$B$59)+('Res-Rec Equations'!$B$27*'Chemical Info'!J80*'Res-Rec Equations'!$B$60)+('Res-Rec Equations'!$B$28*'Chemical Info'!J80*'Res-Rec Equations'!$B$61))*'Res-Rec Calculations'!C79,IF(AND(E79="NA",'Chemical Info'!D80=""),'Res-Rec Equations'!$B$22*1000*'Res-Rec Equations'!$B$25*'Chemical Info'!J80*'Res-Rec Calculations'!C79,IF(AND('Chemical Info'!E80="Yes",'Chemical Info'!D80="Yes"),'Res-Rec Equations'!$B$22*1000*(('Res-Rec Equations'!$B$26*'Chemical Info'!J80*'Res-Rec Equations'!$B$59)+('Res-Rec Equations'!$B$27*'Chemical Info'!J80*'Res-Rec Equations'!$B$60)+('Res-Rec Equations'!$B$28*'Chemical Info'!J80*'Res-Rec Equations'!$B$61))*'Res-Rec Calculations'!E79,IF(AND('Chemical Info'!E80="Yes",'Chemical Info'!D80=""),'Res-Rec Equations'!$B$22*1000*'Res-Rec Equations'!$B$25*'Chemical Info'!J80*'Res-Rec Calculations'!E79,IF('Chemical Info'!D80="Yes",'Res-Rec Equations'!$B$22*1000*(('Res-Rec Equations'!$B$26*'Chemical Info'!J80*'Res-Rec Equations'!$B$59)+('Res-Rec Equations'!$B$27*'Chemical Info'!J80*'Res-Rec Equations'!$B$60)+('Res-Rec Equations'!$B$28*'Chemical Info'!J80*'Res-Rec Equations'!$B$61))*('Res-Rec Calculations'!C79+'Res-Rec Calculations'!E79),IF('Chemical Info'!D80="",'Res-Rec Equations'!$B$22*1000*'Res-Rec Equations'!$B$25*'Chemical Info'!J80*('Res-Rec Calculations'!C79+'Res-Rec Calculations'!E79))))))))</f>
        <v>6.3244897682365167E-4</v>
      </c>
      <c r="K79" s="370">
        <f>IF('Chemical Info'!J80="NA","NA",IF(AND(F79="NA",'Chemical Info'!D80="Yes"),'Res-Rec Equations'!$B$22*1000*(('Res-Rec Equations'!$B$26*'Chemical Info'!J80*'Res-Rec Equations'!$B$59)+('Res-Rec Equations'!$B$27*'Chemical Info'!J80*'Res-Rec Equations'!$B$60)+('Res-Rec Equations'!$B$28*'Chemical Info'!J80*'Res-Rec Equations'!$B$61))*'Res-Rec Calculations'!C79,IF(AND(F79="NA",'Chemical Info'!D80=""),'Res-Rec Equations'!$B$22*1000*'Res-Rec Equations'!$B$25*'Chemical Info'!J80*'Res-Rec Calculations'!C79,IF(AND('Chemical Info'!F80="Yes",'Chemical Info'!D80="Yes"),'Res-Rec Equations'!$B$22*1000*(('Res-Rec Equations'!$B$26*'Chemical Info'!J80*'Res-Rec Equations'!$B$59)+('Res-Rec Equations'!$B$27*'Chemical Info'!J80*'Res-Rec Equations'!$B$60)+('Res-Rec Equations'!$B$28*'Chemical Info'!J80*'Res-Rec Equations'!$B$61))*'Res-Rec Calculations'!F79,IF(AND('Chemical Info'!F80="Yes",'Chemical Info'!D80=""),'Res-Rec Equations'!$B$22*1000*'Res-Rec Equations'!$B$25*'Chemical Info'!J80*'Res-Rec Calculations'!F79,IF('Chemical Info'!D80="Yes",'Res-Rec Equations'!$B$22*1000*(('Res-Rec Equations'!$B$26*'Chemical Info'!J80*'Res-Rec Equations'!$B$59)+('Res-Rec Equations'!$B$27*'Chemical Info'!J80*'Res-Rec Equations'!$B$60)+('Res-Rec Equations'!$B$28*'Chemical Info'!J80*'Res-Rec Equations'!$B$61))*('Res-Rec Calculations'!C79+'Res-Rec Calculations'!F79),IF('Chemical Info'!D80="",'Res-Rec Equations'!$B$22*1000*'Res-Rec Equations'!$B$25*'Chemical Info'!J80*('Res-Rec Calculations'!C79+'Res-Rec Calculations'!F79))))))))</f>
        <v>2.8976288476274033E-4</v>
      </c>
      <c r="L79" s="167">
        <f>IF(AND(H79="NA",I79="NA",J79="NA"),"NA",IF(H79="NA",'Res-Rec Equations'!$B$15*'Res-Rec Equations'!$B$16/J79,IF(J79="NA",'Res-Rec Equations'!$B$15*'Res-Rec Equations'!$B$16/(H79+I79),'Res-Rec Equations'!$B$15*'Res-Rec Equations'!$B$16/(H79+I79+J79))))</f>
        <v>277.55683323913047</v>
      </c>
      <c r="M79" s="167">
        <f>IF(AND(H79="NA",I79="NA",K79="NA"),"NA",IF(H79="NA",'Res-Rec Equations'!$B$15*'Res-Rec Equations'!$B$16/K79,IF(K79="NA",'Res-Rec Equations'!$B$15*'Res-Rec Equations'!$B$16/(H79+I79),'Res-Rec Equations'!$B$15*'Res-Rec Equations'!$B$16/(H79+I79+K79))))</f>
        <v>442.15925346922967</v>
      </c>
      <c r="N79" s="167">
        <f t="shared" ref="N79" si="98">IF(AND(L79="NA",M79="NA"),"NA",MAX(L79,M79))</f>
        <v>442.15925346922967</v>
      </c>
      <c r="O79" s="371">
        <f>IF('Chemical Info'!L80="NA","NA",IF('Chemical Info'!E80="Yes",(('Res-Rec Equations'!$B$76*'Chemical Info'!AD80*'Res-Rec Equations'!$B$78*'Res-Rec Equations'!$B$79*'Res-Rec Equations'!$B$81)/('Res-Rec Equations'!$B$84*'Res-Rec Equations'!$B$85))/'Chemical Info'!L80,(('Res-Rec Equations'!$B$76*'Chemical Info'!AD80*'Res-Rec Equations'!$B$78*'Res-Rec Equations'!$B$79*'Res-Rec Equations'!$B$80)/('Res-Rec Equations'!$B$84*'Res-Rec Equations'!$B$85))/'Chemical Info'!L80))</f>
        <v>6.5231572080887151E-5</v>
      </c>
      <c r="P79" s="166">
        <f>IF('Chemical Info'!L80="NA","NA", IF('Chemical Info'!E80="Yes",0,((('Res-Rec Equations'!$B$87*'Res-Rec Equations'!$B$88*'Res-Rec Equations'!$B$78*'Res-Rec Equations'!$B$82*'Res-Rec Equations'!$B$79*'Chemical Info'!AB80)/('Res-Rec Equations'!$B$84*'Res-Rec Equations'!$B$85))/('Chemical Info'!L80*'Chemical Info'!AF80))))</f>
        <v>0</v>
      </c>
      <c r="Q79" s="166">
        <f>IF('Chemical Info'!N80="NA","NA",IF('Res-Rec Calculations'!E79="NA",(('Res-Rec Equations'!$B$83*'Res-Rec Equations'!$B$79*'Res-Rec Calculations'!C79)/('Res-Rec Equations'!$B$85))/('Chemical Info'!N80),IF('Chemical Info'!E80="Yes",(('Res-Rec Equations'!$B$83*'Res-Rec Equations'!$B$79*'Res-Rec Calculations'!E79)/('Res-Rec Equations'!$B$85))/('Chemical Info'!N80),(('Res-Rec Equations'!$B$83*'Res-Rec Equations'!$B$79*('Res-Rec Calculations'!C79+'Res-Rec Calculations'!E79))/('Res-Rec Equations'!$B$85))/('Chemical Info'!N80))))</f>
        <v>3.0853577685265757E-5</v>
      </c>
      <c r="R79" s="166">
        <f>IF('Chemical Info'!N80="NA","NA",IF('Res-Rec Calculations'!F79="NA",(('Res-Rec Equations'!$B$83*'Res-Rec Equations'!$B$79*'Res-Rec Calculations'!C79)/('Res-Rec Equations'!$B$85))/('Chemical Info'!N80),IF('Chemical Info'!E80="Yes",(('Res-Rec Equations'!$B$83*'Res-Rec Equations'!$B$79*'Res-Rec Calculations'!F79)/('Res-Rec Equations'!$B$85))/('Chemical Info'!N80),(('Res-Rec Equations'!$B$83*'Res-Rec Equations'!$B$79*('Res-Rec Calculations'!C79+'Res-Rec Calculations'!F79))/('Res-Rec Equations'!$B$85))/('Chemical Info'!N80))))</f>
        <v>1.4135710191784441E-5</v>
      </c>
      <c r="S79" s="167">
        <f>IF(AND(O79="NA",P79="NA",Q79="NA"),"NA",IF(O79="NA",'Res-Rec Equations'!$B$75/Q79,IF(Q79="NA",'Res-Rec Equations'!$B$75/(O79+P79),'Res-Rec Equations'!$B$75/(O79+P79+Q79))))</f>
        <v>2081.4871027078557</v>
      </c>
      <c r="T79" s="167">
        <f>IF(AND(O79="NA",P79="NA",R79="NA"),"NA",IF(O79="NA",'Res-Rec Equations'!$B$75/R79,IF(R79="NA",'Res-Rec Equations'!$B$75/(O79+P79),'Res-Rec Equations'!$B$75/(O79+P79+R79))))</f>
        <v>2519.9300552195637</v>
      </c>
      <c r="U79" s="168">
        <f t="shared" ref="U79" si="99">IF(AND(S79="NA",T79="NA"),"NA",MAX(S79,T79))</f>
        <v>2519.9300552195637</v>
      </c>
      <c r="V79" s="167" t="str">
        <f>IF('Chemical Info'!P80="NA","NA",(('Res-Rec Equations'!$B$185*'Res-Rec Equations'!$B$186)/('Res-Rec Equations'!$B$187*'Res-Rec Equations'!$B$188*(1/'Chemical Info'!P80))))</f>
        <v>NA</v>
      </c>
      <c r="W79" s="379" t="str">
        <f t="shared" ref="W79" si="100">IF(V79="NA","NA",IF(V79&gt;100000,100000,IF(ISNUMBER(ROUND(V79*1000000,2-LEN(INT(V79*1000000)))/1000000),ROUND(V79*1000000,2-LEN(INT(V79*1000000)))/1000000,"NA")))</f>
        <v>NA</v>
      </c>
      <c r="X79" s="372">
        <f t="shared" ref="X79" si="101">IF(AND(N79="NA",U79="NA",G79="NA"),"NA",MIN(N79,U79,G79))</f>
        <v>442.15925346922967</v>
      </c>
      <c r="Y79" s="62">
        <f t="shared" ref="Y79" si="102">IF(X79&gt;100000,100000,IF(ISNUMBER(ROUND(X79*1000000,2-LEN(INT(X79*1000000)))/1000000),ROUND(X79*1000000,2-LEN(INT(X79*1000000)))/1000000,"NA"))</f>
        <v>440</v>
      </c>
      <c r="Z79" s="100" t="str">
        <f t="shared" ref="Z79" si="103">IF(Y79=100000,"Max Limit",IF(X79=G79,"Csat",IF(X79=N79,"Cancer",IF(X79=V79,"Acute",IF(X79=U79,"Noncancer","")))))</f>
        <v>Cancer</v>
      </c>
      <c r="AA79" s="373"/>
    </row>
    <row r="80" spans="1:27" ht="12">
      <c r="A80" s="424" t="s">
        <v>429</v>
      </c>
      <c r="B80" s="566" t="s">
        <v>36</v>
      </c>
      <c r="C80" s="367">
        <f>1/(('Res-Rec Equations'!$B$152*3600)/((0.036*(1-'Res-Rec Equations'!$B$153))*('Res-Rec Equations'!$B$154/'Res-Rec Equations'!$B$155)^3*'Res-Rec Equations'!$B$156))</f>
        <v>7.3567680901159717E-10</v>
      </c>
      <c r="D80" s="368">
        <f>(('Res-Rec Equations'!$B$132^(10/3)*'Chemical Info'!$AH81*'Chemical Info'!$AN81*41+'Res-Rec Equations'!$B$135^(10/3)*'Chemical Info'!$AJ81)/'Res-Rec Equations'!$B$137^2)/('Res-Rec Equations'!$B$139*'Chemical Info'!$AL81*'Res-Rec Equations'!$B$142+'Res-Rec Equations'!$B$135+'Res-Rec Equations'!$B$132*'Chemical Info'!$AN81*41)</f>
        <v>5.9290391255332935E-6</v>
      </c>
      <c r="E80" s="368">
        <f>IF(D80=0,"NA",1/(('Res-Rec Equations'!$B$103*(3.14*'Res-Rec Calculations'!$D80*'Res-Rec Equations'!$B$105)^(1/2)*0.0001)/(2*'Res-Rec Equations'!$B$106*'Res-Rec Calculations'!$D80)))</f>
        <v>1.4292912729301234E-5</v>
      </c>
      <c r="F80" s="368">
        <f>IF(D80=0,"NA",(1/('Res-Rec Equations'!$B$117*('Res-Rec Equations'!$B$118*(31500000))/('Res-Rec Equations'!$B$119*'Res-Rec Equations'!$B$120*1000000))))</f>
        <v>6.1914410640015851E-5</v>
      </c>
      <c r="G80" s="425"/>
      <c r="H80" s="112" t="str">
        <f>IF('Chemical Info'!H81="NA","NA",IF(AND('Chemical Info'!E81="Yes",'Chemical Info'!D81="Yes"),'Chemical Info'!H81*'Chemical Info'!AD81*'Res-Rec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Info'!E81="Yes",'Chemical Info'!D81=""),'Chemical Info'!H81*'Chemical Info'!AD81*'Res-Rec Equations'!$B$20*'Res-Rec Equations'!$B$23*((('Res-Rec Equations'!$B$26*'Res-Rec Equations'!$B$29)/'Res-Rec Equations'!$B$32)+(('Res-Rec Equations'!$B$27*'Res-Rec Equations'!$B$30)/'Res-Rec Equations'!$B$33)+(('Res-Rec Equations'!$B$28*'Res-Rec Equations'!$B$31)/'Res-Rec Equations'!$B$34)),IF(AND('Chemical Info'!E81="No",'Chemical Info'!D81="Yes"),'Chemical Info'!H81*'Chemical Info'!AD81*'Res-Rec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Info'!E81="No",'Chemical Info'!D81=""),'Chemical Info'!H81*'Chemical Info'!AD81*'Res-Rec Equations'!$B$19*'Res-Rec Equations'!$B$23*((('Res-Rec Equations'!$B$26*'Res-Rec Equations'!$B$29)/'Res-Rec Equations'!$B$32)+(('Res-Rec Equations'!$B$27*'Res-Rec Equations'!$B$30)/'Res-Rec Equations'!$B$33)+(('Res-Rec Equations'!$B$28*'Res-Rec Equations'!$B$31)/'Res-Rec Equations'!$B$34)))))))</f>
        <v>NA</v>
      </c>
      <c r="I80" s="166" t="str">
        <f>IF('Chemical Info'!H81="NA","NA",IF('Chemical Info'!E81="Yes",0,IF('Chemical Info'!D81="Yes",'Chemical Info'!H81/'Chemical Info'!AF81*('Res-Rec Equations'!$B$21*'Chemical Info'!AB81*'Res-Rec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Info'!H81/'Chemical Info'!AF81*('Res-Rec Equations'!$B$21*'Chemical Info'!AB81*'Res-Rec Equations'!$B$23)*((('Res-Rec Equations'!$B$26*'Res-Rec Equations'!$B$37*'Res-Rec Equations'!$B$40)/'Res-Rec Equations'!$B$32)+(('Res-Rec Equations'!$B$27*'Res-Rec Equations'!$B$38*'Res-Rec Equations'!$B$41)/'Res-Rec Equations'!$B$33)+(('Res-Rec Equations'!$B$28*'Res-Rec Equations'!$B$39*'Res-Rec Equations'!$B$42)/'Res-Rec Equations'!$B$34)))))</f>
        <v>NA</v>
      </c>
      <c r="J80" s="369">
        <f>IF('Chemical Info'!J81="NA","NA",IF(AND(E80="NA",'Chemical Info'!D81="Yes"),'Res-Rec Equations'!$B$22*1000*(('Res-Rec Equations'!$B$26*'Chemical Info'!J81*'Res-Rec Equations'!$B$59)+('Res-Rec Equations'!$B$27*'Chemical Info'!J81*'Res-Rec Equations'!$B$60)+('Res-Rec Equations'!$B$28*'Chemical Info'!J81*'Res-Rec Equations'!$B$61))*'Res-Rec Calculations'!C80,IF(AND(E80="NA",'Chemical Info'!D81=""),'Res-Rec Equations'!$B$22*1000*'Res-Rec Equations'!$B$25*'Chemical Info'!J81*'Res-Rec Calculations'!C80,IF(AND('Chemical Info'!E81="Yes",'Chemical Info'!D81="Yes"),'Res-Rec Equations'!$B$22*1000*(('Res-Rec Equations'!$B$26*'Chemical Info'!J81*'Res-Rec Equations'!$B$59)+('Res-Rec Equations'!$B$27*'Chemical Info'!J81*'Res-Rec Equations'!$B$60)+('Res-Rec Equations'!$B$28*'Chemical Info'!J81*'Res-Rec Equations'!$B$61))*'Res-Rec Calculations'!E80,IF(AND('Chemical Info'!E81="Yes",'Chemical Info'!D81=""),'Res-Rec Equations'!$B$22*1000*'Res-Rec Equations'!$B$25*'Chemical Info'!J81*'Res-Rec Calculations'!E80,IF('Chemical Info'!D81="Yes",'Res-Rec Equations'!$B$22*1000*(('Res-Rec Equations'!$B$26*'Chemical Info'!J81*'Res-Rec Equations'!$B$59)+('Res-Rec Equations'!$B$27*'Chemical Info'!J81*'Res-Rec Equations'!$B$60)+('Res-Rec Equations'!$B$28*'Chemical Info'!J81*'Res-Rec Equations'!$B$61))*('Res-Rec Calculations'!C80+'Res-Rec Calculations'!E80),IF('Chemical Info'!D81="",'Res-Rec Equations'!$B$22*1000*'Res-Rec Equations'!$B$25*'Chemical Info'!J81*('Res-Rec Calculations'!C80+'Res-Rec Calculations'!E80))))))))</f>
        <v>3.1587337131755728E-3</v>
      </c>
      <c r="K80" s="370">
        <f>IF('Chemical Info'!J81="NA","NA",IF(AND(F80="NA",'Chemical Info'!D81="Yes"),'Res-Rec Equations'!$B$22*1000*(('Res-Rec Equations'!$B$26*'Chemical Info'!J81*'Res-Rec Equations'!$B$59)+('Res-Rec Equations'!$B$27*'Chemical Info'!J81*'Res-Rec Equations'!$B$60)+('Res-Rec Equations'!$B$28*'Chemical Info'!J81*'Res-Rec Equations'!$B$61))*'Res-Rec Calculations'!C80,IF(AND(F80="NA",'Chemical Info'!D81=""),'Res-Rec Equations'!$B$22*1000*'Res-Rec Equations'!$B$25*'Chemical Info'!J81*'Res-Rec Calculations'!C80,IF(AND('Chemical Info'!F81="Yes",'Chemical Info'!D81="Yes"),'Res-Rec Equations'!$B$22*1000*(('Res-Rec Equations'!$B$26*'Chemical Info'!J81*'Res-Rec Equations'!$B$59)+('Res-Rec Equations'!$B$27*'Chemical Info'!J81*'Res-Rec Equations'!$B$60)+('Res-Rec Equations'!$B$28*'Chemical Info'!J81*'Res-Rec Equations'!$B$61))*'Res-Rec Calculations'!F80,IF(AND('Chemical Info'!F81="Yes",'Chemical Info'!D81=""),'Res-Rec Equations'!$B$22*1000*'Res-Rec Equations'!$B$25*'Chemical Info'!J81*'Res-Rec Calculations'!F80,IF('Chemical Info'!D81="Yes",'Res-Rec Equations'!$B$22*1000*(('Res-Rec Equations'!$B$26*'Chemical Info'!J81*'Res-Rec Equations'!$B$59)+('Res-Rec Equations'!$B$27*'Chemical Info'!J81*'Res-Rec Equations'!$B$60)+('Res-Rec Equations'!$B$28*'Chemical Info'!J81*'Res-Rec Equations'!$B$61))*('Res-Rec Calculations'!C80+'Res-Rec Calculations'!F80),IF('Chemical Info'!D81="",'Res-Rec Equations'!$B$22*1000*'Res-Rec Equations'!$B$25*'Chemical Info'!J81*('Res-Rec Calculations'!C80+'Res-Rec Calculations'!F80))))))))</f>
        <v>1.3683247336018294E-2</v>
      </c>
      <c r="L80" s="167">
        <f>IF(AND(H80="NA",I80="NA",J80="NA"),"NA",IF(H80="NA",'Res-Rec Equations'!$B$15*'Res-Rec Equations'!$B$16/J80,IF(J80="NA",'Res-Rec Equations'!$B$15*'Res-Rec Equations'!$B$16/(H80+I80),'Res-Rec Equations'!$B$15*'Res-Rec Equations'!$B$16/(H80+I80+J80))))</f>
        <v>80.886843653287229</v>
      </c>
      <c r="M80" s="167">
        <f>IF(AND(H80="NA",I80="NA",K80="NA"),"NA",IF(H80="NA",'Res-Rec Equations'!$B$15*'Res-Rec Equations'!$B$16/K80,IF(K80="NA",'Res-Rec Equations'!$B$15*'Res-Rec Equations'!$B$16/(H80+I80),'Res-Rec Equations'!$B$15*'Res-Rec Equations'!$B$16/(H80+I80+K80))))</f>
        <v>18.672468144856929</v>
      </c>
      <c r="N80" s="167">
        <f t="shared" si="14"/>
        <v>80.886843653287229</v>
      </c>
      <c r="O80" s="371">
        <f>IF('Chemical Info'!L81="NA","NA",IF('Chemical Info'!E81="Yes",(('Res-Rec Equations'!$B$76*'Chemical Info'!AD81*'Res-Rec Equations'!$B$78*'Res-Rec Equations'!$B$79*'Res-Rec Equations'!$B$81)/('Res-Rec Equations'!$B$84*'Res-Rec Equations'!$B$85))/'Chemical Info'!L81,(('Res-Rec Equations'!$B$76*'Chemical Info'!AD81*'Res-Rec Equations'!$B$78*'Res-Rec Equations'!$B$79*'Res-Rec Equations'!$B$80)/('Res-Rec Equations'!$B$84*'Res-Rec Equations'!$B$85))/'Chemical Info'!L81))</f>
        <v>5.7077625570776253E-4</v>
      </c>
      <c r="P80" s="166">
        <f>IF('Chemical Info'!L81="NA","NA", IF('Chemical Info'!E81="Yes",0,((('Res-Rec Equations'!$B$87*'Res-Rec Equations'!$B$88*'Res-Rec Equations'!$B$78*'Res-Rec Equations'!$B$82*'Res-Rec Equations'!$B$79*'Chemical Info'!AB81)/('Res-Rec Equations'!$B$84*'Res-Rec Equations'!$B$85))/('Chemical Info'!L81*'Chemical Info'!AF81))))</f>
        <v>0</v>
      </c>
      <c r="Q80" s="166">
        <f>IF('Chemical Info'!N81="NA","NA",IF('Res-Rec Calculations'!E80="NA",(('Res-Rec Equations'!$B$83*'Res-Rec Equations'!$B$79*'Res-Rec Calculations'!C80)/('Res-Rec Equations'!$B$85))/('Chemical Info'!N81),IF('Chemical Info'!E81="Yes",(('Res-Rec Equations'!$B$83*'Res-Rec Equations'!$B$79*'Res-Rec Calculations'!E80)/('Res-Rec Equations'!$B$85))/('Chemical Info'!N81),(('Res-Rec Equations'!$B$83*'Res-Rec Equations'!$B$79*('Res-Rec Calculations'!C80+'Res-Rec Calculations'!E80))/('Res-Rec Equations'!$B$85))/('Chemical Info'!N81))))</f>
        <v>1.0877406947717833E-3</v>
      </c>
      <c r="R80" s="166">
        <f>IF('Chemical Info'!N81="NA","NA",IF('Res-Rec Calculations'!F80="NA",(('Res-Rec Equations'!$B$83*'Res-Rec Equations'!$B$79*'Res-Rec Calculations'!C80)/('Res-Rec Equations'!$B$85))/('Chemical Info'!N81),IF('Chemical Info'!E81="Yes",(('Res-Rec Equations'!$B$83*'Res-Rec Equations'!$B$79*'Res-Rec Calculations'!F80)/('Res-Rec Equations'!$B$85))/('Chemical Info'!N81),(('Res-Rec Equations'!$B$83*'Res-Rec Equations'!$B$79*('Res-Rec Calculations'!C80+'Res-Rec Calculations'!F80))/('Res-Rec Equations'!$B$85))/('Chemical Info'!N81))))</f>
        <v>4.7119033972614806E-3</v>
      </c>
      <c r="S80" s="167">
        <f>IF(AND(O80="NA",P80="NA",Q80="NA"),"NA",IF(O80="NA",'Res-Rec Equations'!$B$75/Q80,IF(Q80="NA",'Res-Rec Equations'!$B$75/(O80+P80),'Res-Rec Equations'!$B$75/(O80+P80+Q80))))</f>
        <v>120.58966291672313</v>
      </c>
      <c r="T80" s="167">
        <f>IF(AND(O80="NA",P80="NA",R80="NA"),"NA",IF(O80="NA",'Res-Rec Equations'!$B$75/R80,IF(R80="NA",'Res-Rec Equations'!$B$75/(O80+P80),'Res-Rec Equations'!$B$75/(O80+P80+R80))))</f>
        <v>37.859573765292723</v>
      </c>
      <c r="U80" s="168">
        <f t="shared" si="15"/>
        <v>120.58966291672313</v>
      </c>
      <c r="V80" s="167" t="str">
        <f>IF('Chemical Info'!P81="NA","NA",(('Res-Rec Equations'!$B$185*'Res-Rec Equations'!$B$186)/('Res-Rec Equations'!$B$187*'Res-Rec Equations'!$B$188*(1/'Chemical Info'!P81))))</f>
        <v>NA</v>
      </c>
      <c r="W80" s="379" t="str">
        <f t="shared" si="16"/>
        <v>NA</v>
      </c>
      <c r="X80" s="372">
        <f t="shared" si="17"/>
        <v>80.886843653287229</v>
      </c>
      <c r="Y80" s="62">
        <f t="shared" si="18"/>
        <v>81</v>
      </c>
      <c r="Z80" s="100" t="str">
        <f t="shared" si="19"/>
        <v>Cancer</v>
      </c>
      <c r="AA80" s="373"/>
    </row>
    <row r="81" spans="1:28">
      <c r="A81" s="413" t="s">
        <v>442</v>
      </c>
      <c r="B81" s="566" t="s">
        <v>443</v>
      </c>
      <c r="C81" s="367">
        <f>1/(('Res-Rec Equations'!$B$152*3600)/((0.036*(1-'Res-Rec Equations'!$B$153))*('Res-Rec Equations'!$B$154/'Res-Rec Equations'!$B$155)^3*'Res-Rec Equations'!$B$156))</f>
        <v>7.3567680901159717E-10</v>
      </c>
      <c r="D81" s="368">
        <f>(('Res-Rec Equations'!$B$132^(10/3)*'Chemical Info'!$AH82*'Chemical Info'!$AN82*41+'Res-Rec Equations'!$B$135^(10/3)*'Chemical Info'!$AJ82)/'Res-Rec Equations'!$B$137^2)/('Res-Rec Equations'!$B$139*'Chemical Info'!$AL82*'Res-Rec Equations'!$B$142+'Res-Rec Equations'!$B$135+'Res-Rec Equations'!$B$132*'Chemical Info'!$AN82*41)</f>
        <v>2.6025798364613228E-4</v>
      </c>
      <c r="E81" s="368">
        <f>IF(D81=0,"NA",1/(('Res-Rec Equations'!$B$103*(3.14*'Res-Rec Calculations'!$D81*'Res-Rec Equations'!$B$105)^(1/2)*0.0001)/(2*'Res-Rec Equations'!$B$106*'Res-Rec Calculations'!$D81)))</f>
        <v>9.4695777511466099E-5</v>
      </c>
      <c r="F81" s="368">
        <f>IF(D81=0,"NA",(1/('Res-Rec Equations'!$B$117*('Res-Rec Equations'!$B$118*(31500000))/('Res-Rec Equations'!$B$119*'Res-Rec Equations'!$B$120*1000000))))</f>
        <v>6.1914410640015851E-5</v>
      </c>
      <c r="G81" s="167">
        <f>IF('Chemical Info'!E82="Yes",('Chemical Info'!AP82/'Res-Rec Equations'!$B$168)*((('Chemical Info'!AL82*'Res-Rec Equations'!$B$170)*'Res-Rec Equations'!$B$168)+'Res-Rec Equations'!$B$171+('Chemical Info'!AN82*41)*'Res-Rec Equations'!$B$173),"NA")</f>
        <v>264.07771200000008</v>
      </c>
      <c r="H81" s="112" t="str">
        <f>IF('Chemical Info'!H82="NA","NA",IF(AND('Chemical Info'!E82="Yes",'Chemical Info'!D82="Yes"),'Chemical Info'!H82*'Chemical Info'!AD82*'Res-Rec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Info'!E82="Yes",'Chemical Info'!D82=""),'Chemical Info'!H82*'Chemical Info'!AD82*'Res-Rec Equations'!$B$20*'Res-Rec Equations'!$B$23*((('Res-Rec Equations'!$B$26*'Res-Rec Equations'!$B$29)/'Res-Rec Equations'!$B$32)+(('Res-Rec Equations'!$B$27*'Res-Rec Equations'!$B$30)/'Res-Rec Equations'!$B$33)+(('Res-Rec Equations'!$B$28*'Res-Rec Equations'!$B$31)/'Res-Rec Equations'!$B$34)),IF(AND('Chemical Info'!E82="No",'Chemical Info'!D82="Yes"),'Chemical Info'!H82*'Chemical Info'!AD82*'Res-Rec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Info'!E82="No",'Chemical Info'!D82=""),'Chemical Info'!H82*'Chemical Info'!AD82*'Res-Rec Equations'!$B$19*'Res-Rec Equations'!$B$23*((('Res-Rec Equations'!$B$26*'Res-Rec Equations'!$B$29)/'Res-Rec Equations'!$B$32)+(('Res-Rec Equations'!$B$27*'Res-Rec Equations'!$B$30)/'Res-Rec Equations'!$B$33)+(('Res-Rec Equations'!$B$28*'Res-Rec Equations'!$B$31)/'Res-Rec Equations'!$B$34)))))))</f>
        <v>NA</v>
      </c>
      <c r="I81" s="166" t="str">
        <f>IF('Chemical Info'!H82="NA","NA",IF('Chemical Info'!E82="Yes",0,IF('Chemical Info'!D82="Yes",'Chemical Info'!H82/'Chemical Info'!AF82*('Res-Rec Equations'!$B$21*'Chemical Info'!AB82*'Res-Rec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Info'!H82/'Chemical Info'!AF82*('Res-Rec Equations'!$B$21*'Chemical Info'!AB82*'Res-Rec Equations'!$B$23)*((('Res-Rec Equations'!$B$26*'Res-Rec Equations'!$B$37*'Res-Rec Equations'!$B$40)/'Res-Rec Equations'!$B$32)+(('Res-Rec Equations'!$B$27*'Res-Rec Equations'!$B$38*'Res-Rec Equations'!$B$41)/'Res-Rec Equations'!$B$33)+(('Res-Rec Equations'!$B$28*'Res-Rec Equations'!$B$39*'Res-Rec Equations'!$B$42)/'Res-Rec Equations'!$B$34)))))</f>
        <v>NA</v>
      </c>
      <c r="J81" s="369" t="str">
        <f>IF('Chemical Info'!J82="NA","NA",IF(AND(E81="NA",'Chemical Info'!D82="Yes"),'Res-Rec Equations'!$B$22*1000*(('Res-Rec Equations'!$B$26*'Chemical Info'!J82*'Res-Rec Equations'!$B$59)+('Res-Rec Equations'!$B$27*'Chemical Info'!J82*'Res-Rec Equations'!$B$60)+('Res-Rec Equations'!$B$28*'Chemical Info'!J82*'Res-Rec Equations'!$B$61))*'Res-Rec Calculations'!C81,IF(AND(E81="NA",'Chemical Info'!D82=""),'Res-Rec Equations'!$B$22*1000*'Res-Rec Equations'!$B$25*'Chemical Info'!J82*'Res-Rec Calculations'!C81,IF(AND('Chemical Info'!E82="Yes",'Chemical Info'!D82="Yes"),'Res-Rec Equations'!$B$22*1000*(('Res-Rec Equations'!$B$26*'Chemical Info'!J82*'Res-Rec Equations'!$B$59)+('Res-Rec Equations'!$B$27*'Chemical Info'!J82*'Res-Rec Equations'!$B$60)+('Res-Rec Equations'!$B$28*'Chemical Info'!J82*'Res-Rec Equations'!$B$61))*'Res-Rec Calculations'!E81,IF(AND('Chemical Info'!E82="Yes",'Chemical Info'!D82=""),'Res-Rec Equations'!$B$22*1000*'Res-Rec Equations'!$B$25*'Chemical Info'!J82*'Res-Rec Calculations'!E81,IF('Chemical Info'!D82="Yes",'Res-Rec Equations'!$B$22*1000*(('Res-Rec Equations'!$B$26*'Chemical Info'!J82*'Res-Rec Equations'!$B$59)+('Res-Rec Equations'!$B$27*'Chemical Info'!J82*'Res-Rec Equations'!$B$60)+('Res-Rec Equations'!$B$28*'Chemical Info'!J82*'Res-Rec Equations'!$B$61))*('Res-Rec Calculations'!C81+'Res-Rec Calculations'!E81),IF('Chemical Info'!D82="",'Res-Rec Equations'!$B$22*1000*'Res-Rec Equations'!$B$25*'Chemical Info'!J82*('Res-Rec Calculations'!C81+'Res-Rec Calculations'!E81))))))))</f>
        <v>NA</v>
      </c>
      <c r="K81" s="370" t="str">
        <f>IF('Chemical Info'!J82="NA","NA",IF(AND(F81="NA",'Chemical Info'!D82="Yes"),'Res-Rec Equations'!$B$22*1000*(('Res-Rec Equations'!$B$26*'Chemical Info'!J82*'Res-Rec Equations'!$B$59)+('Res-Rec Equations'!$B$27*'Chemical Info'!J82*'Res-Rec Equations'!$B$60)+('Res-Rec Equations'!$B$28*'Chemical Info'!J82*'Res-Rec Equations'!$B$61))*'Res-Rec Calculations'!C81,IF(AND(F81="NA",'Chemical Info'!D82=""),'Res-Rec Equations'!$B$22*1000*'Res-Rec Equations'!$B$25*'Chemical Info'!J82*'Res-Rec Calculations'!C81,IF(AND('Chemical Info'!F82="Yes",'Chemical Info'!D82="Yes"),'Res-Rec Equations'!$B$22*1000*(('Res-Rec Equations'!$B$26*'Chemical Info'!J82*'Res-Rec Equations'!$B$59)+('Res-Rec Equations'!$B$27*'Chemical Info'!J82*'Res-Rec Equations'!$B$60)+('Res-Rec Equations'!$B$28*'Chemical Info'!J82*'Res-Rec Equations'!$B$61))*'Res-Rec Calculations'!F81,IF(AND('Chemical Info'!F82="Yes",'Chemical Info'!D82=""),'Res-Rec Equations'!$B$22*1000*'Res-Rec Equations'!$B$25*'Chemical Info'!J82*'Res-Rec Calculations'!F81,IF('Chemical Info'!D82="Yes",'Res-Rec Equations'!$B$22*1000*(('Res-Rec Equations'!$B$26*'Chemical Info'!J82*'Res-Rec Equations'!$B$59)+('Res-Rec Equations'!$B$27*'Chemical Info'!J82*'Res-Rec Equations'!$B$60)+('Res-Rec Equations'!$B$28*'Chemical Info'!J82*'Res-Rec Equations'!$B$61))*('Res-Rec Calculations'!C81+'Res-Rec Calculations'!F81),IF('Chemical Info'!D82="",'Res-Rec Equations'!$B$22*1000*'Res-Rec Equations'!$B$25*'Chemical Info'!J82*('Res-Rec Calculations'!C81+'Res-Rec Calculations'!F81))))))))</f>
        <v>NA</v>
      </c>
      <c r="L81" s="167" t="str">
        <f>IF(AND(H81="NA",I81="NA",J81="NA"),"NA",IF(H81="NA",'Res-Rec Equations'!$B$15*'Res-Rec Equations'!$B$16/J81,IF(J81="NA",'Res-Rec Equations'!$B$15*'Res-Rec Equations'!$B$16/(H81+I81),'Res-Rec Equations'!$B$15*'Res-Rec Equations'!$B$16/(H81+I81+J81))))</f>
        <v>NA</v>
      </c>
      <c r="M81" s="167" t="str">
        <f>IF(AND(H81="NA",I81="NA",K81="NA"),"NA",IF(H81="NA",'Res-Rec Equations'!$B$15*'Res-Rec Equations'!$B$16/K81,IF(K81="NA",'Res-Rec Equations'!$B$15*'Res-Rec Equations'!$B$16/(H81+I81),'Res-Rec Equations'!$B$15*'Res-Rec Equations'!$B$16/(H81+I81+K81))))</f>
        <v>NA</v>
      </c>
      <c r="N81" s="167" t="str">
        <f>IF(AND(L81="NA",M81="NA"),"NA",MAX(L81,M81))</f>
        <v>NA</v>
      </c>
      <c r="O81" s="371">
        <f>IF('Chemical Info'!L82="NA","NA",IF('Chemical Info'!E82="Yes",(('Res-Rec Equations'!$B$76*'Chemical Info'!AD82*'Res-Rec Equations'!$B$78*'Res-Rec Equations'!$B$79*'Res-Rec Equations'!$B$81)/('Res-Rec Equations'!$B$84*'Res-Rec Equations'!$B$85))/'Chemical Info'!L82,(('Res-Rec Equations'!$B$76*'Chemical Info'!AD82*'Res-Rec Equations'!$B$78*'Res-Rec Equations'!$B$79*'Res-Rec Equations'!$B$80)/('Res-Rec Equations'!$B$84*'Res-Rec Equations'!$B$85))/'Chemical Info'!L82))</f>
        <v>9.1324200913242012E-5</v>
      </c>
      <c r="P81" s="166">
        <f>IF('Chemical Info'!L82="NA","NA", IF('Chemical Info'!E82="Yes",0,((('Res-Rec Equations'!$B$87*'Res-Rec Equations'!$B$88*'Res-Rec Equations'!$B$78*'Res-Rec Equations'!$B$82*'Res-Rec Equations'!$B$79*'Chemical Info'!AB82)/('Res-Rec Equations'!$B$84*'Res-Rec Equations'!$B$85))/('Chemical Info'!L82*'Chemical Info'!AF82))))</f>
        <v>0</v>
      </c>
      <c r="Q81" s="166">
        <f>IF('Chemical Info'!N82="NA","NA",IF('Res-Rec Calculations'!E81="NA",(('Res-Rec Equations'!$B$83*'Res-Rec Equations'!$B$79*'Res-Rec Calculations'!C81)/('Res-Rec Equations'!$B$85))/('Chemical Info'!N82),IF('Chemical Info'!E82="Yes",(('Res-Rec Equations'!$B$83*'Res-Rec Equations'!$B$79*'Res-Rec Calculations'!E81)/('Res-Rec Equations'!$B$85))/('Chemical Info'!N82),(('Res-Rec Equations'!$B$83*'Res-Rec Equations'!$B$79*('Res-Rec Calculations'!C81+'Res-Rec Calculations'!E81))/('Res-Rec Equations'!$B$85))/('Chemical Info'!N82))))</f>
        <v>6.4860121583195957E-5</v>
      </c>
      <c r="R81" s="166">
        <f>IF('Chemical Info'!N82="NA","NA",IF('Res-Rec Calculations'!F81="NA",(('Res-Rec Equations'!$B$83*'Res-Rec Equations'!$B$79*'Res-Rec Calculations'!C81)/('Res-Rec Equations'!$B$85))/('Chemical Info'!N82),IF('Chemical Info'!E82="Yes",(('Res-Rec Equations'!$B$83*'Res-Rec Equations'!$B$79*'Res-Rec Calculations'!F81)/('Res-Rec Equations'!$B$85))/('Chemical Info'!N82),(('Res-Rec Equations'!$B$83*'Res-Rec Equations'!$B$79*('Res-Rec Calculations'!C81+'Res-Rec Calculations'!F81))/('Res-Rec Equations'!$B$85))/('Chemical Info'!N82))))</f>
        <v>4.2407130575353321E-5</v>
      </c>
      <c r="S81" s="167">
        <f>IF(AND(O81="NA",P81="NA",Q81="NA"),"NA",IF(O81="NA",'Res-Rec Equations'!$B$75/Q81,IF(Q81="NA",'Res-Rec Equations'!$B$75/(O81+P81),'Res-Rec Equations'!$B$75/(O81+P81+Q81))))</f>
        <v>1280.5382563577168</v>
      </c>
      <c r="T81" s="167">
        <f>IF(AND(O81="NA",P81="NA",R81="NA"),"NA",IF(O81="NA",'Res-Rec Equations'!$B$75/R81,IF(R81="NA",'Res-Rec Equations'!$B$75/(O81+P81),'Res-Rec Equations'!$B$75/(O81+P81+R81))))</f>
        <v>1495.5358461906594</v>
      </c>
      <c r="U81" s="168">
        <f>IF(AND(S81="NA",T81="NA"),"NA",MAX(S81,T81))</f>
        <v>1495.5358461906594</v>
      </c>
      <c r="V81" s="167" t="str">
        <f>IF('Chemical Info'!P82="NA","NA",(('Res-Rec Equations'!$B$185*'Res-Rec Equations'!$B$186)/('Res-Rec Equations'!$B$187*'Res-Rec Equations'!$B$188*(1/'Chemical Info'!P82))))</f>
        <v>NA</v>
      </c>
      <c r="W81" s="379" t="str">
        <f t="shared" si="16"/>
        <v>NA</v>
      </c>
      <c r="X81" s="372">
        <f t="shared" si="17"/>
        <v>264.07771200000008</v>
      </c>
      <c r="Y81" s="62">
        <f t="shared" si="18"/>
        <v>260</v>
      </c>
      <c r="Z81" s="100" t="str">
        <f t="shared" si="19"/>
        <v>Csat</v>
      </c>
      <c r="AA81" s="373"/>
    </row>
    <row r="82" spans="1:28">
      <c r="A82" s="413" t="s">
        <v>47</v>
      </c>
      <c r="B82" s="566" t="s">
        <v>48</v>
      </c>
      <c r="C82" s="367">
        <f>1/(('Res-Rec Equations'!$B$152*3600)/((0.036*(1-'Res-Rec Equations'!$B$153))*('Res-Rec Equations'!$B$154/'Res-Rec Equations'!$B$155)^3*'Res-Rec Equations'!$B$156))</f>
        <v>7.3567680901159717E-10</v>
      </c>
      <c r="D82" s="368">
        <f>(('Res-Rec Equations'!$B$132^(10/3)*'Chemical Info'!$AH83*'Chemical Info'!$AN83*41+'Res-Rec Equations'!$B$135^(10/3)*'Chemical Info'!$AJ83)/'Res-Rec Equations'!$B$137^2)/('Res-Rec Equations'!$B$139*'Chemical Info'!$AL83*'Res-Rec Equations'!$B$142+'Res-Rec Equations'!$B$135+'Res-Rec Equations'!$B$132*'Chemical Info'!$AN83*41)</f>
        <v>1.4572579837444113E-4</v>
      </c>
      <c r="E82" s="368">
        <f>IF(D82=0,"NA",1/(('Res-Rec Equations'!$B$103*(3.14*'Res-Rec Calculations'!$D82*'Res-Rec Equations'!$B$105)^(1/2)*0.0001)/(2*'Res-Rec Equations'!$B$106*'Res-Rec Calculations'!$D82)))</f>
        <v>7.0859291478378577E-5</v>
      </c>
      <c r="F82" s="368">
        <f>IF(D82=0,"NA",(1/('Res-Rec Equations'!$B$117*('Res-Rec Equations'!$B$118*(31500000))/('Res-Rec Equations'!$B$119*'Res-Rec Equations'!$B$120*1000000))))</f>
        <v>6.1914410640015851E-5</v>
      </c>
      <c r="G82" s="167">
        <f>IF('Chemical Info'!E83="Yes",('Chemical Info'!AP83/'Res-Rec Equations'!$B$168)*((('Chemical Info'!AL83*'Res-Rec Equations'!$B$170)*'Res-Rec Equations'!$B$168)+'Res-Rec Equations'!$B$171+('Chemical Info'!AN83*41)*'Res-Rec Equations'!$B$173),"NA")</f>
        <v>867.27046666666672</v>
      </c>
      <c r="H82" s="112" t="str">
        <f>IF('Chemical Info'!H83="NA","NA",IF(AND('Chemical Info'!E83="Yes",'Chemical Info'!D83="Yes"),'Chemical Info'!H83*'Chemical Info'!AD83*'Res-Rec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Info'!E83="Yes",'Chemical Info'!D83=""),'Chemical Info'!H83*'Chemical Info'!AD83*'Res-Rec Equations'!$B$20*'Res-Rec Equations'!$B$23*((('Res-Rec Equations'!$B$26*'Res-Rec Equations'!$B$29)/'Res-Rec Equations'!$B$32)+(('Res-Rec Equations'!$B$27*'Res-Rec Equations'!$B$30)/'Res-Rec Equations'!$B$33)+(('Res-Rec Equations'!$B$28*'Res-Rec Equations'!$B$31)/'Res-Rec Equations'!$B$34)),IF(AND('Chemical Info'!E83="No",'Chemical Info'!D83="Yes"),'Chemical Info'!H83*'Chemical Info'!AD83*'Res-Rec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Info'!E83="No",'Chemical Info'!D83=""),'Chemical Info'!H83*'Chemical Info'!AD83*'Res-Rec Equations'!$B$19*'Res-Rec Equations'!$B$23*((('Res-Rec Equations'!$B$26*'Res-Rec Equations'!$B$29)/'Res-Rec Equations'!$B$32)+(('Res-Rec Equations'!$B$27*'Res-Rec Equations'!$B$30)/'Res-Rec Equations'!$B$33)+(('Res-Rec Equations'!$B$28*'Res-Rec Equations'!$B$31)/'Res-Rec Equations'!$B$34)))))))</f>
        <v>NA</v>
      </c>
      <c r="I82" s="166" t="str">
        <f>IF('Chemical Info'!H83="NA","NA",IF('Chemical Info'!E83="Yes",0,IF('Chemical Info'!D83="Yes",'Chemical Info'!H83/'Chemical Info'!AF83*('Res-Rec Equations'!$B$21*'Chemical Info'!AB83*'Res-Rec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Info'!H83/'Chemical Info'!AF83*('Res-Rec Equations'!$B$21*'Chemical Info'!AB83*'Res-Rec Equations'!$B$23)*((('Res-Rec Equations'!$B$26*'Res-Rec Equations'!$B$37*'Res-Rec Equations'!$B$40)/'Res-Rec Equations'!$B$32)+(('Res-Rec Equations'!$B$27*'Res-Rec Equations'!$B$38*'Res-Rec Equations'!$B$41)/'Res-Rec Equations'!$B$33)+(('Res-Rec Equations'!$B$28*'Res-Rec Equations'!$B$39*'Res-Rec Equations'!$B$42)/'Res-Rec Equations'!$B$34)))))</f>
        <v>NA</v>
      </c>
      <c r="J82" s="369" t="str">
        <f>IF('Chemical Info'!J83="NA","NA",IF(AND(E82="NA",'Chemical Info'!D83="Yes"),'Res-Rec Equations'!$B$22*1000*(('Res-Rec Equations'!$B$26*'Chemical Info'!J83*'Res-Rec Equations'!$B$59)+('Res-Rec Equations'!$B$27*'Chemical Info'!J83*'Res-Rec Equations'!$B$60)+('Res-Rec Equations'!$B$28*'Chemical Info'!J83*'Res-Rec Equations'!$B$61))*'Res-Rec Calculations'!C82,IF(AND(E82="NA",'Chemical Info'!D83=""),'Res-Rec Equations'!$B$22*1000*'Res-Rec Equations'!$B$25*'Chemical Info'!J83*'Res-Rec Calculations'!C82,IF(AND('Chemical Info'!E83="Yes",'Chemical Info'!D83="Yes"),'Res-Rec Equations'!$B$22*1000*(('Res-Rec Equations'!$B$26*'Chemical Info'!J83*'Res-Rec Equations'!$B$59)+('Res-Rec Equations'!$B$27*'Chemical Info'!J83*'Res-Rec Equations'!$B$60)+('Res-Rec Equations'!$B$28*'Chemical Info'!J83*'Res-Rec Equations'!$B$61))*'Res-Rec Calculations'!E82,IF(AND('Chemical Info'!E83="Yes",'Chemical Info'!D83=""),'Res-Rec Equations'!$B$22*1000*'Res-Rec Equations'!$B$25*'Chemical Info'!J83*'Res-Rec Calculations'!E82,IF('Chemical Info'!D83="Yes",'Res-Rec Equations'!$B$22*1000*(('Res-Rec Equations'!$B$26*'Chemical Info'!J83*'Res-Rec Equations'!$B$59)+('Res-Rec Equations'!$B$27*'Chemical Info'!J83*'Res-Rec Equations'!$B$60)+('Res-Rec Equations'!$B$28*'Chemical Info'!J83*'Res-Rec Equations'!$B$61))*('Res-Rec Calculations'!C82+'Res-Rec Calculations'!E82),IF('Chemical Info'!D83="",'Res-Rec Equations'!$B$22*1000*'Res-Rec Equations'!$B$25*'Chemical Info'!J83*('Res-Rec Calculations'!C82+'Res-Rec Calculations'!E82))))))))</f>
        <v>NA</v>
      </c>
      <c r="K82" s="370" t="str">
        <f>IF('Chemical Info'!J83="NA","NA",IF(AND(F82="NA",'Chemical Info'!D83="Yes"),'Res-Rec Equations'!$B$22*1000*(('Res-Rec Equations'!$B$26*'Chemical Info'!J83*'Res-Rec Equations'!$B$59)+('Res-Rec Equations'!$B$27*'Chemical Info'!J83*'Res-Rec Equations'!$B$60)+('Res-Rec Equations'!$B$28*'Chemical Info'!J83*'Res-Rec Equations'!$B$61))*'Res-Rec Calculations'!C82,IF(AND(F82="NA",'Chemical Info'!D83=""),'Res-Rec Equations'!$B$22*1000*'Res-Rec Equations'!$B$25*'Chemical Info'!J83*'Res-Rec Calculations'!C82,IF(AND('Chemical Info'!F83="Yes",'Chemical Info'!D83="Yes"),'Res-Rec Equations'!$B$22*1000*(('Res-Rec Equations'!$B$26*'Chemical Info'!J83*'Res-Rec Equations'!$B$59)+('Res-Rec Equations'!$B$27*'Chemical Info'!J83*'Res-Rec Equations'!$B$60)+('Res-Rec Equations'!$B$28*'Chemical Info'!J83*'Res-Rec Equations'!$B$61))*'Res-Rec Calculations'!F82,IF(AND('Chemical Info'!F83="Yes",'Chemical Info'!D83=""),'Res-Rec Equations'!$B$22*1000*'Res-Rec Equations'!$B$25*'Chemical Info'!J83*'Res-Rec Calculations'!F82,IF('Chemical Info'!D83="Yes",'Res-Rec Equations'!$B$22*1000*(('Res-Rec Equations'!$B$26*'Chemical Info'!J83*'Res-Rec Equations'!$B$59)+('Res-Rec Equations'!$B$27*'Chemical Info'!J83*'Res-Rec Equations'!$B$60)+('Res-Rec Equations'!$B$28*'Chemical Info'!J83*'Res-Rec Equations'!$B$61))*('Res-Rec Calculations'!C82+'Res-Rec Calculations'!F82),IF('Chemical Info'!D83="",'Res-Rec Equations'!$B$22*1000*'Res-Rec Equations'!$B$25*'Chemical Info'!J83*('Res-Rec Calculations'!C82+'Res-Rec Calculations'!F82))))))))</f>
        <v>NA</v>
      </c>
      <c r="L82" s="167" t="str">
        <f>IF(AND(H82="NA",I82="NA",J82="NA"),"NA",IF(H82="NA",'Res-Rec Equations'!$B$15*'Res-Rec Equations'!$B$16/J82,IF(J82="NA",'Res-Rec Equations'!$B$15*'Res-Rec Equations'!$B$16/(H82+I82),'Res-Rec Equations'!$B$15*'Res-Rec Equations'!$B$16/(H82+I82+J82))))</f>
        <v>NA</v>
      </c>
      <c r="M82" s="167" t="str">
        <f>IF(AND(H82="NA",I82="NA",K82="NA"),"NA",IF(H82="NA",'Res-Rec Equations'!$B$15*'Res-Rec Equations'!$B$16/K82,IF(K82="NA",'Res-Rec Equations'!$B$15*'Res-Rec Equations'!$B$16/(H82+I82),'Res-Rec Equations'!$B$15*'Res-Rec Equations'!$B$16/(H82+I82+K82))))</f>
        <v>NA</v>
      </c>
      <c r="N82" s="167" t="str">
        <f t="shared" si="14"/>
        <v>NA</v>
      </c>
      <c r="O82" s="371">
        <f>IF('Chemical Info'!L83="NA","NA",IF('Chemical Info'!E83="Yes",(('Res-Rec Equations'!$B$76*'Chemical Info'!AD83*'Res-Rec Equations'!$B$78*'Res-Rec Equations'!$B$79*'Res-Rec Equations'!$B$81)/('Res-Rec Equations'!$B$84*'Res-Rec Equations'!$B$85))/'Chemical Info'!L83,(('Res-Rec Equations'!$B$76*'Chemical Info'!AD83*'Res-Rec Equations'!$B$78*'Res-Rec Equations'!$B$79*'Res-Rec Equations'!$B$80)/('Res-Rec Equations'!$B$84*'Res-Rec Equations'!$B$85))/'Chemical Info'!L83))</f>
        <v>4.5662100456621006E-5</v>
      </c>
      <c r="P82" s="166">
        <f>IF('Chemical Info'!L83="NA","NA", IF('Chemical Info'!E83="Yes",0,((('Res-Rec Equations'!$B$87*'Res-Rec Equations'!$B$88*'Res-Rec Equations'!$B$78*'Res-Rec Equations'!$B$82*'Res-Rec Equations'!$B$79*'Chemical Info'!AB83)/('Res-Rec Equations'!$B$84*'Res-Rec Equations'!$B$85))/('Chemical Info'!L83*'Chemical Info'!AF83))))</f>
        <v>0</v>
      </c>
      <c r="Q82" s="166">
        <f>IF('Chemical Info'!N83="NA","NA",IF('Res-Rec Calculations'!E82="NA",(('Res-Rec Equations'!$B$83*'Res-Rec Equations'!$B$79*'Res-Rec Calculations'!C82)/('Res-Rec Equations'!$B$85))/('Chemical Info'!N83),IF('Chemical Info'!E83="Yes",(('Res-Rec Equations'!$B$83*'Res-Rec Equations'!$B$79*'Res-Rec Calculations'!E82)/('Res-Rec Equations'!$B$85))/('Chemical Info'!N83),(('Res-Rec Equations'!$B$83*'Res-Rec Equations'!$B$79*('Res-Rec Calculations'!C82+'Res-Rec Calculations'!E82))/('Res-Rec Equations'!$B$85))/('Chemical Info'!N83))))</f>
        <v>5.7098542690071376E-5</v>
      </c>
      <c r="R82" s="166">
        <f>IF('Chemical Info'!N83="NA","NA",IF('Res-Rec Calculations'!F82="NA",(('Res-Rec Equations'!$B$83*'Res-Rec Equations'!$B$79*'Res-Rec Calculations'!C82)/('Res-Rec Equations'!$B$85))/('Chemical Info'!N83),IF('Chemical Info'!E83="Yes",(('Res-Rec Equations'!$B$83*'Res-Rec Equations'!$B$79*'Res-Rec Calculations'!F82)/('Res-Rec Equations'!$B$85))/('Chemical Info'!N83),(('Res-Rec Equations'!$B$83*'Res-Rec Equations'!$B$79*('Res-Rec Calculations'!C82+'Res-Rec Calculations'!F82))/('Res-Rec Equations'!$B$85))/('Chemical Info'!N83))))</f>
        <v>4.9890741853356847E-5</v>
      </c>
      <c r="S82" s="167">
        <f>IF(AND(O82="NA",P82="NA",Q82="NA"),"NA",IF(O82="NA",'Res-Rec Equations'!$B$75/Q82,IF(Q82="NA",'Res-Rec Equations'!$B$75/(O82+P82),'Res-Rec Equations'!$B$75/(O82+P82+Q82))))</f>
        <v>1946.270419060116</v>
      </c>
      <c r="T82" s="167">
        <f>IF(AND(O82="NA",P82="NA",R82="NA"),"NA",IF(O82="NA",'Res-Rec Equations'!$B$75/R82,IF(R82="NA",'Res-Rec Equations'!$B$75/(O82+P82),'Res-Rec Equations'!$B$75/(O82+P82+R82))))</f>
        <v>2093.0826877047857</v>
      </c>
      <c r="U82" s="168">
        <f t="shared" si="15"/>
        <v>2093.0826877047857</v>
      </c>
      <c r="V82" s="167" t="str">
        <f>IF('Chemical Info'!P83="NA","NA",(('Res-Rec Equations'!$B$185*'Res-Rec Equations'!$B$186)/('Res-Rec Equations'!$B$187*'Res-Rec Equations'!$B$188*(1/'Chemical Info'!P83))))</f>
        <v>NA</v>
      </c>
      <c r="W82" s="379" t="str">
        <f t="shared" si="16"/>
        <v>NA</v>
      </c>
      <c r="X82" s="372">
        <f t="shared" si="17"/>
        <v>867.27046666666672</v>
      </c>
      <c r="Y82" s="62">
        <f t="shared" si="18"/>
        <v>870</v>
      </c>
      <c r="Z82" s="100" t="str">
        <f t="shared" si="19"/>
        <v>Csat</v>
      </c>
      <c r="AA82" s="373"/>
    </row>
    <row r="83" spans="1:28">
      <c r="A83" s="413" t="s">
        <v>374</v>
      </c>
      <c r="B83" s="566" t="s">
        <v>49</v>
      </c>
      <c r="C83" s="367">
        <f>1/(('Res-Rec Equations'!$B$152*3600)/((0.036*(1-'Res-Rec Equations'!$B$153))*('Res-Rec Equations'!$B$154/'Res-Rec Equations'!$B$155)^3*'Res-Rec Equations'!$B$156))</f>
        <v>7.3567680901159717E-10</v>
      </c>
      <c r="D83" s="368">
        <f>(('Res-Rec Equations'!$B$132^(10/3)*'Chemical Info'!$AH84*'Chemical Info'!$AN84*41+'Res-Rec Equations'!$B$135^(10/3)*'Chemical Info'!$AJ84)/'Res-Rec Equations'!$B$137^2)/('Res-Rec Equations'!$B$139*'Chemical Info'!$AL84*'Res-Rec Equations'!$B$142+'Res-Rec Equations'!$B$135+'Res-Rec Equations'!$B$132*'Chemical Info'!$AN84*41)</f>
        <v>3.9524435731009709E-4</v>
      </c>
      <c r="E83" s="368">
        <f>IF(D83=0,"NA",1/(('Res-Rec Equations'!$B$103*(3.14*'Res-Rec Calculations'!$D83*'Res-Rec Equations'!$B$105)^(1/2)*0.0001)/(2*'Res-Rec Equations'!$B$106*'Res-Rec Calculations'!$D83)))</f>
        <v>1.1669746527903214E-4</v>
      </c>
      <c r="F83" s="368">
        <f>IF(D83=0,"NA",(1/('Res-Rec Equations'!$B$117*('Res-Rec Equations'!$B$118*(31500000))/('Res-Rec Equations'!$B$119*'Res-Rec Equations'!$B$120*1000000))))</f>
        <v>6.1914410640015851E-5</v>
      </c>
      <c r="G83" s="167">
        <f>IF('Chemical Info'!E84="Yes",('Chemical Info'!AP84/'Res-Rec Equations'!$B$168)*((('Chemical Info'!AL84*'Res-Rec Equations'!$B$170)*'Res-Rec Equations'!$B$168)+'Res-Rec Equations'!$B$171+('Chemical Info'!AN84*41)*'Res-Rec Equations'!$B$173),"NA")</f>
        <v>679.78526666666676</v>
      </c>
      <c r="H83" s="112">
        <f>IF('Chemical Info'!H84="NA","NA",IF(AND('Chemical Info'!E84="Yes",'Chemical Info'!D84="Yes"),'Chemical Info'!H84*'Chemical Info'!AD84*'Res-Rec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Info'!E84="Yes",'Chemical Info'!D84=""),'Chemical Info'!H84*'Chemical Info'!AD84*'Res-Rec Equations'!$B$20*'Res-Rec Equations'!$B$23*((('Res-Rec Equations'!$B$26*'Res-Rec Equations'!$B$29)/'Res-Rec Equations'!$B$32)+(('Res-Rec Equations'!$B$27*'Res-Rec Equations'!$B$30)/'Res-Rec Equations'!$B$33)+(('Res-Rec Equations'!$B$28*'Res-Rec Equations'!$B$31)/'Res-Rec Equations'!$B$34)),IF(AND('Chemical Info'!E84="No",'Chemical Info'!D84="Yes"),'Chemical Info'!H84*'Chemical Info'!AD84*'Res-Rec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Info'!E84="No",'Chemical Info'!D84=""),'Chemical Info'!H84*'Chemical Info'!AD84*'Res-Rec Equations'!$B$19*'Res-Rec Equations'!$B$23*((('Res-Rec Equations'!$B$26*'Res-Rec Equations'!$B$29)/'Res-Rec Equations'!$B$32)+(('Res-Rec Equations'!$B$27*'Res-Rec Equations'!$B$30)/'Res-Rec Equations'!$B$33)+(('Res-Rec Equations'!$B$28*'Res-Rec Equations'!$B$31)/'Res-Rec Equations'!$B$34)))))))</f>
        <v>8.3741820768136552E-4</v>
      </c>
      <c r="I83" s="166">
        <f>IF('Chemical Info'!H84="NA","NA",IF('Chemical Info'!E84="Yes",0,IF('Chemical Info'!D84="Yes",'Chemical Info'!H84/'Chemical Info'!AF84*('Res-Rec Equations'!$B$21*'Chemical Info'!AB84*'Res-Rec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Info'!H84/'Chemical Info'!AF84*('Res-Rec Equations'!$B$21*'Chemical Info'!AB84*'Res-Rec Equations'!$B$23)*((('Res-Rec Equations'!$B$26*'Res-Rec Equations'!$B$37*'Res-Rec Equations'!$B$40)/'Res-Rec Equations'!$B$32)+(('Res-Rec Equations'!$B$27*'Res-Rec Equations'!$B$38*'Res-Rec Equations'!$B$41)/'Res-Rec Equations'!$B$33)+(('Res-Rec Equations'!$B$28*'Res-Rec Equations'!$B$39*'Res-Rec Equations'!$B$42)/'Res-Rec Equations'!$B$34)))))</f>
        <v>0</v>
      </c>
      <c r="J83" s="369" t="str">
        <f>IF('Chemical Info'!J84="NA","NA",IF(AND(E83="NA",'Chemical Info'!D84="Yes"),'Res-Rec Equations'!$B$22*1000*(('Res-Rec Equations'!$B$26*'Chemical Info'!J84*'Res-Rec Equations'!$B$59)+('Res-Rec Equations'!$B$27*'Chemical Info'!J84*'Res-Rec Equations'!$B$60)+('Res-Rec Equations'!$B$28*'Chemical Info'!J84*'Res-Rec Equations'!$B$61))*'Res-Rec Calculations'!C83,IF(AND(E83="NA",'Chemical Info'!D84=""),'Res-Rec Equations'!$B$22*1000*'Res-Rec Equations'!$B$25*'Chemical Info'!J84*'Res-Rec Calculations'!C83,IF(AND('Chemical Info'!E84="Yes",'Chemical Info'!D84="Yes"),'Res-Rec Equations'!$B$22*1000*(('Res-Rec Equations'!$B$26*'Chemical Info'!J84*'Res-Rec Equations'!$B$59)+('Res-Rec Equations'!$B$27*'Chemical Info'!J84*'Res-Rec Equations'!$B$60)+('Res-Rec Equations'!$B$28*'Chemical Info'!J84*'Res-Rec Equations'!$B$61))*'Res-Rec Calculations'!E83,IF(AND('Chemical Info'!E84="Yes",'Chemical Info'!D84=""),'Res-Rec Equations'!$B$22*1000*'Res-Rec Equations'!$B$25*'Chemical Info'!J84*'Res-Rec Calculations'!E83,IF('Chemical Info'!D84="Yes",'Res-Rec Equations'!$B$22*1000*(('Res-Rec Equations'!$B$26*'Chemical Info'!J84*'Res-Rec Equations'!$B$59)+('Res-Rec Equations'!$B$27*'Chemical Info'!J84*'Res-Rec Equations'!$B$60)+('Res-Rec Equations'!$B$28*'Chemical Info'!J84*'Res-Rec Equations'!$B$61))*('Res-Rec Calculations'!C83+'Res-Rec Calculations'!E83),IF('Chemical Info'!D84="",'Res-Rec Equations'!$B$22*1000*'Res-Rec Equations'!$B$25*'Chemical Info'!J84*('Res-Rec Calculations'!C83+'Res-Rec Calculations'!E83))))))))</f>
        <v>NA</v>
      </c>
      <c r="K83" s="370" t="str">
        <f>IF('Chemical Info'!J84="NA","NA",IF(AND(F83="NA",'Chemical Info'!D84="Yes"),'Res-Rec Equations'!$B$22*1000*(('Res-Rec Equations'!$B$26*'Chemical Info'!J84*'Res-Rec Equations'!$B$59)+('Res-Rec Equations'!$B$27*'Chemical Info'!J84*'Res-Rec Equations'!$B$60)+('Res-Rec Equations'!$B$28*'Chemical Info'!J84*'Res-Rec Equations'!$B$61))*'Res-Rec Calculations'!C83,IF(AND(F83="NA",'Chemical Info'!D84=""),'Res-Rec Equations'!$B$22*1000*'Res-Rec Equations'!$B$25*'Chemical Info'!J84*'Res-Rec Calculations'!C83,IF(AND('Chemical Info'!F84="Yes",'Chemical Info'!D84="Yes"),'Res-Rec Equations'!$B$22*1000*(('Res-Rec Equations'!$B$26*'Chemical Info'!J84*'Res-Rec Equations'!$B$59)+('Res-Rec Equations'!$B$27*'Chemical Info'!J84*'Res-Rec Equations'!$B$60)+('Res-Rec Equations'!$B$28*'Chemical Info'!J84*'Res-Rec Equations'!$B$61))*'Res-Rec Calculations'!F83,IF(AND('Chemical Info'!F84="Yes",'Chemical Info'!D84=""),'Res-Rec Equations'!$B$22*1000*'Res-Rec Equations'!$B$25*'Chemical Info'!J84*'Res-Rec Calculations'!F83,IF('Chemical Info'!D84="Yes",'Res-Rec Equations'!$B$22*1000*(('Res-Rec Equations'!$B$26*'Chemical Info'!J84*'Res-Rec Equations'!$B$59)+('Res-Rec Equations'!$B$27*'Chemical Info'!J84*'Res-Rec Equations'!$B$60)+('Res-Rec Equations'!$B$28*'Chemical Info'!J84*'Res-Rec Equations'!$B$61))*('Res-Rec Calculations'!C83+'Res-Rec Calculations'!F83),IF('Chemical Info'!D84="",'Res-Rec Equations'!$B$22*1000*'Res-Rec Equations'!$B$25*'Chemical Info'!J84*('Res-Rec Calculations'!C83+'Res-Rec Calculations'!F83))))))))</f>
        <v>NA</v>
      </c>
      <c r="L83" s="167">
        <f>IF(AND(H83="NA",I83="NA",J83="NA"),"NA",IF(H83="NA",'Res-Rec Equations'!$B$15*'Res-Rec Equations'!$B$16/J83,IF(J83="NA",'Res-Rec Equations'!$B$15*'Res-Rec Equations'!$B$16/(H83+I83),'Res-Rec Equations'!$B$15*'Res-Rec Equations'!$B$16/(H83+I83+J83))))</f>
        <v>305.10442411734232</v>
      </c>
      <c r="M83" s="167">
        <f>IF(AND(H83="NA",I83="NA",K83="NA"),"NA",IF(H83="NA",'Res-Rec Equations'!$B$15*'Res-Rec Equations'!$B$16/K83,IF(K83="NA",'Res-Rec Equations'!$B$15*'Res-Rec Equations'!$B$16/(H83+I83),'Res-Rec Equations'!$B$15*'Res-Rec Equations'!$B$16/(H83+I83+K83))))</f>
        <v>305.10442411734232</v>
      </c>
      <c r="N83" s="167">
        <f t="shared" si="14"/>
        <v>305.10442411734232</v>
      </c>
      <c r="O83" s="371">
        <f>IF('Chemical Info'!L84="NA","NA",IF('Chemical Info'!E84="Yes",(('Res-Rec Equations'!$B$76*'Chemical Info'!AD84*'Res-Rec Equations'!$B$78*'Res-Rec Equations'!$B$79*'Res-Rec Equations'!$B$81)/('Res-Rec Equations'!$B$84*'Res-Rec Equations'!$B$85))/'Chemical Info'!L84,(('Res-Rec Equations'!$B$76*'Chemical Info'!AD84*'Res-Rec Equations'!$B$78*'Res-Rec Equations'!$B$79*'Res-Rec Equations'!$B$80)/('Res-Rec Equations'!$B$84*'Res-Rec Equations'!$B$85))/'Chemical Info'!L84))</f>
        <v>3.0441400304414006E-4</v>
      </c>
      <c r="P83" s="166">
        <f>IF('Chemical Info'!L84="NA","NA", IF('Chemical Info'!E84="Yes",0,((('Res-Rec Equations'!$B$87*'Res-Rec Equations'!$B$88*'Res-Rec Equations'!$B$78*'Res-Rec Equations'!$B$82*'Res-Rec Equations'!$B$79*'Chemical Info'!AB84)/('Res-Rec Equations'!$B$84*'Res-Rec Equations'!$B$85))/('Chemical Info'!L84*'Chemical Info'!AF84))))</f>
        <v>0</v>
      </c>
      <c r="Q83" s="166" t="str">
        <f>IF('Chemical Info'!N84="NA","NA",IF('Res-Rec Calculations'!E83="NA",(('Res-Rec Equations'!$B$83*'Res-Rec Equations'!$B$79*'Res-Rec Calculations'!C83)/('Res-Rec Equations'!$B$85))/('Chemical Info'!N84),IF('Chemical Info'!E84="Yes",(('Res-Rec Equations'!$B$83*'Res-Rec Equations'!$B$79*'Res-Rec Calculations'!E83)/('Res-Rec Equations'!$B$85))/('Chemical Info'!N84),(('Res-Rec Equations'!$B$83*'Res-Rec Equations'!$B$79*('Res-Rec Calculations'!C83+'Res-Rec Calculations'!E83))/('Res-Rec Equations'!$B$85))/('Chemical Info'!N84))))</f>
        <v>NA</v>
      </c>
      <c r="R83" s="166" t="str">
        <f>IF('Chemical Info'!N84="NA","NA",IF('Res-Rec Calculations'!F83="NA",(('Res-Rec Equations'!$B$83*'Res-Rec Equations'!$B$79*'Res-Rec Calculations'!C83)/('Res-Rec Equations'!$B$85))/('Chemical Info'!N84),IF('Chemical Info'!E84="Yes",(('Res-Rec Equations'!$B$83*'Res-Rec Equations'!$B$79*'Res-Rec Calculations'!F83)/('Res-Rec Equations'!$B$85))/('Chemical Info'!N84),(('Res-Rec Equations'!$B$83*'Res-Rec Equations'!$B$79*('Res-Rec Calculations'!C83+'Res-Rec Calculations'!F83))/('Res-Rec Equations'!$B$85))/('Chemical Info'!N84))))</f>
        <v>NA</v>
      </c>
      <c r="S83" s="167">
        <f>IF(AND(O83="NA",P83="NA",Q83="NA"),"NA",IF(O83="NA",'Res-Rec Equations'!$B$75/Q83,IF(Q83="NA",'Res-Rec Equations'!$B$75/(O83+P83),'Res-Rec Equations'!$B$75/(O83+P83+Q83))))</f>
        <v>657</v>
      </c>
      <c r="T83" s="167">
        <f>IF(AND(O83="NA",P83="NA",R83="NA"),"NA",IF(O83="NA",'Res-Rec Equations'!$B$75/R83,IF(R83="NA",'Res-Rec Equations'!$B$75/(O83+P83),'Res-Rec Equations'!$B$75/(O83+P83+R83))))</f>
        <v>657</v>
      </c>
      <c r="U83" s="168">
        <f t="shared" si="15"/>
        <v>657</v>
      </c>
      <c r="V83" s="167" t="str">
        <f>IF('Chemical Info'!P84="NA","NA",(('Res-Rec Equations'!$B$185*'Res-Rec Equations'!$B$186)/('Res-Rec Equations'!$B$187*'Res-Rec Equations'!$B$188*(1/'Chemical Info'!P84))))</f>
        <v>NA</v>
      </c>
      <c r="W83" s="379" t="str">
        <f t="shared" si="16"/>
        <v>NA</v>
      </c>
      <c r="X83" s="372">
        <f t="shared" si="17"/>
        <v>305.10442411734232</v>
      </c>
      <c r="Y83" s="62">
        <f t="shared" si="18"/>
        <v>310</v>
      </c>
      <c r="Z83" s="100" t="str">
        <f t="shared" si="19"/>
        <v>Cancer</v>
      </c>
      <c r="AA83" s="373"/>
    </row>
    <row r="84" spans="1:28">
      <c r="A84" s="413" t="s">
        <v>375</v>
      </c>
      <c r="B84" s="566" t="s">
        <v>183</v>
      </c>
      <c r="C84" s="367">
        <f>1/(('Res-Rec Equations'!$B$152*3600)/((0.036*(1-'Res-Rec Equations'!$B$153))*('Res-Rec Equations'!$B$154/'Res-Rec Equations'!$B$155)^3*'Res-Rec Equations'!$B$156))</f>
        <v>7.3567680901159717E-10</v>
      </c>
      <c r="D84" s="368">
        <f>(('Res-Rec Equations'!$B$132^(10/3)*'Chemical Info'!$AH85*'Chemical Info'!$AN85*41+'Res-Rec Equations'!$B$135^(10/3)*'Chemical Info'!$AJ85)/'Res-Rec Equations'!$B$137^2)/('Res-Rec Equations'!$B$139*'Chemical Info'!$AL85*'Res-Rec Equations'!$B$142+'Res-Rec Equations'!$B$135+'Res-Rec Equations'!$B$132*'Chemical Info'!$AN85*41)</f>
        <v>5.5739696567968558E-5</v>
      </c>
      <c r="E84" s="368">
        <f>IF(D84=0,"NA",1/(('Res-Rec Equations'!$B$103*(3.14*'Res-Rec Calculations'!$D84*'Res-Rec Equations'!$B$105)^(1/2)*0.0001)/(2*'Res-Rec Equations'!$B$106*'Res-Rec Calculations'!$D84)))</f>
        <v>4.3823885876468546E-5</v>
      </c>
      <c r="F84" s="368">
        <f>IF(D84=0,"NA",(1/('Res-Rec Equations'!$B$117*('Res-Rec Equations'!$B$118*(31500000))/('Res-Rec Equations'!$B$119*'Res-Rec Equations'!$B$120*1000000))))</f>
        <v>6.1914410640015851E-5</v>
      </c>
      <c r="G84" s="167">
        <f>IF('Chemical Info'!E85="Yes",('Chemical Info'!AP85/'Res-Rec Equations'!$B$168)*((('Chemical Info'!AL85*'Res-Rec Equations'!$B$170)*'Res-Rec Equations'!$B$168)+'Res-Rec Equations'!$B$171+('Chemical Info'!AN85*41)*'Res-Rec Equations'!$B$173),"NA")</f>
        <v>1903.0300285333331</v>
      </c>
      <c r="H84" s="112">
        <f>IF('Chemical Info'!H85="NA","NA",IF(AND('Chemical Info'!E85="Yes",'Chemical Info'!D85="Yes"),'Chemical Info'!H85*'Chemical Info'!AD85*'Res-Rec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Info'!E85="Yes",'Chemical Info'!D85=""),'Chemical Info'!H85*'Chemical Info'!AD85*'Res-Rec Equations'!$B$20*'Res-Rec Equations'!$B$23*((('Res-Rec Equations'!$B$26*'Res-Rec Equations'!$B$29)/'Res-Rec Equations'!$B$32)+(('Res-Rec Equations'!$B$27*'Res-Rec Equations'!$B$30)/'Res-Rec Equations'!$B$33)+(('Res-Rec Equations'!$B$28*'Res-Rec Equations'!$B$31)/'Res-Rec Equations'!$B$34)),IF(AND('Chemical Info'!E85="No",'Chemical Info'!D85="Yes"),'Chemical Info'!H85*'Chemical Info'!AD85*'Res-Rec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Info'!E85="No",'Chemical Info'!D85=""),'Chemical Info'!H85*'Chemical Info'!AD85*'Res-Rec Equations'!$B$19*'Res-Rec Equations'!$B$23*((('Res-Rec Equations'!$B$26*'Res-Rec Equations'!$B$29)/'Res-Rec Equations'!$B$32)+(('Res-Rec Equations'!$B$27*'Res-Rec Equations'!$B$30)/'Res-Rec Equations'!$B$33)+(('Res-Rec Equations'!$B$28*'Res-Rec Equations'!$B$31)/'Res-Rec Equations'!$B$34)))))))</f>
        <v>6.4416785206258889E-3</v>
      </c>
      <c r="I84" s="166">
        <f>IF('Chemical Info'!H85="NA","NA",IF('Chemical Info'!E85="Yes",0,IF('Chemical Info'!D85="Yes",'Chemical Info'!H85/'Chemical Info'!AF85*('Res-Rec Equations'!$B$21*'Chemical Info'!AB85*'Res-Rec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Info'!H85/'Chemical Info'!AF85*('Res-Rec Equations'!$B$21*'Chemical Info'!AB85*'Res-Rec Equations'!$B$23)*((('Res-Rec Equations'!$B$26*'Res-Rec Equations'!$B$37*'Res-Rec Equations'!$B$40)/'Res-Rec Equations'!$B$32)+(('Res-Rec Equations'!$B$27*'Res-Rec Equations'!$B$38*'Res-Rec Equations'!$B$41)/'Res-Rec Equations'!$B$33)+(('Res-Rec Equations'!$B$28*'Res-Rec Equations'!$B$39*'Res-Rec Equations'!$B$42)/'Res-Rec Equations'!$B$34)))))</f>
        <v>0</v>
      </c>
      <c r="J84" s="369" t="str">
        <f>IF('Chemical Info'!J85="NA","NA",IF(AND(E84="NA",'Chemical Info'!D85="Yes"),'Res-Rec Equations'!$B$22*1000*(('Res-Rec Equations'!$B$26*'Chemical Info'!J85*'Res-Rec Equations'!$B$59)+('Res-Rec Equations'!$B$27*'Chemical Info'!J85*'Res-Rec Equations'!$B$60)+('Res-Rec Equations'!$B$28*'Chemical Info'!J85*'Res-Rec Equations'!$B$61))*'Res-Rec Calculations'!C84,IF(AND(E84="NA",'Chemical Info'!D85=""),'Res-Rec Equations'!$B$22*1000*'Res-Rec Equations'!$B$25*'Chemical Info'!J85*'Res-Rec Calculations'!C84,IF(AND('Chemical Info'!E85="Yes",'Chemical Info'!D85="Yes"),'Res-Rec Equations'!$B$22*1000*(('Res-Rec Equations'!$B$26*'Chemical Info'!J85*'Res-Rec Equations'!$B$59)+('Res-Rec Equations'!$B$27*'Chemical Info'!J85*'Res-Rec Equations'!$B$60)+('Res-Rec Equations'!$B$28*'Chemical Info'!J85*'Res-Rec Equations'!$B$61))*'Res-Rec Calculations'!E84,IF(AND('Chemical Info'!E85="Yes",'Chemical Info'!D85=""),'Res-Rec Equations'!$B$22*1000*'Res-Rec Equations'!$B$25*'Chemical Info'!J85*'Res-Rec Calculations'!E84,IF('Chemical Info'!D85="Yes",'Res-Rec Equations'!$B$22*1000*(('Res-Rec Equations'!$B$26*'Chemical Info'!J85*'Res-Rec Equations'!$B$59)+('Res-Rec Equations'!$B$27*'Chemical Info'!J85*'Res-Rec Equations'!$B$60)+('Res-Rec Equations'!$B$28*'Chemical Info'!J85*'Res-Rec Equations'!$B$61))*('Res-Rec Calculations'!C84+'Res-Rec Calculations'!E84),IF('Chemical Info'!D85="",'Res-Rec Equations'!$B$22*1000*'Res-Rec Equations'!$B$25*'Chemical Info'!J85*('Res-Rec Calculations'!C84+'Res-Rec Calculations'!E84))))))))</f>
        <v>NA</v>
      </c>
      <c r="K84" s="370" t="str">
        <f>IF('Chemical Info'!J85="NA","NA",IF(AND(F84="NA",'Chemical Info'!D85="Yes"),'Res-Rec Equations'!$B$22*1000*(('Res-Rec Equations'!$B$26*'Chemical Info'!J85*'Res-Rec Equations'!$B$59)+('Res-Rec Equations'!$B$27*'Chemical Info'!J85*'Res-Rec Equations'!$B$60)+('Res-Rec Equations'!$B$28*'Chemical Info'!J85*'Res-Rec Equations'!$B$61))*'Res-Rec Calculations'!C84,IF(AND(F84="NA",'Chemical Info'!D85=""),'Res-Rec Equations'!$B$22*1000*'Res-Rec Equations'!$B$25*'Chemical Info'!J85*'Res-Rec Calculations'!C84,IF(AND('Chemical Info'!F85="Yes",'Chemical Info'!D85="Yes"),'Res-Rec Equations'!$B$22*1000*(('Res-Rec Equations'!$B$26*'Chemical Info'!J85*'Res-Rec Equations'!$B$59)+('Res-Rec Equations'!$B$27*'Chemical Info'!J85*'Res-Rec Equations'!$B$60)+('Res-Rec Equations'!$B$28*'Chemical Info'!J85*'Res-Rec Equations'!$B$61))*'Res-Rec Calculations'!F84,IF(AND('Chemical Info'!F85="Yes",'Chemical Info'!D85=""),'Res-Rec Equations'!$B$22*1000*'Res-Rec Equations'!$B$25*'Chemical Info'!J85*'Res-Rec Calculations'!F84,IF('Chemical Info'!D85="Yes",'Res-Rec Equations'!$B$22*1000*(('Res-Rec Equations'!$B$26*'Chemical Info'!J85*'Res-Rec Equations'!$B$59)+('Res-Rec Equations'!$B$27*'Chemical Info'!J85*'Res-Rec Equations'!$B$60)+('Res-Rec Equations'!$B$28*'Chemical Info'!J85*'Res-Rec Equations'!$B$61))*('Res-Rec Calculations'!C84+'Res-Rec Calculations'!F84),IF('Chemical Info'!D85="",'Res-Rec Equations'!$B$22*1000*'Res-Rec Equations'!$B$25*'Chemical Info'!J85*('Res-Rec Calculations'!C84+'Res-Rec Calculations'!F84))))))))</f>
        <v>NA</v>
      </c>
      <c r="L84" s="167">
        <f>IF(AND(H84="NA",I84="NA",J84="NA"),"NA",IF(H84="NA",'Res-Rec Equations'!$B$15*'Res-Rec Equations'!$B$16/J84,IF(J84="NA",'Res-Rec Equations'!$B$15*'Res-Rec Equations'!$B$16/(H84+I84),'Res-Rec Equations'!$B$15*'Res-Rec Equations'!$B$16/(H84+I84+J84))))</f>
        <v>39.663575135254504</v>
      </c>
      <c r="M84" s="167">
        <f>IF(AND(H84="NA",I84="NA",K84="NA"),"NA",IF(H84="NA",'Res-Rec Equations'!$B$15*'Res-Rec Equations'!$B$16/K84,IF(K84="NA",'Res-Rec Equations'!$B$15*'Res-Rec Equations'!$B$16/(H84+I84),'Res-Rec Equations'!$B$15*'Res-Rec Equations'!$B$16/(H84+I84+K84))))</f>
        <v>39.663575135254504</v>
      </c>
      <c r="N84" s="167">
        <f t="shared" si="14"/>
        <v>39.663575135254504</v>
      </c>
      <c r="O84" s="371">
        <f>IF('Chemical Info'!L85="NA","NA",IF('Chemical Info'!E85="Yes",(('Res-Rec Equations'!$B$76*'Chemical Info'!AD85*'Res-Rec Equations'!$B$78*'Res-Rec Equations'!$B$79*'Res-Rec Equations'!$B$81)/('Res-Rec Equations'!$B$84*'Res-Rec Equations'!$B$85))/'Chemical Info'!L85,(('Res-Rec Equations'!$B$76*'Chemical Info'!AD85*'Res-Rec Equations'!$B$78*'Res-Rec Equations'!$B$79*'Res-Rec Equations'!$B$80)/('Res-Rec Equations'!$B$84*'Res-Rec Equations'!$B$85))/'Chemical Info'!L85))</f>
        <v>4.5662100456621003E-4</v>
      </c>
      <c r="P84" s="166">
        <f>IF('Chemical Info'!L85="NA","NA", IF('Chemical Info'!E85="Yes",0,((('Res-Rec Equations'!$B$87*'Res-Rec Equations'!$B$88*'Res-Rec Equations'!$B$78*'Res-Rec Equations'!$B$82*'Res-Rec Equations'!$B$79*'Chemical Info'!AB85)/('Res-Rec Equations'!$B$84*'Res-Rec Equations'!$B$85))/('Chemical Info'!L85*'Chemical Info'!AF85))))</f>
        <v>0</v>
      </c>
      <c r="Q84" s="166" t="str">
        <f>IF('Chemical Info'!N85="NA","NA",IF('Res-Rec Calculations'!E84="NA",(('Res-Rec Equations'!$B$83*'Res-Rec Equations'!$B$79*'Res-Rec Calculations'!C84)/('Res-Rec Equations'!$B$85))/('Chemical Info'!N85),IF('Chemical Info'!E85="Yes",(('Res-Rec Equations'!$B$83*'Res-Rec Equations'!$B$79*'Res-Rec Calculations'!E84)/('Res-Rec Equations'!$B$85))/('Chemical Info'!N85),(('Res-Rec Equations'!$B$83*'Res-Rec Equations'!$B$79*('Res-Rec Calculations'!C84+'Res-Rec Calculations'!E84))/('Res-Rec Equations'!$B$85))/('Chemical Info'!N85))))</f>
        <v>NA</v>
      </c>
      <c r="R84" s="166" t="str">
        <f>IF('Chemical Info'!N85="NA","NA",IF('Res-Rec Calculations'!F84="NA",(('Res-Rec Equations'!$B$83*'Res-Rec Equations'!$B$79*'Res-Rec Calculations'!C84)/('Res-Rec Equations'!$B$85))/('Chemical Info'!N85),IF('Chemical Info'!E85="Yes",(('Res-Rec Equations'!$B$83*'Res-Rec Equations'!$B$79*'Res-Rec Calculations'!F84)/('Res-Rec Equations'!$B$85))/('Chemical Info'!N85),(('Res-Rec Equations'!$B$83*'Res-Rec Equations'!$B$79*('Res-Rec Calculations'!C84+'Res-Rec Calculations'!F84))/('Res-Rec Equations'!$B$85))/('Chemical Info'!N85))))</f>
        <v>NA</v>
      </c>
      <c r="S84" s="167">
        <f>IF(AND(O84="NA",P84="NA",Q84="NA"),"NA",IF(O84="NA",'Res-Rec Equations'!$B$75/Q84,IF(Q84="NA",'Res-Rec Equations'!$B$75/(O84+P84),'Res-Rec Equations'!$B$75/(O84+P84+Q84))))</f>
        <v>438.00000000000006</v>
      </c>
      <c r="T84" s="167">
        <f>IF(AND(O84="NA",P84="NA",R84="NA"),"NA",IF(O84="NA",'Res-Rec Equations'!$B$75/R84,IF(R84="NA",'Res-Rec Equations'!$B$75/(O84+P84),'Res-Rec Equations'!$B$75/(O84+P84+R84))))</f>
        <v>438.00000000000006</v>
      </c>
      <c r="U84" s="168">
        <f t="shared" si="15"/>
        <v>438.00000000000006</v>
      </c>
      <c r="V84" s="167" t="str">
        <f>IF('Chemical Info'!P85="NA","NA",(('Res-Rec Equations'!$B$185*'Res-Rec Equations'!$B$186)/('Res-Rec Equations'!$B$187*'Res-Rec Equations'!$B$188*(1/'Chemical Info'!P85))))</f>
        <v>NA</v>
      </c>
      <c r="W84" s="379" t="str">
        <f t="shared" si="16"/>
        <v>NA</v>
      </c>
      <c r="X84" s="372">
        <f t="shared" si="17"/>
        <v>39.663575135254504</v>
      </c>
      <c r="Y84" s="62">
        <f t="shared" si="18"/>
        <v>40</v>
      </c>
      <c r="Z84" s="100" t="str">
        <f t="shared" si="19"/>
        <v>Cancer</v>
      </c>
      <c r="AA84" s="373"/>
    </row>
    <row r="85" spans="1:28">
      <c r="A85" s="413" t="s">
        <v>490</v>
      </c>
      <c r="B85" s="566" t="s">
        <v>100</v>
      </c>
      <c r="C85" s="367">
        <f>1/(('Res-Rec Equations'!$B$152*3600)/((0.036*(1-'Res-Rec Equations'!$B$153))*('Res-Rec Equations'!$B$154/'Res-Rec Equations'!$B$155)^3*'Res-Rec Equations'!$B$156))</f>
        <v>7.3567680901159717E-10</v>
      </c>
      <c r="D85" s="368">
        <f>(('Res-Rec Equations'!$B$132^(10/3)*'Chemical Info'!$AH86*'Chemical Info'!$AN86*41+'Res-Rec Equations'!$B$135^(10/3)*'Chemical Info'!$AJ86)/'Res-Rec Equations'!$B$137^2)/('Res-Rec Equations'!$B$139*'Chemical Info'!$AL86*'Res-Rec Equations'!$B$142+'Res-Rec Equations'!$B$135+'Res-Rec Equations'!$B$132*'Chemical Info'!$AN86*41)</f>
        <v>2.3127021826671677E-3</v>
      </c>
      <c r="E85" s="368">
        <f>IF(D85=0,"NA",1/(('Res-Rec Equations'!$B$103*(3.14*'Res-Rec Calculations'!$D85*'Res-Rec Equations'!$B$105)^(1/2)*0.0001)/(2*'Res-Rec Equations'!$B$106*'Res-Rec Calculations'!$D85)))</f>
        <v>2.8228541447517967E-4</v>
      </c>
      <c r="F85" s="368">
        <f>IF(D85=0,"NA",(1/('Res-Rec Equations'!$B$117*('Res-Rec Equations'!$B$118*(31500000))/('Res-Rec Equations'!$B$119*'Res-Rec Equations'!$B$120*1000000))))</f>
        <v>6.1914410640015851E-5</v>
      </c>
      <c r="G85" s="167">
        <f>IF('Chemical Info'!E86="Yes",('Chemical Info'!AP86/'Res-Rec Equations'!$B$168)*((('Chemical Info'!AL86*'Res-Rec Equations'!$B$170)*'Res-Rec Equations'!$B$168)+'Res-Rec Equations'!$B$171+('Chemical Info'!AN86*41)*'Res-Rec Equations'!$B$173),"NA")</f>
        <v>165.85142399999998</v>
      </c>
      <c r="H85" s="112">
        <f>IF('Chemical Info'!H86="NA","NA",IF(AND('Chemical Info'!E86="Yes",'Chemical Info'!D86="Yes"),'Chemical Info'!H86*'Chemical Info'!AD86*'Res-Rec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Info'!E86="Yes",'Chemical Info'!D86=""),'Chemical Info'!H86*'Chemical Info'!AD86*'Res-Rec Equations'!$B$20*'Res-Rec Equations'!$B$23*((('Res-Rec Equations'!$B$26*'Res-Rec Equations'!$B$29)/'Res-Rec Equations'!$B$32)+(('Res-Rec Equations'!$B$27*'Res-Rec Equations'!$B$30)/'Res-Rec Equations'!$B$33)+(('Res-Rec Equations'!$B$28*'Res-Rec Equations'!$B$31)/'Res-Rec Equations'!$B$34)),IF(AND('Chemical Info'!E86="No",'Chemical Info'!D86="Yes"),'Chemical Info'!H86*'Chemical Info'!AD86*'Res-Rec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Info'!E86="No",'Chemical Info'!D86=""),'Chemical Info'!H86*'Chemical Info'!AD86*'Res-Rec Equations'!$B$19*'Res-Rec Equations'!$B$23*((('Res-Rec Equations'!$B$26*'Res-Rec Equations'!$B$29)/'Res-Rec Equations'!$B$32)+(('Res-Rec Equations'!$B$27*'Res-Rec Equations'!$B$30)/'Res-Rec Equations'!$B$33)+(('Res-Rec Equations'!$B$28*'Res-Rec Equations'!$B$31)/'Res-Rec Equations'!$B$34)))))))</f>
        <v>3.985151137980085E-3</v>
      </c>
      <c r="I85" s="166">
        <f>IF('Chemical Info'!H86="NA","NA",IF('Chemical Info'!E86="Yes",0,IF('Chemical Info'!D86="Yes",'Chemical Info'!H86/'Chemical Info'!AF86*('Res-Rec Equations'!$B$21*'Chemical Info'!AB86*'Res-Rec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Info'!H86/'Chemical Info'!AF86*('Res-Rec Equations'!$B$21*'Chemical Info'!AB86*'Res-Rec Equations'!$B$23)*((('Res-Rec Equations'!$B$26*'Res-Rec Equations'!$B$37*'Res-Rec Equations'!$B$40)/'Res-Rec Equations'!$B$32)+(('Res-Rec Equations'!$B$27*'Res-Rec Equations'!$B$38*'Res-Rec Equations'!$B$41)/'Res-Rec Equations'!$B$33)+(('Res-Rec Equations'!$B$28*'Res-Rec Equations'!$B$39*'Res-Rec Equations'!$B$42)/'Res-Rec Equations'!$B$34)))))</f>
        <v>0</v>
      </c>
      <c r="J85" s="369">
        <f>IF('Chemical Info'!J86="NA","NA",IF(AND(E85="NA",'Chemical Info'!D86="Yes"),'Res-Rec Equations'!$B$22*1000*(('Res-Rec Equations'!$B$26*'Chemical Info'!J86*'Res-Rec Equations'!$B$59)+('Res-Rec Equations'!$B$27*'Chemical Info'!J86*'Res-Rec Equations'!$B$60)+('Res-Rec Equations'!$B$28*'Chemical Info'!J86*'Res-Rec Equations'!$B$61))*'Res-Rec Calculations'!C85,IF(AND(E85="NA",'Chemical Info'!D86=""),'Res-Rec Equations'!$B$22*1000*'Res-Rec Equations'!$B$25*'Chemical Info'!J86*'Res-Rec Calculations'!C85,IF(AND('Chemical Info'!E86="Yes",'Chemical Info'!D86="Yes"),'Res-Rec Equations'!$B$22*1000*(('Res-Rec Equations'!$B$26*'Chemical Info'!J86*'Res-Rec Equations'!$B$59)+('Res-Rec Equations'!$B$27*'Chemical Info'!J86*'Res-Rec Equations'!$B$60)+('Res-Rec Equations'!$B$28*'Chemical Info'!J86*'Res-Rec Equations'!$B$61))*'Res-Rec Calculations'!E85,IF(AND('Chemical Info'!E86="Yes",'Chemical Info'!D86=""),'Res-Rec Equations'!$B$22*1000*'Res-Rec Equations'!$B$25*'Chemical Info'!J86*'Res-Rec Calculations'!E85,IF('Chemical Info'!D86="Yes",'Res-Rec Equations'!$B$22*1000*(('Res-Rec Equations'!$B$26*'Chemical Info'!J86*'Res-Rec Equations'!$B$59)+('Res-Rec Equations'!$B$27*'Chemical Info'!J86*'Res-Rec Equations'!$B$60)+('Res-Rec Equations'!$B$28*'Chemical Info'!J86*'Res-Rec Equations'!$B$61))*('Res-Rec Calculations'!C85+'Res-Rec Calculations'!E85),IF('Chemical Info'!D86="",'Res-Rec Equations'!$B$22*1000*'Res-Rec Equations'!$B$25*'Chemical Info'!J86*('Res-Rec Calculations'!C85+'Res-Rec Calculations'!E85))))))))</f>
        <v>1.5243412381659703E-2</v>
      </c>
      <c r="K85" s="370">
        <f>IF('Chemical Info'!J86="NA","NA",IF(AND(F85="NA",'Chemical Info'!D86="Yes"),'Res-Rec Equations'!$B$22*1000*(('Res-Rec Equations'!$B$26*'Chemical Info'!J86*'Res-Rec Equations'!$B$59)+('Res-Rec Equations'!$B$27*'Chemical Info'!J86*'Res-Rec Equations'!$B$60)+('Res-Rec Equations'!$B$28*'Chemical Info'!J86*'Res-Rec Equations'!$B$61))*'Res-Rec Calculations'!C85,IF(AND(F85="NA",'Chemical Info'!D86=""),'Res-Rec Equations'!$B$22*1000*'Res-Rec Equations'!$B$25*'Chemical Info'!J86*'Res-Rec Calculations'!C85,IF(AND('Chemical Info'!F86="Yes",'Chemical Info'!D86="Yes"),'Res-Rec Equations'!$B$22*1000*(('Res-Rec Equations'!$B$26*'Chemical Info'!J86*'Res-Rec Equations'!$B$59)+('Res-Rec Equations'!$B$27*'Chemical Info'!J86*'Res-Rec Equations'!$B$60)+('Res-Rec Equations'!$B$28*'Chemical Info'!J86*'Res-Rec Equations'!$B$61))*'Res-Rec Calculations'!F85,IF(AND('Chemical Info'!F86="Yes",'Chemical Info'!D86=""),'Res-Rec Equations'!$B$22*1000*'Res-Rec Equations'!$B$25*'Chemical Info'!J86*'Res-Rec Calculations'!F85,IF('Chemical Info'!D86="Yes",'Res-Rec Equations'!$B$22*1000*(('Res-Rec Equations'!$B$26*'Chemical Info'!J86*'Res-Rec Equations'!$B$59)+('Res-Rec Equations'!$B$27*'Chemical Info'!J86*'Res-Rec Equations'!$B$60)+('Res-Rec Equations'!$B$28*'Chemical Info'!J86*'Res-Rec Equations'!$B$61))*('Res-Rec Calculations'!C85+'Res-Rec Calculations'!F85),IF('Chemical Info'!D86="",'Res-Rec Equations'!$B$22*1000*'Res-Rec Equations'!$B$25*'Chemical Info'!J86*('Res-Rec Calculations'!C85+'Res-Rec Calculations'!F85))))))))</f>
        <v>3.3434179011085428E-3</v>
      </c>
      <c r="L85" s="167">
        <f>IF(AND(H85="NA",I85="NA",J85="NA"),"NA",IF(H85="NA",'Res-Rec Equations'!$B$15*'Res-Rec Equations'!$B$16/J85,IF(J85="NA",'Res-Rec Equations'!$B$15*'Res-Rec Equations'!$B$16/(H85+I85),'Res-Rec Equations'!$B$15*'Res-Rec Equations'!$B$16/(H85+I85+J85))))</f>
        <v>13.287524038862074</v>
      </c>
      <c r="M85" s="167">
        <f>IF(AND(H85="NA",I85="NA",K85="NA"),"NA",IF(H85="NA",'Res-Rec Equations'!$B$15*'Res-Rec Equations'!$B$16/K85,IF(K85="NA",'Res-Rec Equations'!$B$15*'Res-Rec Equations'!$B$16/(H85+I85),'Res-Rec Equations'!$B$15*'Res-Rec Equations'!$B$16/(H85+I85+K85))))</f>
        <v>34.863559125557977</v>
      </c>
      <c r="N85" s="167">
        <f t="shared" si="14"/>
        <v>34.863559125557977</v>
      </c>
      <c r="O85" s="371">
        <f>IF('Chemical Info'!L86="NA","NA",IF('Chemical Info'!E86="Yes",(('Res-Rec Equations'!$B$76*'Chemical Info'!AD86*'Res-Rec Equations'!$B$78*'Res-Rec Equations'!$B$79*'Res-Rec Equations'!$B$81)/('Res-Rec Equations'!$B$84*'Res-Rec Equations'!$B$85))/'Chemical Info'!L86,(('Res-Rec Equations'!$B$76*'Chemical Info'!AD86*'Res-Rec Equations'!$B$78*'Res-Rec Equations'!$B$79*'Res-Rec Equations'!$B$80)/('Res-Rec Equations'!$B$84*'Res-Rec Equations'!$B$85))/'Chemical Info'!L86))</f>
        <v>3.5124692658939239E-3</v>
      </c>
      <c r="P85" s="166">
        <f>IF('Chemical Info'!L86="NA","NA", IF('Chemical Info'!E86="Yes",0,((('Res-Rec Equations'!$B$87*'Res-Rec Equations'!$B$88*'Res-Rec Equations'!$B$78*'Res-Rec Equations'!$B$82*'Res-Rec Equations'!$B$79*'Chemical Info'!AB86)/('Res-Rec Equations'!$B$84*'Res-Rec Equations'!$B$85))/('Chemical Info'!L86*'Chemical Info'!AF86))))</f>
        <v>0</v>
      </c>
      <c r="Q85" s="166">
        <f>IF('Chemical Info'!N86="NA","NA",IF('Res-Rec Calculations'!E85="NA",(('Res-Rec Equations'!$B$83*'Res-Rec Equations'!$B$79*'Res-Rec Calculations'!C85)/('Res-Rec Equations'!$B$85))/('Chemical Info'!N86),IF('Chemical Info'!E86="Yes",(('Res-Rec Equations'!$B$83*'Res-Rec Equations'!$B$79*'Res-Rec Calculations'!E85)/('Res-Rec Equations'!$B$85))/('Chemical Info'!N86),(('Res-Rec Equations'!$B$83*'Res-Rec Equations'!$B$79*('Res-Rec Calculations'!C85+'Res-Rec Calculations'!E85))/('Res-Rec Equations'!$B$85))/('Chemical Info'!N86))))</f>
        <v>1.2889744953204552E-2</v>
      </c>
      <c r="R85" s="166">
        <f>IF('Chemical Info'!N86="NA","NA",IF('Res-Rec Calculations'!F85="NA",(('Res-Rec Equations'!$B$83*'Res-Rec Equations'!$B$79*'Res-Rec Calculations'!C85)/('Res-Rec Equations'!$B$85))/('Chemical Info'!N86),IF('Chemical Info'!E86="Yes",(('Res-Rec Equations'!$B$83*'Res-Rec Equations'!$B$79*'Res-Rec Calculations'!F85)/('Res-Rec Equations'!$B$85))/('Chemical Info'!N86),(('Res-Rec Equations'!$B$83*'Res-Rec Equations'!$B$79*('Res-Rec Calculations'!C85+'Res-Rec Calculations'!F85))/('Res-Rec Equations'!$B$85))/('Chemical Info'!N86))))</f>
        <v>2.8271420383568883E-3</v>
      </c>
      <c r="S85" s="167">
        <f>IF(AND(O85="NA",P85="NA",Q85="NA"),"NA",IF(O85="NA",'Res-Rec Equations'!$B$75/Q85,IF(Q85="NA",'Res-Rec Equations'!$B$75/(O85+P85),'Res-Rec Equations'!$B$75/(O85+P85+Q85))))</f>
        <v>12.193475669103458</v>
      </c>
      <c r="T85" s="167">
        <f>IF(AND(O85="NA",P85="NA",R85="NA"),"NA",IF(O85="NA",'Res-Rec Equations'!$B$75/R85,IF(R85="NA",'Res-Rec Equations'!$B$75/(O85+P85),'Res-Rec Equations'!$B$75/(O85+P85+R85))))</f>
        <v>31.547675464881699</v>
      </c>
      <c r="U85" s="168">
        <f t="shared" si="15"/>
        <v>31.547675464881699</v>
      </c>
      <c r="V85" s="167" t="str">
        <f>IF('Chemical Info'!P86="NA","NA",(('Res-Rec Equations'!$B$185*'Res-Rec Equations'!$B$186)/('Res-Rec Equations'!$B$187*'Res-Rec Equations'!$B$188*(1/'Chemical Info'!P86))))</f>
        <v>NA</v>
      </c>
      <c r="W85" s="379" t="str">
        <f t="shared" si="16"/>
        <v>NA</v>
      </c>
      <c r="X85" s="372">
        <f t="shared" si="17"/>
        <v>31.547675464881699</v>
      </c>
      <c r="Y85" s="62">
        <f t="shared" si="18"/>
        <v>32</v>
      </c>
      <c r="Z85" s="100" t="str">
        <f t="shared" si="19"/>
        <v>Noncancer</v>
      </c>
      <c r="AA85" s="373"/>
    </row>
    <row r="86" spans="1:28">
      <c r="A86" s="413" t="s">
        <v>101</v>
      </c>
      <c r="B86" s="566" t="s">
        <v>102</v>
      </c>
      <c r="C86" s="367">
        <f>1/(('Res-Rec Equations'!$B$152*3600)/((0.036*(1-'Res-Rec Equations'!$B$153))*('Res-Rec Equations'!$B$154/'Res-Rec Equations'!$B$155)^3*'Res-Rec Equations'!$B$156))</f>
        <v>7.3567680901159717E-10</v>
      </c>
      <c r="D86" s="368">
        <f>(('Res-Rec Equations'!$B$132^(10/3)*'Chemical Info'!$AH87*'Chemical Info'!$AN87*41+'Res-Rec Equations'!$B$135^(10/3)*'Chemical Info'!$AJ87)/'Res-Rec Equations'!$B$137^2)/('Res-Rec Equations'!$B$139*'Chemical Info'!$AL87*'Res-Rec Equations'!$B$142+'Res-Rec Equations'!$B$135+'Res-Rec Equations'!$B$132*'Chemical Info'!$AN87*41)</f>
        <v>6.9290063018889443E-4</v>
      </c>
      <c r="E86" s="368">
        <f>IF(D86=0,"NA",1/(('Res-Rec Equations'!$B$103*(3.14*'Res-Rec Calculations'!$D86*'Res-Rec Equations'!$B$105)^(1/2)*0.0001)/(2*'Res-Rec Equations'!$B$106*'Res-Rec Calculations'!$D86)))</f>
        <v>1.5451265745856181E-4</v>
      </c>
      <c r="F86" s="368">
        <f>IF(D86=0,"NA",(1/('Res-Rec Equations'!$B$117*('Res-Rec Equations'!$B$118*(31500000))/('Res-Rec Equations'!$B$119*'Res-Rec Equations'!$B$120*1000000))))</f>
        <v>6.1914410640015851E-5</v>
      </c>
      <c r="G86" s="167">
        <f>IF('Chemical Info'!E87="Yes",('Chemical Info'!AP87/'Res-Rec Equations'!$B$168)*((('Chemical Info'!AL87*'Res-Rec Equations'!$B$170)*'Res-Rec Equations'!$B$168)+'Res-Rec Equations'!$B$171+('Chemical Info'!AN87*41)*'Res-Rec Equations'!$B$173),"NA")</f>
        <v>817.51873813333339</v>
      </c>
      <c r="H86" s="112" t="str">
        <f>IF('Chemical Info'!H87="NA","NA",IF(AND('Chemical Info'!E87="Yes",'Chemical Info'!D87="Yes"),'Chemical Info'!H87*'Chemical Info'!AD87*'Res-Rec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Info'!E87="Yes",'Chemical Info'!D87=""),'Chemical Info'!H87*'Chemical Info'!AD87*'Res-Rec Equations'!$B$20*'Res-Rec Equations'!$B$23*((('Res-Rec Equations'!$B$26*'Res-Rec Equations'!$B$29)/'Res-Rec Equations'!$B$32)+(('Res-Rec Equations'!$B$27*'Res-Rec Equations'!$B$30)/'Res-Rec Equations'!$B$33)+(('Res-Rec Equations'!$B$28*'Res-Rec Equations'!$B$31)/'Res-Rec Equations'!$B$34)),IF(AND('Chemical Info'!E87="No",'Chemical Info'!D87="Yes"),'Chemical Info'!H87*'Chemical Info'!AD87*'Res-Rec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Info'!E87="No",'Chemical Info'!D87=""),'Chemical Info'!H87*'Chemical Info'!AD87*'Res-Rec Equations'!$B$19*'Res-Rec Equations'!$B$23*((('Res-Rec Equations'!$B$26*'Res-Rec Equations'!$B$29)/'Res-Rec Equations'!$B$32)+(('Res-Rec Equations'!$B$27*'Res-Rec Equations'!$B$30)/'Res-Rec Equations'!$B$33)+(('Res-Rec Equations'!$B$28*'Res-Rec Equations'!$B$31)/'Res-Rec Equations'!$B$34)))))))</f>
        <v>NA</v>
      </c>
      <c r="I86" s="166" t="str">
        <f>IF('Chemical Info'!H87="NA","NA",IF('Chemical Info'!E87="Yes",0,IF('Chemical Info'!D87="Yes",'Chemical Info'!H87/'Chemical Info'!AF87*('Res-Rec Equations'!$B$21*'Chemical Info'!AB87*'Res-Rec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Info'!H87/'Chemical Info'!AF87*('Res-Rec Equations'!$B$21*'Chemical Info'!AB87*'Res-Rec Equations'!$B$23)*((('Res-Rec Equations'!$B$26*'Res-Rec Equations'!$B$37*'Res-Rec Equations'!$B$40)/'Res-Rec Equations'!$B$32)+(('Res-Rec Equations'!$B$27*'Res-Rec Equations'!$B$38*'Res-Rec Equations'!$B$41)/'Res-Rec Equations'!$B$33)+(('Res-Rec Equations'!$B$28*'Res-Rec Equations'!$B$39*'Res-Rec Equations'!$B$42)/'Res-Rec Equations'!$B$34)))))</f>
        <v>NA</v>
      </c>
      <c r="J86" s="369" t="str">
        <f>IF('Chemical Info'!J87="NA","NA",IF(AND(E86="NA",'Chemical Info'!D87="Yes"),'Res-Rec Equations'!$B$22*1000*(('Res-Rec Equations'!$B$26*'Chemical Info'!J87*'Res-Rec Equations'!$B$59)+('Res-Rec Equations'!$B$27*'Chemical Info'!J87*'Res-Rec Equations'!$B$60)+('Res-Rec Equations'!$B$28*'Chemical Info'!J87*'Res-Rec Equations'!$B$61))*'Res-Rec Calculations'!C86,IF(AND(E86="NA",'Chemical Info'!D87=""),'Res-Rec Equations'!$B$22*1000*'Res-Rec Equations'!$B$25*'Chemical Info'!J87*'Res-Rec Calculations'!C86,IF(AND('Chemical Info'!E87="Yes",'Chemical Info'!D87="Yes"),'Res-Rec Equations'!$B$22*1000*(('Res-Rec Equations'!$B$26*'Chemical Info'!J87*'Res-Rec Equations'!$B$59)+('Res-Rec Equations'!$B$27*'Chemical Info'!J87*'Res-Rec Equations'!$B$60)+('Res-Rec Equations'!$B$28*'Chemical Info'!J87*'Res-Rec Equations'!$B$61))*'Res-Rec Calculations'!E86,IF(AND('Chemical Info'!E87="Yes",'Chemical Info'!D87=""),'Res-Rec Equations'!$B$22*1000*'Res-Rec Equations'!$B$25*'Chemical Info'!J87*'Res-Rec Calculations'!E86,IF('Chemical Info'!D87="Yes",'Res-Rec Equations'!$B$22*1000*(('Res-Rec Equations'!$B$26*'Chemical Info'!J87*'Res-Rec Equations'!$B$59)+('Res-Rec Equations'!$B$27*'Chemical Info'!J87*'Res-Rec Equations'!$B$60)+('Res-Rec Equations'!$B$28*'Chemical Info'!J87*'Res-Rec Equations'!$B$61))*('Res-Rec Calculations'!C86+'Res-Rec Calculations'!E86),IF('Chemical Info'!D87="",'Res-Rec Equations'!$B$22*1000*'Res-Rec Equations'!$B$25*'Chemical Info'!J87*('Res-Rec Calculations'!C86+'Res-Rec Calculations'!E86))))))))</f>
        <v>NA</v>
      </c>
      <c r="K86" s="370" t="str">
        <f>IF('Chemical Info'!J87="NA","NA",IF(AND(F86="NA",'Chemical Info'!D87="Yes"),'Res-Rec Equations'!$B$22*1000*(('Res-Rec Equations'!$B$26*'Chemical Info'!J87*'Res-Rec Equations'!$B$59)+('Res-Rec Equations'!$B$27*'Chemical Info'!J87*'Res-Rec Equations'!$B$60)+('Res-Rec Equations'!$B$28*'Chemical Info'!J87*'Res-Rec Equations'!$B$61))*'Res-Rec Calculations'!C86,IF(AND(F86="NA",'Chemical Info'!D87=""),'Res-Rec Equations'!$B$22*1000*'Res-Rec Equations'!$B$25*'Chemical Info'!J87*'Res-Rec Calculations'!C86,IF(AND('Chemical Info'!F87="Yes",'Chemical Info'!D87="Yes"),'Res-Rec Equations'!$B$22*1000*(('Res-Rec Equations'!$B$26*'Chemical Info'!J87*'Res-Rec Equations'!$B$59)+('Res-Rec Equations'!$B$27*'Chemical Info'!J87*'Res-Rec Equations'!$B$60)+('Res-Rec Equations'!$B$28*'Chemical Info'!J87*'Res-Rec Equations'!$B$61))*'Res-Rec Calculations'!F86,IF(AND('Chemical Info'!F87="Yes",'Chemical Info'!D87=""),'Res-Rec Equations'!$B$22*1000*'Res-Rec Equations'!$B$25*'Chemical Info'!J87*'Res-Rec Calculations'!F86,IF('Chemical Info'!D87="Yes",'Res-Rec Equations'!$B$22*1000*(('Res-Rec Equations'!$B$26*'Chemical Info'!J87*'Res-Rec Equations'!$B$59)+('Res-Rec Equations'!$B$27*'Chemical Info'!J87*'Res-Rec Equations'!$B$60)+('Res-Rec Equations'!$B$28*'Chemical Info'!J87*'Res-Rec Equations'!$B$61))*('Res-Rec Calculations'!C86+'Res-Rec Calculations'!F86),IF('Chemical Info'!D87="",'Res-Rec Equations'!$B$22*1000*'Res-Rec Equations'!$B$25*'Chemical Info'!J87*('Res-Rec Calculations'!C86+'Res-Rec Calculations'!F86))))))))</f>
        <v>NA</v>
      </c>
      <c r="L86" s="167" t="str">
        <f>IF(AND(H86="NA",I86="NA",J86="NA"),"NA",IF(H86="NA",'Res-Rec Equations'!$B$15*'Res-Rec Equations'!$B$16/J86,IF(J86="NA",'Res-Rec Equations'!$B$15*'Res-Rec Equations'!$B$16/(H86+I86),'Res-Rec Equations'!$B$15*'Res-Rec Equations'!$B$16/(H86+I86+J86))))</f>
        <v>NA</v>
      </c>
      <c r="M86" s="167" t="str">
        <f>IF(AND(H86="NA",I86="NA",K86="NA"),"NA",IF(H86="NA",'Res-Rec Equations'!$B$15*'Res-Rec Equations'!$B$16/K86,IF(K86="NA",'Res-Rec Equations'!$B$15*'Res-Rec Equations'!$B$16/(H86+I86),'Res-Rec Equations'!$B$15*'Res-Rec Equations'!$B$16/(H86+I86+K86))))</f>
        <v>NA</v>
      </c>
      <c r="N86" s="167" t="str">
        <f t="shared" si="14"/>
        <v>NA</v>
      </c>
      <c r="O86" s="371">
        <f>IF('Chemical Info'!L87="NA","NA",IF('Chemical Info'!E87="Yes",(('Res-Rec Equations'!$B$76*'Chemical Info'!AD87*'Res-Rec Equations'!$B$78*'Res-Rec Equations'!$B$79*'Res-Rec Equations'!$B$81)/('Res-Rec Equations'!$B$84*'Res-Rec Equations'!$B$85))/'Chemical Info'!L87,(('Res-Rec Equations'!$B$76*'Chemical Info'!AD87*'Res-Rec Equations'!$B$78*'Res-Rec Equations'!$B$79*'Res-Rec Equations'!$B$80)/('Res-Rec Equations'!$B$84*'Res-Rec Equations'!$B$85))/'Chemical Info'!L87))</f>
        <v>1.6604400166044003E-4</v>
      </c>
      <c r="P86" s="166">
        <f>IF('Chemical Info'!L87="NA","NA", IF('Chemical Info'!E87="Yes",0,((('Res-Rec Equations'!$B$87*'Res-Rec Equations'!$B$88*'Res-Rec Equations'!$B$78*'Res-Rec Equations'!$B$82*'Res-Rec Equations'!$B$79*'Chemical Info'!AB87)/('Res-Rec Equations'!$B$84*'Res-Rec Equations'!$B$85))/('Chemical Info'!L87*'Chemical Info'!AF87))))</f>
        <v>0</v>
      </c>
      <c r="Q86" s="166">
        <f>IF('Chemical Info'!N87="NA","NA",IF('Res-Rec Calculations'!E86="NA",(('Res-Rec Equations'!$B$83*'Res-Rec Equations'!$B$79*'Res-Rec Calculations'!C86)/('Res-Rec Equations'!$B$85))/('Chemical Info'!N87),IF('Chemical Info'!E87="Yes",(('Res-Rec Equations'!$B$83*'Res-Rec Equations'!$B$79*'Res-Rec Calculations'!E86)/('Res-Rec Equations'!$B$85))/('Chemical Info'!N87),(('Res-Rec Equations'!$B$83*'Res-Rec Equations'!$B$79*('Res-Rec Calculations'!C86+'Res-Rec Calculations'!E86))/('Res-Rec Equations'!$B$85))/('Chemical Info'!N87))))</f>
        <v>2.6457646825096201E-5</v>
      </c>
      <c r="R86" s="166">
        <f>IF('Chemical Info'!N87="NA","NA",IF('Res-Rec Calculations'!F86="NA",(('Res-Rec Equations'!$B$83*'Res-Rec Equations'!$B$79*'Res-Rec Calculations'!C86)/('Res-Rec Equations'!$B$85))/('Chemical Info'!N87),IF('Chemical Info'!E87="Yes",(('Res-Rec Equations'!$B$83*'Res-Rec Equations'!$B$79*'Res-Rec Calculations'!F86)/('Res-Rec Equations'!$B$85))/('Chemical Info'!N87),(('Res-Rec Equations'!$B$83*'Res-Rec Equations'!$B$79*('Res-Rec Calculations'!C86+'Res-Rec Calculations'!F86))/('Res-Rec Equations'!$B$85))/('Chemical Info'!N87))))</f>
        <v>1.060178264383833E-5</v>
      </c>
      <c r="S86" s="167">
        <f>IF(AND(O86="NA",P86="NA",Q86="NA"),"NA",IF(O86="NA",'Res-Rec Equations'!$B$75/Q86,IF(Q86="NA",'Res-Rec Equations'!$B$75/(O86+P86),'Res-Rec Equations'!$B$75/(O86+P86+Q86))))</f>
        <v>1038.9521418307604</v>
      </c>
      <c r="T86" s="167">
        <f>IF(AND(O86="NA",P86="NA",R86="NA"),"NA",IF(O86="NA",'Res-Rec Equations'!$B$75/R86,IF(R86="NA",'Res-Rec Equations'!$B$75/(O86+P86),'Res-Rec Equations'!$B$75/(O86+P86+R86))))</f>
        <v>1132.20930115996</v>
      </c>
      <c r="U86" s="168">
        <f t="shared" si="15"/>
        <v>1132.20930115996</v>
      </c>
      <c r="V86" s="167" t="str">
        <f>IF('Chemical Info'!P87="NA","NA",(('Res-Rec Equations'!$B$185*'Res-Rec Equations'!$B$186)/('Res-Rec Equations'!$B$187*'Res-Rec Equations'!$B$188*(1/'Chemical Info'!P87))))</f>
        <v>NA</v>
      </c>
      <c r="W86" s="379" t="str">
        <f t="shared" si="16"/>
        <v>NA</v>
      </c>
      <c r="X86" s="372">
        <f t="shared" si="17"/>
        <v>817.51873813333339</v>
      </c>
      <c r="Y86" s="62">
        <f t="shared" si="18"/>
        <v>820</v>
      </c>
      <c r="Z86" s="100" t="str">
        <f t="shared" si="19"/>
        <v>Csat</v>
      </c>
      <c r="AA86" s="373"/>
      <c r="AB86" s="376"/>
    </row>
    <row r="87" spans="1:28">
      <c r="A87" s="373" t="s">
        <v>376</v>
      </c>
      <c r="B87" s="566" t="s">
        <v>103</v>
      </c>
      <c r="C87" s="367">
        <f>1/(('Res-Rec Equations'!$B$152*3600)/((0.036*(1-'Res-Rec Equations'!$B$153))*('Res-Rec Equations'!$B$154/'Res-Rec Equations'!$B$155)^3*'Res-Rec Equations'!$B$156))</f>
        <v>7.3567680901159717E-10</v>
      </c>
      <c r="D87" s="368">
        <f>(('Res-Rec Equations'!$B$132^(10/3)*'Chemical Info'!$AH88*'Chemical Info'!$AN88*41+'Res-Rec Equations'!$B$135^(10/3)*'Chemical Info'!$AJ88)/'Res-Rec Equations'!$B$137^2)/('Res-Rec Equations'!$B$139*'Chemical Info'!$AL88*'Res-Rec Equations'!$B$142+'Res-Rec Equations'!$B$135+'Res-Rec Equations'!$B$132*'Chemical Info'!$AN88*41)</f>
        <v>1.4218881847313364E-5</v>
      </c>
      <c r="E87" s="368">
        <f>IF(D87=0,"NA",1/(('Res-Rec Equations'!$B$103*(3.14*'Res-Rec Calculations'!$D87*'Res-Rec Equations'!$B$105)^(1/2)*0.0001)/(2*'Res-Rec Equations'!$B$106*'Res-Rec Calculations'!$D87)))</f>
        <v>2.2134071400348228E-5</v>
      </c>
      <c r="F87" s="368">
        <f>IF(D87=0,"NA",(1/('Res-Rec Equations'!$B$117*('Res-Rec Equations'!$B$118*(31500000))/('Res-Rec Equations'!$B$119*'Res-Rec Equations'!$B$120*1000000))))</f>
        <v>6.1914410640015851E-5</v>
      </c>
      <c r="G87" s="167">
        <f>IF('Chemical Info'!E88="Yes",('Chemical Info'!AP88/'Res-Rec Equations'!$B$168)*((('Chemical Info'!AL88*'Res-Rec Equations'!$B$170)*'Res-Rec Equations'!$B$168)+'Res-Rec Equations'!$B$171+('Chemical Info'!AN88*41)*'Res-Rec Equations'!$B$173),"NA")</f>
        <v>404.09651893333336</v>
      </c>
      <c r="H87" s="112">
        <f>IF('Chemical Info'!H88="NA","NA",IF(AND('Chemical Info'!E88="Yes",'Chemical Info'!D88="Yes"),'Chemical Info'!H88*'Chemical Info'!AD88*'Res-Rec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Info'!E88="Yes",'Chemical Info'!D88=""),'Chemical Info'!H88*'Chemical Info'!AD88*'Res-Rec Equations'!$B$20*'Res-Rec Equations'!$B$23*((('Res-Rec Equations'!$B$26*'Res-Rec Equations'!$B$29)/'Res-Rec Equations'!$B$32)+(('Res-Rec Equations'!$B$27*'Res-Rec Equations'!$B$30)/'Res-Rec Equations'!$B$33)+(('Res-Rec Equations'!$B$28*'Res-Rec Equations'!$B$31)/'Res-Rec Equations'!$B$34)),IF(AND('Chemical Info'!E88="No",'Chemical Info'!D88="Yes"),'Chemical Info'!H88*'Chemical Info'!AD88*'Res-Rec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Info'!E88="No",'Chemical Info'!D88=""),'Chemical Info'!H88*'Chemical Info'!AD88*'Res-Rec Equations'!$B$19*'Res-Rec Equations'!$B$23*((('Res-Rec Equations'!$B$26*'Res-Rec Equations'!$B$29)/'Res-Rec Equations'!$B$32)+(('Res-Rec Equations'!$B$27*'Res-Rec Equations'!$B$30)/'Res-Rec Equations'!$B$33)+(('Res-Rec Equations'!$B$28*'Res-Rec Equations'!$B$31)/'Res-Rec Equations'!$B$34)))))))</f>
        <v>4.6413406827880517E-3</v>
      </c>
      <c r="I87" s="166">
        <f>IF('Chemical Info'!H88="NA","NA",IF('Chemical Info'!E88="Yes",0,IF('Chemical Info'!D88="Yes",'Chemical Info'!H88/'Chemical Info'!AF88*('Res-Rec Equations'!$B$21*'Chemical Info'!AB88*'Res-Rec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Info'!H88/'Chemical Info'!AF88*('Res-Rec Equations'!$B$21*'Chemical Info'!AB88*'Res-Rec Equations'!$B$23)*((('Res-Rec Equations'!$B$26*'Res-Rec Equations'!$B$37*'Res-Rec Equations'!$B$40)/'Res-Rec Equations'!$B$32)+(('Res-Rec Equations'!$B$27*'Res-Rec Equations'!$B$38*'Res-Rec Equations'!$B$41)/'Res-Rec Equations'!$B$33)+(('Res-Rec Equations'!$B$28*'Res-Rec Equations'!$B$39*'Res-Rec Equations'!$B$42)/'Res-Rec Equations'!$B$34)))))</f>
        <v>0</v>
      </c>
      <c r="J87" s="369" t="str">
        <f>IF('Chemical Info'!J88="NA","NA",IF(AND(E87="NA",'Chemical Info'!D88="Yes"),'Res-Rec Equations'!$B$22*1000*(('Res-Rec Equations'!$B$26*'Chemical Info'!J88*'Res-Rec Equations'!$B$59)+('Res-Rec Equations'!$B$27*'Chemical Info'!J88*'Res-Rec Equations'!$B$60)+('Res-Rec Equations'!$B$28*'Chemical Info'!J88*'Res-Rec Equations'!$B$61))*'Res-Rec Calculations'!C87,IF(AND(E87="NA",'Chemical Info'!D88=""),'Res-Rec Equations'!$B$22*1000*'Res-Rec Equations'!$B$25*'Chemical Info'!J88*'Res-Rec Calculations'!C87,IF(AND('Chemical Info'!E88="Yes",'Chemical Info'!D88="Yes"),'Res-Rec Equations'!$B$22*1000*(('Res-Rec Equations'!$B$26*'Chemical Info'!J88*'Res-Rec Equations'!$B$59)+('Res-Rec Equations'!$B$27*'Chemical Info'!J88*'Res-Rec Equations'!$B$60)+('Res-Rec Equations'!$B$28*'Chemical Info'!J88*'Res-Rec Equations'!$B$61))*'Res-Rec Calculations'!E87,IF(AND('Chemical Info'!E88="Yes",'Chemical Info'!D88=""),'Res-Rec Equations'!$B$22*1000*'Res-Rec Equations'!$B$25*'Chemical Info'!J88*'Res-Rec Calculations'!E87,IF('Chemical Info'!D88="Yes",'Res-Rec Equations'!$B$22*1000*(('Res-Rec Equations'!$B$26*'Chemical Info'!J88*'Res-Rec Equations'!$B$59)+('Res-Rec Equations'!$B$27*'Chemical Info'!J88*'Res-Rec Equations'!$B$60)+('Res-Rec Equations'!$B$28*'Chemical Info'!J88*'Res-Rec Equations'!$B$61))*('Res-Rec Calculations'!C87+'Res-Rec Calculations'!E87),IF('Chemical Info'!D88="",'Res-Rec Equations'!$B$22*1000*'Res-Rec Equations'!$B$25*'Chemical Info'!J88*('Res-Rec Calculations'!C87+'Res-Rec Calculations'!E87))))))))</f>
        <v>NA</v>
      </c>
      <c r="K87" s="370" t="str">
        <f>IF('Chemical Info'!J88="NA","NA",IF(AND(F87="NA",'Chemical Info'!D88="Yes"),'Res-Rec Equations'!$B$22*1000*(('Res-Rec Equations'!$B$26*'Chemical Info'!J88*'Res-Rec Equations'!$B$59)+('Res-Rec Equations'!$B$27*'Chemical Info'!J88*'Res-Rec Equations'!$B$60)+('Res-Rec Equations'!$B$28*'Chemical Info'!J88*'Res-Rec Equations'!$B$61))*'Res-Rec Calculations'!C87,IF(AND(F87="NA",'Chemical Info'!D88=""),'Res-Rec Equations'!$B$22*1000*'Res-Rec Equations'!$B$25*'Chemical Info'!J88*'Res-Rec Calculations'!C87,IF(AND('Chemical Info'!F88="Yes",'Chemical Info'!D88="Yes"),'Res-Rec Equations'!$B$22*1000*(('Res-Rec Equations'!$B$26*'Chemical Info'!J88*'Res-Rec Equations'!$B$59)+('Res-Rec Equations'!$B$27*'Chemical Info'!J88*'Res-Rec Equations'!$B$60)+('Res-Rec Equations'!$B$28*'Chemical Info'!J88*'Res-Rec Equations'!$B$61))*'Res-Rec Calculations'!F87,IF(AND('Chemical Info'!F88="Yes",'Chemical Info'!D88=""),'Res-Rec Equations'!$B$22*1000*'Res-Rec Equations'!$B$25*'Chemical Info'!J88*'Res-Rec Calculations'!F87,IF('Chemical Info'!D88="Yes",'Res-Rec Equations'!$B$22*1000*(('Res-Rec Equations'!$B$26*'Chemical Info'!J88*'Res-Rec Equations'!$B$59)+('Res-Rec Equations'!$B$27*'Chemical Info'!J88*'Res-Rec Equations'!$B$60)+('Res-Rec Equations'!$B$28*'Chemical Info'!J88*'Res-Rec Equations'!$B$61))*('Res-Rec Calculations'!C87+'Res-Rec Calculations'!F87),IF('Chemical Info'!D88="",'Res-Rec Equations'!$B$22*1000*'Res-Rec Equations'!$B$25*'Chemical Info'!J88*('Res-Rec Calculations'!C87+'Res-Rec Calculations'!F87))))))))</f>
        <v>NA</v>
      </c>
      <c r="L87" s="167">
        <f>IF(AND(H87="NA",I87="NA",J87="NA"),"NA",IF(H87="NA",'Res-Rec Equations'!$B$15*'Res-Rec Equations'!$B$16/J87,IF(J87="NA",'Res-Rec Equations'!$B$15*'Res-Rec Equations'!$B$16/(H87+I87),'Res-Rec Equations'!$B$15*'Res-Rec Equations'!$B$16/(H87+I87+J87))))</f>
        <v>55.048749372675061</v>
      </c>
      <c r="M87" s="167">
        <f>IF(AND(H87="NA",I87="NA",K87="NA"),"NA",IF(H87="NA",'Res-Rec Equations'!$B$15*'Res-Rec Equations'!$B$16/K87,IF(K87="NA",'Res-Rec Equations'!$B$15*'Res-Rec Equations'!$B$16/(H87+I87),'Res-Rec Equations'!$B$15*'Res-Rec Equations'!$B$16/(H87+I87+K87))))</f>
        <v>55.048749372675061</v>
      </c>
      <c r="N87" s="167">
        <f t="shared" si="14"/>
        <v>55.048749372675061</v>
      </c>
      <c r="O87" s="371">
        <f>IF('Chemical Info'!L88="NA","NA",IF('Chemical Info'!E88="Yes",(('Res-Rec Equations'!$B$76*'Chemical Info'!AD88*'Res-Rec Equations'!$B$78*'Res-Rec Equations'!$B$79*'Res-Rec Equations'!$B$81)/('Res-Rec Equations'!$B$84*'Res-Rec Equations'!$B$85))/'Chemical Info'!L88,(('Res-Rec Equations'!$B$76*'Chemical Info'!AD88*'Res-Rec Equations'!$B$78*'Res-Rec Equations'!$B$79*'Res-Rec Equations'!$B$80)/('Res-Rec Equations'!$B$84*'Res-Rec Equations'!$B$85))/'Chemical Info'!L88))</f>
        <v>4.3487714720591431E-4</v>
      </c>
      <c r="P87" s="166">
        <f>IF('Chemical Info'!L88="NA","NA", IF('Chemical Info'!E88="Yes",0,((('Res-Rec Equations'!$B$87*'Res-Rec Equations'!$B$88*'Res-Rec Equations'!$B$78*'Res-Rec Equations'!$B$82*'Res-Rec Equations'!$B$79*'Chemical Info'!AB88)/('Res-Rec Equations'!$B$84*'Res-Rec Equations'!$B$85))/('Chemical Info'!L88*'Chemical Info'!AF88))))</f>
        <v>0</v>
      </c>
      <c r="Q87" s="166">
        <f>IF('Chemical Info'!N88="NA","NA",IF('Res-Rec Calculations'!E87="NA",(('Res-Rec Equations'!$B$83*'Res-Rec Equations'!$B$79*'Res-Rec Calculations'!C87)/('Res-Rec Equations'!$B$85))/('Chemical Info'!N88),IF('Chemical Info'!E88="Yes",(('Res-Rec Equations'!$B$83*'Res-Rec Equations'!$B$79*'Res-Rec Calculations'!E87)/('Res-Rec Equations'!$B$85))/('Chemical Info'!N88),(('Res-Rec Equations'!$B$83*'Res-Rec Equations'!$B$79*('Res-Rec Calculations'!C87+'Res-Rec Calculations'!E87))/('Res-Rec Equations'!$B$85))/('Chemical Info'!N88))))</f>
        <v>7.5801614384754202E-3</v>
      </c>
      <c r="R87" s="166">
        <f>IF('Chemical Info'!N88="NA","NA",IF('Res-Rec Calculations'!F87="NA",(('Res-Rec Equations'!$B$83*'Res-Rec Equations'!$B$79*'Res-Rec Calculations'!C87)/('Res-Rec Equations'!$B$85))/('Chemical Info'!N88),IF('Chemical Info'!E88="Yes",(('Res-Rec Equations'!$B$83*'Res-Rec Equations'!$B$79*'Res-Rec Calculations'!F87)/('Res-Rec Equations'!$B$85))/('Chemical Info'!N88),(('Res-Rec Equations'!$B$83*'Res-Rec Equations'!$B$79*('Res-Rec Calculations'!C87+'Res-Rec Calculations'!F87))/('Res-Rec Equations'!$B$85))/('Chemical Info'!N88))))</f>
        <v>2.1203565287676661E-2</v>
      </c>
      <c r="S87" s="167">
        <f>IF(AND(O87="NA",P87="NA",Q87="NA"),"NA",IF(O87="NA",'Res-Rec Equations'!$B$75/Q87,IF(Q87="NA",'Res-Rec Equations'!$B$75/(O87+P87),'Res-Rec Equations'!$B$75/(O87+P87+Q87))))</f>
        <v>24.95309259737002</v>
      </c>
      <c r="T87" s="167">
        <f>IF(AND(O87="NA",P87="NA",R87="NA"),"NA",IF(O87="NA",'Res-Rec Equations'!$B$75/R87,IF(R87="NA",'Res-Rec Equations'!$B$75/(O87+P87),'Res-Rec Equations'!$B$75/(O87+P87+R87))))</f>
        <v>9.2428094398137919</v>
      </c>
      <c r="U87" s="168">
        <f t="shared" si="15"/>
        <v>24.95309259737002</v>
      </c>
      <c r="V87" s="167" t="str">
        <f>IF('Chemical Info'!P88="NA","NA",(('Res-Rec Equations'!$B$185*'Res-Rec Equations'!$B$186)/('Res-Rec Equations'!$B$187*'Res-Rec Equations'!$B$188*(1/'Chemical Info'!P88))))</f>
        <v>NA</v>
      </c>
      <c r="W87" s="379" t="str">
        <f t="shared" si="16"/>
        <v>NA</v>
      </c>
      <c r="X87" s="372">
        <f t="shared" si="17"/>
        <v>24.95309259737002</v>
      </c>
      <c r="Y87" s="62">
        <f t="shared" si="18"/>
        <v>25</v>
      </c>
      <c r="Z87" s="100" t="str">
        <f t="shared" si="19"/>
        <v>Noncancer</v>
      </c>
      <c r="AA87" s="373"/>
    </row>
    <row r="88" spans="1:28">
      <c r="A88" s="373" t="s">
        <v>377</v>
      </c>
      <c r="B88" s="566" t="s">
        <v>85</v>
      </c>
      <c r="C88" s="367">
        <f>1/(('Res-Rec Equations'!$B$152*3600)/((0.036*(1-'Res-Rec Equations'!$B$153))*('Res-Rec Equations'!$B$154/'Res-Rec Equations'!$B$155)^3*'Res-Rec Equations'!$B$156))</f>
        <v>7.3567680901159717E-10</v>
      </c>
      <c r="D88" s="368">
        <f>(('Res-Rec Equations'!$B$132^(10/3)*'Chemical Info'!$AH89*'Chemical Info'!$AN89*41+'Res-Rec Equations'!$B$135^(10/3)*'Chemical Info'!$AJ89)/'Res-Rec Equations'!$B$137^2)/('Res-Rec Equations'!$B$139*'Chemical Info'!$AL89*'Res-Rec Equations'!$B$142+'Res-Rec Equations'!$B$135+'Res-Rec Equations'!$B$132*'Chemical Info'!$AN89*41)</f>
        <v>4.6949203869057115E-3</v>
      </c>
      <c r="E88" s="368">
        <f>IF(D88=0,"NA",1/(('Res-Rec Equations'!$B$103*(3.14*'Res-Rec Calculations'!$D88*'Res-Rec Equations'!$B$105)^(1/2)*0.0001)/(2*'Res-Rec Equations'!$B$106*'Res-Rec Calculations'!$D88)))</f>
        <v>4.0220058686225982E-4</v>
      </c>
      <c r="F88" s="368">
        <f>IF(D88=0,"NA",(1/('Res-Rec Equations'!$B$117*('Res-Rec Equations'!$B$118*(31500000))/('Res-Rec Equations'!$B$119*'Res-Rec Equations'!$B$120*1000000))))</f>
        <v>6.1914410640015851E-5</v>
      </c>
      <c r="G88" s="167">
        <f>IF('Chemical Info'!E89="Yes",('Chemical Info'!AP89/'Res-Rec Equations'!$B$168)*((('Chemical Info'!AL89*'Res-Rec Equations'!$B$170)*'Res-Rec Equations'!$B$168)+'Res-Rec Equations'!$B$171+('Chemical Info'!AN89*41)*'Res-Rec Equations'!$B$173),"NA")</f>
        <v>638.52076000000011</v>
      </c>
      <c r="H88" s="112" t="str">
        <f>IF('Chemical Info'!H89="NA","NA",IF(AND('Chemical Info'!E89="Yes",'Chemical Info'!D89="Yes"),'Chemical Info'!H89*'Chemical Info'!AD89*'Res-Rec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Info'!E89="Yes",'Chemical Info'!D89=""),'Chemical Info'!H89*'Chemical Info'!AD89*'Res-Rec Equations'!$B$20*'Res-Rec Equations'!$B$23*((('Res-Rec Equations'!$B$26*'Res-Rec Equations'!$B$29)/'Res-Rec Equations'!$B$32)+(('Res-Rec Equations'!$B$27*'Res-Rec Equations'!$B$30)/'Res-Rec Equations'!$B$33)+(('Res-Rec Equations'!$B$28*'Res-Rec Equations'!$B$31)/'Res-Rec Equations'!$B$34)),IF(AND('Chemical Info'!E89="No",'Chemical Info'!D89="Yes"),'Chemical Info'!H89*'Chemical Info'!AD89*'Res-Rec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Info'!E89="No",'Chemical Info'!D89=""),'Chemical Info'!H89*'Chemical Info'!AD89*'Res-Rec Equations'!$B$19*'Res-Rec Equations'!$B$23*((('Res-Rec Equations'!$B$26*'Res-Rec Equations'!$B$29)/'Res-Rec Equations'!$B$32)+(('Res-Rec Equations'!$B$27*'Res-Rec Equations'!$B$30)/'Res-Rec Equations'!$B$33)+(('Res-Rec Equations'!$B$28*'Res-Rec Equations'!$B$31)/'Res-Rec Equations'!$B$34)))))))</f>
        <v>NA</v>
      </c>
      <c r="I88" s="166" t="str">
        <f>IF('Chemical Info'!H89="NA","NA",IF('Chemical Info'!E89="Yes",0,IF('Chemical Info'!D89="Yes",'Chemical Info'!H89/'Chemical Info'!AF89*('Res-Rec Equations'!$B$21*'Chemical Info'!AB89*'Res-Rec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Info'!H89/'Chemical Info'!AF89*('Res-Rec Equations'!$B$21*'Chemical Info'!AB89*'Res-Rec Equations'!$B$23)*((('Res-Rec Equations'!$B$26*'Res-Rec Equations'!$B$37*'Res-Rec Equations'!$B$40)/'Res-Rec Equations'!$B$32)+(('Res-Rec Equations'!$B$27*'Res-Rec Equations'!$B$38*'Res-Rec Equations'!$B$41)/'Res-Rec Equations'!$B$33)+(('Res-Rec Equations'!$B$28*'Res-Rec Equations'!$B$39*'Res-Rec Equations'!$B$42)/'Res-Rec Equations'!$B$34)))))</f>
        <v>NA</v>
      </c>
      <c r="J88" s="369" t="str">
        <f>IF('Chemical Info'!J89="NA","NA",IF(AND(E88="NA",'Chemical Info'!D89="Yes"),'Res-Rec Equations'!$B$22*1000*(('Res-Rec Equations'!$B$26*'Chemical Info'!J89*'Res-Rec Equations'!$B$59)+('Res-Rec Equations'!$B$27*'Chemical Info'!J89*'Res-Rec Equations'!$B$60)+('Res-Rec Equations'!$B$28*'Chemical Info'!J89*'Res-Rec Equations'!$B$61))*'Res-Rec Calculations'!C88,IF(AND(E88="NA",'Chemical Info'!D89=""),'Res-Rec Equations'!$B$22*1000*'Res-Rec Equations'!$B$25*'Chemical Info'!J89*'Res-Rec Calculations'!C88,IF(AND('Chemical Info'!E89="Yes",'Chemical Info'!D89="Yes"),'Res-Rec Equations'!$B$22*1000*(('Res-Rec Equations'!$B$26*'Chemical Info'!J89*'Res-Rec Equations'!$B$59)+('Res-Rec Equations'!$B$27*'Chemical Info'!J89*'Res-Rec Equations'!$B$60)+('Res-Rec Equations'!$B$28*'Chemical Info'!J89*'Res-Rec Equations'!$B$61))*'Res-Rec Calculations'!E88,IF(AND('Chemical Info'!E89="Yes",'Chemical Info'!D89=""),'Res-Rec Equations'!$B$22*1000*'Res-Rec Equations'!$B$25*'Chemical Info'!J89*'Res-Rec Calculations'!E88,IF('Chemical Info'!D89="Yes",'Res-Rec Equations'!$B$22*1000*(('Res-Rec Equations'!$B$26*'Chemical Info'!J89*'Res-Rec Equations'!$B$59)+('Res-Rec Equations'!$B$27*'Chemical Info'!J89*'Res-Rec Equations'!$B$60)+('Res-Rec Equations'!$B$28*'Chemical Info'!J89*'Res-Rec Equations'!$B$61))*('Res-Rec Calculations'!C88+'Res-Rec Calculations'!E88),IF('Chemical Info'!D89="",'Res-Rec Equations'!$B$22*1000*'Res-Rec Equations'!$B$25*'Chemical Info'!J89*('Res-Rec Calculations'!C88+'Res-Rec Calculations'!E88))))))))</f>
        <v>NA</v>
      </c>
      <c r="K88" s="370" t="str">
        <f>IF('Chemical Info'!J89="NA","NA",IF(AND(F88="NA",'Chemical Info'!D89="Yes"),'Res-Rec Equations'!$B$22*1000*(('Res-Rec Equations'!$B$26*'Chemical Info'!J89*'Res-Rec Equations'!$B$59)+('Res-Rec Equations'!$B$27*'Chemical Info'!J89*'Res-Rec Equations'!$B$60)+('Res-Rec Equations'!$B$28*'Chemical Info'!J89*'Res-Rec Equations'!$B$61))*'Res-Rec Calculations'!C88,IF(AND(F88="NA",'Chemical Info'!D89=""),'Res-Rec Equations'!$B$22*1000*'Res-Rec Equations'!$B$25*'Chemical Info'!J89*'Res-Rec Calculations'!C88,IF(AND('Chemical Info'!F89="Yes",'Chemical Info'!D89="Yes"),'Res-Rec Equations'!$B$22*1000*(('Res-Rec Equations'!$B$26*'Chemical Info'!J89*'Res-Rec Equations'!$B$59)+('Res-Rec Equations'!$B$27*'Chemical Info'!J89*'Res-Rec Equations'!$B$60)+('Res-Rec Equations'!$B$28*'Chemical Info'!J89*'Res-Rec Equations'!$B$61))*'Res-Rec Calculations'!F88,IF(AND('Chemical Info'!F89="Yes",'Chemical Info'!D89=""),'Res-Rec Equations'!$B$22*1000*'Res-Rec Equations'!$B$25*'Chemical Info'!J89*'Res-Rec Calculations'!F88,IF('Chemical Info'!D89="Yes",'Res-Rec Equations'!$B$22*1000*(('Res-Rec Equations'!$B$26*'Chemical Info'!J89*'Res-Rec Equations'!$B$59)+('Res-Rec Equations'!$B$27*'Chemical Info'!J89*'Res-Rec Equations'!$B$60)+('Res-Rec Equations'!$B$28*'Chemical Info'!J89*'Res-Rec Equations'!$B$61))*('Res-Rec Calculations'!C88+'Res-Rec Calculations'!F88),IF('Chemical Info'!D89="",'Res-Rec Equations'!$B$22*1000*'Res-Rec Equations'!$B$25*'Chemical Info'!J89*('Res-Rec Calculations'!C88+'Res-Rec Calculations'!F88))))))))</f>
        <v>NA</v>
      </c>
      <c r="L88" s="167" t="str">
        <f>IF(AND(H88="NA",I88="NA",J88="NA"),"NA",IF(H88="NA",'Res-Rec Equations'!$B$15*'Res-Rec Equations'!$B$16/J88,IF(J88="NA",'Res-Rec Equations'!$B$15*'Res-Rec Equations'!$B$16/(H88+I88),'Res-Rec Equations'!$B$15*'Res-Rec Equations'!$B$16/(H88+I88+J88))))</f>
        <v>NA</v>
      </c>
      <c r="M88" s="167" t="str">
        <f>IF(AND(H88="NA",I88="NA",K88="NA"),"NA",IF(H88="NA",'Res-Rec Equations'!$B$15*'Res-Rec Equations'!$B$16/K88,IF(K88="NA",'Res-Rec Equations'!$B$15*'Res-Rec Equations'!$B$16/(H88+I88),'Res-Rec Equations'!$B$15*'Res-Rec Equations'!$B$16/(H88+I88+K88))))</f>
        <v>NA</v>
      </c>
      <c r="N88" s="167" t="str">
        <f t="shared" si="14"/>
        <v>NA</v>
      </c>
      <c r="O88" s="371">
        <f>IF('Chemical Info'!L89="NA","NA",IF('Chemical Info'!E89="Yes",(('Res-Rec Equations'!$B$76*'Chemical Info'!AD89*'Res-Rec Equations'!$B$78*'Res-Rec Equations'!$B$79*'Res-Rec Equations'!$B$81)/('Res-Rec Equations'!$B$84*'Res-Rec Equations'!$B$85))/'Chemical Info'!L89,(('Res-Rec Equations'!$B$76*'Chemical Info'!AD89*'Res-Rec Equations'!$B$78*'Res-Rec Equations'!$B$79*'Res-Rec Equations'!$B$80)/('Res-Rec Equations'!$B$84*'Res-Rec Equations'!$B$85))/'Chemical Info'!L89))</f>
        <v>9.1324200913242012E-6</v>
      </c>
      <c r="P88" s="166">
        <f>IF('Chemical Info'!L89="NA","NA", IF('Chemical Info'!E89="Yes",0,((('Res-Rec Equations'!$B$87*'Res-Rec Equations'!$B$88*'Res-Rec Equations'!$B$78*'Res-Rec Equations'!$B$82*'Res-Rec Equations'!$B$79*'Chemical Info'!AB89)/('Res-Rec Equations'!$B$84*'Res-Rec Equations'!$B$85))/('Chemical Info'!L89*'Chemical Info'!AF89))))</f>
        <v>0</v>
      </c>
      <c r="Q88" s="166">
        <f>IF('Chemical Info'!N89="NA","NA",IF('Res-Rec Calculations'!E88="NA",(('Res-Rec Equations'!$B$83*'Res-Rec Equations'!$B$79*'Res-Rec Calculations'!C88)/('Res-Rec Equations'!$B$85))/('Chemical Info'!N89),IF('Chemical Info'!E89="Yes",(('Res-Rec Equations'!$B$83*'Res-Rec Equations'!$B$79*'Res-Rec Calculations'!E88)/('Res-Rec Equations'!$B$85))/('Chemical Info'!N89),(('Res-Rec Equations'!$B$83*'Res-Rec Equations'!$B$79*('Res-Rec Calculations'!C88+'Res-Rec Calculations'!E88))/('Res-Rec Equations'!$B$85))/('Chemical Info'!N89))))</f>
        <v>5.5095970803049291E-5</v>
      </c>
      <c r="R88" s="166">
        <f>IF('Chemical Info'!N89="NA","NA",IF('Res-Rec Calculations'!F88="NA",(('Res-Rec Equations'!$B$83*'Res-Rec Equations'!$B$79*'Res-Rec Calculations'!C88)/('Res-Rec Equations'!$B$85))/('Chemical Info'!N89),IF('Chemical Info'!E89="Yes",(('Res-Rec Equations'!$B$83*'Res-Rec Equations'!$B$79*'Res-Rec Calculations'!F88)/('Res-Rec Equations'!$B$85))/('Chemical Info'!N89),(('Res-Rec Equations'!$B$83*'Res-Rec Equations'!$B$79*('Res-Rec Calculations'!C88+'Res-Rec Calculations'!F88))/('Res-Rec Equations'!$B$85))/('Chemical Info'!N89))))</f>
        <v>8.4814261150706635E-6</v>
      </c>
      <c r="S88" s="167">
        <f>IF(AND(O88="NA",P88="NA",Q88="NA"),"NA",IF(O88="NA",'Res-Rec Equations'!$B$75/Q88,IF(Q88="NA",'Res-Rec Equations'!$B$75/(O88+P88),'Res-Rec Equations'!$B$75/(O88+P88+Q88))))</f>
        <v>3113.8877561000882</v>
      </c>
      <c r="T88" s="167">
        <f>IF(AND(O88="NA",P88="NA",R88="NA"),"NA",IF(O88="NA",'Res-Rec Equations'!$B$75/R88,IF(R88="NA",'Res-Rec Equations'!$B$75/(O88+P88),'Res-Rec Equations'!$B$75/(O88+P88+R88))))</f>
        <v>11354.703433676412</v>
      </c>
      <c r="U88" s="168">
        <f t="shared" si="15"/>
        <v>11354.703433676412</v>
      </c>
      <c r="V88" s="167" t="str">
        <f>IF('Chemical Info'!P89="NA","NA",(('Res-Rec Equations'!$B$185*'Res-Rec Equations'!$B$186)/('Res-Rec Equations'!$B$187*'Res-Rec Equations'!$B$188*(1/'Chemical Info'!P89))))</f>
        <v>NA</v>
      </c>
      <c r="W88" s="379" t="str">
        <f t="shared" si="16"/>
        <v>NA</v>
      </c>
      <c r="X88" s="372">
        <f t="shared" si="17"/>
        <v>638.52076000000011</v>
      </c>
      <c r="Y88" s="62">
        <f t="shared" si="18"/>
        <v>640</v>
      </c>
      <c r="Z88" s="100" t="str">
        <f t="shared" si="19"/>
        <v>Csat</v>
      </c>
      <c r="AA88" s="373"/>
      <c r="AB88" s="376"/>
    </row>
    <row r="89" spans="1:28">
      <c r="A89" s="373" t="s">
        <v>378</v>
      </c>
      <c r="B89" s="566" t="s">
        <v>86</v>
      </c>
      <c r="C89" s="367">
        <f>1/(('Res-Rec Equations'!$B$152*3600)/((0.036*(1-'Res-Rec Equations'!$B$153))*('Res-Rec Equations'!$B$154/'Res-Rec Equations'!$B$155)^3*'Res-Rec Equations'!$B$156))</f>
        <v>7.3567680901159717E-10</v>
      </c>
      <c r="D89" s="368">
        <f>(('Res-Rec Equations'!$B$132^(10/3)*'Chemical Info'!$AH90*'Chemical Info'!$AN90*41+'Res-Rec Equations'!$B$135^(10/3)*'Chemical Info'!$AJ90)/'Res-Rec Equations'!$B$137^2)/('Res-Rec Equations'!$B$139*'Chemical Info'!$AL90*'Res-Rec Equations'!$B$142+'Res-Rec Equations'!$B$135+'Res-Rec Equations'!$B$132*'Chemical Info'!$AN90*41)</f>
        <v>2.4431353251093006E-4</v>
      </c>
      <c r="E89" s="368">
        <f>IF(D89=0,"NA",1/(('Res-Rec Equations'!$B$103*(3.14*'Res-Rec Calculations'!$D89*'Res-Rec Equations'!$B$105)^(1/2)*0.0001)/(2*'Res-Rec Equations'!$B$106*'Res-Rec Calculations'!$D89)))</f>
        <v>9.1749212526765818E-5</v>
      </c>
      <c r="F89" s="368">
        <f>IF(D89=0,"NA",(1/('Res-Rec Equations'!$B$117*('Res-Rec Equations'!$B$118*(31500000))/('Res-Rec Equations'!$B$119*'Res-Rec Equations'!$B$120*1000000))))</f>
        <v>6.1914410640015851E-5</v>
      </c>
      <c r="G89" s="167">
        <f>IF('Chemical Info'!E90="Yes",('Chemical Info'!AP90/'Res-Rec Equations'!$B$168)*((('Chemical Info'!AL90*'Res-Rec Equations'!$B$170)*'Res-Rec Equations'!$B$168)+'Res-Rec Equations'!$B$171+('Chemical Info'!AN90*41)*'Res-Rec Equations'!$B$173),"NA")</f>
        <v>2159.6241312000002</v>
      </c>
      <c r="H89" s="112">
        <f>IF('Chemical Info'!H90="NA","NA",IF(AND('Chemical Info'!E90="Yes",'Chemical Info'!D90="Yes"),'Chemical Info'!H90*'Chemical Info'!AD90*'Res-Rec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Info'!E90="Yes",'Chemical Info'!D90=""),'Chemical Info'!H90*'Chemical Info'!AD90*'Res-Rec Equations'!$B$20*'Res-Rec Equations'!$B$23*((('Res-Rec Equations'!$B$26*'Res-Rec Equations'!$B$29)/'Res-Rec Equations'!$B$32)+(('Res-Rec Equations'!$B$27*'Res-Rec Equations'!$B$30)/'Res-Rec Equations'!$B$33)+(('Res-Rec Equations'!$B$28*'Res-Rec Equations'!$B$31)/'Res-Rec Equations'!$B$34)),IF(AND('Chemical Info'!E90="No",'Chemical Info'!D90="Yes"),'Chemical Info'!H90*'Chemical Info'!AD90*'Res-Rec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Info'!E90="No",'Chemical Info'!D90=""),'Chemical Info'!H90*'Chemical Info'!AD90*'Res-Rec Equations'!$B$19*'Res-Rec Equations'!$B$23*((('Res-Rec Equations'!$B$26*'Res-Rec Equations'!$B$29)/'Res-Rec Equations'!$B$32)+(('Res-Rec Equations'!$B$27*'Res-Rec Equations'!$B$30)/'Res-Rec Equations'!$B$33)+(('Res-Rec Equations'!$B$28*'Res-Rec Equations'!$B$31)/'Res-Rec Equations'!$B$34)))))))</f>
        <v>1.8358783783783783E-3</v>
      </c>
      <c r="I89" s="166">
        <f>IF('Chemical Info'!H90="NA","NA",IF('Chemical Info'!E90="Yes",0,IF('Chemical Info'!D90="Yes",'Chemical Info'!H90/'Chemical Info'!AF90*('Res-Rec Equations'!$B$21*'Chemical Info'!AB90*'Res-Rec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Info'!H90/'Chemical Info'!AF90*('Res-Rec Equations'!$B$21*'Chemical Info'!AB90*'Res-Rec Equations'!$B$23)*((('Res-Rec Equations'!$B$26*'Res-Rec Equations'!$B$37*'Res-Rec Equations'!$B$40)/'Res-Rec Equations'!$B$32)+(('Res-Rec Equations'!$B$27*'Res-Rec Equations'!$B$38*'Res-Rec Equations'!$B$41)/'Res-Rec Equations'!$B$33)+(('Res-Rec Equations'!$B$28*'Res-Rec Equations'!$B$39*'Res-Rec Equations'!$B$42)/'Res-Rec Equations'!$B$34)))))</f>
        <v>0</v>
      </c>
      <c r="J89" s="369" t="str">
        <f>IF('Chemical Info'!J90="NA","NA",IF(AND(E89="NA",'Chemical Info'!D90="Yes"),'Res-Rec Equations'!$B$22*1000*(('Res-Rec Equations'!$B$26*'Chemical Info'!J90*'Res-Rec Equations'!$B$59)+('Res-Rec Equations'!$B$27*'Chemical Info'!J90*'Res-Rec Equations'!$B$60)+('Res-Rec Equations'!$B$28*'Chemical Info'!J90*'Res-Rec Equations'!$B$61))*'Res-Rec Calculations'!C89,IF(AND(E89="NA",'Chemical Info'!D90=""),'Res-Rec Equations'!$B$22*1000*'Res-Rec Equations'!$B$25*'Chemical Info'!J90*'Res-Rec Calculations'!C89,IF(AND('Chemical Info'!E90="Yes",'Chemical Info'!D90="Yes"),'Res-Rec Equations'!$B$22*1000*(('Res-Rec Equations'!$B$26*'Chemical Info'!J90*'Res-Rec Equations'!$B$59)+('Res-Rec Equations'!$B$27*'Chemical Info'!J90*'Res-Rec Equations'!$B$60)+('Res-Rec Equations'!$B$28*'Chemical Info'!J90*'Res-Rec Equations'!$B$61))*'Res-Rec Calculations'!E89,IF(AND('Chemical Info'!E90="Yes",'Chemical Info'!D90=""),'Res-Rec Equations'!$B$22*1000*'Res-Rec Equations'!$B$25*'Chemical Info'!J90*'Res-Rec Calculations'!E89,IF('Chemical Info'!D90="Yes",'Res-Rec Equations'!$B$22*1000*(('Res-Rec Equations'!$B$26*'Chemical Info'!J90*'Res-Rec Equations'!$B$59)+('Res-Rec Equations'!$B$27*'Chemical Info'!J90*'Res-Rec Equations'!$B$60)+('Res-Rec Equations'!$B$28*'Chemical Info'!J90*'Res-Rec Equations'!$B$61))*('Res-Rec Calculations'!C89+'Res-Rec Calculations'!E89),IF('Chemical Info'!D90="",'Res-Rec Equations'!$B$22*1000*'Res-Rec Equations'!$B$25*'Chemical Info'!J90*('Res-Rec Calculations'!C89+'Res-Rec Calculations'!E89))))))))</f>
        <v>NA</v>
      </c>
      <c r="K89" s="370" t="str">
        <f>IF('Chemical Info'!J90="NA","NA",IF(AND(F89="NA",'Chemical Info'!D90="Yes"),'Res-Rec Equations'!$B$22*1000*(('Res-Rec Equations'!$B$26*'Chemical Info'!J90*'Res-Rec Equations'!$B$59)+('Res-Rec Equations'!$B$27*'Chemical Info'!J90*'Res-Rec Equations'!$B$60)+('Res-Rec Equations'!$B$28*'Chemical Info'!J90*'Res-Rec Equations'!$B$61))*'Res-Rec Calculations'!C89,IF(AND(F89="NA",'Chemical Info'!D90=""),'Res-Rec Equations'!$B$22*1000*'Res-Rec Equations'!$B$25*'Chemical Info'!J90*'Res-Rec Calculations'!C89,IF(AND('Chemical Info'!F90="Yes",'Chemical Info'!D90="Yes"),'Res-Rec Equations'!$B$22*1000*(('Res-Rec Equations'!$B$26*'Chemical Info'!J90*'Res-Rec Equations'!$B$59)+('Res-Rec Equations'!$B$27*'Chemical Info'!J90*'Res-Rec Equations'!$B$60)+('Res-Rec Equations'!$B$28*'Chemical Info'!J90*'Res-Rec Equations'!$B$61))*'Res-Rec Calculations'!F89,IF(AND('Chemical Info'!F90="Yes",'Chemical Info'!D90=""),'Res-Rec Equations'!$B$22*1000*'Res-Rec Equations'!$B$25*'Chemical Info'!J90*'Res-Rec Calculations'!F89,IF('Chemical Info'!D90="Yes",'Res-Rec Equations'!$B$22*1000*(('Res-Rec Equations'!$B$26*'Chemical Info'!J90*'Res-Rec Equations'!$B$59)+('Res-Rec Equations'!$B$27*'Chemical Info'!J90*'Res-Rec Equations'!$B$60)+('Res-Rec Equations'!$B$28*'Chemical Info'!J90*'Res-Rec Equations'!$B$61))*('Res-Rec Calculations'!C89+'Res-Rec Calculations'!F89),IF('Chemical Info'!D90="",'Res-Rec Equations'!$B$22*1000*'Res-Rec Equations'!$B$25*'Chemical Info'!J90*('Res-Rec Calculations'!C89+'Res-Rec Calculations'!F89))))))))</f>
        <v>NA</v>
      </c>
      <c r="L89" s="167">
        <f>IF(AND(H89="NA",I89="NA",J89="NA"),"NA",IF(H89="NA",'Res-Rec Equations'!$B$15*'Res-Rec Equations'!$B$16/J89,IF(J89="NA",'Res-Rec Equations'!$B$15*'Res-Rec Equations'!$B$16/(H89+I89),'Res-Rec Equations'!$B$15*'Res-Rec Equations'!$B$16/(H89+I89+J89))))</f>
        <v>139.17043907106842</v>
      </c>
      <c r="M89" s="167">
        <f>IF(AND(H89="NA",I89="NA",K89="NA"),"NA",IF(H89="NA",'Res-Rec Equations'!$B$15*'Res-Rec Equations'!$B$16/K89,IF(K89="NA",'Res-Rec Equations'!$B$15*'Res-Rec Equations'!$B$16/(H89+I89),'Res-Rec Equations'!$B$15*'Res-Rec Equations'!$B$16/(H89+I89+K89))))</f>
        <v>139.17043907106842</v>
      </c>
      <c r="N89" s="167">
        <f t="shared" si="14"/>
        <v>139.17043907106842</v>
      </c>
      <c r="O89" s="371">
        <f>IF('Chemical Info'!L90="NA","NA",IF('Chemical Info'!E90="Yes",(('Res-Rec Equations'!$B$76*'Chemical Info'!AD90*'Res-Rec Equations'!$B$78*'Res-Rec Equations'!$B$79*'Res-Rec Equations'!$B$81)/('Res-Rec Equations'!$B$84*'Res-Rec Equations'!$B$85))/'Chemical Info'!L90,(('Res-Rec Equations'!$B$76*'Chemical Info'!AD90*'Res-Rec Equations'!$B$78*'Res-Rec Equations'!$B$79*'Res-Rec Equations'!$B$80)/('Res-Rec Equations'!$B$84*'Res-Rec Equations'!$B$85))/'Chemical Info'!L90))</f>
        <v>2.2831050228310501E-3</v>
      </c>
      <c r="P89" s="166">
        <f>IF('Chemical Info'!L90="NA","NA", IF('Chemical Info'!E90="Yes",0,((('Res-Rec Equations'!$B$87*'Res-Rec Equations'!$B$88*'Res-Rec Equations'!$B$78*'Res-Rec Equations'!$B$82*'Res-Rec Equations'!$B$79*'Chemical Info'!AB90)/('Res-Rec Equations'!$B$84*'Res-Rec Equations'!$B$85))/('Chemical Info'!L90*'Chemical Info'!AF90))))</f>
        <v>0</v>
      </c>
      <c r="Q89" s="166">
        <f>IF('Chemical Info'!N90="NA","NA",IF('Res-Rec Calculations'!E89="NA",(('Res-Rec Equations'!$B$83*'Res-Rec Equations'!$B$79*'Res-Rec Calculations'!C89)/('Res-Rec Equations'!$B$85))/('Chemical Info'!N90),IF('Chemical Info'!E90="Yes",(('Res-Rec Equations'!$B$83*'Res-Rec Equations'!$B$79*'Res-Rec Calculations'!E89)/('Res-Rec Equations'!$B$85))/('Chemical Info'!N90),(('Res-Rec Equations'!$B$83*'Res-Rec Equations'!$B$79*('Res-Rec Calculations'!C89+'Res-Rec Calculations'!E89))/('Res-Rec Equations'!$B$85))/('Chemical Info'!N90))))</f>
        <v>0.31420963194097884</v>
      </c>
      <c r="R89" s="166">
        <f>IF('Chemical Info'!N90="NA","NA",IF('Res-Rec Calculations'!F89="NA",(('Res-Rec Equations'!$B$83*'Res-Rec Equations'!$B$79*'Res-Rec Calculations'!C89)/('Res-Rec Equations'!$B$85))/('Chemical Info'!N90),IF('Chemical Info'!E90="Yes",(('Res-Rec Equations'!$B$83*'Res-Rec Equations'!$B$79*'Res-Rec Calculations'!F89)/('Res-Rec Equations'!$B$85))/('Chemical Info'!N90),(('Res-Rec Equations'!$B$83*'Res-Rec Equations'!$B$79*('Res-Rec Calculations'!C89+'Res-Rec Calculations'!F89))/('Res-Rec Equations'!$B$85))/('Chemical Info'!N90))))</f>
        <v>0.21203565287676659</v>
      </c>
      <c r="S89" s="167">
        <f>IF(AND(O89="NA",P89="NA",Q89="NA"),"NA",IF(O89="NA",'Res-Rec Equations'!$B$75/Q89,IF(Q89="NA",'Res-Rec Equations'!$B$75/(O89+P89),'Res-Rec Equations'!$B$75/(O89+P89+Q89))))</f>
        <v>0.63192603381249002</v>
      </c>
      <c r="T89" s="167">
        <f>IF(AND(O89="NA",P89="NA",R89="NA"),"NA",IF(O89="NA",'Res-Rec Equations'!$B$75/R89,IF(R89="NA",'Res-Rec Equations'!$B$75/(O89+P89),'Res-Rec Equations'!$B$75/(O89+P89+R89))))</f>
        <v>0.93318943222736683</v>
      </c>
      <c r="U89" s="168">
        <f t="shared" si="15"/>
        <v>0.93318943222736683</v>
      </c>
      <c r="V89" s="167" t="str">
        <f>IF('Chemical Info'!P90="NA","NA",(('Res-Rec Equations'!$B$185*'Res-Rec Equations'!$B$186)/('Res-Rec Equations'!$B$187*'Res-Rec Equations'!$B$188*(1/'Chemical Info'!P90))))</f>
        <v>NA</v>
      </c>
      <c r="W89" s="379" t="str">
        <f t="shared" si="16"/>
        <v>NA</v>
      </c>
      <c r="X89" s="372">
        <f t="shared" si="17"/>
        <v>0.93318943222736683</v>
      </c>
      <c r="Y89" s="62">
        <f t="shared" si="18"/>
        <v>0.93</v>
      </c>
      <c r="Z89" s="100" t="str">
        <f t="shared" si="19"/>
        <v>Noncancer</v>
      </c>
      <c r="AA89" s="373"/>
    </row>
    <row r="90" spans="1:28">
      <c r="A90" s="413" t="s">
        <v>87</v>
      </c>
      <c r="B90" s="566" t="s">
        <v>88</v>
      </c>
      <c r="C90" s="367">
        <f>1/(('Res-Rec Equations'!$B$152*3600)/((0.036*(1-'Res-Rec Equations'!$B$153))*('Res-Rec Equations'!$B$154/'Res-Rec Equations'!$B$155)^3*'Res-Rec Equations'!$B$156))</f>
        <v>7.3567680901159717E-10</v>
      </c>
      <c r="D90" s="368">
        <f>(('Res-Rec Equations'!$B$132^(10/3)*'Chemical Info'!$AH91*'Chemical Info'!$AN91*41+'Res-Rec Equations'!$B$135^(10/3)*'Chemical Info'!$AJ91)/'Res-Rec Equations'!$B$137^2)/('Res-Rec Equations'!$B$139*'Chemical Info'!$AL91*'Res-Rec Equations'!$B$142+'Res-Rec Equations'!$B$135+'Res-Rec Equations'!$B$132*'Chemical Info'!$AN91*41)</f>
        <v>2.6127227593918064E-3</v>
      </c>
      <c r="E90" s="368">
        <f>IF(D90=0,"NA",1/(('Res-Rec Equations'!$B$103*(3.14*'Res-Rec Calculations'!$D90*'Res-Rec Equations'!$B$105)^(1/2)*0.0001)/(2*'Res-Rec Equations'!$B$106*'Res-Rec Calculations'!$D90)))</f>
        <v>3.0003729959527541E-4</v>
      </c>
      <c r="F90" s="368">
        <f>IF(D90=0,"NA",(1/('Res-Rec Equations'!$B$117*('Res-Rec Equations'!$B$118*(31500000))/('Res-Rec Equations'!$B$119*'Res-Rec Equations'!$B$120*1000000))))</f>
        <v>6.1914410640015851E-5</v>
      </c>
      <c r="G90" s="167">
        <f>IF('Chemical Info'!E91="Yes",('Chemical Info'!AP91/'Res-Rec Equations'!$B$168)*((('Chemical Info'!AL91*'Res-Rec Equations'!$B$170)*'Res-Rec Equations'!$B$168)+'Res-Rec Equations'!$B$171+('Chemical Info'!AN91*41)*'Res-Rec Equations'!$B$173),"NA")</f>
        <v>690.66922666666676</v>
      </c>
      <c r="H90" s="112">
        <f>IF('Chemical Info'!H91="NA","NA",IF(AND('Chemical Info'!E91="Yes",'Chemical Info'!D91="Yes"),'Chemical Info'!H91*'Chemical Info'!AD91*'Res-Rec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Info'!E91="Yes",'Chemical Info'!D91=""),'Chemical Info'!H91*'Chemical Info'!AD91*'Res-Rec Equations'!$B$20*'Res-Rec Equations'!$B$23*((('Res-Rec Equations'!$B$26*'Res-Rec Equations'!$B$29)/'Res-Rec Equations'!$B$32)+(('Res-Rec Equations'!$B$27*'Res-Rec Equations'!$B$30)/'Res-Rec Equations'!$B$33)+(('Res-Rec Equations'!$B$28*'Res-Rec Equations'!$B$31)/'Res-Rec Equations'!$B$34)),IF(AND('Chemical Info'!E91="No",'Chemical Info'!D91="Yes"),'Chemical Info'!H91*'Chemical Info'!AD91*'Res-Rec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Info'!E91="No",'Chemical Info'!D91=""),'Chemical Info'!H91*'Chemical Info'!AD91*'Res-Rec Equations'!$B$19*'Res-Rec Equations'!$B$23*((('Res-Rec Equations'!$B$26*'Res-Rec Equations'!$B$29)/'Res-Rec Equations'!$B$32)+(('Res-Rec Equations'!$B$27*'Res-Rec Equations'!$B$30)/'Res-Rec Equations'!$B$33)+(('Res-Rec Equations'!$B$28*'Res-Rec Equations'!$B$31)/'Res-Rec Equations'!$B$34)))))))</f>
        <v>8.0023115220483644E-3</v>
      </c>
      <c r="I90" s="166">
        <f>IF('Chemical Info'!H91="NA","NA",IF('Chemical Info'!E91="Yes",0,IF('Chemical Info'!D91="Yes",'Chemical Info'!H91/'Chemical Info'!AF91*('Res-Rec Equations'!$B$21*'Chemical Info'!AB91*'Res-Rec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Info'!H91/'Chemical Info'!AF91*('Res-Rec Equations'!$B$21*'Chemical Info'!AB91*'Res-Rec Equations'!$B$23)*((('Res-Rec Equations'!$B$26*'Res-Rec Equations'!$B$37*'Res-Rec Equations'!$B$40)/'Res-Rec Equations'!$B$32)+(('Res-Rec Equations'!$B$27*'Res-Rec Equations'!$B$38*'Res-Rec Equations'!$B$41)/'Res-Rec Equations'!$B$33)+(('Res-Rec Equations'!$B$28*'Res-Rec Equations'!$B$39*'Res-Rec Equations'!$B$42)/'Res-Rec Equations'!$B$34)))))</f>
        <v>0</v>
      </c>
      <c r="J90" s="369">
        <f>IF('Chemical Info'!J91="NA","NA",IF(AND(E90="NA",'Chemical Info'!D91="Yes"),'Res-Rec Equations'!$B$22*1000*(('Res-Rec Equations'!$B$26*'Chemical Info'!J91*'Res-Rec Equations'!$B$59)+('Res-Rec Equations'!$B$27*'Chemical Info'!J91*'Res-Rec Equations'!$B$60)+('Res-Rec Equations'!$B$28*'Chemical Info'!J91*'Res-Rec Equations'!$B$61))*'Res-Rec Calculations'!C90,IF(AND(E90="NA",'Chemical Info'!D91=""),'Res-Rec Equations'!$B$22*1000*'Res-Rec Equations'!$B$25*'Chemical Info'!J91*'Res-Rec Calculations'!C90,IF(AND('Chemical Info'!E91="Yes",'Chemical Info'!D91="Yes"),'Res-Rec Equations'!$B$22*1000*(('Res-Rec Equations'!$B$26*'Chemical Info'!J91*'Res-Rec Equations'!$B$59)+('Res-Rec Equations'!$B$27*'Chemical Info'!J91*'Res-Rec Equations'!$B$60)+('Res-Rec Equations'!$B$28*'Chemical Info'!J91*'Res-Rec Equations'!$B$61))*'Res-Rec Calculations'!E90,IF(AND('Chemical Info'!E91="Yes",'Chemical Info'!D91=""),'Res-Rec Equations'!$B$22*1000*'Res-Rec Equations'!$B$25*'Chemical Info'!J91*'Res-Rec Calculations'!E90,IF('Chemical Info'!D91="Yes",'Res-Rec Equations'!$B$22*1000*(('Res-Rec Equations'!$B$26*'Chemical Info'!J91*'Res-Rec Equations'!$B$59)+('Res-Rec Equations'!$B$27*'Chemical Info'!J91*'Res-Rec Equations'!$B$60)+('Res-Rec Equations'!$B$28*'Chemical Info'!J91*'Res-Rec Equations'!$B$61))*('Res-Rec Calculations'!C90+'Res-Rec Calculations'!E90),IF('Chemical Info'!D91="",'Res-Rec Equations'!$B$22*1000*'Res-Rec Equations'!$B$25*'Chemical Info'!J91*('Res-Rec Calculations'!C90+'Res-Rec Calculations'!E90))))))))</f>
        <v>2.214275271013133E-2</v>
      </c>
      <c r="K90" s="370">
        <f>IF('Chemical Info'!J91="NA","NA",IF(AND(F90="NA",'Chemical Info'!D91="Yes"),'Res-Rec Equations'!$B$22*1000*(('Res-Rec Equations'!$B$26*'Chemical Info'!J91*'Res-Rec Equations'!$B$59)+('Res-Rec Equations'!$B$27*'Chemical Info'!J91*'Res-Rec Equations'!$B$60)+('Res-Rec Equations'!$B$28*'Chemical Info'!J91*'Res-Rec Equations'!$B$61))*'Res-Rec Calculations'!C90,IF(AND(F90="NA",'Chemical Info'!D91=""),'Res-Rec Equations'!$B$22*1000*'Res-Rec Equations'!$B$25*'Chemical Info'!J91*'Res-Rec Calculations'!C90,IF(AND('Chemical Info'!F91="Yes",'Chemical Info'!D91="Yes"),'Res-Rec Equations'!$B$22*1000*(('Res-Rec Equations'!$B$26*'Chemical Info'!J91*'Res-Rec Equations'!$B$59)+('Res-Rec Equations'!$B$27*'Chemical Info'!J91*'Res-Rec Equations'!$B$60)+('Res-Rec Equations'!$B$28*'Chemical Info'!J91*'Res-Rec Equations'!$B$61))*'Res-Rec Calculations'!F90,IF(AND('Chemical Info'!F91="Yes",'Chemical Info'!D91=""),'Res-Rec Equations'!$B$22*1000*'Res-Rec Equations'!$B$25*'Chemical Info'!J91*'Res-Rec Calculations'!F90,IF('Chemical Info'!D91="Yes",'Res-Rec Equations'!$B$22*1000*(('Res-Rec Equations'!$B$26*'Chemical Info'!J91*'Res-Rec Equations'!$B$59)+('Res-Rec Equations'!$B$27*'Chemical Info'!J91*'Res-Rec Equations'!$B$60)+('Res-Rec Equations'!$B$28*'Chemical Info'!J91*'Res-Rec Equations'!$B$61))*('Res-Rec Calculations'!C90+'Res-Rec Calculations'!F90),IF('Chemical Info'!D91="",'Res-Rec Equations'!$B$22*1000*'Res-Rec Equations'!$B$25*'Chemical Info'!J91*('Res-Rec Calculations'!C90+'Res-Rec Calculations'!F90))))))))</f>
        <v>4.569337798181675E-3</v>
      </c>
      <c r="L90" s="167">
        <f>IF(AND(H90="NA",I90="NA",J90="NA"),"NA",IF(H90="NA",'Res-Rec Equations'!$B$15*'Res-Rec Equations'!$B$16/J90,IF(J90="NA",'Res-Rec Equations'!$B$15*'Res-Rec Equations'!$B$16/(H90+I90),'Res-Rec Equations'!$B$15*'Res-Rec Equations'!$B$16/(H90+I90+J90))))</f>
        <v>8.4756827198017746</v>
      </c>
      <c r="M90" s="167">
        <f>IF(AND(H90="NA",I90="NA",K90="NA"),"NA",IF(H90="NA",'Res-Rec Equations'!$B$15*'Res-Rec Equations'!$B$16/K90,IF(K90="NA",'Res-Rec Equations'!$B$15*'Res-Rec Equations'!$B$16/(H90+I90),'Res-Rec Equations'!$B$15*'Res-Rec Equations'!$B$16/(H90+I90+K90))))</f>
        <v>20.323506764450919</v>
      </c>
      <c r="N90" s="167">
        <f t="shared" si="14"/>
        <v>20.323506764450919</v>
      </c>
      <c r="O90" s="371">
        <f>IF('Chemical Info'!L91="NA","NA",IF('Chemical Info'!E91="Yes",(('Res-Rec Equations'!$B$76*'Chemical Info'!AD91*'Res-Rec Equations'!$B$78*'Res-Rec Equations'!$B$79*'Res-Rec Equations'!$B$81)/('Res-Rec Equations'!$B$84*'Res-Rec Equations'!$B$85))/'Chemical Info'!L91,(('Res-Rec Equations'!$B$76*'Chemical Info'!AD91*'Res-Rec Equations'!$B$78*'Res-Rec Equations'!$B$79*'Res-Rec Equations'!$B$80)/('Res-Rec Equations'!$B$84*'Res-Rec Equations'!$B$85))/'Chemical Info'!L91))</f>
        <v>5.372011818426E-2</v>
      </c>
      <c r="P90" s="166">
        <f>IF('Chemical Info'!L91="NA","NA", IF('Chemical Info'!E91="Yes",0,((('Res-Rec Equations'!$B$87*'Res-Rec Equations'!$B$88*'Res-Rec Equations'!$B$78*'Res-Rec Equations'!$B$82*'Res-Rec Equations'!$B$79*'Chemical Info'!AB91)/('Res-Rec Equations'!$B$84*'Res-Rec Equations'!$B$85))/('Chemical Info'!L91*'Chemical Info'!AF91))))</f>
        <v>0</v>
      </c>
      <c r="Q90" s="166">
        <f>IF('Chemical Info'!N91="NA","NA",IF('Res-Rec Calculations'!E90="NA",(('Res-Rec Equations'!$B$83*'Res-Rec Equations'!$B$79*'Res-Rec Calculations'!C90)/('Res-Rec Equations'!$B$85))/('Chemical Info'!N91),IF('Chemical Info'!E91="Yes",(('Res-Rec Equations'!$B$83*'Res-Rec Equations'!$B$79*'Res-Rec Calculations'!E90)/('Res-Rec Equations'!$B$85))/('Chemical Info'!N91),(('Res-Rec Equations'!$B$83*'Res-Rec Equations'!$B$79*('Res-Rec Calculations'!C90+'Res-Rec Calculations'!E90))/('Res-Rec Equations'!$B$85))/('Chemical Info'!N91))))</f>
        <v>0.10275249986139569</v>
      </c>
      <c r="R90" s="166">
        <f>IF('Chemical Info'!N91="NA","NA",IF('Res-Rec Calculations'!F90="NA",(('Res-Rec Equations'!$B$83*'Res-Rec Equations'!$B$79*'Res-Rec Calculations'!C90)/('Res-Rec Equations'!$B$85))/('Chemical Info'!N91),IF('Chemical Info'!E91="Yes",(('Res-Rec Equations'!$B$83*'Res-Rec Equations'!$B$79*'Res-Rec Calculations'!F90)/('Res-Rec Equations'!$B$85))/('Chemical Info'!N91),(('Res-Rec Equations'!$B$83*'Res-Rec Equations'!$B$79*('Res-Rec Calculations'!C90+'Res-Rec Calculations'!F90))/('Res-Rec Equations'!$B$85))/('Chemical Info'!N91))))</f>
        <v>2.1203565287676661E-2</v>
      </c>
      <c r="S90" s="167">
        <f>IF(AND(O90="NA",P90="NA",Q90="NA"),"NA",IF(O90="NA",'Res-Rec Equations'!$B$75/Q90,IF(Q90="NA",'Res-Rec Equations'!$B$75/(O90+P90),'Res-Rec Equations'!$B$75/(O90+P90+Q90))))</f>
        <v>1.2781789075814138</v>
      </c>
      <c r="T90" s="167">
        <f>IF(AND(O90="NA",P90="NA",R90="NA"),"NA",IF(O90="NA",'Res-Rec Equations'!$B$75/R90,IF(R90="NA",'Res-Rec Equations'!$B$75/(O90+P90),'Res-Rec Equations'!$B$75/(O90+P90+R90))))</f>
        <v>2.6693829071405948</v>
      </c>
      <c r="U90" s="168">
        <f t="shared" si="15"/>
        <v>2.6693829071405948</v>
      </c>
      <c r="V90" s="167" t="str">
        <f>IF('Chemical Info'!P91="NA","NA",(('Res-Rec Equations'!$B$185*'Res-Rec Equations'!$B$186)/('Res-Rec Equations'!$B$187*'Res-Rec Equations'!$B$188*(1/'Chemical Info'!P91))))</f>
        <v>NA</v>
      </c>
      <c r="W90" s="379" t="str">
        <f t="shared" si="16"/>
        <v>NA</v>
      </c>
      <c r="X90" s="372">
        <f t="shared" si="17"/>
        <v>2.6693829071405948</v>
      </c>
      <c r="Y90" s="62">
        <f t="shared" si="18"/>
        <v>2.7</v>
      </c>
      <c r="Z90" s="100" t="str">
        <f t="shared" si="19"/>
        <v>Noncancer</v>
      </c>
      <c r="AA90" s="373"/>
      <c r="AB90" s="376"/>
    </row>
    <row r="91" spans="1:28">
      <c r="A91" s="413" t="s">
        <v>127</v>
      </c>
      <c r="B91" s="566" t="s">
        <v>128</v>
      </c>
      <c r="C91" s="367">
        <f>1/(('Res-Rec Equations'!$B$152*3600)/((0.036*(1-'Res-Rec Equations'!$B$153))*('Res-Rec Equations'!$B$154/'Res-Rec Equations'!$B$155)^3*'Res-Rec Equations'!$B$156))</f>
        <v>7.3567680901159717E-10</v>
      </c>
      <c r="D91" s="368">
        <f>(('Res-Rec Equations'!$B$132^(10/3)*'Chemical Info'!$AH92*'Chemical Info'!$AN92*41+'Res-Rec Equations'!$B$135^(10/3)*'Chemical Info'!$AJ92)/'Res-Rec Equations'!$B$137^2)/('Res-Rec Equations'!$B$139*'Chemical Info'!$AL92*'Res-Rec Equations'!$B$142+'Res-Rec Equations'!$B$135+'Res-Rec Equations'!$B$132*'Chemical Info'!$AN92*41)</f>
        <v>1.1950851247309834E-2</v>
      </c>
      <c r="E91" s="368">
        <f>IF(D91=0,"NA",1/(('Res-Rec Equations'!$B$103*(3.14*'Res-Rec Calculations'!$D91*'Res-Rec Equations'!$B$105)^(1/2)*0.0001)/(2*'Res-Rec Equations'!$B$106*'Res-Rec Calculations'!$D91)))</f>
        <v>6.4169403793749987E-4</v>
      </c>
      <c r="F91" s="368">
        <f>IF(D91=0,"NA",(1/('Res-Rec Equations'!$B$117*('Res-Rec Equations'!$B$118*(31500000))/('Res-Rec Equations'!$B$119*'Res-Rec Equations'!$B$120*1000000))))</f>
        <v>6.1914410640015851E-5</v>
      </c>
      <c r="G91" s="167">
        <f>IF('Chemical Info'!E92="Yes",('Chemical Info'!AP92/'Res-Rec Equations'!$B$168)*((('Chemical Info'!AL92*'Res-Rec Equations'!$B$170)*'Res-Rec Equations'!$B$168)+'Res-Rec Equations'!$B$171+('Chemical Info'!AN92*41)*'Res-Rec Equations'!$B$173),"NA")</f>
        <v>1216.2846666666669</v>
      </c>
      <c r="H91" s="112" t="str">
        <f>IF('Chemical Info'!H92="NA","NA",IF(AND('Chemical Info'!E92="Yes",'Chemical Info'!D92="Yes"),'Chemical Info'!H92*'Chemical Info'!AD92*'Res-Rec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Info'!E92="Yes",'Chemical Info'!D92=""),'Chemical Info'!H92*'Chemical Info'!AD92*'Res-Rec Equations'!$B$20*'Res-Rec Equations'!$B$23*((('Res-Rec Equations'!$B$26*'Res-Rec Equations'!$B$29)/'Res-Rec Equations'!$B$32)+(('Res-Rec Equations'!$B$27*'Res-Rec Equations'!$B$30)/'Res-Rec Equations'!$B$33)+(('Res-Rec Equations'!$B$28*'Res-Rec Equations'!$B$31)/'Res-Rec Equations'!$B$34)),IF(AND('Chemical Info'!E92="No",'Chemical Info'!D92="Yes"),'Chemical Info'!H92*'Chemical Info'!AD92*'Res-Rec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Info'!E92="No",'Chemical Info'!D92=""),'Chemical Info'!H92*'Chemical Info'!AD92*'Res-Rec Equations'!$B$19*'Res-Rec Equations'!$B$23*((('Res-Rec Equations'!$B$26*'Res-Rec Equations'!$B$29)/'Res-Rec Equations'!$B$32)+(('Res-Rec Equations'!$B$27*'Res-Rec Equations'!$B$30)/'Res-Rec Equations'!$B$33)+(('Res-Rec Equations'!$B$28*'Res-Rec Equations'!$B$31)/'Res-Rec Equations'!$B$34)))))))</f>
        <v>NA</v>
      </c>
      <c r="I91" s="166" t="str">
        <f>IF('Chemical Info'!H92="NA","NA",IF('Chemical Info'!E92="Yes",0,IF('Chemical Info'!D92="Yes",'Chemical Info'!H92/'Chemical Info'!AF92*('Res-Rec Equations'!$B$21*'Chemical Info'!AB92*'Res-Rec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Info'!H92/'Chemical Info'!AF92*('Res-Rec Equations'!$B$21*'Chemical Info'!AB92*'Res-Rec Equations'!$B$23)*((('Res-Rec Equations'!$B$26*'Res-Rec Equations'!$B$37*'Res-Rec Equations'!$B$40)/'Res-Rec Equations'!$B$32)+(('Res-Rec Equations'!$B$27*'Res-Rec Equations'!$B$38*'Res-Rec Equations'!$B$41)/'Res-Rec Equations'!$B$33)+(('Res-Rec Equations'!$B$28*'Res-Rec Equations'!$B$39*'Res-Rec Equations'!$B$42)/'Res-Rec Equations'!$B$34)))))</f>
        <v>NA</v>
      </c>
      <c r="J91" s="369" t="str">
        <f>IF('Chemical Info'!J92="NA","NA",IF(AND(E91="NA",'Chemical Info'!D92="Yes"),'Res-Rec Equations'!$B$22*1000*(('Res-Rec Equations'!$B$26*'Chemical Info'!J92*'Res-Rec Equations'!$B$59)+('Res-Rec Equations'!$B$27*'Chemical Info'!J92*'Res-Rec Equations'!$B$60)+('Res-Rec Equations'!$B$28*'Chemical Info'!J92*'Res-Rec Equations'!$B$61))*'Res-Rec Calculations'!C91,IF(AND(E91="NA",'Chemical Info'!D92=""),'Res-Rec Equations'!$B$22*1000*'Res-Rec Equations'!$B$25*'Chemical Info'!J92*'Res-Rec Calculations'!C91,IF(AND('Chemical Info'!E92="Yes",'Chemical Info'!D92="Yes"),'Res-Rec Equations'!$B$22*1000*(('Res-Rec Equations'!$B$26*'Chemical Info'!J92*'Res-Rec Equations'!$B$59)+('Res-Rec Equations'!$B$27*'Chemical Info'!J92*'Res-Rec Equations'!$B$60)+('Res-Rec Equations'!$B$28*'Chemical Info'!J92*'Res-Rec Equations'!$B$61))*'Res-Rec Calculations'!E91,IF(AND('Chemical Info'!E92="Yes",'Chemical Info'!D92=""),'Res-Rec Equations'!$B$22*1000*'Res-Rec Equations'!$B$25*'Chemical Info'!J92*'Res-Rec Calculations'!E91,IF('Chemical Info'!D92="Yes",'Res-Rec Equations'!$B$22*1000*(('Res-Rec Equations'!$B$26*'Chemical Info'!J92*'Res-Rec Equations'!$B$59)+('Res-Rec Equations'!$B$27*'Chemical Info'!J92*'Res-Rec Equations'!$B$60)+('Res-Rec Equations'!$B$28*'Chemical Info'!J92*'Res-Rec Equations'!$B$61))*('Res-Rec Calculations'!C91+'Res-Rec Calculations'!E91),IF('Chemical Info'!D92="",'Res-Rec Equations'!$B$22*1000*'Res-Rec Equations'!$B$25*'Chemical Info'!J92*('Res-Rec Calculations'!C91+'Res-Rec Calculations'!E91))))))))</f>
        <v>NA</v>
      </c>
      <c r="K91" s="370" t="str">
        <f>IF('Chemical Info'!J92="NA","NA",IF(AND(F91="NA",'Chemical Info'!D92="Yes"),'Res-Rec Equations'!$B$22*1000*(('Res-Rec Equations'!$B$26*'Chemical Info'!J92*'Res-Rec Equations'!$B$59)+('Res-Rec Equations'!$B$27*'Chemical Info'!J92*'Res-Rec Equations'!$B$60)+('Res-Rec Equations'!$B$28*'Chemical Info'!J92*'Res-Rec Equations'!$B$61))*'Res-Rec Calculations'!C91,IF(AND(F91="NA",'Chemical Info'!D92=""),'Res-Rec Equations'!$B$22*1000*'Res-Rec Equations'!$B$25*'Chemical Info'!J92*'Res-Rec Calculations'!C91,IF(AND('Chemical Info'!F92="Yes",'Chemical Info'!D92="Yes"),'Res-Rec Equations'!$B$22*1000*(('Res-Rec Equations'!$B$26*'Chemical Info'!J92*'Res-Rec Equations'!$B$59)+('Res-Rec Equations'!$B$27*'Chemical Info'!J92*'Res-Rec Equations'!$B$60)+('Res-Rec Equations'!$B$28*'Chemical Info'!J92*'Res-Rec Equations'!$B$61))*'Res-Rec Calculations'!F91,IF(AND('Chemical Info'!F92="Yes",'Chemical Info'!D92=""),'Res-Rec Equations'!$B$22*1000*'Res-Rec Equations'!$B$25*'Chemical Info'!J92*'Res-Rec Calculations'!F91,IF('Chemical Info'!D92="Yes",'Res-Rec Equations'!$B$22*1000*(('Res-Rec Equations'!$B$26*'Chemical Info'!J92*'Res-Rec Equations'!$B$59)+('Res-Rec Equations'!$B$27*'Chemical Info'!J92*'Res-Rec Equations'!$B$60)+('Res-Rec Equations'!$B$28*'Chemical Info'!J92*'Res-Rec Equations'!$B$61))*('Res-Rec Calculations'!C91+'Res-Rec Calculations'!F91),IF('Chemical Info'!D92="",'Res-Rec Equations'!$B$22*1000*'Res-Rec Equations'!$B$25*'Chemical Info'!J92*('Res-Rec Calculations'!C91+'Res-Rec Calculations'!F91))))))))</f>
        <v>NA</v>
      </c>
      <c r="L91" s="167" t="str">
        <f>IF(AND(H91="NA",I91="NA",J91="NA"),"NA",IF(H91="NA",'Res-Rec Equations'!$B$15*'Res-Rec Equations'!$B$16/J91,IF(J91="NA",'Res-Rec Equations'!$B$15*'Res-Rec Equations'!$B$16/(H91+I91),'Res-Rec Equations'!$B$15*'Res-Rec Equations'!$B$16/(H91+I91+J91))))</f>
        <v>NA</v>
      </c>
      <c r="M91" s="167" t="str">
        <f>IF(AND(H91="NA",I91="NA",K91="NA"),"NA",IF(H91="NA",'Res-Rec Equations'!$B$15*'Res-Rec Equations'!$B$16/K91,IF(K91="NA",'Res-Rec Equations'!$B$15*'Res-Rec Equations'!$B$16/(H91+I91),'Res-Rec Equations'!$B$15*'Res-Rec Equations'!$B$16/(H91+I91+K91))))</f>
        <v>NA</v>
      </c>
      <c r="N91" s="167" t="str">
        <f t="shared" si="14"/>
        <v>NA</v>
      </c>
      <c r="O91" s="371">
        <f>IF('Chemical Info'!L92="NA","NA",IF('Chemical Info'!E92="Yes",(('Res-Rec Equations'!$B$76*'Chemical Info'!AD92*'Res-Rec Equations'!$B$78*'Res-Rec Equations'!$B$79*'Res-Rec Equations'!$B$81)/('Res-Rec Equations'!$B$84*'Res-Rec Equations'!$B$85))/'Chemical Info'!L92,(('Res-Rec Equations'!$B$76*'Chemical Info'!AD92*'Res-Rec Equations'!$B$78*'Res-Rec Equations'!$B$79*'Res-Rec Equations'!$B$80)/('Res-Rec Equations'!$B$84*'Res-Rec Equations'!$B$85))/'Chemical Info'!L92))</f>
        <v>3.0441400304414005E-5</v>
      </c>
      <c r="P91" s="166">
        <f>IF('Chemical Info'!L92="NA","NA", IF('Chemical Info'!E92="Yes",0,((('Res-Rec Equations'!$B$87*'Res-Rec Equations'!$B$88*'Res-Rec Equations'!$B$78*'Res-Rec Equations'!$B$82*'Res-Rec Equations'!$B$79*'Chemical Info'!AB92)/('Res-Rec Equations'!$B$84*'Res-Rec Equations'!$B$85))/('Chemical Info'!L92*'Chemical Info'!AF92))))</f>
        <v>0</v>
      </c>
      <c r="Q91" s="166">
        <f>IF('Chemical Info'!N92="NA","NA",IF('Res-Rec Calculations'!E91="NA",(('Res-Rec Equations'!$B$83*'Res-Rec Equations'!$B$79*'Res-Rec Calculations'!C91)/('Res-Rec Equations'!$B$85))/('Chemical Info'!N92),IF('Chemical Info'!E92="Yes",(('Res-Rec Equations'!$B$83*'Res-Rec Equations'!$B$79*'Res-Rec Calculations'!E91)/('Res-Rec Equations'!$B$85))/('Chemical Info'!N92),(('Res-Rec Equations'!$B$83*'Res-Rec Equations'!$B$79*('Res-Rec Calculations'!C91+'Res-Rec Calculations'!E91))/('Res-Rec Equations'!$B$85))/('Chemical Info'!N92))))</f>
        <v>4.3951646434075333E-4</v>
      </c>
      <c r="R91" s="166">
        <f>IF('Chemical Info'!N92="NA","NA",IF('Res-Rec Calculations'!F91="NA",(('Res-Rec Equations'!$B$83*'Res-Rec Equations'!$B$79*'Res-Rec Calculations'!C91)/('Res-Rec Equations'!$B$85))/('Chemical Info'!N92),IF('Chemical Info'!E92="Yes",(('Res-Rec Equations'!$B$83*'Res-Rec Equations'!$B$79*'Res-Rec Calculations'!F91)/('Res-Rec Equations'!$B$85))/('Chemical Info'!N92),(('Res-Rec Equations'!$B$83*'Res-Rec Equations'!$B$79*('Res-Rec Calculations'!C91+'Res-Rec Calculations'!F91))/('Res-Rec Equations'!$B$85))/('Chemical Info'!N92))))</f>
        <v>4.2407130575353321E-5</v>
      </c>
      <c r="S91" s="167">
        <f>IF(AND(O91="NA",P91="NA",Q91="NA"),"NA",IF(O91="NA",'Res-Rec Equations'!$B$75/Q91,IF(Q91="NA",'Res-Rec Equations'!$B$75/(O91+P91),'Res-Rec Equations'!$B$75/(O91+P91+Q91))))</f>
        <v>425.57006711868985</v>
      </c>
      <c r="T91" s="167">
        <f>IF(AND(O91="NA",P91="NA",R91="NA"),"NA",IF(O91="NA",'Res-Rec Equations'!$B$75/R91,IF(R91="NA",'Res-Rec Equations'!$B$75/(O91+P91),'Res-Rec Equations'!$B$75/(O91+P91+R91))))</f>
        <v>2745.4225580758725</v>
      </c>
      <c r="U91" s="168">
        <f t="shared" si="15"/>
        <v>2745.4225580758725</v>
      </c>
      <c r="V91" s="167" t="str">
        <f>IF('Chemical Info'!P92="NA","NA",(('Res-Rec Equations'!$B$185*'Res-Rec Equations'!$B$186)/('Res-Rec Equations'!$B$187*'Res-Rec Equations'!$B$188*(1/'Chemical Info'!P92))))</f>
        <v>NA</v>
      </c>
      <c r="W91" s="379" t="str">
        <f t="shared" si="16"/>
        <v>NA</v>
      </c>
      <c r="X91" s="372">
        <f t="shared" si="17"/>
        <v>1216.2846666666669</v>
      </c>
      <c r="Y91" s="62">
        <f t="shared" si="18"/>
        <v>1200</v>
      </c>
      <c r="Z91" s="100" t="str">
        <f t="shared" si="19"/>
        <v>Csat</v>
      </c>
      <c r="AA91" s="373"/>
    </row>
    <row r="92" spans="1:28" ht="20">
      <c r="A92" s="375" t="s">
        <v>491</v>
      </c>
      <c r="B92" s="566" t="s">
        <v>175</v>
      </c>
      <c r="C92" s="367">
        <f>1/(('Res-Rec Equations'!$B$152*3600)/((0.036*(1-'Res-Rec Equations'!$B$153))*('Res-Rec Equations'!$B$154/'Res-Rec Equations'!$B$155)^3*'Res-Rec Equations'!$B$156))</f>
        <v>7.3567680901159717E-10</v>
      </c>
      <c r="D92" s="368">
        <f>(('Res-Rec Equations'!$B$132^(10/3)*'Chemical Info'!$AH93*'Chemical Info'!$AN93*41+'Res-Rec Equations'!$B$135^(10/3)*'Chemical Info'!$AJ93)/'Res-Rec Equations'!$B$137^2)/('Res-Rec Equations'!$B$139*'Chemical Info'!$AL93*'Res-Rec Equations'!$B$142+'Res-Rec Equations'!$B$135+'Res-Rec Equations'!$B$132*'Chemical Info'!$AN93*41)</f>
        <v>7.7616975333384018E-3</v>
      </c>
      <c r="E92" s="368">
        <f>IF(D92=0,"NA",1/(('Res-Rec Equations'!$B$103*(3.14*'Res-Rec Calculations'!$D92*'Res-Rec Equations'!$B$105)^(1/2)*0.0001)/(2*'Res-Rec Equations'!$B$106*'Res-Rec Calculations'!$D92)))</f>
        <v>5.1713858309220841E-4</v>
      </c>
      <c r="F92" s="368">
        <f>IF(D92=0,"NA",(1/('Res-Rec Equations'!$B$117*('Res-Rec Equations'!$B$118*(31500000))/('Res-Rec Equations'!$B$119*'Res-Rec Equations'!$B$120*1000000))))</f>
        <v>6.1914410640015851E-5</v>
      </c>
      <c r="G92" s="167">
        <f>IF('Chemical Info'!E93="Yes",('Chemical Info'!AP93/'Res-Rec Equations'!$B$168)*((('Chemical Info'!AL93*'Res-Rec Equations'!$B$170)*'Res-Rec Equations'!$B$168)+'Res-Rec Equations'!$B$171+('Chemical Info'!AN93*41)*'Res-Rec Equations'!$B$173),"NA")</f>
        <v>902.09706666666682</v>
      </c>
      <c r="H92" s="112" t="str">
        <f>IF('Chemical Info'!H93="NA","NA",IF(AND('Chemical Info'!E93="Yes",'Chemical Info'!D93="Yes"),'Chemical Info'!H93*'Chemical Info'!AD93*'Res-Rec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Info'!E93="Yes",'Chemical Info'!D93=""),'Chemical Info'!H93*'Chemical Info'!AD93*'Res-Rec Equations'!$B$20*'Res-Rec Equations'!$B$23*((('Res-Rec Equations'!$B$26*'Res-Rec Equations'!$B$29)/'Res-Rec Equations'!$B$32)+(('Res-Rec Equations'!$B$27*'Res-Rec Equations'!$B$30)/'Res-Rec Equations'!$B$33)+(('Res-Rec Equations'!$B$28*'Res-Rec Equations'!$B$31)/'Res-Rec Equations'!$B$34)),IF(AND('Chemical Info'!E93="No",'Chemical Info'!D93="Yes"),'Chemical Info'!H93*'Chemical Info'!AD93*'Res-Rec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Info'!E93="No",'Chemical Info'!D93=""),'Chemical Info'!H93*'Chemical Info'!AD93*'Res-Rec Equations'!$B$19*'Res-Rec Equations'!$B$23*((('Res-Rec Equations'!$B$26*'Res-Rec Equations'!$B$29)/'Res-Rec Equations'!$B$32)+(('Res-Rec Equations'!$B$27*'Res-Rec Equations'!$B$30)/'Res-Rec Equations'!$B$33)+(('Res-Rec Equations'!$B$28*'Res-Rec Equations'!$B$31)/'Res-Rec Equations'!$B$34)))))))</f>
        <v>NA</v>
      </c>
      <c r="I92" s="166" t="str">
        <f>IF('Chemical Info'!H93="NA","NA",IF('Chemical Info'!E93="Yes",0,IF('Chemical Info'!D93="Yes",'Chemical Info'!H93/'Chemical Info'!AF93*('Res-Rec Equations'!$B$21*'Chemical Info'!AB93*'Res-Rec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Info'!H93/'Chemical Info'!AF93*('Res-Rec Equations'!$B$21*'Chemical Info'!AB93*'Res-Rec Equations'!$B$23)*((('Res-Rec Equations'!$B$26*'Res-Rec Equations'!$B$37*'Res-Rec Equations'!$B$40)/'Res-Rec Equations'!$B$32)+(('Res-Rec Equations'!$B$27*'Res-Rec Equations'!$B$38*'Res-Rec Equations'!$B$41)/'Res-Rec Equations'!$B$33)+(('Res-Rec Equations'!$B$28*'Res-Rec Equations'!$B$39*'Res-Rec Equations'!$B$42)/'Res-Rec Equations'!$B$34)))))</f>
        <v>NA</v>
      </c>
      <c r="J92" s="369" t="str">
        <f>IF('Chemical Info'!J93="NA","NA",IF(AND(E92="NA",'Chemical Info'!D93="Yes"),'Res-Rec Equations'!$B$22*1000*(('Res-Rec Equations'!$B$26*'Chemical Info'!J93*'Res-Rec Equations'!$B$59)+('Res-Rec Equations'!$B$27*'Chemical Info'!J93*'Res-Rec Equations'!$B$60)+('Res-Rec Equations'!$B$28*'Chemical Info'!J93*'Res-Rec Equations'!$B$61))*'Res-Rec Calculations'!C92,IF(AND(E92="NA",'Chemical Info'!D93=""),'Res-Rec Equations'!$B$22*1000*'Res-Rec Equations'!$B$25*'Chemical Info'!J93*'Res-Rec Calculations'!C92,IF(AND('Chemical Info'!E93="Yes",'Chemical Info'!D93="Yes"),'Res-Rec Equations'!$B$22*1000*(('Res-Rec Equations'!$B$26*'Chemical Info'!J93*'Res-Rec Equations'!$B$59)+('Res-Rec Equations'!$B$27*'Chemical Info'!J93*'Res-Rec Equations'!$B$60)+('Res-Rec Equations'!$B$28*'Chemical Info'!J93*'Res-Rec Equations'!$B$61))*'Res-Rec Calculations'!E92,IF(AND('Chemical Info'!E93="Yes",'Chemical Info'!D93=""),'Res-Rec Equations'!$B$22*1000*'Res-Rec Equations'!$B$25*'Chemical Info'!J93*'Res-Rec Calculations'!E92,IF('Chemical Info'!D93="Yes",'Res-Rec Equations'!$B$22*1000*(('Res-Rec Equations'!$B$26*'Chemical Info'!J93*'Res-Rec Equations'!$B$59)+('Res-Rec Equations'!$B$27*'Chemical Info'!J93*'Res-Rec Equations'!$B$60)+('Res-Rec Equations'!$B$28*'Chemical Info'!J93*'Res-Rec Equations'!$B$61))*('Res-Rec Calculations'!C92+'Res-Rec Calculations'!E92),IF('Chemical Info'!D93="",'Res-Rec Equations'!$B$22*1000*'Res-Rec Equations'!$B$25*'Chemical Info'!J93*('Res-Rec Calculations'!C92+'Res-Rec Calculations'!E92))))))))</f>
        <v>NA</v>
      </c>
      <c r="K92" s="370" t="str">
        <f>IF('Chemical Info'!J93="NA","NA",IF(AND(F92="NA",'Chemical Info'!D93="Yes"),'Res-Rec Equations'!$B$22*1000*(('Res-Rec Equations'!$B$26*'Chemical Info'!J93*'Res-Rec Equations'!$B$59)+('Res-Rec Equations'!$B$27*'Chemical Info'!J93*'Res-Rec Equations'!$B$60)+('Res-Rec Equations'!$B$28*'Chemical Info'!J93*'Res-Rec Equations'!$B$61))*'Res-Rec Calculations'!C92,IF(AND(F92="NA",'Chemical Info'!D93=""),'Res-Rec Equations'!$B$22*1000*'Res-Rec Equations'!$B$25*'Chemical Info'!J93*'Res-Rec Calculations'!C92,IF(AND('Chemical Info'!F93="Yes",'Chemical Info'!D93="Yes"),'Res-Rec Equations'!$B$22*1000*(('Res-Rec Equations'!$B$26*'Chemical Info'!J93*'Res-Rec Equations'!$B$59)+('Res-Rec Equations'!$B$27*'Chemical Info'!J93*'Res-Rec Equations'!$B$60)+('Res-Rec Equations'!$B$28*'Chemical Info'!J93*'Res-Rec Equations'!$B$61))*'Res-Rec Calculations'!F92,IF(AND('Chemical Info'!F93="Yes",'Chemical Info'!D93=""),'Res-Rec Equations'!$B$22*1000*'Res-Rec Equations'!$B$25*'Chemical Info'!J93*'Res-Rec Calculations'!F92,IF('Chemical Info'!D93="Yes",'Res-Rec Equations'!$B$22*1000*(('Res-Rec Equations'!$B$26*'Chemical Info'!J93*'Res-Rec Equations'!$B$59)+('Res-Rec Equations'!$B$27*'Chemical Info'!J93*'Res-Rec Equations'!$B$60)+('Res-Rec Equations'!$B$28*'Chemical Info'!J93*'Res-Rec Equations'!$B$61))*('Res-Rec Calculations'!C92+'Res-Rec Calculations'!F92),IF('Chemical Info'!D93="",'Res-Rec Equations'!$B$22*1000*'Res-Rec Equations'!$B$25*'Chemical Info'!J93*('Res-Rec Calculations'!C92+'Res-Rec Calculations'!F92))))))))</f>
        <v>NA</v>
      </c>
      <c r="L92" s="167" t="str">
        <f>IF(AND(H92="NA",I92="NA",J92="NA"),"NA",IF(H92="NA",'Res-Rec Equations'!$B$15*'Res-Rec Equations'!$B$16/J92,IF(J92="NA",'Res-Rec Equations'!$B$15*'Res-Rec Equations'!$B$16/(H92+I92),'Res-Rec Equations'!$B$15*'Res-Rec Equations'!$B$16/(H92+I92+J92))))</f>
        <v>NA</v>
      </c>
      <c r="M92" s="167" t="str">
        <f>IF(AND(H92="NA",I92="NA",K92="NA"),"NA",IF(H92="NA",'Res-Rec Equations'!$B$15*'Res-Rec Equations'!$B$16/K92,IF(K92="NA",'Res-Rec Equations'!$B$15*'Res-Rec Equations'!$B$16/(H92+I92),'Res-Rec Equations'!$B$15*'Res-Rec Equations'!$B$16/(H92+I92+K92))))</f>
        <v>NA</v>
      </c>
      <c r="N92" s="167" t="str">
        <f t="shared" si="14"/>
        <v>NA</v>
      </c>
      <c r="O92" s="371">
        <f>IF('Chemical Info'!L93="NA","NA",IF('Chemical Info'!E93="Yes",(('Res-Rec Equations'!$B$76*'Chemical Info'!AD93*'Res-Rec Equations'!$B$78*'Res-Rec Equations'!$B$79*'Res-Rec Equations'!$B$81)/('Res-Rec Equations'!$B$84*'Res-Rec Equations'!$B$85))/'Chemical Info'!L93,(('Res-Rec Equations'!$B$76*'Chemical Info'!AD93*'Res-Rec Equations'!$B$78*'Res-Rec Equations'!$B$79*'Res-Rec Equations'!$B$80)/('Res-Rec Equations'!$B$84*'Res-Rec Equations'!$B$85))/'Chemical Info'!L93))</f>
        <v>3.0441400304414002E-7</v>
      </c>
      <c r="P92" s="166">
        <f>IF('Chemical Info'!L93="NA","NA", IF('Chemical Info'!E93="Yes",0,((('Res-Rec Equations'!$B$87*'Res-Rec Equations'!$B$88*'Res-Rec Equations'!$B$78*'Res-Rec Equations'!$B$82*'Res-Rec Equations'!$B$79*'Chemical Info'!AB93)/('Res-Rec Equations'!$B$84*'Res-Rec Equations'!$B$85))/('Chemical Info'!L93*'Chemical Info'!AF93))))</f>
        <v>0</v>
      </c>
      <c r="Q92" s="166">
        <f>IF('Chemical Info'!N93="NA","NA",IF('Res-Rec Calculations'!E92="NA",(('Res-Rec Equations'!$B$83*'Res-Rec Equations'!$B$79*'Res-Rec Calculations'!C92)/('Res-Rec Equations'!$B$85))/('Chemical Info'!N93),IF('Chemical Info'!E93="Yes",(('Res-Rec Equations'!$B$83*'Res-Rec Equations'!$B$79*'Res-Rec Calculations'!E92)/('Res-Rec Equations'!$B$85))/('Chemical Info'!N93),(('Res-Rec Equations'!$B$83*'Res-Rec Equations'!$B$79*('Res-Rec Calculations'!C92+'Res-Rec Calculations'!E92))/('Res-Rec Equations'!$B$85))/('Chemical Info'!N93))))</f>
        <v>7.0840901793453205E-5</v>
      </c>
      <c r="R92" s="166">
        <f>IF('Chemical Info'!N93="NA","NA",IF('Res-Rec Calculations'!F92="NA",(('Res-Rec Equations'!$B$83*'Res-Rec Equations'!$B$79*'Res-Rec Calculations'!C92)/('Res-Rec Equations'!$B$85))/('Chemical Info'!N93),IF('Chemical Info'!E93="Yes",(('Res-Rec Equations'!$B$83*'Res-Rec Equations'!$B$79*'Res-Rec Calculations'!F92)/('Res-Rec Equations'!$B$85))/('Chemical Info'!N93),(('Res-Rec Equations'!$B$83*'Res-Rec Equations'!$B$79*('Res-Rec Calculations'!C92+'Res-Rec Calculations'!F92))/('Res-Rec Equations'!$B$85))/('Chemical Info'!N93))))</f>
        <v>8.4814261150706635E-6</v>
      </c>
      <c r="S92" s="167">
        <f>IF(AND(O92="NA",P92="NA",Q92="NA"),"NA",IF(O92="NA",'Res-Rec Equations'!$B$75/Q92,IF(Q92="NA",'Res-Rec Equations'!$B$75/(O92+P92),'Res-Rec Equations'!$B$75/(O92+P92+Q92))))</f>
        <v>2811.1478283696997</v>
      </c>
      <c r="T92" s="167">
        <f>IF(AND(O92="NA",P92="NA",R92="NA"),"NA",IF(O92="NA",'Res-Rec Equations'!$B$75/R92,IF(R92="NA",'Res-Rec Equations'!$B$75/(O92+P92),'Res-Rec Equations'!$B$75/(O92+P92+R92))))</f>
        <v>22763.901608866796</v>
      </c>
      <c r="U92" s="168">
        <f t="shared" si="15"/>
        <v>22763.901608866796</v>
      </c>
      <c r="V92" s="167" t="str">
        <f>IF('Chemical Info'!P93="NA","NA",(('Res-Rec Equations'!$B$185*'Res-Rec Equations'!$B$186)/('Res-Rec Equations'!$B$187*'Res-Rec Equations'!$B$188*(1/'Chemical Info'!P93))))</f>
        <v>NA</v>
      </c>
      <c r="W92" s="379" t="str">
        <f t="shared" si="16"/>
        <v>NA</v>
      </c>
      <c r="X92" s="372">
        <f t="shared" si="17"/>
        <v>902.09706666666682</v>
      </c>
      <c r="Y92" s="62">
        <f t="shared" si="18"/>
        <v>900</v>
      </c>
      <c r="Z92" s="100" t="str">
        <f t="shared" si="19"/>
        <v>Csat</v>
      </c>
      <c r="AA92" s="373"/>
      <c r="AB92" s="376"/>
    </row>
    <row r="93" spans="1:28">
      <c r="A93" s="375" t="s">
        <v>1123</v>
      </c>
      <c r="B93" s="566" t="s">
        <v>1124</v>
      </c>
      <c r="C93" s="367">
        <f>1/(('Res-Rec Equations'!$B$152*3600)/((0.036*(1-'Res-Rec Equations'!$B$153))*('Res-Rec Equations'!$B$154/'Res-Rec Equations'!$B$155)^3*'Res-Rec Equations'!$B$156))</f>
        <v>7.3567680901159717E-10</v>
      </c>
      <c r="D93" s="368">
        <f>(('Res-Rec Equations'!$B$132^(10/3)*'Chemical Info'!$AH94*'Chemical Info'!$AN94*41+'Res-Rec Equations'!$B$135^(10/3)*'Chemical Info'!$AJ94)/'Res-Rec Equations'!$B$137^2)/('Res-Rec Equations'!$B$139*'Chemical Info'!$AL94*'Res-Rec Equations'!$B$142+'Res-Rec Equations'!$B$135+'Res-Rec Equations'!$B$132*'Chemical Info'!$AN94*41)</f>
        <v>5.1596158312577835E-5</v>
      </c>
      <c r="E93" s="368">
        <f>IF(D93=0,"NA",1/(('Res-Rec Equations'!$B$103*(3.14*'Res-Rec Calculations'!$D93*'Res-Rec Equations'!$B$105)^(1/2)*0.0001)/(2*'Res-Rec Equations'!$B$106*'Res-Rec Calculations'!$D93)))</f>
        <v>4.2163559474014117E-5</v>
      </c>
      <c r="F93" s="368">
        <f>IF(D93=0,"NA",(1/('Res-Rec Equations'!$B$117*('Res-Rec Equations'!$B$118*(31500000))/('Res-Rec Equations'!$B$119*'Res-Rec Equations'!$B$120*1000000))))</f>
        <v>6.1914410640015851E-5</v>
      </c>
      <c r="G93" s="167">
        <f>IF('Chemical Info'!E94="Yes",('Chemical Info'!AP94/'Res-Rec Equations'!$B$168)*((('Chemical Info'!AL94*'Res-Rec Equations'!$B$170)*'Res-Rec Equations'!$B$168)+'Res-Rec Equations'!$B$171+('Chemical Info'!AN94*41)*'Res-Rec Equations'!$B$173),"NA")</f>
        <v>1395.4939133333332</v>
      </c>
      <c r="H93" s="112">
        <f>IF('Chemical Info'!H94="NA","NA",IF(AND('Chemical Info'!E94="Yes",'Chemical Info'!D94="Yes"),'Chemical Info'!H94*'Chemical Info'!AD94*'Res-Rec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Info'!E94="Yes",'Chemical Info'!D94=""),'Chemical Info'!H94*'Chemical Info'!AD94*'Res-Rec Equations'!$B$20*'Res-Rec Equations'!$B$23*((('Res-Rec Equations'!$B$26*'Res-Rec Equations'!$B$29)/'Res-Rec Equations'!$B$32)+(('Res-Rec Equations'!$B$27*'Res-Rec Equations'!$B$30)/'Res-Rec Equations'!$B$33)+(('Res-Rec Equations'!$B$28*'Res-Rec Equations'!$B$31)/'Res-Rec Equations'!$B$34)),IF(AND('Chemical Info'!E94="No",'Chemical Info'!D94="Yes"),'Chemical Info'!H94*'Chemical Info'!AD94*'Res-Rec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Info'!E94="No",'Chemical Info'!D94=""),'Chemical Info'!H94*'Chemical Info'!AD94*'Res-Rec Equations'!$B$19*'Res-Rec Equations'!$B$23*((('Res-Rec Equations'!$B$26*'Res-Rec Equations'!$B$29)/'Res-Rec Equations'!$B$32)+(('Res-Rec Equations'!$B$27*'Res-Rec Equations'!$B$30)/'Res-Rec Equations'!$B$33)+(('Res-Rec Equations'!$B$28*'Res-Rec Equations'!$B$31)/'Res-Rec Equations'!$B$34)))))))</f>
        <v>4.8013869132290186</v>
      </c>
      <c r="I93" s="166">
        <f>IF('Chemical Info'!H94="NA","NA",IF('Chemical Info'!E94="Yes",0,IF('Chemical Info'!D94="Yes",'Chemical Info'!H94/'Chemical Info'!AF94*('Res-Rec Equations'!$B$21*'Chemical Info'!AB94*'Res-Rec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Info'!H94/'Chemical Info'!AF94*('Res-Rec Equations'!$B$21*'Chemical Info'!AB94*'Res-Rec Equations'!$B$23)*((('Res-Rec Equations'!$B$26*'Res-Rec Equations'!$B$37*'Res-Rec Equations'!$B$40)/'Res-Rec Equations'!$B$32)+(('Res-Rec Equations'!$B$27*'Res-Rec Equations'!$B$38*'Res-Rec Equations'!$B$41)/'Res-Rec Equations'!$B$33)+(('Res-Rec Equations'!$B$28*'Res-Rec Equations'!$B$39*'Res-Rec Equations'!$B$42)/'Res-Rec Equations'!$B$34)))))</f>
        <v>0</v>
      </c>
      <c r="J93" s="369" t="str">
        <f>IF('Chemical Info'!J94="NA","NA",IF(AND(E93="NA",'Chemical Info'!D94="Yes"),'Res-Rec Equations'!$B$22*1000*(('Res-Rec Equations'!$B$26*'Chemical Info'!J94*'Res-Rec Equations'!$B$59)+('Res-Rec Equations'!$B$27*'Chemical Info'!J94*'Res-Rec Equations'!$B$60)+('Res-Rec Equations'!$B$28*'Chemical Info'!J94*'Res-Rec Equations'!$B$61))*'Res-Rec Calculations'!C93,IF(AND(E93="NA",'Chemical Info'!D94=""),'Res-Rec Equations'!$B$22*1000*'Res-Rec Equations'!$B$25*'Chemical Info'!J94*'Res-Rec Calculations'!C93,IF(AND('Chemical Info'!E94="Yes",'Chemical Info'!D94="Yes"),'Res-Rec Equations'!$B$22*1000*(('Res-Rec Equations'!$B$26*'Chemical Info'!J94*'Res-Rec Equations'!$B$59)+('Res-Rec Equations'!$B$27*'Chemical Info'!J94*'Res-Rec Equations'!$B$60)+('Res-Rec Equations'!$B$28*'Chemical Info'!J94*'Res-Rec Equations'!$B$61))*'Res-Rec Calculations'!E93,IF(AND('Chemical Info'!E94="Yes",'Chemical Info'!D94=""),'Res-Rec Equations'!$B$22*1000*'Res-Rec Equations'!$B$25*'Chemical Info'!J94*'Res-Rec Calculations'!E93,IF('Chemical Info'!D94="Yes",'Res-Rec Equations'!$B$22*1000*(('Res-Rec Equations'!$B$26*'Chemical Info'!J94*'Res-Rec Equations'!$B$59)+('Res-Rec Equations'!$B$27*'Chemical Info'!J94*'Res-Rec Equations'!$B$60)+('Res-Rec Equations'!$B$28*'Chemical Info'!J94*'Res-Rec Equations'!$B$61))*('Res-Rec Calculations'!C93+'Res-Rec Calculations'!E93),IF('Chemical Info'!D94="",'Res-Rec Equations'!$B$22*1000*'Res-Rec Equations'!$B$25*'Chemical Info'!J94*('Res-Rec Calculations'!C93+'Res-Rec Calculations'!E93))))))))</f>
        <v>NA</v>
      </c>
      <c r="K93" s="370" t="str">
        <f>IF('Chemical Info'!J94="NA","NA",IF(AND(F93="NA",'Chemical Info'!D94="Yes"),'Res-Rec Equations'!$B$22*1000*(('Res-Rec Equations'!$B$26*'Chemical Info'!J94*'Res-Rec Equations'!$B$59)+('Res-Rec Equations'!$B$27*'Chemical Info'!J94*'Res-Rec Equations'!$B$60)+('Res-Rec Equations'!$B$28*'Chemical Info'!J94*'Res-Rec Equations'!$B$61))*'Res-Rec Calculations'!C93,IF(AND(F93="NA",'Chemical Info'!D94=""),'Res-Rec Equations'!$B$22*1000*'Res-Rec Equations'!$B$25*'Chemical Info'!J94*'Res-Rec Calculations'!C93,IF(AND('Chemical Info'!F94="Yes",'Chemical Info'!D94="Yes"),'Res-Rec Equations'!$B$22*1000*(('Res-Rec Equations'!$B$26*'Chemical Info'!J94*'Res-Rec Equations'!$B$59)+('Res-Rec Equations'!$B$27*'Chemical Info'!J94*'Res-Rec Equations'!$B$60)+('Res-Rec Equations'!$B$28*'Chemical Info'!J94*'Res-Rec Equations'!$B$61))*'Res-Rec Calculations'!F93,IF(AND('Chemical Info'!F94="Yes",'Chemical Info'!D94=""),'Res-Rec Equations'!$B$22*1000*'Res-Rec Equations'!$B$25*'Chemical Info'!J94*'Res-Rec Calculations'!F93,IF('Chemical Info'!D94="Yes",'Res-Rec Equations'!$B$22*1000*(('Res-Rec Equations'!$B$26*'Chemical Info'!J94*'Res-Rec Equations'!$B$59)+('Res-Rec Equations'!$B$27*'Chemical Info'!J94*'Res-Rec Equations'!$B$60)+('Res-Rec Equations'!$B$28*'Chemical Info'!J94*'Res-Rec Equations'!$B$61))*('Res-Rec Calculations'!C93+'Res-Rec Calculations'!F93),IF('Chemical Info'!D94="",'Res-Rec Equations'!$B$22*1000*'Res-Rec Equations'!$B$25*'Chemical Info'!J94*('Res-Rec Calculations'!C93+'Res-Rec Calculations'!F93))))))))</f>
        <v>NA</v>
      </c>
      <c r="L93" s="167">
        <f>IF(AND(H93="NA",I93="NA",J93="NA"),"NA",IF(H93="NA",'Res-Rec Equations'!$B$15*'Res-Rec Equations'!$B$16/J93,IF(J93="NA",'Res-Rec Equations'!$B$15*'Res-Rec Equations'!$B$16/(H93+I93),'Res-Rec Equations'!$B$15*'Res-Rec Equations'!$B$16/(H93+I93+J93))))</f>
        <v>5.3213791060252563E-2</v>
      </c>
      <c r="M93" s="167">
        <f>IF(AND(H93="NA",I93="NA",K93="NA"),"NA",IF(H93="NA",'Res-Rec Equations'!$B$15*'Res-Rec Equations'!$B$16/K93,IF(K93="NA",'Res-Rec Equations'!$B$15*'Res-Rec Equations'!$B$16/(H93+I93),'Res-Rec Equations'!$B$15*'Res-Rec Equations'!$B$16/(H93+I93+K93))))</f>
        <v>5.3213791060252563E-2</v>
      </c>
      <c r="N93" s="167">
        <f t="shared" ref="N93" si="104">IF(AND(L93="NA",M93="NA"),"NA",MAX(L93,M93))</f>
        <v>5.3213791060252563E-2</v>
      </c>
      <c r="O93" s="371">
        <f>IF('Chemical Info'!L94="NA","NA",IF('Chemical Info'!E94="Yes",(('Res-Rec Equations'!$B$76*'Chemical Info'!AD94*'Res-Rec Equations'!$B$78*'Res-Rec Equations'!$B$79*'Res-Rec Equations'!$B$81)/('Res-Rec Equations'!$B$84*'Res-Rec Equations'!$B$85))/'Chemical Info'!L94,(('Res-Rec Equations'!$B$76*'Chemical Info'!AD94*'Res-Rec Equations'!$B$78*'Res-Rec Equations'!$B$79*'Res-Rec Equations'!$B$80)/('Res-Rec Equations'!$B$84*'Res-Rec Equations'!$B$85))/'Chemical Info'!L94))</f>
        <v>3.5124692658939239E-3</v>
      </c>
      <c r="P93" s="166">
        <f>IF('Chemical Info'!L94="NA","NA", IF('Chemical Info'!E94="Yes",0,((('Res-Rec Equations'!$B$87*'Res-Rec Equations'!$B$88*'Res-Rec Equations'!$B$78*'Res-Rec Equations'!$B$82*'Res-Rec Equations'!$B$79*'Chemical Info'!AB94)/('Res-Rec Equations'!$B$84*'Res-Rec Equations'!$B$85))/('Chemical Info'!L94*'Chemical Info'!AF94))))</f>
        <v>0</v>
      </c>
      <c r="Q93" s="166">
        <f>IF('Chemical Info'!N94="NA","NA",IF('Res-Rec Calculations'!E93="NA",(('Res-Rec Equations'!$B$83*'Res-Rec Equations'!$B$79*'Res-Rec Calculations'!C93)/('Res-Rec Equations'!$B$85))/('Chemical Info'!N94),IF('Chemical Info'!E94="Yes",(('Res-Rec Equations'!$B$83*'Res-Rec Equations'!$B$79*'Res-Rec Calculations'!E93)/('Res-Rec Equations'!$B$85))/('Chemical Info'!N94),(('Res-Rec Equations'!$B$83*'Res-Rec Equations'!$B$79*('Res-Rec Calculations'!C93+'Res-Rec Calculations'!E93))/('Res-Rec Equations'!$B$85))/('Chemical Info'!N94))))</f>
        <v>9.6263834415557345E-2</v>
      </c>
      <c r="R93" s="166">
        <f>IF('Chemical Info'!N94="NA","NA",IF('Res-Rec Calculations'!F93="NA",(('Res-Rec Equations'!$B$83*'Res-Rec Equations'!$B$79*'Res-Rec Calculations'!C93)/('Res-Rec Equations'!$B$85))/('Chemical Info'!N94),IF('Chemical Info'!E94="Yes",(('Res-Rec Equations'!$B$83*'Res-Rec Equations'!$B$79*'Res-Rec Calculations'!F93)/('Res-Rec Equations'!$B$85))/('Chemical Info'!N94),(('Res-Rec Equations'!$B$83*'Res-Rec Equations'!$B$79*('Res-Rec Calculations'!C93+'Res-Rec Calculations'!F93))/('Res-Rec Equations'!$B$85))/('Chemical Info'!N94))))</f>
        <v>0.14135710191784442</v>
      </c>
      <c r="S93" s="167">
        <f>IF(AND(O93="NA",P93="NA",Q93="NA"),"NA",IF(O93="NA",'Res-Rec Equations'!$B$75/Q93,IF(Q93="NA",'Res-Rec Equations'!$B$75/(O93+P93),'Res-Rec Equations'!$B$75/(O93+P93+Q93))))</f>
        <v>2.0044839568173005</v>
      </c>
      <c r="T93" s="167">
        <f>IF(AND(O93="NA",P93="NA",R93="NA"),"NA",IF(O93="NA",'Res-Rec Equations'!$B$75/R93,IF(R93="NA",'Res-Rec Equations'!$B$75/(O93+P93),'Res-Rec Equations'!$B$75/(O93+P93+R93))))</f>
        <v>1.3805521640313245</v>
      </c>
      <c r="U93" s="168">
        <f t="shared" ref="U93" si="105">IF(AND(S93="NA",T93="NA"),"NA",MAX(S93,T93))</f>
        <v>2.0044839568173005</v>
      </c>
      <c r="V93" s="167" t="str">
        <f>IF('Chemical Info'!P94="NA","NA",(('Res-Rec Equations'!$B$185*'Res-Rec Equations'!$B$186)/('Res-Rec Equations'!$B$187*'Res-Rec Equations'!$B$188*(1/'Chemical Info'!P94))))</f>
        <v>NA</v>
      </c>
      <c r="W93" s="379" t="str">
        <f t="shared" ref="W93" si="106">IF(V93="NA","NA",IF(V93&gt;100000,100000,IF(ISNUMBER(ROUND(V93*1000000,2-LEN(INT(V93*1000000)))/1000000),ROUND(V93*1000000,2-LEN(INT(V93*1000000)))/1000000,"NA")))</f>
        <v>NA</v>
      </c>
      <c r="X93" s="372">
        <f t="shared" ref="X93" si="107">IF(AND(N93="NA",U93="NA",G93="NA"),"NA",MIN(N93,U93,G93))</f>
        <v>5.3213791060252563E-2</v>
      </c>
      <c r="Y93" s="62">
        <f t="shared" ref="Y93" si="108">IF(X93&gt;100000,100000,IF(ISNUMBER(ROUND(X93*1000000,2-LEN(INT(X93*1000000)))/1000000),ROUND(X93*1000000,2-LEN(INT(X93*1000000)))/1000000,"NA"))</f>
        <v>5.2999999999999999E-2</v>
      </c>
      <c r="Z93" s="100" t="str">
        <f t="shared" ref="Z93" si="109">IF(Y93=100000,"Max Limit",IF(X93=G93,"Csat",IF(X93=N93,"Cancer",IF(X93=V93,"Acute",IF(X93=U93,"Noncancer","")))))</f>
        <v>Cancer</v>
      </c>
      <c r="AA93" s="373"/>
      <c r="AB93" s="376"/>
    </row>
    <row r="94" spans="1:28">
      <c r="A94" s="375" t="s">
        <v>1125</v>
      </c>
      <c r="B94" s="566" t="s">
        <v>1126</v>
      </c>
      <c r="C94" s="367">
        <f>1/(('Res-Rec Equations'!$B$152*3600)/((0.036*(1-'Res-Rec Equations'!$B$153))*('Res-Rec Equations'!$B$154/'Res-Rec Equations'!$B$155)^3*'Res-Rec Equations'!$B$156))</f>
        <v>7.3567680901159717E-10</v>
      </c>
      <c r="D94" s="368">
        <f>(('Res-Rec Equations'!$B$132^(10/3)*'Chemical Info'!$AH95*'Chemical Info'!$AN95*41+'Res-Rec Equations'!$B$135^(10/3)*'Chemical Info'!$AJ95)/'Res-Rec Equations'!$B$137^2)/('Res-Rec Equations'!$B$139*'Chemical Info'!$AL95*'Res-Rec Equations'!$B$142+'Res-Rec Equations'!$B$135+'Res-Rec Equations'!$B$132*'Chemical Info'!$AN95*41)</f>
        <v>1.4294133476944841E-4</v>
      </c>
      <c r="E94" s="368">
        <f>IF(D94=0,"NA",1/(('Res-Rec Equations'!$B$103*(3.14*'Res-Rec Calculations'!$D94*'Res-Rec Equations'!$B$105)^(1/2)*0.0001)/(2*'Res-Rec Equations'!$B$106*'Res-Rec Calculations'!$D94)))</f>
        <v>7.0179052500638487E-5</v>
      </c>
      <c r="F94" s="368">
        <f>IF(D94=0,"NA",(1/('Res-Rec Equations'!$B$117*('Res-Rec Equations'!$B$118*(31500000))/('Res-Rec Equations'!$B$119*'Res-Rec Equations'!$B$120*1000000))))</f>
        <v>6.1914410640015851E-5</v>
      </c>
      <c r="G94" s="167">
        <f>IF('Chemical Info'!E95="Yes",('Chemical Info'!AP95/'Res-Rec Equations'!$B$168)*((('Chemical Info'!AL95*'Res-Rec Equations'!$B$170)*'Res-Rec Equations'!$B$168)+'Res-Rec Equations'!$B$171+('Chemical Info'!AN95*41)*'Res-Rec Equations'!$B$173),"NA")</f>
        <v>292.8865937066667</v>
      </c>
      <c r="H94" s="112" t="str">
        <f>IF('Chemical Info'!H95="NA","NA",IF(AND('Chemical Info'!E95="Yes",'Chemical Info'!D95="Yes"),'Chemical Info'!H95*'Chemical Info'!AD95*'Res-Rec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Info'!E95="Yes",'Chemical Info'!D95=""),'Chemical Info'!H95*'Chemical Info'!AD95*'Res-Rec Equations'!$B$20*'Res-Rec Equations'!$B$23*((('Res-Rec Equations'!$B$26*'Res-Rec Equations'!$B$29)/'Res-Rec Equations'!$B$32)+(('Res-Rec Equations'!$B$27*'Res-Rec Equations'!$B$30)/'Res-Rec Equations'!$B$33)+(('Res-Rec Equations'!$B$28*'Res-Rec Equations'!$B$31)/'Res-Rec Equations'!$B$34)),IF(AND('Chemical Info'!E95="No",'Chemical Info'!D95="Yes"),'Chemical Info'!H95*'Chemical Info'!AD95*'Res-Rec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Info'!E95="No",'Chemical Info'!D95=""),'Chemical Info'!H95*'Chemical Info'!AD95*'Res-Rec Equations'!$B$19*'Res-Rec Equations'!$B$23*((('Res-Rec Equations'!$B$26*'Res-Rec Equations'!$B$29)/'Res-Rec Equations'!$B$32)+(('Res-Rec Equations'!$B$27*'Res-Rec Equations'!$B$30)/'Res-Rec Equations'!$B$33)+(('Res-Rec Equations'!$B$28*'Res-Rec Equations'!$B$31)/'Res-Rec Equations'!$B$34)))))))</f>
        <v>NA</v>
      </c>
      <c r="I94" s="166" t="str">
        <f>IF('Chemical Info'!H95="NA","NA",IF('Chemical Info'!E95="Yes",0,IF('Chemical Info'!D95="Yes",'Chemical Info'!H95/'Chemical Info'!AF95*('Res-Rec Equations'!$B$21*'Chemical Info'!AB95*'Res-Rec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Info'!H95/'Chemical Info'!AF95*('Res-Rec Equations'!$B$21*'Chemical Info'!AB95*'Res-Rec Equations'!$B$23)*((('Res-Rec Equations'!$B$26*'Res-Rec Equations'!$B$37*'Res-Rec Equations'!$B$40)/'Res-Rec Equations'!$B$32)+(('Res-Rec Equations'!$B$27*'Res-Rec Equations'!$B$38*'Res-Rec Equations'!$B$41)/'Res-Rec Equations'!$B$33)+(('Res-Rec Equations'!$B$28*'Res-Rec Equations'!$B$39*'Res-Rec Equations'!$B$42)/'Res-Rec Equations'!$B$34)))))</f>
        <v>NA</v>
      </c>
      <c r="J94" s="369" t="str">
        <f>IF('Chemical Info'!J95="NA","NA",IF(AND(E94="NA",'Chemical Info'!D95="Yes"),'Res-Rec Equations'!$B$22*1000*(('Res-Rec Equations'!$B$26*'Chemical Info'!J95*'Res-Rec Equations'!$B$59)+('Res-Rec Equations'!$B$27*'Chemical Info'!J95*'Res-Rec Equations'!$B$60)+('Res-Rec Equations'!$B$28*'Chemical Info'!J95*'Res-Rec Equations'!$B$61))*'Res-Rec Calculations'!C94,IF(AND(E94="NA",'Chemical Info'!D95=""),'Res-Rec Equations'!$B$22*1000*'Res-Rec Equations'!$B$25*'Chemical Info'!J95*'Res-Rec Calculations'!C94,IF(AND('Chemical Info'!E95="Yes",'Chemical Info'!D95="Yes"),'Res-Rec Equations'!$B$22*1000*(('Res-Rec Equations'!$B$26*'Chemical Info'!J95*'Res-Rec Equations'!$B$59)+('Res-Rec Equations'!$B$27*'Chemical Info'!J95*'Res-Rec Equations'!$B$60)+('Res-Rec Equations'!$B$28*'Chemical Info'!J95*'Res-Rec Equations'!$B$61))*'Res-Rec Calculations'!E94,IF(AND('Chemical Info'!E95="Yes",'Chemical Info'!D95=""),'Res-Rec Equations'!$B$22*1000*'Res-Rec Equations'!$B$25*'Chemical Info'!J95*'Res-Rec Calculations'!E94,IF('Chemical Info'!D95="Yes",'Res-Rec Equations'!$B$22*1000*(('Res-Rec Equations'!$B$26*'Chemical Info'!J95*'Res-Rec Equations'!$B$59)+('Res-Rec Equations'!$B$27*'Chemical Info'!J95*'Res-Rec Equations'!$B$60)+('Res-Rec Equations'!$B$28*'Chemical Info'!J95*'Res-Rec Equations'!$B$61))*('Res-Rec Calculations'!C94+'Res-Rec Calculations'!E94),IF('Chemical Info'!D95="",'Res-Rec Equations'!$B$22*1000*'Res-Rec Equations'!$B$25*'Chemical Info'!J95*('Res-Rec Calculations'!C94+'Res-Rec Calculations'!E94))))))))</f>
        <v>NA</v>
      </c>
      <c r="K94" s="370" t="str">
        <f>IF('Chemical Info'!J95="NA","NA",IF(AND(F94="NA",'Chemical Info'!D95="Yes"),'Res-Rec Equations'!$B$22*1000*(('Res-Rec Equations'!$B$26*'Chemical Info'!J95*'Res-Rec Equations'!$B$59)+('Res-Rec Equations'!$B$27*'Chemical Info'!J95*'Res-Rec Equations'!$B$60)+('Res-Rec Equations'!$B$28*'Chemical Info'!J95*'Res-Rec Equations'!$B$61))*'Res-Rec Calculations'!C94,IF(AND(F94="NA",'Chemical Info'!D95=""),'Res-Rec Equations'!$B$22*1000*'Res-Rec Equations'!$B$25*'Chemical Info'!J95*'Res-Rec Calculations'!C94,IF(AND('Chemical Info'!F95="Yes",'Chemical Info'!D95="Yes"),'Res-Rec Equations'!$B$22*1000*(('Res-Rec Equations'!$B$26*'Chemical Info'!J95*'Res-Rec Equations'!$B$59)+('Res-Rec Equations'!$B$27*'Chemical Info'!J95*'Res-Rec Equations'!$B$60)+('Res-Rec Equations'!$B$28*'Chemical Info'!J95*'Res-Rec Equations'!$B$61))*'Res-Rec Calculations'!F94,IF(AND('Chemical Info'!F95="Yes",'Chemical Info'!D95=""),'Res-Rec Equations'!$B$22*1000*'Res-Rec Equations'!$B$25*'Chemical Info'!J95*'Res-Rec Calculations'!F94,IF('Chemical Info'!D95="Yes",'Res-Rec Equations'!$B$22*1000*(('Res-Rec Equations'!$B$26*'Chemical Info'!J95*'Res-Rec Equations'!$B$59)+('Res-Rec Equations'!$B$27*'Chemical Info'!J95*'Res-Rec Equations'!$B$60)+('Res-Rec Equations'!$B$28*'Chemical Info'!J95*'Res-Rec Equations'!$B$61))*('Res-Rec Calculations'!C94+'Res-Rec Calculations'!F94),IF('Chemical Info'!D95="",'Res-Rec Equations'!$B$22*1000*'Res-Rec Equations'!$B$25*'Chemical Info'!J95*('Res-Rec Calculations'!C94+'Res-Rec Calculations'!F94))))))))</f>
        <v>NA</v>
      </c>
      <c r="L94" s="167" t="str">
        <f>IF(AND(H94="NA",I94="NA",J94="NA"),"NA",IF(H94="NA",'Res-Rec Equations'!$B$15*'Res-Rec Equations'!$B$16/J94,IF(J94="NA",'Res-Rec Equations'!$B$15*'Res-Rec Equations'!$B$16/(H94+I94),'Res-Rec Equations'!$B$15*'Res-Rec Equations'!$B$16/(H94+I94+J94))))</f>
        <v>NA</v>
      </c>
      <c r="M94" s="167" t="str">
        <f>IF(AND(H94="NA",I94="NA",K94="NA"),"NA",IF(H94="NA",'Res-Rec Equations'!$B$15*'Res-Rec Equations'!$B$16/K94,IF(K94="NA",'Res-Rec Equations'!$B$15*'Res-Rec Equations'!$B$16/(H94+I94),'Res-Rec Equations'!$B$15*'Res-Rec Equations'!$B$16/(H94+I94+K94))))</f>
        <v>NA</v>
      </c>
      <c r="N94" s="167" t="str">
        <f t="shared" ref="N94" si="110">IF(AND(L94="NA",M94="NA"),"NA",MAX(L94,M94))</f>
        <v>NA</v>
      </c>
      <c r="O94" s="371">
        <f>IF('Chemical Info'!L95="NA","NA",IF('Chemical Info'!E95="Yes",(('Res-Rec Equations'!$B$76*'Chemical Info'!AD95*'Res-Rec Equations'!$B$78*'Res-Rec Equations'!$B$79*'Res-Rec Equations'!$B$81)/('Res-Rec Equations'!$B$84*'Res-Rec Equations'!$B$85))/'Chemical Info'!L95,(('Res-Rec Equations'!$B$76*'Chemical Info'!AD95*'Res-Rec Equations'!$B$78*'Res-Rec Equations'!$B$79*'Res-Rec Equations'!$B$80)/('Res-Rec Equations'!$B$84*'Res-Rec Equations'!$B$85))/'Chemical Info'!L95))</f>
        <v>7.6103500761035003E-4</v>
      </c>
      <c r="P94" s="166">
        <f>IF('Chemical Info'!L95="NA","NA", IF('Chemical Info'!E95="Yes",0,((('Res-Rec Equations'!$B$87*'Res-Rec Equations'!$B$88*'Res-Rec Equations'!$B$78*'Res-Rec Equations'!$B$82*'Res-Rec Equations'!$B$79*'Chemical Info'!AB95)/('Res-Rec Equations'!$B$84*'Res-Rec Equations'!$B$85))/('Chemical Info'!L95*'Chemical Info'!AF95))))</f>
        <v>0</v>
      </c>
      <c r="Q94" s="166">
        <f>IF('Chemical Info'!N95="NA","NA",IF('Res-Rec Calculations'!E94="NA",(('Res-Rec Equations'!$B$83*'Res-Rec Equations'!$B$79*'Res-Rec Calculations'!C94)/('Res-Rec Equations'!$B$85))/('Chemical Info'!N95),IF('Chemical Info'!E95="Yes",(('Res-Rec Equations'!$B$83*'Res-Rec Equations'!$B$79*'Res-Rec Calculations'!E94)/('Res-Rec Equations'!$B$85))/('Chemical Info'!N95),(('Res-Rec Equations'!$B$83*'Res-Rec Equations'!$B$79*('Res-Rec Calculations'!C94+'Res-Rec Calculations'!E94))/('Res-Rec Equations'!$B$85))/('Chemical Info'!N95))))</f>
        <v>8.0113073630865863E-4</v>
      </c>
      <c r="R94" s="166">
        <f>IF('Chemical Info'!N95="NA","NA",IF('Res-Rec Calculations'!F94="NA",(('Res-Rec Equations'!$B$83*'Res-Rec Equations'!$B$79*'Res-Rec Calculations'!C94)/('Res-Rec Equations'!$B$85))/('Chemical Info'!N95),IF('Chemical Info'!E95="Yes",(('Res-Rec Equations'!$B$83*'Res-Rec Equations'!$B$79*'Res-Rec Calculations'!F94)/('Res-Rec Equations'!$B$85))/('Chemical Info'!N95),(('Res-Rec Equations'!$B$83*'Res-Rec Equations'!$B$79*('Res-Rec Calculations'!C94+'Res-Rec Calculations'!F94))/('Res-Rec Equations'!$B$85))/('Chemical Info'!N95))))</f>
        <v>7.0678550958922209E-4</v>
      </c>
      <c r="S94" s="167">
        <f>IF(AND(O94="NA",P94="NA",Q94="NA"),"NA",IF(O94="NA",'Res-Rec Equations'!$B$75/Q94,IF(Q94="NA",'Res-Rec Equations'!$B$75/(O94+P94),'Res-Rec Equations'!$B$75/(O94+P94+Q94))))</f>
        <v>128.0273881171274</v>
      </c>
      <c r="T94" s="167">
        <f>IF(AND(O94="NA",P94="NA",R94="NA"),"NA",IF(O94="NA",'Res-Rec Equations'!$B$75/R94,IF(R94="NA",'Res-Rec Equations'!$B$75/(O94+P94),'Res-Rec Equations'!$B$75/(O94+P94+R94))))</f>
        <v>136.25644120411692</v>
      </c>
      <c r="U94" s="168">
        <f t="shared" ref="U94" si="111">IF(AND(S94="NA",T94="NA"),"NA",MAX(S94,T94))</f>
        <v>136.25644120411692</v>
      </c>
      <c r="V94" s="167" t="str">
        <f>IF('Chemical Info'!P95="NA","NA",(('Res-Rec Equations'!$B$185*'Res-Rec Equations'!$B$186)/('Res-Rec Equations'!$B$187*'Res-Rec Equations'!$B$188*(1/'Chemical Info'!P95))))</f>
        <v>NA</v>
      </c>
      <c r="W94" s="379" t="str">
        <f t="shared" ref="W94" si="112">IF(V94="NA","NA",IF(V94&gt;100000,100000,IF(ISNUMBER(ROUND(V94*1000000,2-LEN(INT(V94*1000000)))/1000000),ROUND(V94*1000000,2-LEN(INT(V94*1000000)))/1000000,"NA")))</f>
        <v>NA</v>
      </c>
      <c r="X94" s="372">
        <f t="shared" ref="X94" si="113">IF(AND(N94="NA",U94="NA",G94="NA"),"NA",MIN(N94,U94,G94))</f>
        <v>136.25644120411692</v>
      </c>
      <c r="Y94" s="62">
        <f t="shared" ref="Y94" si="114">IF(X94&gt;100000,100000,IF(ISNUMBER(ROUND(X94*1000000,2-LEN(INT(X94*1000000)))/1000000),ROUND(X94*1000000,2-LEN(INT(X94*1000000)))/1000000,"NA"))</f>
        <v>140</v>
      </c>
      <c r="Z94" s="100" t="str">
        <f t="shared" ref="Z94" si="115">IF(Y94=100000,"Max Limit",IF(X94=G94,"Csat",IF(X94=N94,"Cancer",IF(X94=V94,"Acute",IF(X94=U94,"Noncancer","")))))</f>
        <v>Noncancer</v>
      </c>
      <c r="AA94" s="373"/>
      <c r="AB94" s="376"/>
    </row>
    <row r="95" spans="1:28">
      <c r="A95" s="373" t="s">
        <v>380</v>
      </c>
      <c r="B95" s="566" t="s">
        <v>209</v>
      </c>
      <c r="C95" s="367">
        <f>1/(('Res-Rec Equations'!$B$152*3600)/((0.036*(1-'Res-Rec Equations'!$B$153))*('Res-Rec Equations'!$B$154/'Res-Rec Equations'!$B$155)^3*'Res-Rec Equations'!$B$156))</f>
        <v>7.3567680901159717E-10</v>
      </c>
      <c r="D95" s="368">
        <f>(('Res-Rec Equations'!$B$132^(10/3)*'Chemical Info'!$AH96*'Chemical Info'!$AN96*41+'Res-Rec Equations'!$B$135^(10/3)*'Chemical Info'!$AJ96)/'Res-Rec Equations'!$B$137^2)/('Res-Rec Equations'!$B$139*'Chemical Info'!$AL96*'Res-Rec Equations'!$B$142+'Res-Rec Equations'!$B$135+'Res-Rec Equations'!$B$132*'Chemical Info'!$AN96*41)</f>
        <v>2.0326890962785459E-4</v>
      </c>
      <c r="E95" s="368">
        <f>IF(D95=0,"NA",1/(('Res-Rec Equations'!$B$103*(3.14*'Res-Rec Calculations'!$D95*'Res-Rec Equations'!$B$105)^(1/2)*0.0001)/(2*'Res-Rec Equations'!$B$106*'Res-Rec Calculations'!$D95)))</f>
        <v>8.3688168328105024E-5</v>
      </c>
      <c r="F95" s="368">
        <f>IF(D95=0,"NA",(1/('Res-Rec Equations'!$B$117*('Res-Rec Equations'!$B$118*(31500000))/('Res-Rec Equations'!$B$119*'Res-Rec Equations'!$B$120*1000000))))</f>
        <v>6.1914410640015851E-5</v>
      </c>
      <c r="G95" s="167">
        <f>IF('Chemical Info'!E96="Yes",('Chemical Info'!AP96/'Res-Rec Equations'!$B$168)*((('Chemical Info'!AL96*'Res-Rec Equations'!$B$170)*'Res-Rec Equations'!$B$168)+'Res-Rec Equations'!$B$171+('Chemical Info'!AN96*41)*'Res-Rec Equations'!$B$173),"NA")</f>
        <v>218.4778384</v>
      </c>
      <c r="H95" s="112" t="str">
        <f>IF('Chemical Info'!H96="NA","NA",IF(AND('Chemical Info'!E96="Yes",'Chemical Info'!D96="Yes"),'Chemical Info'!H96*'Chemical Info'!AD96*'Res-Rec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Info'!E96="Yes",'Chemical Info'!D96=""),'Chemical Info'!H96*'Chemical Info'!AD96*'Res-Rec Equations'!$B$20*'Res-Rec Equations'!$B$23*((('Res-Rec Equations'!$B$26*'Res-Rec Equations'!$B$29)/'Res-Rec Equations'!$B$32)+(('Res-Rec Equations'!$B$27*'Res-Rec Equations'!$B$30)/'Res-Rec Equations'!$B$33)+(('Res-Rec Equations'!$B$28*'Res-Rec Equations'!$B$31)/'Res-Rec Equations'!$B$34)),IF(AND('Chemical Info'!E96="No",'Chemical Info'!D96="Yes"),'Chemical Info'!H96*'Chemical Info'!AD96*'Res-Rec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Info'!E96="No",'Chemical Info'!D96=""),'Chemical Info'!H96*'Chemical Info'!AD96*'Res-Rec Equations'!$B$19*'Res-Rec Equations'!$B$23*((('Res-Rec Equations'!$B$26*'Res-Rec Equations'!$B$29)/'Res-Rec Equations'!$B$32)+(('Res-Rec Equations'!$B$27*'Res-Rec Equations'!$B$30)/'Res-Rec Equations'!$B$33)+(('Res-Rec Equations'!$B$28*'Res-Rec Equations'!$B$31)/'Res-Rec Equations'!$B$34)))))))</f>
        <v>NA</v>
      </c>
      <c r="I95" s="166" t="str">
        <f>IF('Chemical Info'!H96="NA","NA",IF('Chemical Info'!E96="Yes",0,IF('Chemical Info'!D96="Yes",'Chemical Info'!H96/'Chemical Info'!AF96*('Res-Rec Equations'!$B$21*'Chemical Info'!AB96*'Res-Rec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Info'!H96/'Chemical Info'!AF96*('Res-Rec Equations'!$B$21*'Chemical Info'!AB96*'Res-Rec Equations'!$B$23)*((('Res-Rec Equations'!$B$26*'Res-Rec Equations'!$B$37*'Res-Rec Equations'!$B$40)/'Res-Rec Equations'!$B$32)+(('Res-Rec Equations'!$B$27*'Res-Rec Equations'!$B$38*'Res-Rec Equations'!$B$41)/'Res-Rec Equations'!$B$33)+(('Res-Rec Equations'!$B$28*'Res-Rec Equations'!$B$39*'Res-Rec Equations'!$B$42)/'Res-Rec Equations'!$B$34)))))</f>
        <v>NA</v>
      </c>
      <c r="J95" s="369" t="str">
        <f>IF('Chemical Info'!J96="NA","NA",IF(AND(E95="NA",'Chemical Info'!D96="Yes"),'Res-Rec Equations'!$B$22*1000*(('Res-Rec Equations'!$B$26*'Chemical Info'!J96*'Res-Rec Equations'!$B$59)+('Res-Rec Equations'!$B$27*'Chemical Info'!J96*'Res-Rec Equations'!$B$60)+('Res-Rec Equations'!$B$28*'Chemical Info'!J96*'Res-Rec Equations'!$B$61))*'Res-Rec Calculations'!C95,IF(AND(E95="NA",'Chemical Info'!D96=""),'Res-Rec Equations'!$B$22*1000*'Res-Rec Equations'!$B$25*'Chemical Info'!J96*'Res-Rec Calculations'!C95,IF(AND('Chemical Info'!E96="Yes",'Chemical Info'!D96="Yes"),'Res-Rec Equations'!$B$22*1000*(('Res-Rec Equations'!$B$26*'Chemical Info'!J96*'Res-Rec Equations'!$B$59)+('Res-Rec Equations'!$B$27*'Chemical Info'!J96*'Res-Rec Equations'!$B$60)+('Res-Rec Equations'!$B$28*'Chemical Info'!J96*'Res-Rec Equations'!$B$61))*'Res-Rec Calculations'!E95,IF(AND('Chemical Info'!E96="Yes",'Chemical Info'!D96=""),'Res-Rec Equations'!$B$22*1000*'Res-Rec Equations'!$B$25*'Chemical Info'!J96*'Res-Rec Calculations'!E95,IF('Chemical Info'!D96="Yes",'Res-Rec Equations'!$B$22*1000*(('Res-Rec Equations'!$B$26*'Chemical Info'!J96*'Res-Rec Equations'!$B$59)+('Res-Rec Equations'!$B$27*'Chemical Info'!J96*'Res-Rec Equations'!$B$60)+('Res-Rec Equations'!$B$28*'Chemical Info'!J96*'Res-Rec Equations'!$B$61))*('Res-Rec Calculations'!C95+'Res-Rec Calculations'!E95),IF('Chemical Info'!D96="",'Res-Rec Equations'!$B$22*1000*'Res-Rec Equations'!$B$25*'Chemical Info'!J96*('Res-Rec Calculations'!C95+'Res-Rec Calculations'!E95))))))))</f>
        <v>NA</v>
      </c>
      <c r="K95" s="370" t="str">
        <f>IF('Chemical Info'!J96="NA","NA",IF(AND(F95="NA",'Chemical Info'!D96="Yes"),'Res-Rec Equations'!$B$22*1000*(('Res-Rec Equations'!$B$26*'Chemical Info'!J96*'Res-Rec Equations'!$B$59)+('Res-Rec Equations'!$B$27*'Chemical Info'!J96*'Res-Rec Equations'!$B$60)+('Res-Rec Equations'!$B$28*'Chemical Info'!J96*'Res-Rec Equations'!$B$61))*'Res-Rec Calculations'!C95,IF(AND(F95="NA",'Chemical Info'!D96=""),'Res-Rec Equations'!$B$22*1000*'Res-Rec Equations'!$B$25*'Chemical Info'!J96*'Res-Rec Calculations'!C95,IF(AND('Chemical Info'!F96="Yes",'Chemical Info'!D96="Yes"),'Res-Rec Equations'!$B$22*1000*(('Res-Rec Equations'!$B$26*'Chemical Info'!J96*'Res-Rec Equations'!$B$59)+('Res-Rec Equations'!$B$27*'Chemical Info'!J96*'Res-Rec Equations'!$B$60)+('Res-Rec Equations'!$B$28*'Chemical Info'!J96*'Res-Rec Equations'!$B$61))*'Res-Rec Calculations'!F95,IF(AND('Chemical Info'!F96="Yes",'Chemical Info'!D96=""),'Res-Rec Equations'!$B$22*1000*'Res-Rec Equations'!$B$25*'Chemical Info'!J96*'Res-Rec Calculations'!F95,IF('Chemical Info'!D96="Yes",'Res-Rec Equations'!$B$22*1000*(('Res-Rec Equations'!$B$26*'Chemical Info'!J96*'Res-Rec Equations'!$B$59)+('Res-Rec Equations'!$B$27*'Chemical Info'!J96*'Res-Rec Equations'!$B$60)+('Res-Rec Equations'!$B$28*'Chemical Info'!J96*'Res-Rec Equations'!$B$61))*('Res-Rec Calculations'!C95+'Res-Rec Calculations'!F95),IF('Chemical Info'!D96="",'Res-Rec Equations'!$B$22*1000*'Res-Rec Equations'!$B$25*'Chemical Info'!J96*('Res-Rec Calculations'!C95+'Res-Rec Calculations'!F95))))))))</f>
        <v>NA</v>
      </c>
      <c r="L95" s="167" t="str">
        <f>IF(AND(H95="NA",I95="NA",J95="NA"),"NA",IF(H95="NA",'Res-Rec Equations'!$B$15*'Res-Rec Equations'!$B$16/J95,IF(J95="NA",'Res-Rec Equations'!$B$15*'Res-Rec Equations'!$B$16/(H95+I95),'Res-Rec Equations'!$B$15*'Res-Rec Equations'!$B$16/(H95+I95+J95))))</f>
        <v>NA</v>
      </c>
      <c r="M95" s="167" t="str">
        <f>IF(AND(H95="NA",I95="NA",K95="NA"),"NA",IF(H95="NA",'Res-Rec Equations'!$B$15*'Res-Rec Equations'!$B$16/K95,IF(K95="NA",'Res-Rec Equations'!$B$15*'Res-Rec Equations'!$B$16/(H95+I95),'Res-Rec Equations'!$B$15*'Res-Rec Equations'!$B$16/(H95+I95+K95))))</f>
        <v>NA</v>
      </c>
      <c r="N95" s="167" t="str">
        <f t="shared" si="14"/>
        <v>NA</v>
      </c>
      <c r="O95" s="371">
        <f>IF('Chemical Info'!L96="NA","NA",IF('Chemical Info'!E96="Yes",(('Res-Rec Equations'!$B$76*'Chemical Info'!AD96*'Res-Rec Equations'!$B$78*'Res-Rec Equations'!$B$79*'Res-Rec Equations'!$B$81)/('Res-Rec Equations'!$B$84*'Res-Rec Equations'!$B$85))/'Chemical Info'!L96,(('Res-Rec Equations'!$B$76*'Chemical Info'!AD96*'Res-Rec Equations'!$B$78*'Res-Rec Equations'!$B$79*'Res-Rec Equations'!$B$80)/('Res-Rec Equations'!$B$84*'Res-Rec Equations'!$B$85))/'Chemical Info'!L96))</f>
        <v>7.6103500761035003E-4</v>
      </c>
      <c r="P95" s="166">
        <f>IF('Chemical Info'!L96="NA","NA", IF('Chemical Info'!E96="Yes",0,((('Res-Rec Equations'!$B$87*'Res-Rec Equations'!$B$88*'Res-Rec Equations'!$B$78*'Res-Rec Equations'!$B$82*'Res-Rec Equations'!$B$79*'Chemical Info'!AB96)/('Res-Rec Equations'!$B$84*'Res-Rec Equations'!$B$85))/('Chemical Info'!L96*'Chemical Info'!AF96))))</f>
        <v>0</v>
      </c>
      <c r="Q95" s="166">
        <f>IF('Chemical Info'!N96="NA","NA",IF('Res-Rec Calculations'!E95="NA",(('Res-Rec Equations'!$B$83*'Res-Rec Equations'!$B$79*'Res-Rec Calculations'!C95)/('Res-Rec Equations'!$B$85))/('Chemical Info'!N96),IF('Chemical Info'!E96="Yes",(('Res-Rec Equations'!$B$83*'Res-Rec Equations'!$B$79*'Res-Rec Calculations'!E95)/('Res-Rec Equations'!$B$85))/('Chemical Info'!N96),(('Res-Rec Equations'!$B$83*'Res-Rec Equations'!$B$79*('Res-Rec Calculations'!C95+'Res-Rec Calculations'!E95))/('Res-Rec Equations'!$B$85))/('Chemical Info'!N96))))</f>
        <v>9.5534438730713515E-4</v>
      </c>
      <c r="R95" s="166">
        <f>IF('Chemical Info'!N96="NA","NA",IF('Res-Rec Calculations'!F95="NA",(('Res-Rec Equations'!$B$83*'Res-Rec Equations'!$B$79*'Res-Rec Calculations'!C95)/('Res-Rec Equations'!$B$85))/('Chemical Info'!N96),IF('Chemical Info'!E96="Yes",(('Res-Rec Equations'!$B$83*'Res-Rec Equations'!$B$79*'Res-Rec Calculations'!F95)/('Res-Rec Equations'!$B$85))/('Chemical Info'!N96),(('Res-Rec Equations'!$B$83*'Res-Rec Equations'!$B$79*('Res-Rec Calculations'!C95+'Res-Rec Calculations'!F95))/('Res-Rec Equations'!$B$85))/('Chemical Info'!N96))))</f>
        <v>7.0678550958922209E-4</v>
      </c>
      <c r="S95" s="167">
        <f>IF(AND(O95="NA",P95="NA",Q95="NA"),"NA",IF(O95="NA",'Res-Rec Equations'!$B$75/Q95,IF(Q95="NA",'Res-Rec Equations'!$B$75/(O95+P95),'Res-Rec Equations'!$B$75/(O95+P95+Q95))))</f>
        <v>116.52435387667597</v>
      </c>
      <c r="T95" s="167">
        <f>IF(AND(O95="NA",P95="NA",R95="NA"),"NA",IF(O95="NA",'Res-Rec Equations'!$B$75/R95,IF(R95="NA",'Res-Rec Equations'!$B$75/(O95+P95),'Res-Rec Equations'!$B$75/(O95+P95+R95))))</f>
        <v>136.25644120411692</v>
      </c>
      <c r="U95" s="168">
        <f t="shared" si="15"/>
        <v>136.25644120411692</v>
      </c>
      <c r="V95" s="167" t="str">
        <f>IF('Chemical Info'!P96="NA","NA",(('Res-Rec Equations'!$B$185*'Res-Rec Equations'!$B$186)/('Res-Rec Equations'!$B$187*'Res-Rec Equations'!$B$188*(1/'Chemical Info'!P96))))</f>
        <v>NA</v>
      </c>
      <c r="W95" s="379" t="str">
        <f t="shared" si="16"/>
        <v>NA</v>
      </c>
      <c r="X95" s="372">
        <f t="shared" si="17"/>
        <v>136.25644120411692</v>
      </c>
      <c r="Y95" s="62">
        <f t="shared" si="18"/>
        <v>140</v>
      </c>
      <c r="Z95" s="100" t="str">
        <f t="shared" si="19"/>
        <v>Noncancer</v>
      </c>
      <c r="AA95" s="373"/>
    </row>
    <row r="96" spans="1:28">
      <c r="A96" s="373" t="s">
        <v>381</v>
      </c>
      <c r="B96" s="566" t="s">
        <v>210</v>
      </c>
      <c r="C96" s="367">
        <f>1/(('Res-Rec Equations'!$B$152*3600)/((0.036*(1-'Res-Rec Equations'!$B$153))*('Res-Rec Equations'!$B$154/'Res-Rec Equations'!$B$155)^3*'Res-Rec Equations'!$B$156))</f>
        <v>7.3567680901159717E-10</v>
      </c>
      <c r="D96" s="368">
        <f>(('Res-Rec Equations'!$B$132^(10/3)*'Chemical Info'!$AH97*'Chemical Info'!$AN97*41+'Res-Rec Equations'!$B$135^(10/3)*'Chemical Info'!$AJ97)/'Res-Rec Equations'!$B$137^2)/('Res-Rec Equations'!$B$139*'Chemical Info'!$AL97*'Res-Rec Equations'!$B$142+'Res-Rec Equations'!$B$135+'Res-Rec Equations'!$B$132*'Chemical Info'!$AN97*41)</f>
        <v>2.9128714792472416E-4</v>
      </c>
      <c r="E96" s="368">
        <f>IF(D96=0,"NA",1/(('Res-Rec Equations'!$B$103*(3.14*'Res-Rec Calculations'!$D96*'Res-Rec Equations'!$B$105)^(1/2)*0.0001)/(2*'Res-Rec Equations'!$B$106*'Res-Rec Calculations'!$D96)))</f>
        <v>1.0018189571621688E-4</v>
      </c>
      <c r="F96" s="368">
        <f>IF(D96=0,"NA",(1/('Res-Rec Equations'!$B$117*('Res-Rec Equations'!$B$118*(31500000))/('Res-Rec Equations'!$B$119*'Res-Rec Equations'!$B$120*1000000))))</f>
        <v>6.1914410640015851E-5</v>
      </c>
      <c r="G96" s="167">
        <f>IF('Chemical Info'!E97="Yes",('Chemical Info'!AP97/'Res-Rec Equations'!$B$168)*((('Chemical Info'!AL97*'Res-Rec Equations'!$B$170)*'Res-Rec Equations'!$B$168)+'Res-Rec Equations'!$B$171+('Chemical Info'!AN97*41)*'Res-Rec Equations'!$B$173),"NA")</f>
        <v>182.18249114666668</v>
      </c>
      <c r="H96" s="112" t="str">
        <f>IF('Chemical Info'!H97="NA","NA",IF(AND('Chemical Info'!E97="Yes",'Chemical Info'!D97="Yes"),'Chemical Info'!H97*'Chemical Info'!AD97*'Res-Rec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Info'!E97="Yes",'Chemical Info'!D97=""),'Chemical Info'!H97*'Chemical Info'!AD97*'Res-Rec Equations'!$B$20*'Res-Rec Equations'!$B$23*((('Res-Rec Equations'!$B$26*'Res-Rec Equations'!$B$29)/'Res-Rec Equations'!$B$32)+(('Res-Rec Equations'!$B$27*'Res-Rec Equations'!$B$30)/'Res-Rec Equations'!$B$33)+(('Res-Rec Equations'!$B$28*'Res-Rec Equations'!$B$31)/'Res-Rec Equations'!$B$34)),IF(AND('Chemical Info'!E97="No",'Chemical Info'!D97="Yes"),'Chemical Info'!H97*'Chemical Info'!AD97*'Res-Rec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Info'!E97="No",'Chemical Info'!D97=""),'Chemical Info'!H97*'Chemical Info'!AD97*'Res-Rec Equations'!$B$19*'Res-Rec Equations'!$B$23*((('Res-Rec Equations'!$B$26*'Res-Rec Equations'!$B$29)/'Res-Rec Equations'!$B$32)+(('Res-Rec Equations'!$B$27*'Res-Rec Equations'!$B$30)/'Res-Rec Equations'!$B$33)+(('Res-Rec Equations'!$B$28*'Res-Rec Equations'!$B$31)/'Res-Rec Equations'!$B$34)))))))</f>
        <v>NA</v>
      </c>
      <c r="I96" s="166" t="str">
        <f>IF('Chemical Info'!H97="NA","NA",IF('Chemical Info'!E97="Yes",0,IF('Chemical Info'!D97="Yes",'Chemical Info'!H97/'Chemical Info'!AF97*('Res-Rec Equations'!$B$21*'Chemical Info'!AB97*'Res-Rec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Info'!H97/'Chemical Info'!AF97*('Res-Rec Equations'!$B$21*'Chemical Info'!AB97*'Res-Rec Equations'!$B$23)*((('Res-Rec Equations'!$B$26*'Res-Rec Equations'!$B$37*'Res-Rec Equations'!$B$40)/'Res-Rec Equations'!$B$32)+(('Res-Rec Equations'!$B$27*'Res-Rec Equations'!$B$38*'Res-Rec Equations'!$B$41)/'Res-Rec Equations'!$B$33)+(('Res-Rec Equations'!$B$28*'Res-Rec Equations'!$B$39*'Res-Rec Equations'!$B$42)/'Res-Rec Equations'!$B$34)))))</f>
        <v>NA</v>
      </c>
      <c r="J96" s="369" t="str">
        <f>IF('Chemical Info'!J97="NA","NA",IF(AND(E96="NA",'Chemical Info'!D97="Yes"),'Res-Rec Equations'!$B$22*1000*(('Res-Rec Equations'!$B$26*'Chemical Info'!J97*'Res-Rec Equations'!$B$59)+('Res-Rec Equations'!$B$27*'Chemical Info'!J97*'Res-Rec Equations'!$B$60)+('Res-Rec Equations'!$B$28*'Chemical Info'!J97*'Res-Rec Equations'!$B$61))*'Res-Rec Calculations'!C96,IF(AND(E96="NA",'Chemical Info'!D97=""),'Res-Rec Equations'!$B$22*1000*'Res-Rec Equations'!$B$25*'Chemical Info'!J97*'Res-Rec Calculations'!C96,IF(AND('Chemical Info'!E97="Yes",'Chemical Info'!D97="Yes"),'Res-Rec Equations'!$B$22*1000*(('Res-Rec Equations'!$B$26*'Chemical Info'!J97*'Res-Rec Equations'!$B$59)+('Res-Rec Equations'!$B$27*'Chemical Info'!J97*'Res-Rec Equations'!$B$60)+('Res-Rec Equations'!$B$28*'Chemical Info'!J97*'Res-Rec Equations'!$B$61))*'Res-Rec Calculations'!E96,IF(AND('Chemical Info'!E97="Yes",'Chemical Info'!D97=""),'Res-Rec Equations'!$B$22*1000*'Res-Rec Equations'!$B$25*'Chemical Info'!J97*'Res-Rec Calculations'!E96,IF('Chemical Info'!D97="Yes",'Res-Rec Equations'!$B$22*1000*(('Res-Rec Equations'!$B$26*'Chemical Info'!J97*'Res-Rec Equations'!$B$59)+('Res-Rec Equations'!$B$27*'Chemical Info'!J97*'Res-Rec Equations'!$B$60)+('Res-Rec Equations'!$B$28*'Chemical Info'!J97*'Res-Rec Equations'!$B$61))*('Res-Rec Calculations'!C96+'Res-Rec Calculations'!E96),IF('Chemical Info'!D97="",'Res-Rec Equations'!$B$22*1000*'Res-Rec Equations'!$B$25*'Chemical Info'!J97*('Res-Rec Calculations'!C96+'Res-Rec Calculations'!E96))))))))</f>
        <v>NA</v>
      </c>
      <c r="K96" s="370" t="str">
        <f>IF('Chemical Info'!J97="NA","NA",IF(AND(F96="NA",'Chemical Info'!D97="Yes"),'Res-Rec Equations'!$B$22*1000*(('Res-Rec Equations'!$B$26*'Chemical Info'!J97*'Res-Rec Equations'!$B$59)+('Res-Rec Equations'!$B$27*'Chemical Info'!J97*'Res-Rec Equations'!$B$60)+('Res-Rec Equations'!$B$28*'Chemical Info'!J97*'Res-Rec Equations'!$B$61))*'Res-Rec Calculations'!C96,IF(AND(F96="NA",'Chemical Info'!D97=""),'Res-Rec Equations'!$B$22*1000*'Res-Rec Equations'!$B$25*'Chemical Info'!J97*'Res-Rec Calculations'!C96,IF(AND('Chemical Info'!F97="Yes",'Chemical Info'!D97="Yes"),'Res-Rec Equations'!$B$22*1000*(('Res-Rec Equations'!$B$26*'Chemical Info'!J97*'Res-Rec Equations'!$B$59)+('Res-Rec Equations'!$B$27*'Chemical Info'!J97*'Res-Rec Equations'!$B$60)+('Res-Rec Equations'!$B$28*'Chemical Info'!J97*'Res-Rec Equations'!$B$61))*'Res-Rec Calculations'!F96,IF(AND('Chemical Info'!F97="Yes",'Chemical Info'!D97=""),'Res-Rec Equations'!$B$22*1000*'Res-Rec Equations'!$B$25*'Chemical Info'!J97*'Res-Rec Calculations'!F96,IF('Chemical Info'!D97="Yes",'Res-Rec Equations'!$B$22*1000*(('Res-Rec Equations'!$B$26*'Chemical Info'!J97*'Res-Rec Equations'!$B$59)+('Res-Rec Equations'!$B$27*'Chemical Info'!J97*'Res-Rec Equations'!$B$60)+('Res-Rec Equations'!$B$28*'Chemical Info'!J97*'Res-Rec Equations'!$B$61))*('Res-Rec Calculations'!C96+'Res-Rec Calculations'!F96),IF('Chemical Info'!D97="",'Res-Rec Equations'!$B$22*1000*'Res-Rec Equations'!$B$25*'Chemical Info'!J97*('Res-Rec Calculations'!C96+'Res-Rec Calculations'!F96))))))))</f>
        <v>NA</v>
      </c>
      <c r="L96" s="167" t="str">
        <f>IF(AND(H96="NA",I96="NA",J96="NA"),"NA",IF(H96="NA",'Res-Rec Equations'!$B$15*'Res-Rec Equations'!$B$16/J96,IF(J96="NA",'Res-Rec Equations'!$B$15*'Res-Rec Equations'!$B$16/(H96+I96),'Res-Rec Equations'!$B$15*'Res-Rec Equations'!$B$16/(H96+I96+J96))))</f>
        <v>NA</v>
      </c>
      <c r="M96" s="167" t="str">
        <f>IF(AND(H96="NA",I96="NA",K96="NA"),"NA",IF(H96="NA",'Res-Rec Equations'!$B$15*'Res-Rec Equations'!$B$16/K96,IF(K96="NA",'Res-Rec Equations'!$B$15*'Res-Rec Equations'!$B$16/(H96+I96),'Res-Rec Equations'!$B$15*'Res-Rec Equations'!$B$16/(H96+I96+K96))))</f>
        <v>NA</v>
      </c>
      <c r="N96" s="167" t="str">
        <f t="shared" si="14"/>
        <v>NA</v>
      </c>
      <c r="O96" s="371">
        <f>IF('Chemical Info'!L97="NA","NA",IF('Chemical Info'!E97="Yes",(('Res-Rec Equations'!$B$76*'Chemical Info'!AD97*'Res-Rec Equations'!$B$78*'Res-Rec Equations'!$B$79*'Res-Rec Equations'!$B$81)/('Res-Rec Equations'!$B$84*'Res-Rec Equations'!$B$85))/'Chemical Info'!L97,(('Res-Rec Equations'!$B$76*'Chemical Info'!AD97*'Res-Rec Equations'!$B$78*'Res-Rec Equations'!$B$79*'Res-Rec Equations'!$B$80)/('Res-Rec Equations'!$B$84*'Res-Rec Equations'!$B$85))/'Chemical Info'!L97))</f>
        <v>7.6103500761035003E-4</v>
      </c>
      <c r="P96" s="166">
        <f>IF('Chemical Info'!L97="NA","NA", IF('Chemical Info'!E97="Yes",0,((('Res-Rec Equations'!$B$87*'Res-Rec Equations'!$B$88*'Res-Rec Equations'!$B$78*'Res-Rec Equations'!$B$82*'Res-Rec Equations'!$B$79*'Chemical Info'!AB97)/('Res-Rec Equations'!$B$84*'Res-Rec Equations'!$B$85))/('Chemical Info'!L97*'Chemical Info'!AF97))))</f>
        <v>0</v>
      </c>
      <c r="Q96" s="166">
        <f>IF('Chemical Info'!N97="NA","NA",IF('Res-Rec Calculations'!E96="NA",(('Res-Rec Equations'!$B$83*'Res-Rec Equations'!$B$79*'Res-Rec Calculations'!C96)/('Res-Rec Equations'!$B$85))/('Chemical Info'!N97),IF('Chemical Info'!E97="Yes",(('Res-Rec Equations'!$B$83*'Res-Rec Equations'!$B$79*'Res-Rec Calculations'!E96)/('Res-Rec Equations'!$B$85))/('Chemical Info'!N97),(('Res-Rec Equations'!$B$83*'Res-Rec Equations'!$B$79*('Res-Rec Calculations'!C96+'Res-Rec Calculations'!E96))/('Res-Rec Equations'!$B$85))/('Chemical Info'!N97))))</f>
        <v>1.1436289465321563E-3</v>
      </c>
      <c r="R96" s="166">
        <f>IF('Chemical Info'!N97="NA","NA",IF('Res-Rec Calculations'!F96="NA",(('Res-Rec Equations'!$B$83*'Res-Rec Equations'!$B$79*'Res-Rec Calculations'!C96)/('Res-Rec Equations'!$B$85))/('Chemical Info'!N97),IF('Chemical Info'!E97="Yes",(('Res-Rec Equations'!$B$83*'Res-Rec Equations'!$B$79*'Res-Rec Calculations'!F96)/('Res-Rec Equations'!$B$85))/('Chemical Info'!N97),(('Res-Rec Equations'!$B$83*'Res-Rec Equations'!$B$79*('Res-Rec Calculations'!C96+'Res-Rec Calculations'!F96))/('Res-Rec Equations'!$B$85))/('Chemical Info'!N97))))</f>
        <v>7.0678550958922209E-4</v>
      </c>
      <c r="S96" s="167">
        <f>IF(AND(O96="NA",P96="NA",Q96="NA"),"NA",IF(O96="NA",'Res-Rec Equations'!$B$75/Q96,IF(Q96="NA",'Res-Rec Equations'!$B$75/(O96+P96),'Res-Rec Equations'!$B$75/(O96+P96+Q96))))</f>
        <v>105.00539980557436</v>
      </c>
      <c r="T96" s="167">
        <f>IF(AND(O96="NA",P96="NA",R96="NA"),"NA",IF(O96="NA",'Res-Rec Equations'!$B$75/R96,IF(R96="NA",'Res-Rec Equations'!$B$75/(O96+P96),'Res-Rec Equations'!$B$75/(O96+P96+R96))))</f>
        <v>136.25644120411692</v>
      </c>
      <c r="U96" s="168">
        <f t="shared" si="15"/>
        <v>136.25644120411692</v>
      </c>
      <c r="V96" s="167" t="str">
        <f>IF('Chemical Info'!P97="NA","NA",(('Res-Rec Equations'!$B$185*'Res-Rec Equations'!$B$186)/('Res-Rec Equations'!$B$187*'Res-Rec Equations'!$B$188*(1/'Chemical Info'!P97))))</f>
        <v>NA</v>
      </c>
      <c r="W96" s="379" t="str">
        <f t="shared" si="16"/>
        <v>NA</v>
      </c>
      <c r="X96" s="372">
        <f t="shared" si="17"/>
        <v>136.25644120411692</v>
      </c>
      <c r="Y96" s="62">
        <f t="shared" si="18"/>
        <v>140</v>
      </c>
      <c r="Z96" s="100" t="str">
        <f t="shared" si="19"/>
        <v>Noncancer</v>
      </c>
      <c r="AA96" s="373"/>
    </row>
    <row r="97" spans="1:28" s="420" customFormat="1" ht="12">
      <c r="A97" s="659" t="s">
        <v>550</v>
      </c>
      <c r="B97" s="566" t="s">
        <v>212</v>
      </c>
      <c r="C97" s="367">
        <f>1/(('Res-Rec Equations'!$B$152*3600)/((0.036*(1-'Res-Rec Equations'!$B$153))*('Res-Rec Equations'!$B$154/'Res-Rec Equations'!$B$155)^3*'Res-Rec Equations'!$B$156))</f>
        <v>7.3567680901159717E-10</v>
      </c>
      <c r="D97" s="368">
        <f>(('Res-Rec Equations'!$B$132^(10/3)*'Chemical Info'!$AH98*'Chemical Info'!$AN98*41+'Res-Rec Equations'!$B$135^(10/3)*'Chemical Info'!$AJ98)/'Res-Rec Equations'!$B$137^2)/('Res-Rec Equations'!$B$139*'Chemical Info'!$AL98*'Res-Rec Equations'!$B$142+'Res-Rec Equations'!$B$135+'Res-Rec Equations'!$B$132*'Chemical Info'!$AN98*41)</f>
        <v>1.4007310825539181E-2</v>
      </c>
      <c r="E97" s="368">
        <f>IF(D97=0,"NA",1/(('Res-Rec Equations'!$B$103*(3.14*'Res-Rec Calculations'!$D97*'Res-Rec Equations'!$B$105)^(1/2)*0.0001)/(2*'Res-Rec Equations'!$B$106*'Res-Rec Calculations'!$D97)))</f>
        <v>6.9471386536280259E-4</v>
      </c>
      <c r="F97" s="368">
        <f>IF(D97=0,"NA",(1/('Res-Rec Equations'!$B$117*('Res-Rec Equations'!$B$118*(31500000))/('Res-Rec Equations'!$B$119*'Res-Rec Equations'!$B$120*1000000))))</f>
        <v>6.1914410640015851E-5</v>
      </c>
      <c r="G97" s="167">
        <f>IF('Chemical Info'!E98="Yes",('Chemical Info'!AP98/'Res-Rec Equations'!$B$168)*((('Chemical Info'!AL98*'Res-Rec Equations'!$B$170)*'Res-Rec Equations'!$B$168)+'Res-Rec Equations'!$B$171+('Chemical Info'!AN98*41)*'Res-Rec Equations'!$B$173),"NA")</f>
        <v>3899.6554666666671</v>
      </c>
      <c r="H97" s="660">
        <f>('Res-Rec Equations'!B207*'Res-Rec Equations'!B208*'Res-Rec Equations'!B219*'Res-Rec Equations'!B220)/(('Chemical Info'!H98*'Chemical Info'!AD98*'Res-Rec Equations'!B221*((('Res-Rec Equations'!B211*'Res-Rec Equations'!B214*'Res-Rec Equations'!B217*'Res-Rec Equations'!B220)+('Res-Rec Equations'!B211*'Res-Rec Equations'!B215*'Res-Rec Equations'!B218*'Res-Rec Equations'!B219))+('Res-Rec Equations'!B217*'Res-Rec Equations'!B208*'Res-Rec Equations'!B220))))</f>
        <v>0.96714361420243777</v>
      </c>
      <c r="I97" s="661">
        <f>IF('Chemical Info'!H98="NA","NA",IF('Chemical Info'!E98="Yes",0,('Res-Rec Equations'!B207*'Res-Rec Equations'!B208*'Res-Rec Equations'!B219*'Res-Rec Equations'!B220)/(('Chemical Info'!H98/'Chemical Info'!AF98)*'Chemical Info'!AB98*'Res-Rec Equations'!B221*(('Res-Rec Equations'!B212*'Res-Rec Equations'!B214*'Res-Rec Equations'!B228*'Res-Rec Equations'!B226*'Res-Rec Equations'!B220)+('Res-Rec Equations'!B212*'Res-Rec Equations'!B215*'Res-Rec Equations'!B229*'Res-Rec Equations'!B227*'Res-Rec Equations'!B219)+('Res-Rec Equations'!B228*'Res-Rec Equations'!B226*'Res-Rec Equations'!B208*'Res-Rec Equations'!B220)))))</f>
        <v>0</v>
      </c>
      <c r="J97" s="661">
        <f>('Res-Rec Equations'!B207*'Res-Rec Equations'!B208*(1/'Res-Rec Calculations'!E97))/(('Chemical Info'!J98*'Res-Rec Equations'!B223*(('Res-Rec Equations'!B213*'Res-Rec Equations'!B216*'Res-Rec Equations'!B230*'Res-Rec Equations'!B222)+('Res-Rec Equations'!B208))))</f>
        <v>2.607979824572638</v>
      </c>
      <c r="K97" s="662">
        <f>('Res-Rec Equations'!B207*'Res-Rec Equations'!B208*(1/'Res-Rec Calculations'!F97))/(('Chemical Info'!J98*'Res-Rec Equations'!B223*(('Res-Rec Equations'!B213*'Res-Rec Equations'!B216*'Res-Rec Equations'!B230*'Res-Rec Equations'!B222)+('Res-Rec Equations'!B208))))</f>
        <v>29.262973288258653</v>
      </c>
      <c r="L97" s="167">
        <f>IF(AND(H97="NA",I97="NA",J97="NA"),"NA",IF(H97="NA",'Res-Rec Equations'!$B$15*'Res-Rec Equations'!$B$16/J97,IF(J97="NA",'Res-Rec Equations'!$B$15*'Res-Rec Equations'!$B$16/(H97+I97),'Res-Rec Equations'!$B$15*'Res-Rec Equations'!$B$16/(H97+I97+J97))))</f>
        <v>7.1466063864787988E-2</v>
      </c>
      <c r="M97" s="167">
        <f>IF(AND(H97="NA",I97="NA",K97="NA"),"NA",IF(H97="NA",'Res-Rec Equations'!$B$15*'Res-Rec Equations'!$B$16/K97,IF(K97="NA",'Res-Rec Equations'!$B$15*'Res-Rec Equations'!$B$16/(H97+I97),'Res-Rec Equations'!$B$15*'Res-Rec Equations'!$B$16/(H97+I97+K97))))</f>
        <v>8.4518363201962765E-3</v>
      </c>
      <c r="N97" s="167">
        <f t="shared" si="14"/>
        <v>7.1466063864787988E-2</v>
      </c>
      <c r="O97" s="371">
        <f>IF('Chemical Info'!L98="NA","NA",IF('Chemical Info'!E98="Yes",(('Res-Rec Equations'!$B$76*'Chemical Info'!AD98*'Res-Rec Equations'!$B$78*'Res-Rec Equations'!$B$79*'Res-Rec Equations'!$B$81)/('Res-Rec Equations'!$B$84*'Res-Rec Equations'!$B$85))/'Chemical Info'!L98,(('Res-Rec Equations'!$B$76*'Chemical Info'!AD98*'Res-Rec Equations'!$B$78*'Res-Rec Equations'!$B$79*'Res-Rec Equations'!$B$80)/('Res-Rec Equations'!$B$84*'Res-Rec Equations'!$B$85))/'Chemical Info'!L98))</f>
        <v>3.0441400304414001E-3</v>
      </c>
      <c r="P97" s="166">
        <f>IF('Chemical Info'!L98="NA","NA", IF('Chemical Info'!E98="Yes",0,((('Res-Rec Equations'!$B$87*'Res-Rec Equations'!$B$88*'Res-Rec Equations'!$B$78*'Res-Rec Equations'!$B$82*'Res-Rec Equations'!$B$79*'Chemical Info'!AB98)/('Res-Rec Equations'!$B$84*'Res-Rec Equations'!$B$85))/('Chemical Info'!L98*'Chemical Info'!AF98))))</f>
        <v>0</v>
      </c>
      <c r="Q97" s="166">
        <f>IF('Chemical Info'!N98="NA","NA",IF('Res-Rec Calculations'!E97="NA",(('Res-Rec Equations'!$B$83*'Res-Rec Equations'!$B$79*'Res-Rec Calculations'!C97)/('Res-Rec Equations'!$B$85))/('Chemical Info'!N98),IF('Chemical Info'!E98="Yes",(('Res-Rec Equations'!$B$83*'Res-Rec Equations'!$B$79*'Res-Rec Calculations'!E97)/('Res-Rec Equations'!$B$85))/('Chemical Info'!N98),(('Res-Rec Equations'!$B$83*'Res-Rec Equations'!$B$79*('Res-Rec Calculations'!C97+'Res-Rec Calculations'!E97))/('Res-Rec Equations'!$B$85))/('Chemical Info'!N98))))</f>
        <v>9.516628292641131E-3</v>
      </c>
      <c r="R97" s="166">
        <f>IF('Chemical Info'!N98="NA","NA",IF('Res-Rec Calculations'!F97="NA",(('Res-Rec Equations'!$B$83*'Res-Rec Equations'!$B$79*'Res-Rec Calculations'!C97)/('Res-Rec Equations'!$B$85))/('Chemical Info'!N98),IF('Chemical Info'!E98="Yes",(('Res-Rec Equations'!$B$83*'Res-Rec Equations'!$B$79*'Res-Rec Calculations'!F97)/('Res-Rec Equations'!$B$85))/('Chemical Info'!N98),(('Res-Rec Equations'!$B$83*'Res-Rec Equations'!$B$79*('Res-Rec Calculations'!C97+'Res-Rec Calculations'!F97))/('Res-Rec Equations'!$B$85))/('Chemical Info'!N98))))</f>
        <v>8.4814261150706642E-4</v>
      </c>
      <c r="S97" s="167">
        <f>IF(AND(O97="NA",P97="NA",Q97="NA"),"NA",IF(O97="NA",'Res-Rec Equations'!$B$75/Q97,IF(Q97="NA",'Res-Rec Equations'!$B$75/(O97+P97),'Res-Rec Equations'!$B$75/(O97+P97+Q97))))</f>
        <v>15.922592858628422</v>
      </c>
      <c r="T97" s="167">
        <f>IF(AND(O97="NA",P97="NA",R97="NA"),"NA",IF(O97="NA",'Res-Rec Equations'!$B$75/R97,IF(R97="NA",'Res-Rec Equations'!$B$75/(O97+P97),'Res-Rec Equations'!$B$75/(O97+P97+R97))))</f>
        <v>51.383729908134455</v>
      </c>
      <c r="U97" s="168">
        <f t="shared" si="15"/>
        <v>51.383729908134455</v>
      </c>
      <c r="V97" s="167" t="str">
        <f>IF('Chemical Info'!P98="NA","NA",(('Res-Rec Equations'!$B$185*'Res-Rec Equations'!$B$186)/('Res-Rec Equations'!$B$187*'Res-Rec Equations'!$B$188*(1/'Chemical Info'!P98))))</f>
        <v>NA</v>
      </c>
      <c r="W97" s="379" t="str">
        <f t="shared" si="16"/>
        <v>NA</v>
      </c>
      <c r="X97" s="372">
        <f t="shared" si="17"/>
        <v>7.1466063864787988E-2</v>
      </c>
      <c r="Y97" s="62">
        <f t="shared" si="18"/>
        <v>7.0999999999999994E-2</v>
      </c>
      <c r="Z97" s="100" t="str">
        <f t="shared" si="19"/>
        <v>Cancer</v>
      </c>
      <c r="AA97" s="373"/>
    </row>
    <row r="98" spans="1:28">
      <c r="A98" s="413" t="s">
        <v>115</v>
      </c>
      <c r="B98" s="566" t="s">
        <v>203</v>
      </c>
      <c r="C98" s="367">
        <f>1/(('Res-Rec Equations'!$B$152*3600)/((0.036*(1-'Res-Rec Equations'!$B$153))*('Res-Rec Equations'!$B$154/'Res-Rec Equations'!$B$155)^3*'Res-Rec Equations'!$B$156))</f>
        <v>7.3567680901159717E-10</v>
      </c>
      <c r="D98" s="368">
        <f>(('Res-Rec Equations'!$B$132^(10/3)*'Chemical Info'!$AH99*'Chemical Info'!$AN99*41+'Res-Rec Equations'!$B$135^(10/3)*'Chemical Info'!$AJ99)/'Res-Rec Equations'!$B$137^2)/('Res-Rec Equations'!$B$139*'Chemical Info'!$AL99*'Res-Rec Equations'!$B$142+'Res-Rec Equations'!$B$135+'Res-Rec Equations'!$B$132*'Chemical Info'!$AN99*41)</f>
        <v>4.7837481042360225E-4</v>
      </c>
      <c r="E98" s="368">
        <f>IF(D98=0,"NA",1/(('Res-Rec Equations'!$B$103*(3.14*'Res-Rec Calculations'!$D98*'Res-Rec Equations'!$B$105)^(1/2)*0.0001)/(2*'Res-Rec Equations'!$B$106*'Res-Rec Calculations'!$D98)))</f>
        <v>1.2838454178723023E-4</v>
      </c>
      <c r="F98" s="368">
        <f>IF(D98=0,"NA",(1/('Res-Rec Equations'!$B$117*('Res-Rec Equations'!$B$118*(31500000))/('Res-Rec Equations'!$B$119*'Res-Rec Equations'!$B$120*1000000))))</f>
        <v>6.1914410640015851E-5</v>
      </c>
      <c r="G98" s="167">
        <f>IF('Chemical Info'!E99="Yes",('Chemical Info'!AP99/'Res-Rec Equations'!$B$168)*((('Chemical Info'!AL99*'Res-Rec Equations'!$B$170)*'Res-Rec Equations'!$B$168)+'Res-Rec Equations'!$B$171+('Chemical Info'!AN99*41)*'Res-Rec Equations'!$B$173),"NA")</f>
        <v>259.50300960000004</v>
      </c>
      <c r="H98" s="112" t="str">
        <f>IF('Chemical Info'!H99="NA","NA",IF(AND('Chemical Info'!E99="Yes",'Chemical Info'!D99="Yes"),'Chemical Info'!H99*'Chemical Info'!AD99*'Res-Rec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Info'!E99="Yes",'Chemical Info'!D99=""),'Chemical Info'!H99*'Chemical Info'!AD99*'Res-Rec Equations'!$B$20*'Res-Rec Equations'!$B$23*((('Res-Rec Equations'!$B$26*'Res-Rec Equations'!$B$29)/'Res-Rec Equations'!$B$32)+(('Res-Rec Equations'!$B$27*'Res-Rec Equations'!$B$30)/'Res-Rec Equations'!$B$33)+(('Res-Rec Equations'!$B$28*'Res-Rec Equations'!$B$31)/'Res-Rec Equations'!$B$34)),IF(AND('Chemical Info'!E99="No",'Chemical Info'!D99="Yes"),'Chemical Info'!H99*'Chemical Info'!AD99*'Res-Rec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Info'!E99="No",'Chemical Info'!D99=""),'Chemical Info'!H99*'Chemical Info'!AD99*'Res-Rec Equations'!$B$19*'Res-Rec Equations'!$B$23*((('Res-Rec Equations'!$B$26*'Res-Rec Equations'!$B$29)/'Res-Rec Equations'!$B$32)+(('Res-Rec Equations'!$B$27*'Res-Rec Equations'!$B$30)/'Res-Rec Equations'!$B$33)+(('Res-Rec Equations'!$B$28*'Res-Rec Equations'!$B$31)/'Res-Rec Equations'!$B$34)))))))</f>
        <v>NA</v>
      </c>
      <c r="I98" s="166" t="str">
        <f>IF('Chemical Info'!H99="NA","NA",IF('Chemical Info'!E99="Yes",0,IF('Chemical Info'!D99="Yes",'Chemical Info'!H99/'Chemical Info'!AF99*('Res-Rec Equations'!$B$21*'Chemical Info'!AB99*'Res-Rec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Info'!H99/'Chemical Info'!AF99*('Res-Rec Equations'!$B$21*'Chemical Info'!AB99*'Res-Rec Equations'!$B$23)*((('Res-Rec Equations'!$B$26*'Res-Rec Equations'!$B$37*'Res-Rec Equations'!$B$40)/'Res-Rec Equations'!$B$32)+(('Res-Rec Equations'!$B$27*'Res-Rec Equations'!$B$38*'Res-Rec Equations'!$B$41)/'Res-Rec Equations'!$B$33)+(('Res-Rec Equations'!$B$28*'Res-Rec Equations'!$B$39*'Res-Rec Equations'!$B$42)/'Res-Rec Equations'!$B$34)))))</f>
        <v>NA</v>
      </c>
      <c r="J98" s="369" t="str">
        <f>IF('Chemical Info'!J99="NA","NA",IF(AND(E98="NA",'Chemical Info'!D99="Yes"),'Res-Rec Equations'!$B$22*1000*(('Res-Rec Equations'!$B$26*'Chemical Info'!J99*'Res-Rec Equations'!$B$59)+('Res-Rec Equations'!$B$27*'Chemical Info'!J99*'Res-Rec Equations'!$B$60)+('Res-Rec Equations'!$B$28*'Chemical Info'!J99*'Res-Rec Equations'!$B$61))*'Res-Rec Calculations'!C98,IF(AND(E98="NA",'Chemical Info'!D99=""),'Res-Rec Equations'!$B$22*1000*'Res-Rec Equations'!$B$25*'Chemical Info'!J99*'Res-Rec Calculations'!C98,IF(AND('Chemical Info'!E99="Yes",'Chemical Info'!D99="Yes"),'Res-Rec Equations'!$B$22*1000*(('Res-Rec Equations'!$B$26*'Chemical Info'!J99*'Res-Rec Equations'!$B$59)+('Res-Rec Equations'!$B$27*'Chemical Info'!J99*'Res-Rec Equations'!$B$60)+('Res-Rec Equations'!$B$28*'Chemical Info'!J99*'Res-Rec Equations'!$B$61))*'Res-Rec Calculations'!E98,IF(AND('Chemical Info'!E99="Yes",'Chemical Info'!D99=""),'Res-Rec Equations'!$B$22*1000*'Res-Rec Equations'!$B$25*'Chemical Info'!J99*'Res-Rec Calculations'!E98,IF('Chemical Info'!D99="Yes",'Res-Rec Equations'!$B$22*1000*(('Res-Rec Equations'!$B$26*'Chemical Info'!J99*'Res-Rec Equations'!$B$59)+('Res-Rec Equations'!$B$27*'Chemical Info'!J99*'Res-Rec Equations'!$B$60)+('Res-Rec Equations'!$B$28*'Chemical Info'!J99*'Res-Rec Equations'!$B$61))*('Res-Rec Calculations'!C98+'Res-Rec Calculations'!E98),IF('Chemical Info'!D99="",'Res-Rec Equations'!$B$22*1000*'Res-Rec Equations'!$B$25*'Chemical Info'!J99*('Res-Rec Calculations'!C98+'Res-Rec Calculations'!E98))))))))</f>
        <v>NA</v>
      </c>
      <c r="K98" s="370" t="str">
        <f>IF('Chemical Info'!J99="NA","NA",IF(AND(F98="NA",'Chemical Info'!D99="Yes"),'Res-Rec Equations'!$B$22*1000*(('Res-Rec Equations'!$B$26*'Chemical Info'!J99*'Res-Rec Equations'!$B$59)+('Res-Rec Equations'!$B$27*'Chemical Info'!J99*'Res-Rec Equations'!$B$60)+('Res-Rec Equations'!$B$28*'Chemical Info'!J99*'Res-Rec Equations'!$B$61))*'Res-Rec Calculations'!C98,IF(AND(F98="NA",'Chemical Info'!D99=""),'Res-Rec Equations'!$B$22*1000*'Res-Rec Equations'!$B$25*'Chemical Info'!J99*'Res-Rec Calculations'!C98,IF(AND('Chemical Info'!F99="Yes",'Chemical Info'!D99="Yes"),'Res-Rec Equations'!$B$22*1000*(('Res-Rec Equations'!$B$26*'Chemical Info'!J99*'Res-Rec Equations'!$B$59)+('Res-Rec Equations'!$B$27*'Chemical Info'!J99*'Res-Rec Equations'!$B$60)+('Res-Rec Equations'!$B$28*'Chemical Info'!J99*'Res-Rec Equations'!$B$61))*'Res-Rec Calculations'!F98,IF(AND('Chemical Info'!F99="Yes",'Chemical Info'!D99=""),'Res-Rec Equations'!$B$22*1000*'Res-Rec Equations'!$B$25*'Chemical Info'!J99*'Res-Rec Calculations'!F98,IF('Chemical Info'!D99="Yes",'Res-Rec Equations'!$B$22*1000*(('Res-Rec Equations'!$B$26*'Chemical Info'!J99*'Res-Rec Equations'!$B$59)+('Res-Rec Equations'!$B$27*'Chemical Info'!J99*'Res-Rec Equations'!$B$60)+('Res-Rec Equations'!$B$28*'Chemical Info'!J99*'Res-Rec Equations'!$B$61))*('Res-Rec Calculations'!C98+'Res-Rec Calculations'!F98),IF('Chemical Info'!D99="",'Res-Rec Equations'!$B$22*1000*'Res-Rec Equations'!$B$25*'Chemical Info'!J99*('Res-Rec Calculations'!C98+'Res-Rec Calculations'!F98))))))))</f>
        <v>NA</v>
      </c>
      <c r="L98" s="167" t="str">
        <f>IF(AND(H98="NA",I98="NA",J98="NA"),"NA",IF(H98="NA",'Res-Rec Equations'!$B$15*'Res-Rec Equations'!$B$16/J98,IF(J98="NA",'Res-Rec Equations'!$B$15*'Res-Rec Equations'!$B$16/(H98+I98),'Res-Rec Equations'!$B$15*'Res-Rec Equations'!$B$16/(H98+I98+J98))))</f>
        <v>NA</v>
      </c>
      <c r="M98" s="167" t="str">
        <f>IF(AND(H98="NA",I98="NA",K98="NA"),"NA",IF(H98="NA",'Res-Rec Equations'!$B$15*'Res-Rec Equations'!$B$16/K98,IF(K98="NA",'Res-Rec Equations'!$B$15*'Res-Rec Equations'!$B$16/(H98+I98),'Res-Rec Equations'!$B$15*'Res-Rec Equations'!$B$16/(H98+I98+K98))))</f>
        <v>NA</v>
      </c>
      <c r="N98" s="167" t="str">
        <f t="shared" si="14"/>
        <v>NA</v>
      </c>
      <c r="O98" s="371">
        <f>IF('Chemical Info'!L99="NA","NA",IF('Chemical Info'!E99="Yes",(('Res-Rec Equations'!$B$76*'Chemical Info'!AD99*'Res-Rec Equations'!$B$78*'Res-Rec Equations'!$B$79*'Res-Rec Equations'!$B$81)/('Res-Rec Equations'!$B$84*'Res-Rec Equations'!$B$85))/'Chemical Info'!L99,(('Res-Rec Equations'!$B$76*'Chemical Info'!AD99*'Res-Rec Equations'!$B$78*'Res-Rec Equations'!$B$79*'Res-Rec Equations'!$B$80)/('Res-Rec Equations'!$B$84*'Res-Rec Equations'!$B$85))/'Chemical Info'!L99))</f>
        <v>5.7077625570776254E-5</v>
      </c>
      <c r="P98" s="166">
        <f>IF('Chemical Info'!L99="NA","NA", IF('Chemical Info'!E99="Yes",0,((('Res-Rec Equations'!$B$87*'Res-Rec Equations'!$B$88*'Res-Rec Equations'!$B$78*'Res-Rec Equations'!$B$82*'Res-Rec Equations'!$B$79*'Chemical Info'!AB99)/('Res-Rec Equations'!$B$84*'Res-Rec Equations'!$B$85))/('Chemical Info'!L99*'Chemical Info'!AF99))))</f>
        <v>0</v>
      </c>
      <c r="Q98" s="166">
        <f>IF('Chemical Info'!N99="NA","NA",IF('Res-Rec Calculations'!E98="NA",(('Res-Rec Equations'!$B$83*'Res-Rec Equations'!$B$79*'Res-Rec Calculations'!C98)/('Res-Rec Equations'!$B$85))/('Chemical Info'!N99),IF('Chemical Info'!E99="Yes",(('Res-Rec Equations'!$B$83*'Res-Rec Equations'!$B$79*'Res-Rec Calculations'!E98)/('Res-Rec Equations'!$B$85))/('Chemical Info'!N99),(('Res-Rec Equations'!$B$83*'Res-Rec Equations'!$B$79*('Res-Rec Calculations'!C98+'Res-Rec Calculations'!E98))/('Res-Rec Equations'!$B$85))/('Chemical Info'!N99))))</f>
        <v>8.7934617662486451E-4</v>
      </c>
      <c r="R98" s="166">
        <f>IF('Chemical Info'!N99="NA","NA",IF('Res-Rec Calculations'!F98="NA",(('Res-Rec Equations'!$B$83*'Res-Rec Equations'!$B$79*'Res-Rec Calculations'!C98)/('Res-Rec Equations'!$B$85))/('Chemical Info'!N99),IF('Chemical Info'!E99="Yes",(('Res-Rec Equations'!$B$83*'Res-Rec Equations'!$B$79*'Res-Rec Calculations'!F98)/('Res-Rec Equations'!$B$85))/('Chemical Info'!N99),(('Res-Rec Equations'!$B$83*'Res-Rec Equations'!$B$79*('Res-Rec Calculations'!C98+'Res-Rec Calculations'!F98))/('Res-Rec Equations'!$B$85))/('Chemical Info'!N99))))</f>
        <v>4.2407130575353321E-4</v>
      </c>
      <c r="S98" s="167">
        <f>IF(AND(O98="NA",P98="NA",Q98="NA"),"NA",IF(O98="NA",'Res-Rec Equations'!$B$75/Q98,IF(Q98="NA",'Res-Rec Equations'!$B$75/(O98+P98),'Res-Rec Equations'!$B$75/(O98+P98+Q98))))</f>
        <v>213.57850957126286</v>
      </c>
      <c r="T98" s="167">
        <f>IF(AND(O98="NA",P98="NA",R98="NA"),"NA",IF(O98="NA",'Res-Rec Equations'!$B$75/R98,IF(R98="NA",'Res-Rec Equations'!$B$75/(O98+P98),'Res-Rec Equations'!$B$75/(O98+P98+R98))))</f>
        <v>415.67171197808136</v>
      </c>
      <c r="U98" s="168">
        <f t="shared" si="15"/>
        <v>415.67171197808136</v>
      </c>
      <c r="V98" s="167" t="str">
        <f>IF('Chemical Info'!P99="NA","NA",(('Res-Rec Equations'!$B$185*'Res-Rec Equations'!$B$186)/('Res-Rec Equations'!$B$187*'Res-Rec Equations'!$B$188*(1/'Chemical Info'!P99))))</f>
        <v>NA</v>
      </c>
      <c r="W98" s="379" t="str">
        <f t="shared" si="16"/>
        <v>NA</v>
      </c>
      <c r="X98" s="372">
        <f t="shared" si="17"/>
        <v>259.50300960000004</v>
      </c>
      <c r="Y98" s="62">
        <f t="shared" si="18"/>
        <v>260</v>
      </c>
      <c r="Z98" s="100" t="str">
        <f t="shared" si="19"/>
        <v>Csat</v>
      </c>
      <c r="AA98" s="373"/>
    </row>
    <row r="99" spans="1:28" ht="10.5">
      <c r="A99" s="565" t="s">
        <v>379</v>
      </c>
      <c r="B99" s="594"/>
      <c r="C99" s="386"/>
      <c r="D99" s="406"/>
      <c r="E99" s="406"/>
      <c r="F99" s="406"/>
      <c r="G99" s="386"/>
      <c r="H99" s="386"/>
      <c r="I99" s="386"/>
      <c r="J99" s="386"/>
      <c r="K99" s="386"/>
      <c r="L99" s="386"/>
      <c r="M99" s="386"/>
      <c r="N99" s="386"/>
      <c r="O99" s="386"/>
      <c r="P99" s="386"/>
      <c r="Q99" s="386"/>
      <c r="R99" s="386"/>
      <c r="S99" s="386"/>
      <c r="T99" s="386"/>
      <c r="U99" s="386"/>
      <c r="V99" s="386"/>
      <c r="W99" s="423"/>
      <c r="X99" s="409"/>
      <c r="Y99" s="400"/>
      <c r="Z99" s="400"/>
      <c r="AA99" s="410"/>
      <c r="AB99" s="411"/>
    </row>
    <row r="100" spans="1:28" ht="10.5">
      <c r="A100" s="413" t="s">
        <v>1127</v>
      </c>
      <c r="B100" s="596" t="s">
        <v>1128</v>
      </c>
      <c r="C100" s="367">
        <f>1/(('Res-Rec Equations'!$B$152*3600)/((0.036*(1-'Res-Rec Equations'!$B$153))*('Res-Rec Equations'!$B$154/'Res-Rec Equations'!$B$155)^3*'Res-Rec Equations'!$B$156))</f>
        <v>7.3567680901159717E-10</v>
      </c>
      <c r="D100" s="368">
        <f>(('Res-Rec Equations'!$B$132^(10/3)*'Chemical Info'!$AH101*'Chemical Info'!$AN101*41+'Res-Rec Equations'!$B$135^(10/3)*'Chemical Info'!$AJ101)/'Res-Rec Equations'!$B$137^2)/('Res-Rec Equations'!$B$139*'Chemical Info'!$AL101*'Res-Rec Equations'!$B$142+'Res-Rec Equations'!$B$135+'Res-Rec Equations'!$B$132*'Chemical Info'!$AN101*41)</f>
        <v>7.936390710971069E-7</v>
      </c>
      <c r="E100" s="368">
        <f>IF(D100=0,"NA",1/(('Res-Rec Equations'!$B$103*(3.14*'Res-Rec Calculations'!$D100*'Res-Rec Equations'!$B$105)^(1/2)*0.0001)/(2*'Res-Rec Equations'!$B$106*'Res-Rec Calculations'!$D100)))</f>
        <v>5.2292584144947471E-6</v>
      </c>
      <c r="F100" s="368">
        <f>IF(D100=0,"NA",(1/('Res-Rec Equations'!$B$117*('Res-Rec Equations'!$B$118*(31500000))/('Res-Rec Equations'!$B$119*'Res-Rec Equations'!$B$120*1000000))))</f>
        <v>6.1914410640015851E-5</v>
      </c>
      <c r="G100" s="167" t="str">
        <f>IF('Chemical Info'!E101="Yes",('Chemical Info'!AP101/'Res-Rec Equations'!$B$168)*((('Chemical Info'!AL101*'Res-Rec Equations'!$B$170)*'Res-Rec Equations'!$B$168)+'Res-Rec Equations'!$B$171+('Chemical Info'!AN101*41)*'Res-Rec Equations'!$B$173),"NA")</f>
        <v>NA</v>
      </c>
      <c r="H100" s="112">
        <f>IF('Chemical Info'!H101="NA","NA",IF(AND('Chemical Info'!E101="Yes",'Chemical Info'!D101="Yes"),'Chemical Info'!H101*'Chemical Info'!AD101*'Res-Rec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Info'!E101="Yes",'Chemical Info'!D101=""),'Chemical Info'!H101*'Chemical Info'!AD101*'Res-Rec Equations'!$B$20*'Res-Rec Equations'!$B$23*((('Res-Rec Equations'!$B$26*'Res-Rec Equations'!$B$29)/'Res-Rec Equations'!$B$32)+(('Res-Rec Equations'!$B$27*'Res-Rec Equations'!$B$30)/'Res-Rec Equations'!$B$33)+(('Res-Rec Equations'!$B$28*'Res-Rec Equations'!$B$31)/'Res-Rec Equations'!$B$34)),IF(AND('Chemical Info'!E101="No",'Chemical Info'!D101="Yes"),'Chemical Info'!H101*'Chemical Info'!AD101*'Res-Rec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Info'!E101="No",'Chemical Info'!D101=""),'Chemical Info'!H101*'Chemical Info'!AD101*'Res-Rec Equations'!$B$19*'Res-Rec Equations'!$B$23*((('Res-Rec Equations'!$B$26*'Res-Rec Equations'!$B$29)/'Res-Rec Equations'!$B$32)+(('Res-Rec Equations'!$B$27*'Res-Rec Equations'!$B$30)/'Res-Rec Equations'!$B$33)+(('Res-Rec Equations'!$B$28*'Res-Rec Equations'!$B$31)/'Res-Rec Equations'!$B$34)))))))</f>
        <v>2.57022972972973E-4</v>
      </c>
      <c r="I100" s="166">
        <f>IF('Chemical Info'!H101="NA","NA",IF('Chemical Info'!E101="Yes",0,IF('Chemical Info'!D101="Yes",'Chemical Info'!H101/'Chemical Info'!AF101*('Res-Rec Equations'!$B$21*'Chemical Info'!AB101*'Res-Rec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Info'!H101/'Chemical Info'!AF101*('Res-Rec Equations'!$B$21*'Chemical Info'!AB101*'Res-Rec Equations'!$B$23)*((('Res-Rec Equations'!$B$26*'Res-Rec Equations'!$B$37*'Res-Rec Equations'!$B$40)/'Res-Rec Equations'!$B$32)+(('Res-Rec Equations'!$B$27*'Res-Rec Equations'!$B$38*'Res-Rec Equations'!$B$41)/'Res-Rec Equations'!$B$33)+(('Res-Rec Equations'!$B$28*'Res-Rec Equations'!$B$39*'Res-Rec Equations'!$B$42)/'Res-Rec Equations'!$B$34)))))</f>
        <v>6.2689288175675674E-5</v>
      </c>
      <c r="J100" s="369">
        <f>IF('Chemical Info'!J101="NA","NA",IF(AND(E100="NA",'Chemical Info'!D101="Yes"),'Res-Rec Equations'!$B$22*1000*(('Res-Rec Equations'!$B$26*'Chemical Info'!J101*'Res-Rec Equations'!$B$59)+('Res-Rec Equations'!$B$27*'Chemical Info'!J101*'Res-Rec Equations'!$B$60)+('Res-Rec Equations'!$B$28*'Chemical Info'!J101*'Res-Rec Equations'!$B$61))*'Res-Rec Calculations'!C100,IF(AND(E100="NA",'Chemical Info'!D101=""),'Res-Rec Equations'!$B$22*1000*'Res-Rec Equations'!$B$25*'Chemical Info'!J101*'Res-Rec Calculations'!C100,IF(AND('Chemical Info'!E101="Yes",'Chemical Info'!D101="Yes"),'Res-Rec Equations'!$B$22*1000*(('Res-Rec Equations'!$B$26*'Chemical Info'!J101*'Res-Rec Equations'!$B$59)+('Res-Rec Equations'!$B$27*'Chemical Info'!J101*'Res-Rec Equations'!$B$60)+('Res-Rec Equations'!$B$28*'Chemical Info'!J101*'Res-Rec Equations'!$B$61))*'Res-Rec Calculations'!E100,IF(AND('Chemical Info'!E101="Yes",'Chemical Info'!D101=""),'Res-Rec Equations'!$B$22*1000*'Res-Rec Equations'!$B$25*'Chemical Info'!J101*'Res-Rec Calculations'!E100,IF('Chemical Info'!D101="Yes",'Res-Rec Equations'!$B$22*1000*(('Res-Rec Equations'!$B$26*'Chemical Info'!J101*'Res-Rec Equations'!$B$59)+('Res-Rec Equations'!$B$27*'Chemical Info'!J101*'Res-Rec Equations'!$B$60)+('Res-Rec Equations'!$B$28*'Chemical Info'!J101*'Res-Rec Equations'!$B$61))*('Res-Rec Calculations'!C100+'Res-Rec Calculations'!E100),IF('Chemical Info'!D101="",'Res-Rec Equations'!$B$22*1000*'Res-Rec Equations'!$B$25*'Chemical Info'!J101*('Res-Rec Calculations'!C100+'Res-Rec Calculations'!E100))))))))</f>
        <v>5.439193854955909E-5</v>
      </c>
      <c r="K100" s="370">
        <f>IF('Chemical Info'!J101="NA","NA",IF(AND(F100="NA",'Chemical Info'!D101="Yes"),'Res-Rec Equations'!$B$22*1000*(('Res-Rec Equations'!$B$26*'Chemical Info'!J101*'Res-Rec Equations'!$B$59)+('Res-Rec Equations'!$B$27*'Chemical Info'!J101*'Res-Rec Equations'!$B$60)+('Res-Rec Equations'!$B$28*'Chemical Info'!J101*'Res-Rec Equations'!$B$61))*'Res-Rec Calculations'!C100,IF(AND(F100="NA",'Chemical Info'!D101=""),'Res-Rec Equations'!$B$22*1000*'Res-Rec Equations'!$B$25*'Chemical Info'!J101*'Res-Rec Calculations'!C100,IF(AND('Chemical Info'!F101="Yes",'Chemical Info'!D101="Yes"),'Res-Rec Equations'!$B$22*1000*(('Res-Rec Equations'!$B$26*'Chemical Info'!J101*'Res-Rec Equations'!$B$59)+('Res-Rec Equations'!$B$27*'Chemical Info'!J101*'Res-Rec Equations'!$B$60)+('Res-Rec Equations'!$B$28*'Chemical Info'!J101*'Res-Rec Equations'!$B$61))*'Res-Rec Calculations'!F100,IF(AND('Chemical Info'!F101="Yes",'Chemical Info'!D101=""),'Res-Rec Equations'!$B$22*1000*'Res-Rec Equations'!$B$25*'Chemical Info'!J101*'Res-Rec Calculations'!F100,IF('Chemical Info'!D101="Yes",'Res-Rec Equations'!$B$22*1000*(('Res-Rec Equations'!$B$26*'Chemical Info'!J101*'Res-Rec Equations'!$B$59)+('Res-Rec Equations'!$B$27*'Chemical Info'!J101*'Res-Rec Equations'!$B$60)+('Res-Rec Equations'!$B$28*'Chemical Info'!J101*'Res-Rec Equations'!$B$61))*('Res-Rec Calculations'!C100+'Res-Rec Calculations'!F100),IF('Chemical Info'!D101="",'Res-Rec Equations'!$B$22*1000*'Res-Rec Equations'!$B$25*'Chemical Info'!J101*('Res-Rec Calculations'!C100+'Res-Rec Calculations'!F100))))))))</f>
        <v>6.4391752169497859E-4</v>
      </c>
      <c r="L100" s="167">
        <f>IF(AND(H100="NA",I100="NA",J100="NA"),"NA",IF(H100="NA",'Res-Rec Equations'!$B$15*'Res-Rec Equations'!$B$16/J100,IF(J100="NA",'Res-Rec Equations'!$B$15*'Res-Rec Equations'!$B$16/(H100+I100),'Res-Rec Equations'!$B$15*'Res-Rec Equations'!$B$16/(H100+I100+J100))))</f>
        <v>682.96480019768148</v>
      </c>
      <c r="M100" s="167">
        <f>IF(AND(H100="NA",I100="NA",K100="NA"),"NA",IF(H100="NA",'Res-Rec Equations'!$B$15*'Res-Rec Equations'!$B$16/K100,IF(K100="NA",'Res-Rec Equations'!$B$15*'Res-Rec Equations'!$B$16/(H100+I100),'Res-Rec Equations'!$B$15*'Res-Rec Equations'!$B$16/(H100+I100+K100))))</f>
        <v>265.14332013071578</v>
      </c>
      <c r="N100" s="167">
        <f t="shared" ref="N100" si="116">IF(AND(L100="NA",M100="NA"),"NA",MAX(L100,M100))</f>
        <v>682.96480019768148</v>
      </c>
      <c r="O100" s="371">
        <f>IF('Chemical Info'!L101="NA","NA",IF('Chemical Info'!E101="Yes",(('Res-Rec Equations'!$B$76*'Chemical Info'!AD101*'Res-Rec Equations'!$B$78*'Res-Rec Equations'!$B$79*'Res-Rec Equations'!$B$81)/('Res-Rec Equations'!$B$84*'Res-Rec Equations'!$B$85))/'Chemical Info'!L101,(('Res-Rec Equations'!$B$76*'Chemical Info'!AD101*'Res-Rec Equations'!$B$78*'Res-Rec Equations'!$B$79*'Res-Rec Equations'!$B$80)/('Res-Rec Equations'!$B$84*'Res-Rec Equations'!$B$85))/'Chemical Info'!L101))</f>
        <v>1.8264840182648401E-3</v>
      </c>
      <c r="P100" s="166">
        <f>IF('Chemical Info'!L101="NA","NA", IF('Chemical Info'!E101="Yes",0,((('Res-Rec Equations'!$B$87*'Res-Rec Equations'!$B$88*'Res-Rec Equations'!$B$78*'Res-Rec Equations'!$B$82*'Res-Rec Equations'!$B$79*'Chemical Info'!AB101)/('Res-Rec Equations'!$B$84*'Res-Rec Equations'!$B$85))/('Chemical Info'!L101*'Chemical Info'!AF101))))</f>
        <v>3.095890410958904E-4</v>
      </c>
      <c r="Q100" s="166">
        <f>IF('Chemical Info'!N101="NA","NA",IF('Res-Rec Calculations'!E100="NA",(('Res-Rec Equations'!$B$83*'Res-Rec Equations'!$B$79*'Res-Rec Calculations'!C100)/('Res-Rec Equations'!$B$85))/('Chemical Info'!N101),IF('Chemical Info'!E101="Yes",(('Res-Rec Equations'!$B$83*'Res-Rec Equations'!$B$79*'Res-Rec Calculations'!E100)/('Res-Rec Equations'!$B$85))/('Chemical Info'!N101),(('Res-Rec Equations'!$B$83*'Res-Rec Equations'!$B$79*('Res-Rec Calculations'!C100+'Res-Rec Calculations'!E100))/('Res-Rec Equations'!$B$85))/('Chemical Info'!N101))))</f>
        <v>3.582187733769697E-3</v>
      </c>
      <c r="R100" s="166">
        <f>IF('Chemical Info'!N101="NA","NA",IF('Res-Rec Calculations'!F100="NA",(('Res-Rec Equations'!$B$83*'Res-Rec Equations'!$B$79*'Res-Rec Calculations'!C100)/('Res-Rec Equations'!$B$85))/('Chemical Info'!N101),IF('Chemical Info'!E101="Yes",(('Res-Rec Equations'!$B$83*'Res-Rec Equations'!$B$79*'Res-Rec Calculations'!F100)/('Res-Rec Equations'!$B$85))/('Chemical Info'!N101),(('Res-Rec Equations'!$B$83*'Res-Rec Equations'!$B$79*('Res-Rec Calculations'!C100+'Res-Rec Calculations'!F100))/('Res-Rec Equations'!$B$85))/('Chemical Info'!N101))))</f>
        <v>4.2407634463578668E-2</v>
      </c>
      <c r="S100" s="167">
        <f>IF(AND(O100="NA",P100="NA",Q100="NA"),"NA",IF(O100="NA",'Res-Rec Equations'!$B$75/Q100,IF(Q100="NA",'Res-Rec Equations'!$B$75/(O100+P100),'Res-Rec Equations'!$B$75/(O100+P100+Q100))))</f>
        <v>34.975669567269115</v>
      </c>
      <c r="T100" s="167">
        <f>IF(AND(O100="NA",P100="NA",R100="NA"),"NA",IF(O100="NA",'Res-Rec Equations'!$B$75/R100,IF(R100="NA",'Res-Rec Equations'!$B$75/(O100+P100),'Res-Rec Equations'!$B$75/(O100+P100+R100))))</f>
        <v>4.4899720100084339</v>
      </c>
      <c r="U100" s="168">
        <f t="shared" ref="U100" si="117">IF(AND(S100="NA",T100="NA"),"NA",MAX(S100,T100))</f>
        <v>34.975669567269115</v>
      </c>
      <c r="V100" s="167" t="str">
        <f>IF('Chemical Info'!P101="NA","NA",(('Res-Rec Equations'!$B$185*'Res-Rec Equations'!$B$186)/('Res-Rec Equations'!$B$187*'Res-Rec Equations'!$B$188*(1/'Chemical Info'!P101))))</f>
        <v>NA</v>
      </c>
      <c r="W100" s="379" t="str">
        <f t="shared" ref="W100" si="118">IF(V100="NA","NA",IF(V100&gt;100000,100000,IF(ISNUMBER(ROUND(V100*1000000,2-LEN(INT(V100*1000000)))/1000000),ROUND(V100*1000000,2-LEN(INT(V100*1000000)))/1000000,"NA")))</f>
        <v>NA</v>
      </c>
      <c r="X100" s="372">
        <f t="shared" ref="X100" si="119">IF(AND(N100="NA",U100="NA",G100="NA"),"NA",MIN(N100,U100,G100))</f>
        <v>34.975669567269115</v>
      </c>
      <c r="Y100" s="62">
        <f t="shared" ref="Y100" si="120">IF(X100&gt;100000,100000,IF(ISNUMBER(ROUND(X100*1000000,2-LEN(INT(X100*1000000)))/1000000),ROUND(X100*1000000,2-LEN(INT(X100*1000000)))/1000000,"NA"))</f>
        <v>35</v>
      </c>
      <c r="Z100" s="100" t="str">
        <f t="shared" ref="Z100" si="121">IF(Y100=100000,"Max Limit",IF(X100=G100,"Csat",IF(X100=N100,"Cancer",IF(X100=V100,"Acute",IF(X100=U100,"Noncancer","")))))</f>
        <v>Noncancer</v>
      </c>
      <c r="AA100" s="685"/>
      <c r="AB100" s="411"/>
    </row>
    <row r="101" spans="1:28">
      <c r="A101" s="413" t="s">
        <v>205</v>
      </c>
      <c r="B101" s="566" t="s">
        <v>206</v>
      </c>
      <c r="C101" s="367">
        <f>1/(('Res-Rec Equations'!$B$152*3600)/((0.036*(1-'Res-Rec Equations'!$B$153))*('Res-Rec Equations'!$B$154/'Res-Rec Equations'!$B$155)^3*'Res-Rec Equations'!$B$156))</f>
        <v>7.3567680901159717E-10</v>
      </c>
      <c r="D101" s="368">
        <f>(('Res-Rec Equations'!$B$132^(10/3)*'Chemical Info'!$AH102*'Chemical Info'!$AN102*41+'Res-Rec Equations'!$B$135^(10/3)*'Chemical Info'!$AJ102)/'Res-Rec Equations'!$B$137^2)/('Res-Rec Equations'!$B$139*'Chemical Info'!$AL102*'Res-Rec Equations'!$B$142+'Res-Rec Equations'!$B$135+'Res-Rec Equations'!$B$132*'Chemical Info'!$AN102*41)</f>
        <v>3.3969789032057378E-7</v>
      </c>
      <c r="E101" s="368">
        <f>IF(D101=0,"NA",1/(('Res-Rec Equations'!$B$103*(3.14*'Res-Rec Calculations'!$D101*'Res-Rec Equations'!$B$105)^(1/2)*0.0001)/(2*'Res-Rec Equations'!$B$106*'Res-Rec Calculations'!$D101)))</f>
        <v>3.4211727857104682E-6</v>
      </c>
      <c r="F101" s="368">
        <f>IF(D101=0,"NA",(1/('Res-Rec Equations'!$B$117*('Res-Rec Equations'!$B$118*(31500000))/('Res-Rec Equations'!$B$119*'Res-Rec Equations'!$B$120*1000000))))</f>
        <v>6.1914410640015851E-5</v>
      </c>
      <c r="G101" s="167" t="str">
        <f>IF('Chemical Info'!E102="Yes",('Chemical Info'!AP102/'Res-Rec Equations'!$B$168)*((('Chemical Info'!AL102*'Res-Rec Equations'!$B$170)*'Res-Rec Equations'!$B$168)+'Res-Rec Equations'!$B$171+('Chemical Info'!AN102*41)*'Res-Rec Equations'!$B$173),"NA")</f>
        <v>NA</v>
      </c>
      <c r="H101" s="112" t="str">
        <f>IF('Chemical Info'!H102="NA","NA",IF(AND('Chemical Info'!E102="Yes",'Chemical Info'!D102="Yes"),'Chemical Info'!H102*'Chemical Info'!AD102*'Res-Rec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Info'!E102="Yes",'Chemical Info'!D102=""),'Chemical Info'!H102*'Chemical Info'!AD102*'Res-Rec Equations'!$B$20*'Res-Rec Equations'!$B$23*((('Res-Rec Equations'!$B$26*'Res-Rec Equations'!$B$29)/'Res-Rec Equations'!$B$32)+(('Res-Rec Equations'!$B$27*'Res-Rec Equations'!$B$30)/'Res-Rec Equations'!$B$33)+(('Res-Rec Equations'!$B$28*'Res-Rec Equations'!$B$31)/'Res-Rec Equations'!$B$34)),IF(AND('Chemical Info'!E102="No",'Chemical Info'!D102="Yes"),'Chemical Info'!H102*'Chemical Info'!AD102*'Res-Rec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Info'!E102="No",'Chemical Info'!D102=""),'Chemical Info'!H102*'Chemical Info'!AD102*'Res-Rec Equations'!$B$19*'Res-Rec Equations'!$B$23*((('Res-Rec Equations'!$B$26*'Res-Rec Equations'!$B$29)/'Res-Rec Equations'!$B$32)+(('Res-Rec Equations'!$B$27*'Res-Rec Equations'!$B$30)/'Res-Rec Equations'!$B$33)+(('Res-Rec Equations'!$B$28*'Res-Rec Equations'!$B$31)/'Res-Rec Equations'!$B$34)))))))</f>
        <v>NA</v>
      </c>
      <c r="I101" s="166" t="str">
        <f>IF('Chemical Info'!H102="NA","NA",IF('Chemical Info'!E102="Yes",0,IF('Chemical Info'!D102="Yes",'Chemical Info'!H102/'Chemical Info'!AF102*('Res-Rec Equations'!$B$21*'Chemical Info'!AB102*'Res-Rec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Info'!H102/'Chemical Info'!AF102*('Res-Rec Equations'!$B$21*'Chemical Info'!AB102*'Res-Rec Equations'!$B$23)*((('Res-Rec Equations'!$B$26*'Res-Rec Equations'!$B$37*'Res-Rec Equations'!$B$40)/'Res-Rec Equations'!$B$32)+(('Res-Rec Equations'!$B$27*'Res-Rec Equations'!$B$38*'Res-Rec Equations'!$B$41)/'Res-Rec Equations'!$B$33)+(('Res-Rec Equations'!$B$28*'Res-Rec Equations'!$B$39*'Res-Rec Equations'!$B$42)/'Res-Rec Equations'!$B$34)))))</f>
        <v>NA</v>
      </c>
      <c r="J101" s="369" t="str">
        <f>IF('Chemical Info'!J102="NA","NA",IF(AND(E101="NA",'Chemical Info'!D102="Yes"),'Res-Rec Equations'!$B$22*1000*(('Res-Rec Equations'!$B$26*'Chemical Info'!J102*'Res-Rec Equations'!$B$59)+('Res-Rec Equations'!$B$27*'Chemical Info'!J102*'Res-Rec Equations'!$B$60)+('Res-Rec Equations'!$B$28*'Chemical Info'!J102*'Res-Rec Equations'!$B$61))*'Res-Rec Calculations'!C101,IF(AND(E101="NA",'Chemical Info'!D102=""),'Res-Rec Equations'!$B$22*1000*'Res-Rec Equations'!$B$25*'Chemical Info'!J102*'Res-Rec Calculations'!C101,IF(AND('Chemical Info'!E102="Yes",'Chemical Info'!D102="Yes"),'Res-Rec Equations'!$B$22*1000*(('Res-Rec Equations'!$B$26*'Chemical Info'!J102*'Res-Rec Equations'!$B$59)+('Res-Rec Equations'!$B$27*'Chemical Info'!J102*'Res-Rec Equations'!$B$60)+('Res-Rec Equations'!$B$28*'Chemical Info'!J102*'Res-Rec Equations'!$B$61))*'Res-Rec Calculations'!E101,IF(AND('Chemical Info'!E102="Yes",'Chemical Info'!D102=""),'Res-Rec Equations'!$B$22*1000*'Res-Rec Equations'!$B$25*'Chemical Info'!J102*'Res-Rec Calculations'!E101,IF('Chemical Info'!D102="Yes",'Res-Rec Equations'!$B$22*1000*(('Res-Rec Equations'!$B$26*'Chemical Info'!J102*'Res-Rec Equations'!$B$59)+('Res-Rec Equations'!$B$27*'Chemical Info'!J102*'Res-Rec Equations'!$B$60)+('Res-Rec Equations'!$B$28*'Chemical Info'!J102*'Res-Rec Equations'!$B$61))*('Res-Rec Calculations'!C101+'Res-Rec Calculations'!E101),IF('Chemical Info'!D102="",'Res-Rec Equations'!$B$22*1000*'Res-Rec Equations'!$B$25*'Chemical Info'!J102*('Res-Rec Calculations'!C101+'Res-Rec Calculations'!E101))))))))</f>
        <v>NA</v>
      </c>
      <c r="K101" s="370" t="str">
        <f>IF('Chemical Info'!J102="NA","NA",IF(AND(F101="NA",'Chemical Info'!D102="Yes"),'Res-Rec Equations'!$B$22*1000*(('Res-Rec Equations'!$B$26*'Chemical Info'!J102*'Res-Rec Equations'!$B$59)+('Res-Rec Equations'!$B$27*'Chemical Info'!J102*'Res-Rec Equations'!$B$60)+('Res-Rec Equations'!$B$28*'Chemical Info'!J102*'Res-Rec Equations'!$B$61))*'Res-Rec Calculations'!C101,IF(AND(F101="NA",'Chemical Info'!D102=""),'Res-Rec Equations'!$B$22*1000*'Res-Rec Equations'!$B$25*'Chemical Info'!J102*'Res-Rec Calculations'!C101,IF(AND('Chemical Info'!F102="Yes",'Chemical Info'!D102="Yes"),'Res-Rec Equations'!$B$22*1000*(('Res-Rec Equations'!$B$26*'Chemical Info'!J102*'Res-Rec Equations'!$B$59)+('Res-Rec Equations'!$B$27*'Chemical Info'!J102*'Res-Rec Equations'!$B$60)+('Res-Rec Equations'!$B$28*'Chemical Info'!J102*'Res-Rec Equations'!$B$61))*'Res-Rec Calculations'!F101,IF(AND('Chemical Info'!F102="Yes",'Chemical Info'!D102=""),'Res-Rec Equations'!$B$22*1000*'Res-Rec Equations'!$B$25*'Chemical Info'!J102*'Res-Rec Calculations'!F101,IF('Chemical Info'!D102="Yes",'Res-Rec Equations'!$B$22*1000*(('Res-Rec Equations'!$B$26*'Chemical Info'!J102*'Res-Rec Equations'!$B$59)+('Res-Rec Equations'!$B$27*'Chemical Info'!J102*'Res-Rec Equations'!$B$60)+('Res-Rec Equations'!$B$28*'Chemical Info'!J102*'Res-Rec Equations'!$B$61))*('Res-Rec Calculations'!C101+'Res-Rec Calculations'!F101),IF('Chemical Info'!D102="",'Res-Rec Equations'!$B$22*1000*'Res-Rec Equations'!$B$25*'Chemical Info'!J102*('Res-Rec Calculations'!C101+'Res-Rec Calculations'!F101))))))))</f>
        <v>NA</v>
      </c>
      <c r="L101" s="167" t="str">
        <f>IF(AND(H101="NA",I101="NA",J101="NA"),"NA",IF(H101="NA",'Res-Rec Equations'!$B$15*'Res-Rec Equations'!$B$16/J101,IF(J101="NA",'Res-Rec Equations'!$B$15*'Res-Rec Equations'!$B$16/(H101+I101),'Res-Rec Equations'!$B$15*'Res-Rec Equations'!$B$16/(H101+I101+J101))))</f>
        <v>NA</v>
      </c>
      <c r="M101" s="167" t="str">
        <f>IF(AND(H101="NA",I101="NA",K101="NA"),"NA",IF(H101="NA",'Res-Rec Equations'!$B$15*'Res-Rec Equations'!$B$16/K101,IF(K101="NA",'Res-Rec Equations'!$B$15*'Res-Rec Equations'!$B$16/(H101+I101),'Res-Rec Equations'!$B$15*'Res-Rec Equations'!$B$16/(H101+I101+K101))))</f>
        <v>NA</v>
      </c>
      <c r="N101" s="167" t="str">
        <f t="shared" ref="N101:N168" si="122">IF(AND(L101="NA",M101="NA"),"NA",MAX(L101,M101))</f>
        <v>NA</v>
      </c>
      <c r="O101" s="371">
        <f>IF('Chemical Info'!L102="NA","NA",IF('Chemical Info'!E102="Yes",(('Res-Rec Equations'!$B$76*'Chemical Info'!AD102*'Res-Rec Equations'!$B$78*'Res-Rec Equations'!$B$79*'Res-Rec Equations'!$B$81)/('Res-Rec Equations'!$B$84*'Res-Rec Equations'!$B$85))/'Chemical Info'!L102,(('Res-Rec Equations'!$B$76*'Chemical Info'!AD102*'Res-Rec Equations'!$B$78*'Res-Rec Equations'!$B$79*'Res-Rec Equations'!$B$80)/('Res-Rec Equations'!$B$84*'Res-Rec Equations'!$B$85))/'Chemical Info'!L102))</f>
        <v>3.1963470319634702E-6</v>
      </c>
      <c r="P101" s="166">
        <f>IF('Chemical Info'!L102="NA","NA", IF('Chemical Info'!E102="Yes",0,((('Res-Rec Equations'!$B$87*'Res-Rec Equations'!$B$88*'Res-Rec Equations'!$B$78*'Res-Rec Equations'!$B$82*'Res-Rec Equations'!$B$79*'Chemical Info'!AB102)/('Res-Rec Equations'!$B$84*'Res-Rec Equations'!$B$85))/('Chemical Info'!L102*'Chemical Info'!AF102))))</f>
        <v>5.417808219178082E-7</v>
      </c>
      <c r="Q101" s="166" t="str">
        <f>IF('Chemical Info'!N102="NA","NA",IF('Res-Rec Calculations'!E101="NA",(('Res-Rec Equations'!$B$83*'Res-Rec Equations'!$B$79*'Res-Rec Calculations'!C101)/('Res-Rec Equations'!$B$85))/('Chemical Info'!N102),IF('Chemical Info'!E102="Yes",(('Res-Rec Equations'!$B$83*'Res-Rec Equations'!$B$79*'Res-Rec Calculations'!E101)/('Res-Rec Equations'!$B$85))/('Chemical Info'!N102),(('Res-Rec Equations'!$B$83*'Res-Rec Equations'!$B$79*('Res-Rec Calculations'!C101+'Res-Rec Calculations'!E101))/('Res-Rec Equations'!$B$85))/('Chemical Info'!N102))))</f>
        <v>NA</v>
      </c>
      <c r="R101" s="166" t="str">
        <f>IF('Chemical Info'!N102="NA","NA",IF('Res-Rec Calculations'!F101="NA",(('Res-Rec Equations'!$B$83*'Res-Rec Equations'!$B$79*'Res-Rec Calculations'!C101)/('Res-Rec Equations'!$B$85))/('Chemical Info'!N102),IF('Chemical Info'!E102="Yes",(('Res-Rec Equations'!$B$83*'Res-Rec Equations'!$B$79*'Res-Rec Calculations'!F101)/('Res-Rec Equations'!$B$85))/('Chemical Info'!N102),(('Res-Rec Equations'!$B$83*'Res-Rec Equations'!$B$79*('Res-Rec Calculations'!C101+'Res-Rec Calculations'!F101))/('Res-Rec Equations'!$B$85))/('Chemical Info'!N102))))</f>
        <v>NA</v>
      </c>
      <c r="S101" s="167">
        <f>IF(AND(O101="NA",P101="NA",Q101="NA"),"NA",IF(O101="NA",'Res-Rec Equations'!$B$75/Q101,IF(Q101="NA",'Res-Rec Equations'!$B$75/(O101+P101),'Res-Rec Equations'!$B$75/(O101+P101+Q101))))</f>
        <v>53502.717889207845</v>
      </c>
      <c r="T101" s="167">
        <f>IF(AND(O101="NA",P101="NA",R101="NA"),"NA",IF(O101="NA",'Res-Rec Equations'!$B$75/R101,IF(R101="NA",'Res-Rec Equations'!$B$75/(O101+P101),'Res-Rec Equations'!$B$75/(O101+P101+R101))))</f>
        <v>53502.717889207845</v>
      </c>
      <c r="U101" s="168">
        <f t="shared" ref="U101:U168" si="123">IF(AND(S101="NA",T101="NA"),"NA",MAX(S101,T101))</f>
        <v>53502.717889207845</v>
      </c>
      <c r="V101" s="167" t="str">
        <f>IF('Chemical Info'!P102="NA","NA",(('Res-Rec Equations'!$B$185*'Res-Rec Equations'!$B$186)/('Res-Rec Equations'!$B$187*'Res-Rec Equations'!$B$188*(1/'Chemical Info'!P102))))</f>
        <v>NA</v>
      </c>
      <c r="W101" s="379" t="str">
        <f t="shared" ref="W101:W168" si="124">IF(V101="NA","NA",IF(V101&gt;100000,100000,IF(ISNUMBER(ROUND(V101*1000000,2-LEN(INT(V101*1000000)))/1000000),ROUND(V101*1000000,2-LEN(INT(V101*1000000)))/1000000,"NA")))</f>
        <v>NA</v>
      </c>
      <c r="X101" s="372">
        <f t="shared" ref="X101:X168" si="125">IF(AND(N101="NA",U101="NA",G101="NA"),"NA",MIN(N101,U101,G101))</f>
        <v>53502.717889207845</v>
      </c>
      <c r="Y101" s="62">
        <f t="shared" ref="Y101:Y168" si="126">IF(X101&gt;100000,100000,IF(ISNUMBER(ROUND(X101*1000000,2-LEN(INT(X101*1000000)))/1000000),ROUND(X101*1000000,2-LEN(INT(X101*1000000)))/1000000,"NA"))</f>
        <v>54000</v>
      </c>
      <c r="Z101" s="100" t="str">
        <f t="shared" ref="Z101:Z168" si="127">IF(Y101=100000,"Max Limit",IF(X101=G101,"Csat",IF(X101=N101,"Cancer",IF(X101=V101,"Acute",IF(X101=U101,"Noncancer","")))))</f>
        <v>Noncancer</v>
      </c>
      <c r="AA101" s="373"/>
    </row>
    <row r="102" spans="1:28">
      <c r="A102" s="413" t="s">
        <v>207</v>
      </c>
      <c r="B102" s="566" t="s">
        <v>434</v>
      </c>
      <c r="C102" s="367">
        <f>1/(('Res-Rec Equations'!$B$152*3600)/((0.036*(1-'Res-Rec Equations'!$B$153))*('Res-Rec Equations'!$B$154/'Res-Rec Equations'!$B$155)^3*'Res-Rec Equations'!$B$156))</f>
        <v>7.3567680901159717E-10</v>
      </c>
      <c r="D102" s="368">
        <f>(('Res-Rec Equations'!$B$132^(10/3)*'Chemical Info'!$AH103*'Chemical Info'!$AN103*41+'Res-Rec Equations'!$B$135^(10/3)*'Chemical Info'!$AJ103)/'Res-Rec Equations'!$B$137^2)/('Res-Rec Equations'!$B$139*'Chemical Info'!$AL103*'Res-Rec Equations'!$B$142+'Res-Rec Equations'!$B$135+'Res-Rec Equations'!$B$132*'Chemical Info'!$AN103*41)</f>
        <v>4.8443692744389226E-7</v>
      </c>
      <c r="E102" s="368">
        <f>IF(D102=0,"NA",1/(('Res-Rec Equations'!$B$103*(3.14*'Res-Rec Calculations'!$D102*'Res-Rec Equations'!$B$105)^(1/2)*0.0001)/(2*'Res-Rec Equations'!$B$106*'Res-Rec Calculations'!$D102)))</f>
        <v>4.0855187155297483E-6</v>
      </c>
      <c r="F102" s="368">
        <f>IF(D102=0,"NA",(1/('Res-Rec Equations'!$B$117*('Res-Rec Equations'!$B$118*(31500000))/('Res-Rec Equations'!$B$119*'Res-Rec Equations'!$B$120*1000000))))</f>
        <v>6.1914410640015851E-5</v>
      </c>
      <c r="G102" s="167" t="str">
        <f>IF('Chemical Info'!E103="Yes",('Chemical Info'!AP103/'Res-Rec Equations'!$B$168)*((('Chemical Info'!AL103*'Res-Rec Equations'!$B$170)*'Res-Rec Equations'!$B$168)+'Res-Rec Equations'!$B$171+('Chemical Info'!AN103*41)*'Res-Rec Equations'!$B$173),"NA")</f>
        <v>NA</v>
      </c>
      <c r="H102" s="112" t="str">
        <f>IF('Chemical Info'!H103="NA","NA",IF(AND('Chemical Info'!E103="Yes",'Chemical Info'!D103="Yes"),'Chemical Info'!H103*'Chemical Info'!AD103*'Res-Rec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Info'!E103="Yes",'Chemical Info'!D103=""),'Chemical Info'!H103*'Chemical Info'!AD103*'Res-Rec Equations'!$B$20*'Res-Rec Equations'!$B$23*((('Res-Rec Equations'!$B$26*'Res-Rec Equations'!$B$29)/'Res-Rec Equations'!$B$32)+(('Res-Rec Equations'!$B$27*'Res-Rec Equations'!$B$30)/'Res-Rec Equations'!$B$33)+(('Res-Rec Equations'!$B$28*'Res-Rec Equations'!$B$31)/'Res-Rec Equations'!$B$34)),IF(AND('Chemical Info'!E103="No",'Chemical Info'!D103="Yes"),'Chemical Info'!H103*'Chemical Info'!AD103*'Res-Rec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Info'!E103="No",'Chemical Info'!D103=""),'Chemical Info'!H103*'Chemical Info'!AD103*'Res-Rec Equations'!$B$19*'Res-Rec Equations'!$B$23*((('Res-Rec Equations'!$B$26*'Res-Rec Equations'!$B$29)/'Res-Rec Equations'!$B$32)+(('Res-Rec Equations'!$B$27*'Res-Rec Equations'!$B$30)/'Res-Rec Equations'!$B$33)+(('Res-Rec Equations'!$B$28*'Res-Rec Equations'!$B$31)/'Res-Rec Equations'!$B$34)))))))</f>
        <v>NA</v>
      </c>
      <c r="I102" s="166" t="str">
        <f>IF('Chemical Info'!H103="NA","NA",IF('Chemical Info'!E103="Yes",0,IF('Chemical Info'!D103="Yes",'Chemical Info'!H103/'Chemical Info'!AF103*('Res-Rec Equations'!$B$21*'Chemical Info'!AB103*'Res-Rec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Info'!H103/'Chemical Info'!AF103*('Res-Rec Equations'!$B$21*'Chemical Info'!AB103*'Res-Rec Equations'!$B$23)*((('Res-Rec Equations'!$B$26*'Res-Rec Equations'!$B$37*'Res-Rec Equations'!$B$40)/'Res-Rec Equations'!$B$32)+(('Res-Rec Equations'!$B$27*'Res-Rec Equations'!$B$38*'Res-Rec Equations'!$B$41)/'Res-Rec Equations'!$B$33)+(('Res-Rec Equations'!$B$28*'Res-Rec Equations'!$B$39*'Res-Rec Equations'!$B$42)/'Res-Rec Equations'!$B$34)))))</f>
        <v>NA</v>
      </c>
      <c r="J102" s="369" t="str">
        <f>IF('Chemical Info'!J103="NA","NA",IF(AND(E102="NA",'Chemical Info'!D103="Yes"),'Res-Rec Equations'!$B$22*1000*(('Res-Rec Equations'!$B$26*'Chemical Info'!J103*'Res-Rec Equations'!$B$59)+('Res-Rec Equations'!$B$27*'Chemical Info'!J103*'Res-Rec Equations'!$B$60)+('Res-Rec Equations'!$B$28*'Chemical Info'!J103*'Res-Rec Equations'!$B$61))*'Res-Rec Calculations'!C102,IF(AND(E102="NA",'Chemical Info'!D103=""),'Res-Rec Equations'!$B$22*1000*'Res-Rec Equations'!$B$25*'Chemical Info'!J103*'Res-Rec Calculations'!C102,IF(AND('Chemical Info'!E103="Yes",'Chemical Info'!D103="Yes"),'Res-Rec Equations'!$B$22*1000*(('Res-Rec Equations'!$B$26*'Chemical Info'!J103*'Res-Rec Equations'!$B$59)+('Res-Rec Equations'!$B$27*'Chemical Info'!J103*'Res-Rec Equations'!$B$60)+('Res-Rec Equations'!$B$28*'Chemical Info'!J103*'Res-Rec Equations'!$B$61))*'Res-Rec Calculations'!E102,IF(AND('Chemical Info'!E103="Yes",'Chemical Info'!D103=""),'Res-Rec Equations'!$B$22*1000*'Res-Rec Equations'!$B$25*'Chemical Info'!J103*'Res-Rec Calculations'!E102,IF('Chemical Info'!D103="Yes",'Res-Rec Equations'!$B$22*1000*(('Res-Rec Equations'!$B$26*'Chemical Info'!J103*'Res-Rec Equations'!$B$59)+('Res-Rec Equations'!$B$27*'Chemical Info'!J103*'Res-Rec Equations'!$B$60)+('Res-Rec Equations'!$B$28*'Chemical Info'!J103*'Res-Rec Equations'!$B$61))*('Res-Rec Calculations'!C102+'Res-Rec Calculations'!E102),IF('Chemical Info'!D103="",'Res-Rec Equations'!$B$22*1000*'Res-Rec Equations'!$B$25*'Chemical Info'!J103*('Res-Rec Calculations'!C102+'Res-Rec Calculations'!E102))))))))</f>
        <v>NA</v>
      </c>
      <c r="K102" s="370" t="str">
        <f>IF('Chemical Info'!J103="NA","NA",IF(AND(F102="NA",'Chemical Info'!D103="Yes"),'Res-Rec Equations'!$B$22*1000*(('Res-Rec Equations'!$B$26*'Chemical Info'!J103*'Res-Rec Equations'!$B$59)+('Res-Rec Equations'!$B$27*'Chemical Info'!J103*'Res-Rec Equations'!$B$60)+('Res-Rec Equations'!$B$28*'Chemical Info'!J103*'Res-Rec Equations'!$B$61))*'Res-Rec Calculations'!C102,IF(AND(F102="NA",'Chemical Info'!D103=""),'Res-Rec Equations'!$B$22*1000*'Res-Rec Equations'!$B$25*'Chemical Info'!J103*'Res-Rec Calculations'!C102,IF(AND('Chemical Info'!F103="Yes",'Chemical Info'!D103="Yes"),'Res-Rec Equations'!$B$22*1000*(('Res-Rec Equations'!$B$26*'Chemical Info'!J103*'Res-Rec Equations'!$B$59)+('Res-Rec Equations'!$B$27*'Chemical Info'!J103*'Res-Rec Equations'!$B$60)+('Res-Rec Equations'!$B$28*'Chemical Info'!J103*'Res-Rec Equations'!$B$61))*'Res-Rec Calculations'!F102,IF(AND('Chemical Info'!F103="Yes",'Chemical Info'!D103=""),'Res-Rec Equations'!$B$22*1000*'Res-Rec Equations'!$B$25*'Chemical Info'!J103*'Res-Rec Calculations'!F102,IF('Chemical Info'!D103="Yes",'Res-Rec Equations'!$B$22*1000*(('Res-Rec Equations'!$B$26*'Chemical Info'!J103*'Res-Rec Equations'!$B$59)+('Res-Rec Equations'!$B$27*'Chemical Info'!J103*'Res-Rec Equations'!$B$60)+('Res-Rec Equations'!$B$28*'Chemical Info'!J103*'Res-Rec Equations'!$B$61))*('Res-Rec Calculations'!C102+'Res-Rec Calculations'!F102),IF('Chemical Info'!D103="",'Res-Rec Equations'!$B$22*1000*'Res-Rec Equations'!$B$25*'Chemical Info'!J103*('Res-Rec Calculations'!C102+'Res-Rec Calculations'!F102))))))))</f>
        <v>NA</v>
      </c>
      <c r="L102" s="167" t="str">
        <f>IF(AND(H102="NA",I102="NA",J102="NA"),"NA",IF(H102="NA",'Res-Rec Equations'!$B$15*'Res-Rec Equations'!$B$16/J102,IF(J102="NA",'Res-Rec Equations'!$B$15*'Res-Rec Equations'!$B$16/(H102+I102),'Res-Rec Equations'!$B$15*'Res-Rec Equations'!$B$16/(H102+I102+J102))))</f>
        <v>NA</v>
      </c>
      <c r="M102" s="167" t="str">
        <f>IF(AND(H102="NA",I102="NA",K102="NA"),"NA",IF(H102="NA",'Res-Rec Equations'!$B$15*'Res-Rec Equations'!$B$16/K102,IF(K102="NA",'Res-Rec Equations'!$B$15*'Res-Rec Equations'!$B$16/(H102+I102),'Res-Rec Equations'!$B$15*'Res-Rec Equations'!$B$16/(H102+I102+K102))))</f>
        <v>NA</v>
      </c>
      <c r="N102" s="167" t="str">
        <f t="shared" si="122"/>
        <v>NA</v>
      </c>
      <c r="O102" s="371">
        <f>IF('Chemical Info'!L103="NA","NA",IF('Chemical Info'!E103="Yes",(('Res-Rec Equations'!$B$76*'Chemical Info'!AD103*'Res-Rec Equations'!$B$78*'Res-Rec Equations'!$B$79*'Res-Rec Equations'!$B$81)/('Res-Rec Equations'!$B$84*'Res-Rec Equations'!$B$85))/'Chemical Info'!L103,(('Res-Rec Equations'!$B$76*'Chemical Info'!AD103*'Res-Rec Equations'!$B$78*'Res-Rec Equations'!$B$79*'Res-Rec Equations'!$B$80)/('Res-Rec Equations'!$B$84*'Res-Rec Equations'!$B$85))/'Chemical Info'!L103))</f>
        <v>1.2785388127853879E-4</v>
      </c>
      <c r="P102" s="166">
        <f>IF('Chemical Info'!L103="NA","NA", IF('Chemical Info'!E103="Yes",0,((('Res-Rec Equations'!$B$87*'Res-Rec Equations'!$B$88*'Res-Rec Equations'!$B$78*'Res-Rec Equations'!$B$82*'Res-Rec Equations'!$B$79*'Chemical Info'!AB103)/('Res-Rec Equations'!$B$84*'Res-Rec Equations'!$B$85))/('Chemical Info'!L103*'Chemical Info'!AF103))))</f>
        <v>2.1671232876712325E-5</v>
      </c>
      <c r="Q102" s="166" t="str">
        <f>IF('Chemical Info'!N103="NA","NA",IF('Res-Rec Calculations'!E102="NA",(('Res-Rec Equations'!$B$83*'Res-Rec Equations'!$B$79*'Res-Rec Calculations'!C102)/('Res-Rec Equations'!$B$85))/('Chemical Info'!N103),IF('Chemical Info'!E103="Yes",(('Res-Rec Equations'!$B$83*'Res-Rec Equations'!$B$79*'Res-Rec Calculations'!E102)/('Res-Rec Equations'!$B$85))/('Chemical Info'!N103),(('Res-Rec Equations'!$B$83*'Res-Rec Equations'!$B$79*('Res-Rec Calculations'!C102+'Res-Rec Calculations'!E102))/('Res-Rec Equations'!$B$85))/('Chemical Info'!N103))))</f>
        <v>NA</v>
      </c>
      <c r="R102" s="166" t="str">
        <f>IF('Chemical Info'!N103="NA","NA",IF('Res-Rec Calculations'!F102="NA",(('Res-Rec Equations'!$B$83*'Res-Rec Equations'!$B$79*'Res-Rec Calculations'!C102)/('Res-Rec Equations'!$B$85))/('Chemical Info'!N103),IF('Chemical Info'!E103="Yes",(('Res-Rec Equations'!$B$83*'Res-Rec Equations'!$B$79*'Res-Rec Calculations'!F102)/('Res-Rec Equations'!$B$85))/('Chemical Info'!N103),(('Res-Rec Equations'!$B$83*'Res-Rec Equations'!$B$79*('Res-Rec Calculations'!C102+'Res-Rec Calculations'!F102))/('Res-Rec Equations'!$B$85))/('Chemical Info'!N103))))</f>
        <v>NA</v>
      </c>
      <c r="S102" s="167">
        <f>IF(AND(O102="NA",P102="NA",Q102="NA"),"NA",IF(O102="NA",'Res-Rec Equations'!$B$75/Q102,IF(Q102="NA",'Res-Rec Equations'!$B$75/(O102+P102),'Res-Rec Equations'!$B$75/(O102+P102+Q102))))</f>
        <v>1337.5679472301965</v>
      </c>
      <c r="T102" s="167">
        <f>IF(AND(O102="NA",P102="NA",R102="NA"),"NA",IF(O102="NA",'Res-Rec Equations'!$B$75/R102,IF(R102="NA",'Res-Rec Equations'!$B$75/(O102+P102),'Res-Rec Equations'!$B$75/(O102+P102+R102))))</f>
        <v>1337.5679472301965</v>
      </c>
      <c r="U102" s="168">
        <f t="shared" si="123"/>
        <v>1337.5679472301965</v>
      </c>
      <c r="V102" s="167" t="str">
        <f>IF('Chemical Info'!P103="NA","NA",(('Res-Rec Equations'!$B$185*'Res-Rec Equations'!$B$186)/('Res-Rec Equations'!$B$187*'Res-Rec Equations'!$B$188*(1/'Chemical Info'!P103))))</f>
        <v>NA</v>
      </c>
      <c r="W102" s="379" t="str">
        <f t="shared" si="124"/>
        <v>NA</v>
      </c>
      <c r="X102" s="372">
        <f t="shared" si="125"/>
        <v>1337.5679472301965</v>
      </c>
      <c r="Y102" s="62">
        <f t="shared" si="126"/>
        <v>1300</v>
      </c>
      <c r="Z102" s="100" t="str">
        <f t="shared" si="127"/>
        <v>Noncancer</v>
      </c>
      <c r="AA102" s="373"/>
    </row>
    <row r="103" spans="1:28">
      <c r="A103" s="413" t="s">
        <v>1187</v>
      </c>
      <c r="B103" s="566" t="s">
        <v>1188</v>
      </c>
      <c r="C103" s="367">
        <f>1/(('Res-Rec Equations'!$B$152*3600)/((0.036*(1-'Res-Rec Equations'!$B$153))*('Res-Rec Equations'!$B$154/'Res-Rec Equations'!$B$155)^3*'Res-Rec Equations'!$B$156))</f>
        <v>7.3567680901159717E-10</v>
      </c>
      <c r="D103" s="368">
        <f>(('Res-Rec Equations'!$B$132^(10/3)*'Chemical Info'!$AH104*'Chemical Info'!$AN104*41+'Res-Rec Equations'!$B$135^(10/3)*'Chemical Info'!$AJ104)/'Res-Rec Equations'!$B$137^2)/('Res-Rec Equations'!$B$139*'Chemical Info'!$AL104*'Res-Rec Equations'!$B$142+'Res-Rec Equations'!$B$135+'Res-Rec Equations'!$B$132*'Chemical Info'!$AN104*41)</f>
        <v>2.8790968211397667E-6</v>
      </c>
      <c r="E103" s="368">
        <f>IF(D103=0,"NA",1/(('Res-Rec Equations'!$B$103*(3.14*'Res-Rec Calculations'!$D103*'Res-Rec Equations'!$B$105)^(1/2)*0.0001)/(2*'Res-Rec Equations'!$B$106*'Res-Rec Calculations'!$D103)))</f>
        <v>9.9599399236166089E-6</v>
      </c>
      <c r="F103" s="368">
        <f>IF(D103=0,"NA",(1/('Res-Rec Equations'!$B$117*('Res-Rec Equations'!$B$118*(31500000))/('Res-Rec Equations'!$B$119*'Res-Rec Equations'!$B$120*1000000))))</f>
        <v>6.1914410640015851E-5</v>
      </c>
      <c r="G103" s="167" t="str">
        <f>IF('Chemical Info'!E104="Yes",('Chemical Info'!AP104/'Res-Rec Equations'!$B$168)*((('Chemical Info'!AL104*'Res-Rec Equations'!$B$170)*'Res-Rec Equations'!$B$168)+'Res-Rec Equations'!$B$171+('Chemical Info'!AN104*41)*'Res-Rec Equations'!$B$173),"NA")</f>
        <v>NA</v>
      </c>
      <c r="H103" s="112" t="str">
        <f>IF('Chemical Info'!H104="NA","NA",IF(AND('Chemical Info'!E104="Yes",'Chemical Info'!D104="Yes"),'Chemical Info'!H104*'Chemical Info'!AD104*'Res-Rec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Info'!E104="Yes",'Chemical Info'!D104=""),'Chemical Info'!H104*'Chemical Info'!AD104*'Res-Rec Equations'!$B$20*'Res-Rec Equations'!$B$23*((('Res-Rec Equations'!$B$26*'Res-Rec Equations'!$B$29)/'Res-Rec Equations'!$B$32)+(('Res-Rec Equations'!$B$27*'Res-Rec Equations'!$B$30)/'Res-Rec Equations'!$B$33)+(('Res-Rec Equations'!$B$28*'Res-Rec Equations'!$B$31)/'Res-Rec Equations'!$B$34)),IF(AND('Chemical Info'!E104="No",'Chemical Info'!D104="Yes"),'Chemical Info'!H104*'Chemical Info'!AD104*'Res-Rec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Info'!E104="No",'Chemical Info'!D104=""),'Chemical Info'!H104*'Chemical Info'!AD104*'Res-Rec Equations'!$B$19*'Res-Rec Equations'!$B$23*((('Res-Rec Equations'!$B$26*'Res-Rec Equations'!$B$29)/'Res-Rec Equations'!$B$32)+(('Res-Rec Equations'!$B$27*'Res-Rec Equations'!$B$30)/'Res-Rec Equations'!$B$33)+(('Res-Rec Equations'!$B$28*'Res-Rec Equations'!$B$31)/'Res-Rec Equations'!$B$34)))))))</f>
        <v>NA</v>
      </c>
      <c r="I103" s="166" t="str">
        <f>IF('Chemical Info'!H104="NA","NA",IF('Chemical Info'!E104="Yes",0,IF('Chemical Info'!D104="Yes",'Chemical Info'!H104/'Chemical Info'!AF104*('Res-Rec Equations'!$B$21*'Chemical Info'!AB104*'Res-Rec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Info'!H104/'Chemical Info'!AF104*('Res-Rec Equations'!$B$21*'Chemical Info'!AB104*'Res-Rec Equations'!$B$23)*((('Res-Rec Equations'!$B$26*'Res-Rec Equations'!$B$37*'Res-Rec Equations'!$B$40)/'Res-Rec Equations'!$B$32)+(('Res-Rec Equations'!$B$27*'Res-Rec Equations'!$B$38*'Res-Rec Equations'!$B$41)/'Res-Rec Equations'!$B$33)+(('Res-Rec Equations'!$B$28*'Res-Rec Equations'!$B$39*'Res-Rec Equations'!$B$42)/'Res-Rec Equations'!$B$34)))))</f>
        <v>NA</v>
      </c>
      <c r="J103" s="369" t="str">
        <f>IF('Chemical Info'!J104="NA","NA",IF(AND(E103="NA",'Chemical Info'!D104="Yes"),'Res-Rec Equations'!$B$22*1000*(('Res-Rec Equations'!$B$26*'Chemical Info'!J104*'Res-Rec Equations'!$B$59)+('Res-Rec Equations'!$B$27*'Chemical Info'!J104*'Res-Rec Equations'!$B$60)+('Res-Rec Equations'!$B$28*'Chemical Info'!J104*'Res-Rec Equations'!$B$61))*'Res-Rec Calculations'!C103,IF(AND(E103="NA",'Chemical Info'!D104=""),'Res-Rec Equations'!$B$22*1000*'Res-Rec Equations'!$B$25*'Chemical Info'!J104*'Res-Rec Calculations'!C103,IF(AND('Chemical Info'!E104="Yes",'Chemical Info'!D104="Yes"),'Res-Rec Equations'!$B$22*1000*(('Res-Rec Equations'!$B$26*'Chemical Info'!J104*'Res-Rec Equations'!$B$59)+('Res-Rec Equations'!$B$27*'Chemical Info'!J104*'Res-Rec Equations'!$B$60)+('Res-Rec Equations'!$B$28*'Chemical Info'!J104*'Res-Rec Equations'!$B$61))*'Res-Rec Calculations'!E103,IF(AND('Chemical Info'!E104="Yes",'Chemical Info'!D104=""),'Res-Rec Equations'!$B$22*1000*'Res-Rec Equations'!$B$25*'Chemical Info'!J104*'Res-Rec Calculations'!E103,IF('Chemical Info'!D104="Yes",'Res-Rec Equations'!$B$22*1000*(('Res-Rec Equations'!$B$26*'Chemical Info'!J104*'Res-Rec Equations'!$B$59)+('Res-Rec Equations'!$B$27*'Chemical Info'!J104*'Res-Rec Equations'!$B$60)+('Res-Rec Equations'!$B$28*'Chemical Info'!J104*'Res-Rec Equations'!$B$61))*('Res-Rec Calculations'!C103+'Res-Rec Calculations'!E103),IF('Chemical Info'!D104="",'Res-Rec Equations'!$B$22*1000*'Res-Rec Equations'!$B$25*'Chemical Info'!J104*('Res-Rec Calculations'!C103+'Res-Rec Calculations'!E103))))))))</f>
        <v>NA</v>
      </c>
      <c r="K103" s="370" t="str">
        <f>IF('Chemical Info'!J104="NA","NA",IF(AND(F103="NA",'Chemical Info'!D104="Yes"),'Res-Rec Equations'!$B$22*1000*(('Res-Rec Equations'!$B$26*'Chemical Info'!J104*'Res-Rec Equations'!$B$59)+('Res-Rec Equations'!$B$27*'Chemical Info'!J104*'Res-Rec Equations'!$B$60)+('Res-Rec Equations'!$B$28*'Chemical Info'!J104*'Res-Rec Equations'!$B$61))*'Res-Rec Calculations'!C103,IF(AND(F103="NA",'Chemical Info'!D104=""),'Res-Rec Equations'!$B$22*1000*'Res-Rec Equations'!$B$25*'Chemical Info'!J104*'Res-Rec Calculations'!C103,IF(AND('Chemical Info'!F104="Yes",'Chemical Info'!D104="Yes"),'Res-Rec Equations'!$B$22*1000*(('Res-Rec Equations'!$B$26*'Chemical Info'!J104*'Res-Rec Equations'!$B$59)+('Res-Rec Equations'!$B$27*'Chemical Info'!J104*'Res-Rec Equations'!$B$60)+('Res-Rec Equations'!$B$28*'Chemical Info'!J104*'Res-Rec Equations'!$B$61))*'Res-Rec Calculations'!F103,IF(AND('Chemical Info'!F104="Yes",'Chemical Info'!D104=""),'Res-Rec Equations'!$B$22*1000*'Res-Rec Equations'!$B$25*'Chemical Info'!J104*'Res-Rec Calculations'!F103,IF('Chemical Info'!D104="Yes",'Res-Rec Equations'!$B$22*1000*(('Res-Rec Equations'!$B$26*'Chemical Info'!J104*'Res-Rec Equations'!$B$59)+('Res-Rec Equations'!$B$27*'Chemical Info'!J104*'Res-Rec Equations'!$B$60)+('Res-Rec Equations'!$B$28*'Chemical Info'!J104*'Res-Rec Equations'!$B$61))*('Res-Rec Calculations'!C103+'Res-Rec Calculations'!F103),IF('Chemical Info'!D104="",'Res-Rec Equations'!$B$22*1000*'Res-Rec Equations'!$B$25*'Chemical Info'!J104*('Res-Rec Calculations'!C103+'Res-Rec Calculations'!F103))))))))</f>
        <v>NA</v>
      </c>
      <c r="L103" s="167" t="str">
        <f>IF(AND(H103="NA",I103="NA",J103="NA"),"NA",IF(H103="NA",'Res-Rec Equations'!$B$15*'Res-Rec Equations'!$B$16/J103,IF(J103="NA",'Res-Rec Equations'!$B$15*'Res-Rec Equations'!$B$16/(H103+I103),'Res-Rec Equations'!$B$15*'Res-Rec Equations'!$B$16/(H103+I103+J103))))</f>
        <v>NA</v>
      </c>
      <c r="M103" s="167" t="str">
        <f>IF(AND(H103="NA",I103="NA",K103="NA"),"NA",IF(H103="NA",'Res-Rec Equations'!$B$15*'Res-Rec Equations'!$B$16/K103,IF(K103="NA",'Res-Rec Equations'!$B$15*'Res-Rec Equations'!$B$16/(H103+I103),'Res-Rec Equations'!$B$15*'Res-Rec Equations'!$B$16/(H103+I103+K103))))</f>
        <v>NA</v>
      </c>
      <c r="N103" s="167" t="str">
        <f t="shared" ref="N103" si="128">IF(AND(L103="NA",M103="NA"),"NA",MAX(L103,M103))</f>
        <v>NA</v>
      </c>
      <c r="O103" s="371">
        <f>IF('Chemical Info'!L104="NA","NA",IF('Chemical Info'!E104="Yes",(('Res-Rec Equations'!$B$76*'Chemical Info'!AD104*'Res-Rec Equations'!$B$78*'Res-Rec Equations'!$B$79*'Res-Rec Equations'!$B$81)/('Res-Rec Equations'!$B$84*'Res-Rec Equations'!$B$85))/'Chemical Info'!L104,(('Res-Rec Equations'!$B$76*'Chemical Info'!AD104*'Res-Rec Equations'!$B$78*'Res-Rec Equations'!$B$79*'Res-Rec Equations'!$B$80)/('Res-Rec Equations'!$B$84*'Res-Rec Equations'!$B$85))/'Chemical Info'!L104))</f>
        <v>4.2617960426179604E-3</v>
      </c>
      <c r="P103" s="166">
        <f>IF('Chemical Info'!L104="NA","NA", IF('Chemical Info'!E104="Yes",0,((('Res-Rec Equations'!$B$87*'Res-Rec Equations'!$B$88*'Res-Rec Equations'!$B$78*'Res-Rec Equations'!$B$82*'Res-Rec Equations'!$B$79*'Chemical Info'!AB104)/('Res-Rec Equations'!$B$84*'Res-Rec Equations'!$B$85))/('Chemical Info'!L104*'Chemical Info'!AF104))))</f>
        <v>7.2237442922374424E-4</v>
      </c>
      <c r="Q103" s="166" t="str">
        <f>IF('Chemical Info'!N104="NA","NA",IF('Res-Rec Calculations'!E103="NA",(('Res-Rec Equations'!$B$83*'Res-Rec Equations'!$B$79*'Res-Rec Calculations'!C103)/('Res-Rec Equations'!$B$85))/('Chemical Info'!N104),IF('Chemical Info'!E104="Yes",(('Res-Rec Equations'!$B$83*'Res-Rec Equations'!$B$79*'Res-Rec Calculations'!E103)/('Res-Rec Equations'!$B$85))/('Chemical Info'!N104),(('Res-Rec Equations'!$B$83*'Res-Rec Equations'!$B$79*('Res-Rec Calculations'!C103+'Res-Rec Calculations'!E103))/('Res-Rec Equations'!$B$85))/('Chemical Info'!N104))))</f>
        <v>NA</v>
      </c>
      <c r="R103" s="166" t="str">
        <f>IF('Chemical Info'!N104="NA","NA",IF('Res-Rec Calculations'!F103="NA",(('Res-Rec Equations'!$B$83*'Res-Rec Equations'!$B$79*'Res-Rec Calculations'!C103)/('Res-Rec Equations'!$B$85))/('Chemical Info'!N104),IF('Chemical Info'!E104="Yes",(('Res-Rec Equations'!$B$83*'Res-Rec Equations'!$B$79*'Res-Rec Calculations'!F103)/('Res-Rec Equations'!$B$85))/('Chemical Info'!N104),(('Res-Rec Equations'!$B$83*'Res-Rec Equations'!$B$79*('Res-Rec Calculations'!C103+'Res-Rec Calculations'!F103))/('Res-Rec Equations'!$B$85))/('Chemical Info'!N104))))</f>
        <v>NA</v>
      </c>
      <c r="S103" s="167">
        <f>IF(AND(O103="NA",P103="NA",Q103="NA"),"NA",IF(O103="NA",'Res-Rec Equations'!$B$75/Q103,IF(Q103="NA",'Res-Rec Equations'!$B$75/(O103+P103),'Res-Rec Equations'!$B$75/(O103+P103+Q103))))</f>
        <v>40.12703841690589</v>
      </c>
      <c r="T103" s="167">
        <f>IF(AND(O103="NA",P103="NA",R103="NA"),"NA",IF(O103="NA",'Res-Rec Equations'!$B$75/R103,IF(R103="NA",'Res-Rec Equations'!$B$75/(O103+P103),'Res-Rec Equations'!$B$75/(O103+P103+R103))))</f>
        <v>40.12703841690589</v>
      </c>
      <c r="U103" s="168">
        <f t="shared" ref="U103" si="129">IF(AND(S103="NA",T103="NA"),"NA",MAX(S103,T103))</f>
        <v>40.12703841690589</v>
      </c>
      <c r="V103" s="167" t="str">
        <f>IF('Chemical Info'!P104="NA","NA",(('Res-Rec Equations'!$B$185*'Res-Rec Equations'!$B$186)/('Res-Rec Equations'!$B$187*'Res-Rec Equations'!$B$188*(1/'Chemical Info'!P104))))</f>
        <v>NA</v>
      </c>
      <c r="W103" s="379" t="str">
        <f t="shared" ref="W103" si="130">IF(V103="NA","NA",IF(V103&gt;100000,100000,IF(ISNUMBER(ROUND(V103*1000000,2-LEN(INT(V103*1000000)))/1000000),ROUND(V103*1000000,2-LEN(INT(V103*1000000)))/1000000,"NA")))</f>
        <v>NA</v>
      </c>
      <c r="X103" s="372">
        <f t="shared" ref="X103" si="131">IF(AND(N103="NA",U103="NA",G103="NA"),"NA",MIN(N103,U103,G103))</f>
        <v>40.12703841690589</v>
      </c>
      <c r="Y103" s="62">
        <f t="shared" ref="Y103" si="132">IF(X103&gt;100000,100000,IF(ISNUMBER(ROUND(X103*1000000,2-LEN(INT(X103*1000000)))/1000000),ROUND(X103*1000000,2-LEN(INT(X103*1000000)))/1000000,"NA"))</f>
        <v>40</v>
      </c>
      <c r="Z103" s="100" t="str">
        <f t="shared" ref="Z103" si="133">IF(Y103=100000,"Max Limit",IF(X103=G103,"Csat",IF(X103=N103,"Cancer",IF(X103=V103,"Acute",IF(X103=U103,"Noncancer","")))))</f>
        <v>Noncancer</v>
      </c>
      <c r="AA103" s="373"/>
    </row>
    <row r="104" spans="1:28">
      <c r="A104" s="413" t="s">
        <v>421</v>
      </c>
      <c r="B104" s="566" t="s">
        <v>65</v>
      </c>
      <c r="C104" s="367">
        <f>1/(('Res-Rec Equations'!$B$152*3600)/((0.036*(1-'Res-Rec Equations'!$B$153))*('Res-Rec Equations'!$B$154/'Res-Rec Equations'!$B$155)^3*'Res-Rec Equations'!$B$156))</f>
        <v>7.3567680901159717E-10</v>
      </c>
      <c r="D104" s="368">
        <f>(('Res-Rec Equations'!$B$132^(10/3)*'Chemical Info'!$AH105*'Chemical Info'!$AN105*41+'Res-Rec Equations'!$B$135^(10/3)*'Chemical Info'!$AJ105)/'Res-Rec Equations'!$B$137^2)/('Res-Rec Equations'!$B$139*'Chemical Info'!$AL105*'Res-Rec Equations'!$B$142+'Res-Rec Equations'!$B$135+'Res-Rec Equations'!$B$132*'Chemical Info'!$AN105*41)</f>
        <v>7.0387889414110421E-6</v>
      </c>
      <c r="E104" s="368">
        <f>IF(D104=0,"NA",1/(('Res-Rec Equations'!$B$103*(3.14*'Res-Rec Calculations'!$D104*'Res-Rec Equations'!$B$105)^(1/2)*0.0001)/(2*'Res-Rec Equations'!$B$106*'Res-Rec Calculations'!$D104)))</f>
        <v>1.5573189037204755E-5</v>
      </c>
      <c r="F104" s="368">
        <f>IF(D104=0,"NA",(1/('Res-Rec Equations'!$B$117*('Res-Rec Equations'!$B$118*(31500000))/('Res-Rec Equations'!$B$119*'Res-Rec Equations'!$B$120*1000000))))</f>
        <v>6.1914410640015851E-5</v>
      </c>
      <c r="G104" s="167">
        <f>IF('Chemical Info'!E105="Yes",('Chemical Info'!AP105/'Res-Rec Equations'!$B$168)*((('Chemical Info'!AL105*'Res-Rec Equations'!$B$170)*'Res-Rec Equations'!$B$168)+'Res-Rec Equations'!$B$171+('Chemical Info'!AN105*41)*'Res-Rec Equations'!$B$173),"NA")</f>
        <v>5046.3098346666666</v>
      </c>
      <c r="H104" s="112">
        <f>IF('Chemical Info'!H105="NA","NA",IF(AND('Chemical Info'!E105="Yes",'Chemical Info'!D105="Yes"),'Chemical Info'!H105*'Chemical Info'!AD105*'Res-Rec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Info'!E105="Yes",'Chemical Info'!D105=""),'Chemical Info'!H105*'Chemical Info'!AD105*'Res-Rec Equations'!$B$20*'Res-Rec Equations'!$B$23*((('Res-Rec Equations'!$B$26*'Res-Rec Equations'!$B$29)/'Res-Rec Equations'!$B$32)+(('Res-Rec Equations'!$B$27*'Res-Rec Equations'!$B$30)/'Res-Rec Equations'!$B$33)+(('Res-Rec Equations'!$B$28*'Res-Rec Equations'!$B$31)/'Res-Rec Equations'!$B$34)),IF(AND('Chemical Info'!E105="No",'Chemical Info'!D105="Yes"),'Chemical Info'!H105*'Chemical Info'!AD105*'Res-Rec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Info'!E105="No",'Chemical Info'!D105=""),'Chemical Info'!H105*'Chemical Info'!AD105*'Res-Rec Equations'!$B$19*'Res-Rec Equations'!$B$23*((('Res-Rec Equations'!$B$26*'Res-Rec Equations'!$B$29)/'Res-Rec Equations'!$B$32)+(('Res-Rec Equations'!$B$27*'Res-Rec Equations'!$B$30)/'Res-Rec Equations'!$B$33)+(('Res-Rec Equations'!$B$28*'Res-Rec Equations'!$B$31)/'Res-Rec Equations'!$B$34)))))))</f>
        <v>3.5429231863442386E-2</v>
      </c>
      <c r="I104" s="166">
        <f>IF('Chemical Info'!H105="NA","NA",IF('Chemical Info'!E105="Yes",0,IF('Chemical Info'!D105="Yes",'Chemical Info'!H105/'Chemical Info'!AF105*('Res-Rec Equations'!$B$21*'Chemical Info'!AB105*'Res-Rec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Info'!H105/'Chemical Info'!AF105*('Res-Rec Equations'!$B$21*'Chemical Info'!AB105*'Res-Rec Equations'!$B$23)*((('Res-Rec Equations'!$B$26*'Res-Rec Equations'!$B$37*'Res-Rec Equations'!$B$40)/'Res-Rec Equations'!$B$32)+(('Res-Rec Equations'!$B$27*'Res-Rec Equations'!$B$38*'Res-Rec Equations'!$B$41)/'Res-Rec Equations'!$B$33)+(('Res-Rec Equations'!$B$28*'Res-Rec Equations'!$B$39*'Res-Rec Equations'!$B$42)/'Res-Rec Equations'!$B$34)))))</f>
        <v>0</v>
      </c>
      <c r="J104" s="369">
        <f>IF('Chemical Info'!J105="NA","NA",IF(AND(E104="NA",'Chemical Info'!D105="Yes"),'Res-Rec Equations'!$B$22*1000*(('Res-Rec Equations'!$B$26*'Chemical Info'!J105*'Res-Rec Equations'!$B$59)+('Res-Rec Equations'!$B$27*'Chemical Info'!J105*'Res-Rec Equations'!$B$60)+('Res-Rec Equations'!$B$28*'Chemical Info'!J105*'Res-Rec Equations'!$B$61))*'Res-Rec Calculations'!C104,IF(AND(E104="NA",'Chemical Info'!D105=""),'Res-Rec Equations'!$B$22*1000*'Res-Rec Equations'!$B$25*'Chemical Info'!J105*'Res-Rec Calculations'!C104,IF(AND('Chemical Info'!E105="Yes",'Chemical Info'!D105="Yes"),'Res-Rec Equations'!$B$22*1000*(('Res-Rec Equations'!$B$26*'Chemical Info'!J105*'Res-Rec Equations'!$B$59)+('Res-Rec Equations'!$B$27*'Chemical Info'!J105*'Res-Rec Equations'!$B$60)+('Res-Rec Equations'!$B$28*'Chemical Info'!J105*'Res-Rec Equations'!$B$61))*'Res-Rec Calculations'!E104,IF(AND('Chemical Info'!E105="Yes",'Chemical Info'!D105=""),'Res-Rec Equations'!$B$22*1000*'Res-Rec Equations'!$B$25*'Chemical Info'!J105*'Res-Rec Calculations'!E104,IF('Chemical Info'!D105="Yes",'Res-Rec Equations'!$B$22*1000*(('Res-Rec Equations'!$B$26*'Chemical Info'!J105*'Res-Rec Equations'!$B$59)+('Res-Rec Equations'!$B$27*'Chemical Info'!J105*'Res-Rec Equations'!$B$60)+('Res-Rec Equations'!$B$28*'Chemical Info'!J105*'Res-Rec Equations'!$B$61))*('Res-Rec Calculations'!C104+'Res-Rec Calculations'!E104),IF('Chemical Info'!D105="",'Res-Rec Equations'!$B$22*1000*'Res-Rec Equations'!$B$25*'Chemical Info'!J105*('Res-Rec Calculations'!C104+'Res-Rec Calculations'!E104))))))))</f>
        <v>3.3404490484804199E-2</v>
      </c>
      <c r="K104" s="370">
        <f>IF('Chemical Info'!J105="NA","NA",IF(AND(F104="NA",'Chemical Info'!D105="Yes"),'Res-Rec Equations'!$B$22*1000*(('Res-Rec Equations'!$B$26*'Chemical Info'!J105*'Res-Rec Equations'!$B$59)+('Res-Rec Equations'!$B$27*'Chemical Info'!J105*'Res-Rec Equations'!$B$60)+('Res-Rec Equations'!$B$28*'Chemical Info'!J105*'Res-Rec Equations'!$B$61))*'Res-Rec Calculations'!C104,IF(AND(F104="NA",'Chemical Info'!D105=""),'Res-Rec Equations'!$B$22*1000*'Res-Rec Equations'!$B$25*'Chemical Info'!J105*'Res-Rec Calculations'!C104,IF(AND('Chemical Info'!F105="Yes",'Chemical Info'!D105="Yes"),'Res-Rec Equations'!$B$22*1000*(('Res-Rec Equations'!$B$26*'Chemical Info'!J105*'Res-Rec Equations'!$B$59)+('Res-Rec Equations'!$B$27*'Chemical Info'!J105*'Res-Rec Equations'!$B$60)+('Res-Rec Equations'!$B$28*'Chemical Info'!J105*'Res-Rec Equations'!$B$61))*'Res-Rec Calculations'!F104,IF(AND('Chemical Info'!F105="Yes",'Chemical Info'!D105=""),'Res-Rec Equations'!$B$22*1000*'Res-Rec Equations'!$B$25*'Chemical Info'!J105*'Res-Rec Calculations'!F104,IF('Chemical Info'!D105="Yes",'Res-Rec Equations'!$B$22*1000*(('Res-Rec Equations'!$B$26*'Chemical Info'!J105*'Res-Rec Equations'!$B$59)+('Res-Rec Equations'!$B$27*'Chemical Info'!J105*'Res-Rec Equations'!$B$60)+('Res-Rec Equations'!$B$28*'Chemical Info'!J105*'Res-Rec Equations'!$B$61))*('Res-Rec Calculations'!C104+'Res-Rec Calculations'!F104),IF('Chemical Info'!D105="",'Res-Rec Equations'!$B$22*1000*'Res-Rec Equations'!$B$25*'Chemical Info'!J105*('Res-Rec Calculations'!C104+'Res-Rec Calculations'!F104))))))))</f>
        <v>0.13280798884958933</v>
      </c>
      <c r="L104" s="167">
        <f>IF(AND(H104="NA",I104="NA",J104="NA"),"NA",IF(H104="NA",'Res-Rec Equations'!$B$15*'Res-Rec Equations'!$B$16/J104,IF(J104="NA",'Res-Rec Equations'!$B$15*'Res-Rec Equations'!$B$16/(H104+I104),'Res-Rec Equations'!$B$15*'Res-Rec Equations'!$B$16/(H104+I104+J104))))</f>
        <v>3.7118434291169553</v>
      </c>
      <c r="M104" s="167">
        <f>IF(AND(H104="NA",I104="NA",K104="NA"),"NA",IF(H104="NA",'Res-Rec Equations'!$B$15*'Res-Rec Equations'!$B$16/K104,IF(K104="NA",'Res-Rec Equations'!$B$15*'Res-Rec Equations'!$B$16/(H104+I104),'Res-Rec Equations'!$B$15*'Res-Rec Equations'!$B$16/(H104+I104+K104))))</f>
        <v>1.5186889019987768</v>
      </c>
      <c r="N104" s="167">
        <f t="shared" si="122"/>
        <v>3.7118434291169553</v>
      </c>
      <c r="O104" s="371" t="str">
        <f>IF('Chemical Info'!L105="NA","NA",IF('Chemical Info'!E105="Yes",(('Res-Rec Equations'!$B$76*'Chemical Info'!AD105*'Res-Rec Equations'!$B$78*'Res-Rec Equations'!$B$79*'Res-Rec Equations'!$B$81)/('Res-Rec Equations'!$B$84*'Res-Rec Equations'!$B$85))/'Chemical Info'!L105,(('Res-Rec Equations'!$B$76*'Chemical Info'!AD105*'Res-Rec Equations'!$B$78*'Res-Rec Equations'!$B$79*'Res-Rec Equations'!$B$80)/('Res-Rec Equations'!$B$84*'Res-Rec Equations'!$B$85))/'Chemical Info'!L105))</f>
        <v>NA</v>
      </c>
      <c r="P104" s="166" t="str">
        <f>IF('Chemical Info'!L105="NA","NA", IF('Chemical Info'!E105="Yes",0,((('Res-Rec Equations'!$B$87*'Res-Rec Equations'!$B$88*'Res-Rec Equations'!$B$78*'Res-Rec Equations'!$B$82*'Res-Rec Equations'!$B$79*'Chemical Info'!AB105)/('Res-Rec Equations'!$B$84*'Res-Rec Equations'!$B$85))/('Chemical Info'!L105*'Chemical Info'!AF105))))</f>
        <v>NA</v>
      </c>
      <c r="Q104" s="166" t="str">
        <f>IF('Chemical Info'!N105="NA","NA",IF('Res-Rec Calculations'!E104="NA",(('Res-Rec Equations'!$B$83*'Res-Rec Equations'!$B$79*'Res-Rec Calculations'!C104)/('Res-Rec Equations'!$B$85))/('Chemical Info'!N105),IF('Chemical Info'!E105="Yes",(('Res-Rec Equations'!$B$83*'Res-Rec Equations'!$B$79*'Res-Rec Calculations'!E104)/('Res-Rec Equations'!$B$85))/('Chemical Info'!N105),(('Res-Rec Equations'!$B$83*'Res-Rec Equations'!$B$79*('Res-Rec Calculations'!C104+'Res-Rec Calculations'!E104))/('Res-Rec Equations'!$B$85))/('Chemical Info'!N105))))</f>
        <v>NA</v>
      </c>
      <c r="R104" s="166" t="str">
        <f>IF('Chemical Info'!N105="NA","NA",IF('Res-Rec Calculations'!F104="NA",(('Res-Rec Equations'!$B$83*'Res-Rec Equations'!$B$79*'Res-Rec Calculations'!C104)/('Res-Rec Equations'!$B$85))/('Chemical Info'!N105),IF('Chemical Info'!E105="Yes",(('Res-Rec Equations'!$B$83*'Res-Rec Equations'!$B$79*'Res-Rec Calculations'!F104)/('Res-Rec Equations'!$B$85))/('Chemical Info'!N105),(('Res-Rec Equations'!$B$83*'Res-Rec Equations'!$B$79*('Res-Rec Calculations'!C104+'Res-Rec Calculations'!F104))/('Res-Rec Equations'!$B$85))/('Chemical Info'!N105))))</f>
        <v>NA</v>
      </c>
      <c r="S104" s="167" t="str">
        <f>IF(AND(O104="NA",P104="NA",Q104="NA"),"NA",IF(O104="NA",'Res-Rec Equations'!$B$75/Q104,IF(Q104="NA",'Res-Rec Equations'!$B$75/(O104+P104),'Res-Rec Equations'!$B$75/(O104+P104+Q104))))</f>
        <v>NA</v>
      </c>
      <c r="T104" s="167" t="str">
        <f>IF(AND(O104="NA",P104="NA",R104="NA"),"NA",IF(O104="NA",'Res-Rec Equations'!$B$75/R104,IF(R104="NA",'Res-Rec Equations'!$B$75/(O104+P104),'Res-Rec Equations'!$B$75/(O104+P104+R104))))</f>
        <v>NA</v>
      </c>
      <c r="U104" s="168" t="str">
        <f t="shared" si="123"/>
        <v>NA</v>
      </c>
      <c r="V104" s="167" t="str">
        <f>IF('Chemical Info'!P105="NA","NA",(('Res-Rec Equations'!$B$185*'Res-Rec Equations'!$B$186)/('Res-Rec Equations'!$B$187*'Res-Rec Equations'!$B$188*(1/'Chemical Info'!P105))))</f>
        <v>NA</v>
      </c>
      <c r="W104" s="379" t="str">
        <f t="shared" si="124"/>
        <v>NA</v>
      </c>
      <c r="X104" s="372">
        <f t="shared" si="125"/>
        <v>3.7118434291169553</v>
      </c>
      <c r="Y104" s="62">
        <f t="shared" si="126"/>
        <v>3.7</v>
      </c>
      <c r="Z104" s="100" t="str">
        <f t="shared" si="127"/>
        <v>Cancer</v>
      </c>
      <c r="AA104" s="373"/>
    </row>
    <row r="105" spans="1:28">
      <c r="A105" s="413" t="s">
        <v>1164</v>
      </c>
      <c r="B105" s="566" t="s">
        <v>1165</v>
      </c>
      <c r="C105" s="367">
        <f>1/(('Res-Rec Equations'!$B$152*3600)/((0.036*(1-'Res-Rec Equations'!$B$153))*('Res-Rec Equations'!$B$154/'Res-Rec Equations'!$B$155)^3*'Res-Rec Equations'!$B$156))</f>
        <v>7.3567680901159717E-10</v>
      </c>
      <c r="D105" s="368">
        <f>(('Res-Rec Equations'!$B$132^(10/3)*'Chemical Info'!$AH106*'Chemical Info'!$AN106*41+'Res-Rec Equations'!$B$135^(10/3)*'Chemical Info'!$AJ106)/'Res-Rec Equations'!$B$137^2)/('Res-Rec Equations'!$B$139*'Chemical Info'!$AL106*'Res-Rec Equations'!$B$142+'Res-Rec Equations'!$B$135+'Res-Rec Equations'!$B$132*'Chemical Info'!$AN106*41)</f>
        <v>1.0393276051571672E-5</v>
      </c>
      <c r="E105" s="368">
        <f>IF(D105=0,"NA",1/(('Res-Rec Equations'!$B$103*(3.14*'Res-Rec Calculations'!$D105*'Res-Rec Equations'!$B$105)^(1/2)*0.0001)/(2*'Res-Rec Equations'!$B$106*'Res-Rec Calculations'!$D105)))</f>
        <v>1.8923645996270025E-5</v>
      </c>
      <c r="F105" s="368">
        <f>IF(D105=0,"NA",(1/('Res-Rec Equations'!$B$117*('Res-Rec Equations'!$B$118*(31500000))/('Res-Rec Equations'!$B$119*'Res-Rec Equations'!$B$120*1000000))))</f>
        <v>6.1914410640015851E-5</v>
      </c>
      <c r="G105" s="167">
        <f>IF('Chemical Info'!E106="Yes",('Chemical Info'!AP106/'Res-Rec Equations'!$B$168)*((('Chemical Info'!AL106*'Res-Rec Equations'!$B$170)*'Res-Rec Equations'!$B$168)+'Res-Rec Equations'!$B$171+('Chemical Info'!AN106*41)*'Res-Rec Equations'!$B$173),"NA")</f>
        <v>1016.7493914666667</v>
      </c>
      <c r="H105" s="112" t="str">
        <f>IF('Chemical Info'!H106="NA","NA",IF(AND('Chemical Info'!E106="Yes",'Chemical Info'!D106="Yes"),'Chemical Info'!H106*'Chemical Info'!AD106*'Res-Rec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Info'!E106="Yes",'Chemical Info'!D106=""),'Chemical Info'!H106*'Chemical Info'!AD106*'Res-Rec Equations'!$B$20*'Res-Rec Equations'!$B$23*((('Res-Rec Equations'!$B$26*'Res-Rec Equations'!$B$29)/'Res-Rec Equations'!$B$32)+(('Res-Rec Equations'!$B$27*'Res-Rec Equations'!$B$30)/'Res-Rec Equations'!$B$33)+(('Res-Rec Equations'!$B$28*'Res-Rec Equations'!$B$31)/'Res-Rec Equations'!$B$34)),IF(AND('Chemical Info'!E106="No",'Chemical Info'!D106="Yes"),'Chemical Info'!H106*'Chemical Info'!AD106*'Res-Rec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Info'!E106="No",'Chemical Info'!D106=""),'Chemical Info'!H106*'Chemical Info'!AD106*'Res-Rec Equations'!$B$19*'Res-Rec Equations'!$B$23*((('Res-Rec Equations'!$B$26*'Res-Rec Equations'!$B$29)/'Res-Rec Equations'!$B$32)+(('Res-Rec Equations'!$B$27*'Res-Rec Equations'!$B$30)/'Res-Rec Equations'!$B$33)+(('Res-Rec Equations'!$B$28*'Res-Rec Equations'!$B$31)/'Res-Rec Equations'!$B$34)))))))</f>
        <v>NA</v>
      </c>
      <c r="I105" s="166" t="str">
        <f>IF('Chemical Info'!H106="NA","NA",IF('Chemical Info'!E106="Yes",0,IF('Chemical Info'!D106="Yes",'Chemical Info'!H106/'Chemical Info'!AF106*('Res-Rec Equations'!$B$21*'Chemical Info'!AB106*'Res-Rec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Info'!H106/'Chemical Info'!AF106*('Res-Rec Equations'!$B$21*'Chemical Info'!AB106*'Res-Rec Equations'!$B$23)*((('Res-Rec Equations'!$B$26*'Res-Rec Equations'!$B$37*'Res-Rec Equations'!$B$40)/'Res-Rec Equations'!$B$32)+(('Res-Rec Equations'!$B$27*'Res-Rec Equations'!$B$38*'Res-Rec Equations'!$B$41)/'Res-Rec Equations'!$B$33)+(('Res-Rec Equations'!$B$28*'Res-Rec Equations'!$B$39*'Res-Rec Equations'!$B$42)/'Res-Rec Equations'!$B$34)))))</f>
        <v>NA</v>
      </c>
      <c r="J105" s="369" t="str">
        <f>IF('Chemical Info'!J106="NA","NA",IF(AND(E105="NA",'Chemical Info'!D106="Yes"),'Res-Rec Equations'!$B$22*1000*(('Res-Rec Equations'!$B$26*'Chemical Info'!J106*'Res-Rec Equations'!$B$59)+('Res-Rec Equations'!$B$27*'Chemical Info'!J106*'Res-Rec Equations'!$B$60)+('Res-Rec Equations'!$B$28*'Chemical Info'!J106*'Res-Rec Equations'!$B$61))*'Res-Rec Calculations'!C105,IF(AND(E105="NA",'Chemical Info'!D106=""),'Res-Rec Equations'!$B$22*1000*'Res-Rec Equations'!$B$25*'Chemical Info'!J106*'Res-Rec Calculations'!C105,IF(AND('Chemical Info'!E106="Yes",'Chemical Info'!D106="Yes"),'Res-Rec Equations'!$B$22*1000*(('Res-Rec Equations'!$B$26*'Chemical Info'!J106*'Res-Rec Equations'!$B$59)+('Res-Rec Equations'!$B$27*'Chemical Info'!J106*'Res-Rec Equations'!$B$60)+('Res-Rec Equations'!$B$28*'Chemical Info'!J106*'Res-Rec Equations'!$B$61))*'Res-Rec Calculations'!E105,IF(AND('Chemical Info'!E106="Yes",'Chemical Info'!D106=""),'Res-Rec Equations'!$B$22*1000*'Res-Rec Equations'!$B$25*'Chemical Info'!J106*'Res-Rec Calculations'!E105,IF('Chemical Info'!D106="Yes",'Res-Rec Equations'!$B$22*1000*(('Res-Rec Equations'!$B$26*'Chemical Info'!J106*'Res-Rec Equations'!$B$59)+('Res-Rec Equations'!$B$27*'Chemical Info'!J106*'Res-Rec Equations'!$B$60)+('Res-Rec Equations'!$B$28*'Chemical Info'!J106*'Res-Rec Equations'!$B$61))*('Res-Rec Calculations'!C105+'Res-Rec Calculations'!E105),IF('Chemical Info'!D106="",'Res-Rec Equations'!$B$22*1000*'Res-Rec Equations'!$B$25*'Chemical Info'!J106*('Res-Rec Calculations'!C105+'Res-Rec Calculations'!E105))))))))</f>
        <v>NA</v>
      </c>
      <c r="K105" s="370" t="str">
        <f>IF('Chemical Info'!J106="NA","NA",IF(AND(F105="NA",'Chemical Info'!D106="Yes"),'Res-Rec Equations'!$B$22*1000*(('Res-Rec Equations'!$B$26*'Chemical Info'!J106*'Res-Rec Equations'!$B$59)+('Res-Rec Equations'!$B$27*'Chemical Info'!J106*'Res-Rec Equations'!$B$60)+('Res-Rec Equations'!$B$28*'Chemical Info'!J106*'Res-Rec Equations'!$B$61))*'Res-Rec Calculations'!C105,IF(AND(F105="NA",'Chemical Info'!D106=""),'Res-Rec Equations'!$B$22*1000*'Res-Rec Equations'!$B$25*'Chemical Info'!J106*'Res-Rec Calculations'!C105,IF(AND('Chemical Info'!F106="Yes",'Chemical Info'!D106="Yes"),'Res-Rec Equations'!$B$22*1000*(('Res-Rec Equations'!$B$26*'Chemical Info'!J106*'Res-Rec Equations'!$B$59)+('Res-Rec Equations'!$B$27*'Chemical Info'!J106*'Res-Rec Equations'!$B$60)+('Res-Rec Equations'!$B$28*'Chemical Info'!J106*'Res-Rec Equations'!$B$61))*'Res-Rec Calculations'!F105,IF(AND('Chemical Info'!F106="Yes",'Chemical Info'!D106=""),'Res-Rec Equations'!$B$22*1000*'Res-Rec Equations'!$B$25*'Chemical Info'!J106*'Res-Rec Calculations'!F105,IF('Chemical Info'!D106="Yes",'Res-Rec Equations'!$B$22*1000*(('Res-Rec Equations'!$B$26*'Chemical Info'!J106*'Res-Rec Equations'!$B$59)+('Res-Rec Equations'!$B$27*'Chemical Info'!J106*'Res-Rec Equations'!$B$60)+('Res-Rec Equations'!$B$28*'Chemical Info'!J106*'Res-Rec Equations'!$B$61))*('Res-Rec Calculations'!C105+'Res-Rec Calculations'!F105),IF('Chemical Info'!D106="",'Res-Rec Equations'!$B$22*1000*'Res-Rec Equations'!$B$25*'Chemical Info'!J106*('Res-Rec Calculations'!C105+'Res-Rec Calculations'!F105))))))))</f>
        <v>NA</v>
      </c>
      <c r="L105" s="167" t="str">
        <f>IF(AND(H105="NA",I105="NA",J105="NA"),"NA",IF(H105="NA",'Res-Rec Equations'!$B$15*'Res-Rec Equations'!$B$16/J105,IF(J105="NA",'Res-Rec Equations'!$B$15*'Res-Rec Equations'!$B$16/(H105+I105),'Res-Rec Equations'!$B$15*'Res-Rec Equations'!$B$16/(H105+I105+J105))))</f>
        <v>NA</v>
      </c>
      <c r="M105" s="167" t="str">
        <f>IF(AND(H105="NA",I105="NA",K105="NA"),"NA",IF(H105="NA",'Res-Rec Equations'!$B$15*'Res-Rec Equations'!$B$16/K105,IF(K105="NA",'Res-Rec Equations'!$B$15*'Res-Rec Equations'!$B$16/(H105+I105),'Res-Rec Equations'!$B$15*'Res-Rec Equations'!$B$16/(H105+I105+K105))))</f>
        <v>NA</v>
      </c>
      <c r="N105" s="167" t="str">
        <f t="shared" ref="N105" si="134">IF(AND(L105="NA",M105="NA"),"NA",MAX(L105,M105))</f>
        <v>NA</v>
      </c>
      <c r="O105" s="371">
        <f>IF('Chemical Info'!L106="NA","NA",IF('Chemical Info'!E106="Yes",(('Res-Rec Equations'!$B$76*'Chemical Info'!AD106*'Res-Rec Equations'!$B$78*'Res-Rec Equations'!$B$79*'Res-Rec Equations'!$B$81)/('Res-Rec Equations'!$B$84*'Res-Rec Equations'!$B$85))/'Chemical Info'!L106,(('Res-Rec Equations'!$B$76*'Chemical Info'!AD106*'Res-Rec Equations'!$B$78*'Res-Rec Equations'!$B$79*'Res-Rec Equations'!$B$80)/('Res-Rec Equations'!$B$84*'Res-Rec Equations'!$B$85))/'Chemical Info'!L106))</f>
        <v>2.2831050228310502E-4</v>
      </c>
      <c r="P105" s="166">
        <f>IF('Chemical Info'!L106="NA","NA", IF('Chemical Info'!E106="Yes",0,((('Res-Rec Equations'!$B$87*'Res-Rec Equations'!$B$88*'Res-Rec Equations'!$B$78*'Res-Rec Equations'!$B$82*'Res-Rec Equations'!$B$79*'Chemical Info'!AB106)/('Res-Rec Equations'!$B$84*'Res-Rec Equations'!$B$85))/('Chemical Info'!L106*'Chemical Info'!AF106))))</f>
        <v>0</v>
      </c>
      <c r="Q105" s="166" t="str">
        <f>IF('Chemical Info'!N106="NA","NA",IF('Res-Rec Calculations'!E105="NA",(('Res-Rec Equations'!$B$83*'Res-Rec Equations'!$B$79*'Res-Rec Calculations'!C105)/('Res-Rec Equations'!$B$85))/('Chemical Info'!N106),IF('Chemical Info'!E106="Yes",(('Res-Rec Equations'!$B$83*'Res-Rec Equations'!$B$79*'Res-Rec Calculations'!E105)/('Res-Rec Equations'!$B$85))/('Chemical Info'!N106),(('Res-Rec Equations'!$B$83*'Res-Rec Equations'!$B$79*('Res-Rec Calculations'!C105+'Res-Rec Calculations'!E105))/('Res-Rec Equations'!$B$85))/('Chemical Info'!N106))))</f>
        <v>NA</v>
      </c>
      <c r="R105" s="166" t="str">
        <f>IF('Chemical Info'!N106="NA","NA",IF('Res-Rec Calculations'!F105="NA",(('Res-Rec Equations'!$B$83*'Res-Rec Equations'!$B$79*'Res-Rec Calculations'!C105)/('Res-Rec Equations'!$B$85))/('Chemical Info'!N106),IF('Chemical Info'!E106="Yes",(('Res-Rec Equations'!$B$83*'Res-Rec Equations'!$B$79*'Res-Rec Calculations'!F105)/('Res-Rec Equations'!$B$85))/('Chemical Info'!N106),(('Res-Rec Equations'!$B$83*'Res-Rec Equations'!$B$79*('Res-Rec Calculations'!C105+'Res-Rec Calculations'!F105))/('Res-Rec Equations'!$B$85))/('Chemical Info'!N106))))</f>
        <v>NA</v>
      </c>
      <c r="S105" s="167">
        <f>IF(AND(O105="NA",P105="NA",Q105="NA"),"NA",IF(O105="NA",'Res-Rec Equations'!$B$75/Q105,IF(Q105="NA",'Res-Rec Equations'!$B$75/(O105+P105),'Res-Rec Equations'!$B$75/(O105+P105+Q105))))</f>
        <v>876.00000000000011</v>
      </c>
      <c r="T105" s="167">
        <f>IF(AND(O105="NA",P105="NA",R105="NA"),"NA",IF(O105="NA",'Res-Rec Equations'!$B$75/R105,IF(R105="NA",'Res-Rec Equations'!$B$75/(O105+P105),'Res-Rec Equations'!$B$75/(O105+P105+R105))))</f>
        <v>876.00000000000011</v>
      </c>
      <c r="U105" s="168">
        <f t="shared" ref="U105" si="135">IF(AND(S105="NA",T105="NA"),"NA",MAX(S105,T105))</f>
        <v>876.00000000000011</v>
      </c>
      <c r="V105" s="167" t="str">
        <f>IF('Chemical Info'!P106="NA","NA",(('Res-Rec Equations'!$B$185*'Res-Rec Equations'!$B$186)/('Res-Rec Equations'!$B$187*'Res-Rec Equations'!$B$188*(1/'Chemical Info'!P106))))</f>
        <v>NA</v>
      </c>
      <c r="W105" s="379" t="str">
        <f t="shared" ref="W105" si="136">IF(V105="NA","NA",IF(V105&gt;100000,100000,IF(ISNUMBER(ROUND(V105*1000000,2-LEN(INT(V105*1000000)))/1000000),ROUND(V105*1000000,2-LEN(INT(V105*1000000)))/1000000,"NA")))</f>
        <v>NA</v>
      </c>
      <c r="X105" s="372">
        <f t="shared" ref="X105" si="137">IF(AND(N105="NA",U105="NA",G105="NA"),"NA",MIN(N105,U105,G105))</f>
        <v>876.00000000000011</v>
      </c>
      <c r="Y105" s="62">
        <f t="shared" ref="Y105" si="138">IF(X105&gt;100000,100000,IF(ISNUMBER(ROUND(X105*1000000,2-LEN(INT(X105*1000000)))/1000000),ROUND(X105*1000000,2-LEN(INT(X105*1000000)))/1000000,"NA"))</f>
        <v>880</v>
      </c>
      <c r="Z105" s="100" t="str">
        <f t="shared" ref="Z105" si="139">IF(Y105=100000,"Max Limit",IF(X105=G105,"Csat",IF(X105=N105,"Cancer",IF(X105=V105,"Acute",IF(X105=U105,"Noncancer","")))))</f>
        <v>Noncancer</v>
      </c>
      <c r="AA105" s="373"/>
    </row>
    <row r="106" spans="1:28">
      <c r="A106" s="413" t="s">
        <v>318</v>
      </c>
      <c r="B106" s="566" t="s">
        <v>66</v>
      </c>
      <c r="C106" s="367">
        <f>1/(('Res-Rec Equations'!$B$152*3600)/((0.036*(1-'Res-Rec Equations'!$B$153))*('Res-Rec Equations'!$B$154/'Res-Rec Equations'!$B$155)^3*'Res-Rec Equations'!$B$156))</f>
        <v>7.3567680901159717E-10</v>
      </c>
      <c r="D106" s="368">
        <f>(('Res-Rec Equations'!$B$132^(10/3)*'Chemical Info'!$AH107*'Chemical Info'!$AN107*41+'Res-Rec Equations'!$B$135^(10/3)*'Chemical Info'!$AJ107)/'Res-Rec Equations'!$B$137^2)/('Res-Rec Equations'!$B$139*'Chemical Info'!$AL107*'Res-Rec Equations'!$B$142+'Res-Rec Equations'!$B$135+'Res-Rec Equations'!$B$132*'Chemical Info'!$AN107*41)</f>
        <v>1.3529246716691059E-4</v>
      </c>
      <c r="E106" s="368">
        <f>IF(D106=0,"NA",1/(('Res-Rec Equations'!$B$103*(3.14*'Res-Rec Calculations'!$D106*'Res-Rec Equations'!$B$105)^(1/2)*0.0001)/(2*'Res-Rec Equations'!$B$106*'Res-Rec Calculations'!$D106)))</f>
        <v>6.827557905293137E-5</v>
      </c>
      <c r="F106" s="368">
        <f>IF(D106=0,"NA",(1/('Res-Rec Equations'!$B$117*('Res-Rec Equations'!$B$118*(31500000))/('Res-Rec Equations'!$B$119*'Res-Rec Equations'!$B$120*1000000))))</f>
        <v>6.1914410640015851E-5</v>
      </c>
      <c r="G106" s="167">
        <f>IF('Chemical Info'!E107="Yes",('Chemical Info'!AP107/'Res-Rec Equations'!$B$168)*((('Chemical Info'!AL107*'Res-Rec Equations'!$B$170)*'Res-Rec Equations'!$B$168)+'Res-Rec Equations'!$B$171+('Chemical Info'!AN107*41)*'Res-Rec Equations'!$B$173),"NA")</f>
        <v>914.54505333333316</v>
      </c>
      <c r="H106" s="112">
        <f>IF('Chemical Info'!H107="NA","NA",IF(AND('Chemical Info'!E107="Yes",'Chemical Info'!D107="Yes"),'Chemical Info'!H107*'Chemical Info'!AD107*'Res-Rec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Info'!E107="Yes",'Chemical Info'!D107=""),'Chemical Info'!H107*'Chemical Info'!AD107*'Res-Rec Equations'!$B$20*'Res-Rec Equations'!$B$23*((('Res-Rec Equations'!$B$26*'Res-Rec Equations'!$B$29)/'Res-Rec Equations'!$B$32)+(('Res-Rec Equations'!$B$27*'Res-Rec Equations'!$B$30)/'Res-Rec Equations'!$B$33)+(('Res-Rec Equations'!$B$28*'Res-Rec Equations'!$B$31)/'Res-Rec Equations'!$B$34)),IF(AND('Chemical Info'!E107="No",'Chemical Info'!D107="Yes"),'Chemical Info'!H107*'Chemical Info'!AD107*'Res-Rec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Info'!E107="No",'Chemical Info'!D107=""),'Chemical Info'!H107*'Chemical Info'!AD107*'Res-Rec Equations'!$B$19*'Res-Rec Equations'!$B$23*((('Res-Rec Equations'!$B$26*'Res-Rec Equations'!$B$29)/'Res-Rec Equations'!$B$32)+(('Res-Rec Equations'!$B$27*'Res-Rec Equations'!$B$30)/'Res-Rec Equations'!$B$33)+(('Res-Rec Equations'!$B$28*'Res-Rec Equations'!$B$31)/'Res-Rec Equations'!$B$34)))))))</f>
        <v>2.5444630156472265E-4</v>
      </c>
      <c r="I106" s="166">
        <f>IF('Chemical Info'!H107="NA","NA",IF('Chemical Info'!E107="Yes",0,IF('Chemical Info'!D107="Yes",'Chemical Info'!H107/'Chemical Info'!AF107*('Res-Rec Equations'!$B$21*'Chemical Info'!AB107*'Res-Rec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Info'!H107/'Chemical Info'!AF107*('Res-Rec Equations'!$B$21*'Chemical Info'!AB107*'Res-Rec Equations'!$B$23)*((('Res-Rec Equations'!$B$26*'Res-Rec Equations'!$B$37*'Res-Rec Equations'!$B$40)/'Res-Rec Equations'!$B$32)+(('Res-Rec Equations'!$B$27*'Res-Rec Equations'!$B$38*'Res-Rec Equations'!$B$41)/'Res-Rec Equations'!$B$33)+(('Res-Rec Equations'!$B$28*'Res-Rec Equations'!$B$39*'Res-Rec Equations'!$B$42)/'Res-Rec Equations'!$B$34)))))</f>
        <v>0</v>
      </c>
      <c r="J106" s="369">
        <f>IF('Chemical Info'!J107="NA","NA",IF(AND(E106="NA",'Chemical Info'!D107="Yes"),'Res-Rec Equations'!$B$22*1000*(('Res-Rec Equations'!$B$26*'Chemical Info'!J107*'Res-Rec Equations'!$B$59)+('Res-Rec Equations'!$B$27*'Chemical Info'!J107*'Res-Rec Equations'!$B$60)+('Res-Rec Equations'!$B$28*'Chemical Info'!J107*'Res-Rec Equations'!$B$61))*'Res-Rec Calculations'!C106,IF(AND(E106="NA",'Chemical Info'!D107=""),'Res-Rec Equations'!$B$22*1000*'Res-Rec Equations'!$B$25*'Chemical Info'!J107*'Res-Rec Calculations'!C106,IF(AND('Chemical Info'!E107="Yes",'Chemical Info'!D107="Yes"),'Res-Rec Equations'!$B$22*1000*(('Res-Rec Equations'!$B$26*'Chemical Info'!J107*'Res-Rec Equations'!$B$59)+('Res-Rec Equations'!$B$27*'Chemical Info'!J107*'Res-Rec Equations'!$B$60)+('Res-Rec Equations'!$B$28*'Chemical Info'!J107*'Res-Rec Equations'!$B$61))*'Res-Rec Calculations'!E106,IF(AND('Chemical Info'!E107="Yes",'Chemical Info'!D107=""),'Res-Rec Equations'!$B$22*1000*'Res-Rec Equations'!$B$25*'Chemical Info'!J107*'Res-Rec Calculations'!E106,IF('Chemical Info'!D107="Yes",'Res-Rec Equations'!$B$22*1000*(('Res-Rec Equations'!$B$26*'Chemical Info'!J107*'Res-Rec Equations'!$B$59)+('Res-Rec Equations'!$B$27*'Chemical Info'!J107*'Res-Rec Equations'!$B$60)+('Res-Rec Equations'!$B$28*'Chemical Info'!J107*'Res-Rec Equations'!$B$61))*('Res-Rec Calculations'!C106+'Res-Rec Calculations'!E106),IF('Chemical Info'!D107="",'Res-Rec Equations'!$B$22*1000*'Res-Rec Equations'!$B$25*'Chemical Info'!J107*('Res-Rec Calculations'!C106+'Res-Rec Calculations'!E106))))))))</f>
        <v>4.8817039022845931E-4</v>
      </c>
      <c r="K106" s="370">
        <f>IF('Chemical Info'!J107="NA","NA",IF(AND(F106="NA",'Chemical Info'!D107="Yes"),'Res-Rec Equations'!$B$22*1000*(('Res-Rec Equations'!$B$26*'Chemical Info'!J107*'Res-Rec Equations'!$B$59)+('Res-Rec Equations'!$B$27*'Chemical Info'!J107*'Res-Rec Equations'!$B$60)+('Res-Rec Equations'!$B$28*'Chemical Info'!J107*'Res-Rec Equations'!$B$61))*'Res-Rec Calculations'!C106,IF(AND(F106="NA",'Chemical Info'!D107=""),'Res-Rec Equations'!$B$22*1000*'Res-Rec Equations'!$B$25*'Chemical Info'!J107*'Res-Rec Calculations'!C106,IF(AND('Chemical Info'!F107="Yes",'Chemical Info'!D107="Yes"),'Res-Rec Equations'!$B$22*1000*(('Res-Rec Equations'!$B$26*'Chemical Info'!J107*'Res-Rec Equations'!$B$59)+('Res-Rec Equations'!$B$27*'Chemical Info'!J107*'Res-Rec Equations'!$B$60)+('Res-Rec Equations'!$B$28*'Chemical Info'!J107*'Res-Rec Equations'!$B$61))*'Res-Rec Calculations'!F106,IF(AND('Chemical Info'!F107="Yes",'Chemical Info'!D107=""),'Res-Rec Equations'!$B$22*1000*'Res-Rec Equations'!$B$25*'Chemical Info'!J107*'Res-Rec Calculations'!F106,IF('Chemical Info'!D107="Yes",'Res-Rec Equations'!$B$22*1000*(('Res-Rec Equations'!$B$26*'Chemical Info'!J107*'Res-Rec Equations'!$B$59)+('Res-Rec Equations'!$B$27*'Chemical Info'!J107*'Res-Rec Equations'!$B$60)+('Res-Rec Equations'!$B$28*'Chemical Info'!J107*'Res-Rec Equations'!$B$61))*('Res-Rec Calculations'!C106+'Res-Rec Calculations'!F106),IF('Chemical Info'!D107="",'Res-Rec Equations'!$B$22*1000*'Res-Rec Equations'!$B$25*'Chemical Info'!J107*('Res-Rec Calculations'!C106+'Res-Rec Calculations'!F106))))))))</f>
        <v>4.4269329616529777E-4</v>
      </c>
      <c r="L106" s="167">
        <f>IF(AND(H106="NA",I106="NA",J106="NA"),"NA",IF(H106="NA",'Res-Rec Equations'!$B$15*'Res-Rec Equations'!$B$16/J106,IF(J106="NA",'Res-Rec Equations'!$B$15*'Res-Rec Equations'!$B$16/(H106+I106),'Res-Rec Equations'!$B$15*'Res-Rec Equations'!$B$16/(H106+I106+J106))))</f>
        <v>344.05367240406241</v>
      </c>
      <c r="M106" s="167">
        <f>IF(AND(H106="NA",I106="NA",K106="NA"),"NA",IF(H106="NA",'Res-Rec Equations'!$B$15*'Res-Rec Equations'!$B$16/K106,IF(K106="NA",'Res-Rec Equations'!$B$15*'Res-Rec Equations'!$B$16/(H106+I106),'Res-Rec Equations'!$B$15*'Res-Rec Equations'!$B$16/(H106+I106+K106))))</f>
        <v>366.49761515762708</v>
      </c>
      <c r="N106" s="167">
        <f t="shared" si="122"/>
        <v>366.49761515762708</v>
      </c>
      <c r="O106" s="371">
        <f>IF('Chemical Info'!L107="NA","NA",IF('Chemical Info'!E107="Yes",(('Res-Rec Equations'!$B$76*'Chemical Info'!AD107*'Res-Rec Equations'!$B$78*'Res-Rec Equations'!$B$79*'Res-Rec Equations'!$B$81)/('Res-Rec Equations'!$B$84*'Res-Rec Equations'!$B$85))/'Chemical Info'!L107,(('Res-Rec Equations'!$B$76*'Chemical Info'!AD107*'Res-Rec Equations'!$B$78*'Res-Rec Equations'!$B$79*'Res-Rec Equations'!$B$80)/('Res-Rec Equations'!$B$84*'Res-Rec Equations'!$B$85))/'Chemical Info'!L107))</f>
        <v>4.5662100456621003E-4</v>
      </c>
      <c r="P106" s="166">
        <f>IF('Chemical Info'!L107="NA","NA", IF('Chemical Info'!E107="Yes",0,((('Res-Rec Equations'!$B$87*'Res-Rec Equations'!$B$88*'Res-Rec Equations'!$B$78*'Res-Rec Equations'!$B$82*'Res-Rec Equations'!$B$79*'Chemical Info'!AB107)/('Res-Rec Equations'!$B$84*'Res-Rec Equations'!$B$85))/('Chemical Info'!L107*'Chemical Info'!AF107))))</f>
        <v>0</v>
      </c>
      <c r="Q106" s="166" t="str">
        <f>IF('Chemical Info'!N107="NA","NA",IF('Res-Rec Calculations'!E106="NA",(('Res-Rec Equations'!$B$83*'Res-Rec Equations'!$B$79*'Res-Rec Calculations'!C106)/('Res-Rec Equations'!$B$85))/('Chemical Info'!N107),IF('Chemical Info'!E107="Yes",(('Res-Rec Equations'!$B$83*'Res-Rec Equations'!$B$79*'Res-Rec Calculations'!E106)/('Res-Rec Equations'!$B$85))/('Chemical Info'!N107),(('Res-Rec Equations'!$B$83*'Res-Rec Equations'!$B$79*('Res-Rec Calculations'!C106+'Res-Rec Calculations'!E106))/('Res-Rec Equations'!$B$85))/('Chemical Info'!N107))))</f>
        <v>NA</v>
      </c>
      <c r="R106" s="166" t="str">
        <f>IF('Chemical Info'!N107="NA","NA",IF('Res-Rec Calculations'!F106="NA",(('Res-Rec Equations'!$B$83*'Res-Rec Equations'!$B$79*'Res-Rec Calculations'!C106)/('Res-Rec Equations'!$B$85))/('Chemical Info'!N107),IF('Chemical Info'!E107="Yes",(('Res-Rec Equations'!$B$83*'Res-Rec Equations'!$B$79*'Res-Rec Calculations'!F106)/('Res-Rec Equations'!$B$85))/('Chemical Info'!N107),(('Res-Rec Equations'!$B$83*'Res-Rec Equations'!$B$79*('Res-Rec Calculations'!C106+'Res-Rec Calculations'!F106))/('Res-Rec Equations'!$B$85))/('Chemical Info'!N107))))</f>
        <v>NA</v>
      </c>
      <c r="S106" s="167">
        <f>IF(AND(O106="NA",P106="NA",Q106="NA"),"NA",IF(O106="NA",'Res-Rec Equations'!$B$75/Q106,IF(Q106="NA",'Res-Rec Equations'!$B$75/(O106+P106),'Res-Rec Equations'!$B$75/(O106+P106+Q106))))</f>
        <v>438.00000000000006</v>
      </c>
      <c r="T106" s="167">
        <f>IF(AND(O106="NA",P106="NA",R106="NA"),"NA",IF(O106="NA",'Res-Rec Equations'!$B$75/R106,IF(R106="NA",'Res-Rec Equations'!$B$75/(O106+P106),'Res-Rec Equations'!$B$75/(O106+P106+R106))))</f>
        <v>438.00000000000006</v>
      </c>
      <c r="U106" s="168">
        <f t="shared" si="123"/>
        <v>438.00000000000006</v>
      </c>
      <c r="V106" s="167" t="str">
        <f>IF('Chemical Info'!P107="NA","NA",(('Res-Rec Equations'!$B$185*'Res-Rec Equations'!$B$186)/('Res-Rec Equations'!$B$187*'Res-Rec Equations'!$B$188*(1/'Chemical Info'!P107))))</f>
        <v>NA</v>
      </c>
      <c r="W106" s="379" t="str">
        <f t="shared" si="124"/>
        <v>NA</v>
      </c>
      <c r="X106" s="372">
        <f t="shared" si="125"/>
        <v>366.49761515762708</v>
      </c>
      <c r="Y106" s="62">
        <f t="shared" si="126"/>
        <v>370</v>
      </c>
      <c r="Z106" s="100" t="str">
        <f t="shared" si="127"/>
        <v>Cancer</v>
      </c>
      <c r="AA106" s="373"/>
    </row>
    <row r="107" spans="1:28">
      <c r="A107" s="413" t="s">
        <v>40</v>
      </c>
      <c r="B107" s="566" t="s">
        <v>41</v>
      </c>
      <c r="C107" s="367">
        <f>1/(('Res-Rec Equations'!$B$152*3600)/((0.036*(1-'Res-Rec Equations'!$B$153))*('Res-Rec Equations'!$B$154/'Res-Rec Equations'!$B$155)^3*'Res-Rec Equations'!$B$156))</f>
        <v>7.3567680901159717E-10</v>
      </c>
      <c r="D107" s="368">
        <f>(('Res-Rec Equations'!$B$132^(10/3)*'Chemical Info'!$AH108*'Chemical Info'!$AN108*41+'Res-Rec Equations'!$B$135^(10/3)*'Chemical Info'!$AJ108)/'Res-Rec Equations'!$B$137^2)/('Res-Rec Equations'!$B$139*'Chemical Info'!$AL108*'Res-Rec Equations'!$B$142+'Res-Rec Equations'!$B$135+'Res-Rec Equations'!$B$132*'Chemical Info'!$AN108*41)</f>
        <v>2.0346819660741633E-9</v>
      </c>
      <c r="E107" s="368">
        <f>IF(D107=0,"NA",1/(('Res-Rec Equations'!$B$103*(3.14*'Res-Rec Calculations'!$D107*'Res-Rec Equations'!$B$105)^(1/2)*0.0001)/(2*'Res-Rec Equations'!$B$106*'Res-Rec Calculations'!$D107)))</f>
        <v>2.647749238254771E-7</v>
      </c>
      <c r="F107" s="368">
        <f>IF(D107=0,"NA",(1/('Res-Rec Equations'!$B$117*('Res-Rec Equations'!$B$118*(31500000))/('Res-Rec Equations'!$B$119*'Res-Rec Equations'!$B$120*1000000))))</f>
        <v>6.1914410640015851E-5</v>
      </c>
      <c r="G107" s="167" t="str">
        <f>IF('Chemical Info'!E108="Yes",('Chemical Info'!AP108/'Res-Rec Equations'!$B$168)*((('Chemical Info'!AL108*'Res-Rec Equations'!$B$170)*'Res-Rec Equations'!$B$168)+'Res-Rec Equations'!$B$171+('Chemical Info'!AN108*41)*'Res-Rec Equations'!$B$173),"NA")</f>
        <v>NA</v>
      </c>
      <c r="H107" s="112" t="str">
        <f>IF('Chemical Info'!H108="NA","NA",IF(AND('Chemical Info'!E108="Yes",'Chemical Info'!D108="Yes"),'Chemical Info'!H108*'Chemical Info'!AD108*'Res-Rec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Info'!E108="Yes",'Chemical Info'!D108=""),'Chemical Info'!H108*'Chemical Info'!AD108*'Res-Rec Equations'!$B$20*'Res-Rec Equations'!$B$23*((('Res-Rec Equations'!$B$26*'Res-Rec Equations'!$B$29)/'Res-Rec Equations'!$B$32)+(('Res-Rec Equations'!$B$27*'Res-Rec Equations'!$B$30)/'Res-Rec Equations'!$B$33)+(('Res-Rec Equations'!$B$28*'Res-Rec Equations'!$B$31)/'Res-Rec Equations'!$B$34)),IF(AND('Chemical Info'!E108="No",'Chemical Info'!D108="Yes"),'Chemical Info'!H108*'Chemical Info'!AD108*'Res-Rec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Info'!E108="No",'Chemical Info'!D108=""),'Chemical Info'!H108*'Chemical Info'!AD108*'Res-Rec Equations'!$B$19*'Res-Rec Equations'!$B$23*((('Res-Rec Equations'!$B$26*'Res-Rec Equations'!$B$29)/'Res-Rec Equations'!$B$32)+(('Res-Rec Equations'!$B$27*'Res-Rec Equations'!$B$30)/'Res-Rec Equations'!$B$33)+(('Res-Rec Equations'!$B$28*'Res-Rec Equations'!$B$31)/'Res-Rec Equations'!$B$34)))))))</f>
        <v>NA</v>
      </c>
      <c r="I107" s="166" t="str">
        <f>IF('Chemical Info'!H108="NA","NA",IF('Chemical Info'!E108="Yes",0,IF('Chemical Info'!D108="Yes",'Chemical Info'!H108/'Chemical Info'!AF108*('Res-Rec Equations'!$B$21*'Chemical Info'!AB108*'Res-Rec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Info'!H108/'Chemical Info'!AF108*('Res-Rec Equations'!$B$21*'Chemical Info'!AB108*'Res-Rec Equations'!$B$23)*((('Res-Rec Equations'!$B$26*'Res-Rec Equations'!$B$37*'Res-Rec Equations'!$B$40)/'Res-Rec Equations'!$B$32)+(('Res-Rec Equations'!$B$27*'Res-Rec Equations'!$B$38*'Res-Rec Equations'!$B$41)/'Res-Rec Equations'!$B$33)+(('Res-Rec Equations'!$B$28*'Res-Rec Equations'!$B$39*'Res-Rec Equations'!$B$42)/'Res-Rec Equations'!$B$34)))))</f>
        <v>NA</v>
      </c>
      <c r="J107" s="369" t="str">
        <f>IF('Chemical Info'!J108="NA","NA",IF(AND(E107="NA",'Chemical Info'!D108="Yes"),'Res-Rec Equations'!$B$22*1000*(('Res-Rec Equations'!$B$26*'Chemical Info'!J108*'Res-Rec Equations'!$B$59)+('Res-Rec Equations'!$B$27*'Chemical Info'!J108*'Res-Rec Equations'!$B$60)+('Res-Rec Equations'!$B$28*'Chemical Info'!J108*'Res-Rec Equations'!$B$61))*'Res-Rec Calculations'!C107,IF(AND(E107="NA",'Chemical Info'!D108=""),'Res-Rec Equations'!$B$22*1000*'Res-Rec Equations'!$B$25*'Chemical Info'!J108*'Res-Rec Calculations'!C107,IF(AND('Chemical Info'!E108="Yes",'Chemical Info'!D108="Yes"),'Res-Rec Equations'!$B$22*1000*(('Res-Rec Equations'!$B$26*'Chemical Info'!J108*'Res-Rec Equations'!$B$59)+('Res-Rec Equations'!$B$27*'Chemical Info'!J108*'Res-Rec Equations'!$B$60)+('Res-Rec Equations'!$B$28*'Chemical Info'!J108*'Res-Rec Equations'!$B$61))*'Res-Rec Calculations'!E107,IF(AND('Chemical Info'!E108="Yes",'Chemical Info'!D108=""),'Res-Rec Equations'!$B$22*1000*'Res-Rec Equations'!$B$25*'Chemical Info'!J108*'Res-Rec Calculations'!E107,IF('Chemical Info'!D108="Yes",'Res-Rec Equations'!$B$22*1000*(('Res-Rec Equations'!$B$26*'Chemical Info'!J108*'Res-Rec Equations'!$B$59)+('Res-Rec Equations'!$B$27*'Chemical Info'!J108*'Res-Rec Equations'!$B$60)+('Res-Rec Equations'!$B$28*'Chemical Info'!J108*'Res-Rec Equations'!$B$61))*('Res-Rec Calculations'!C107+'Res-Rec Calculations'!E107),IF('Chemical Info'!D108="",'Res-Rec Equations'!$B$22*1000*'Res-Rec Equations'!$B$25*'Chemical Info'!J108*('Res-Rec Calculations'!C107+'Res-Rec Calculations'!E107))))))))</f>
        <v>NA</v>
      </c>
      <c r="K107" s="370" t="str">
        <f>IF('Chemical Info'!J108="NA","NA",IF(AND(F107="NA",'Chemical Info'!D108="Yes"),'Res-Rec Equations'!$B$22*1000*(('Res-Rec Equations'!$B$26*'Chemical Info'!J108*'Res-Rec Equations'!$B$59)+('Res-Rec Equations'!$B$27*'Chemical Info'!J108*'Res-Rec Equations'!$B$60)+('Res-Rec Equations'!$B$28*'Chemical Info'!J108*'Res-Rec Equations'!$B$61))*'Res-Rec Calculations'!C107,IF(AND(F107="NA",'Chemical Info'!D108=""),'Res-Rec Equations'!$B$22*1000*'Res-Rec Equations'!$B$25*'Chemical Info'!J108*'Res-Rec Calculations'!C107,IF(AND('Chemical Info'!F108="Yes",'Chemical Info'!D108="Yes"),'Res-Rec Equations'!$B$22*1000*(('Res-Rec Equations'!$B$26*'Chemical Info'!J108*'Res-Rec Equations'!$B$59)+('Res-Rec Equations'!$B$27*'Chemical Info'!J108*'Res-Rec Equations'!$B$60)+('Res-Rec Equations'!$B$28*'Chemical Info'!J108*'Res-Rec Equations'!$B$61))*'Res-Rec Calculations'!F107,IF(AND('Chemical Info'!F108="Yes",'Chemical Info'!D108=""),'Res-Rec Equations'!$B$22*1000*'Res-Rec Equations'!$B$25*'Chemical Info'!J108*'Res-Rec Calculations'!F107,IF('Chemical Info'!D108="Yes",'Res-Rec Equations'!$B$22*1000*(('Res-Rec Equations'!$B$26*'Chemical Info'!J108*'Res-Rec Equations'!$B$59)+('Res-Rec Equations'!$B$27*'Chemical Info'!J108*'Res-Rec Equations'!$B$60)+('Res-Rec Equations'!$B$28*'Chemical Info'!J108*'Res-Rec Equations'!$B$61))*('Res-Rec Calculations'!C107+'Res-Rec Calculations'!F107),IF('Chemical Info'!D108="",'Res-Rec Equations'!$B$22*1000*'Res-Rec Equations'!$B$25*'Chemical Info'!J108*('Res-Rec Calculations'!C107+'Res-Rec Calculations'!F107))))))))</f>
        <v>NA</v>
      </c>
      <c r="L107" s="167" t="str">
        <f>IF(AND(H107="NA",I107="NA",J107="NA"),"NA",IF(H107="NA",'Res-Rec Equations'!$B$15*'Res-Rec Equations'!$B$16/J107,IF(J107="NA",'Res-Rec Equations'!$B$15*'Res-Rec Equations'!$B$16/(H107+I107),'Res-Rec Equations'!$B$15*'Res-Rec Equations'!$B$16/(H107+I107+J107))))</f>
        <v>NA</v>
      </c>
      <c r="M107" s="167" t="str">
        <f>IF(AND(H107="NA",I107="NA",K107="NA"),"NA",IF(H107="NA",'Res-Rec Equations'!$B$15*'Res-Rec Equations'!$B$16/K107,IF(K107="NA",'Res-Rec Equations'!$B$15*'Res-Rec Equations'!$B$16/(H107+I107),'Res-Rec Equations'!$B$15*'Res-Rec Equations'!$B$16/(H107+I107+K107))))</f>
        <v>NA</v>
      </c>
      <c r="N107" s="167" t="str">
        <f t="shared" si="122"/>
        <v>NA</v>
      </c>
      <c r="O107" s="371">
        <f>IF('Chemical Info'!L108="NA","NA",IF('Chemical Info'!E108="Yes",(('Res-Rec Equations'!$B$76*'Chemical Info'!AD108*'Res-Rec Equations'!$B$78*'Res-Rec Equations'!$B$79*'Res-Rec Equations'!$B$81)/('Res-Rec Equations'!$B$84*'Res-Rec Equations'!$B$85))/'Chemical Info'!L108,(('Res-Rec Equations'!$B$76*'Chemical Info'!AD108*'Res-Rec Equations'!$B$78*'Res-Rec Equations'!$B$79*'Res-Rec Equations'!$B$80)/('Res-Rec Equations'!$B$84*'Res-Rec Equations'!$B$85))/'Chemical Info'!L108))</f>
        <v>8.5235920852359202E-5</v>
      </c>
      <c r="P107" s="166">
        <f>IF('Chemical Info'!L108="NA","NA", IF('Chemical Info'!E108="Yes",0,((('Res-Rec Equations'!$B$87*'Res-Rec Equations'!$B$88*'Res-Rec Equations'!$B$78*'Res-Rec Equations'!$B$82*'Res-Rec Equations'!$B$79*'Chemical Info'!AB108)/('Res-Rec Equations'!$B$84*'Res-Rec Equations'!$B$85))/('Chemical Info'!L108*'Chemical Info'!AF108))))</f>
        <v>1.4447488584474886E-5</v>
      </c>
      <c r="Q107" s="166" t="str">
        <f>IF('Chemical Info'!N108="NA","NA",IF('Res-Rec Calculations'!E107="NA",(('Res-Rec Equations'!$B$83*'Res-Rec Equations'!$B$79*'Res-Rec Calculations'!C107)/('Res-Rec Equations'!$B$85))/('Chemical Info'!N108),IF('Chemical Info'!E108="Yes",(('Res-Rec Equations'!$B$83*'Res-Rec Equations'!$B$79*'Res-Rec Calculations'!E107)/('Res-Rec Equations'!$B$85))/('Chemical Info'!N108),(('Res-Rec Equations'!$B$83*'Res-Rec Equations'!$B$79*('Res-Rec Calculations'!C107+'Res-Rec Calculations'!E107))/('Res-Rec Equations'!$B$85))/('Chemical Info'!N108))))</f>
        <v>NA</v>
      </c>
      <c r="R107" s="166" t="str">
        <f>IF('Chemical Info'!N108="NA","NA",IF('Res-Rec Calculations'!F107="NA",(('Res-Rec Equations'!$B$83*'Res-Rec Equations'!$B$79*'Res-Rec Calculations'!C107)/('Res-Rec Equations'!$B$85))/('Chemical Info'!N108),IF('Chemical Info'!E108="Yes",(('Res-Rec Equations'!$B$83*'Res-Rec Equations'!$B$79*'Res-Rec Calculations'!F107)/('Res-Rec Equations'!$B$85))/('Chemical Info'!N108),(('Res-Rec Equations'!$B$83*'Res-Rec Equations'!$B$79*('Res-Rec Calculations'!C107+'Res-Rec Calculations'!F107))/('Res-Rec Equations'!$B$85))/('Chemical Info'!N108))))</f>
        <v>NA</v>
      </c>
      <c r="S107" s="167">
        <f>IF(AND(O107="NA",P107="NA",Q107="NA"),"NA",IF(O107="NA",'Res-Rec Equations'!$B$75/Q107,IF(Q107="NA",'Res-Rec Equations'!$B$75/(O107+P107),'Res-Rec Equations'!$B$75/(O107+P107+Q107))))</f>
        <v>2006.3519208452942</v>
      </c>
      <c r="T107" s="167">
        <f>IF(AND(O107="NA",P107="NA",R107="NA"),"NA",IF(O107="NA",'Res-Rec Equations'!$B$75/R107,IF(R107="NA",'Res-Rec Equations'!$B$75/(O107+P107),'Res-Rec Equations'!$B$75/(O107+P107+R107))))</f>
        <v>2006.3519208452942</v>
      </c>
      <c r="U107" s="168">
        <f t="shared" si="123"/>
        <v>2006.3519208452942</v>
      </c>
      <c r="V107" s="167" t="str">
        <f>IF('Chemical Info'!P108="NA","NA",(('Res-Rec Equations'!$B$185*'Res-Rec Equations'!$B$186)/('Res-Rec Equations'!$B$187*'Res-Rec Equations'!$B$188*(1/'Chemical Info'!P108))))</f>
        <v>NA</v>
      </c>
      <c r="W107" s="379" t="str">
        <f t="shared" si="124"/>
        <v>NA</v>
      </c>
      <c r="X107" s="372">
        <f t="shared" si="125"/>
        <v>2006.3519208452942</v>
      </c>
      <c r="Y107" s="62">
        <f t="shared" si="126"/>
        <v>2000</v>
      </c>
      <c r="Z107" s="100" t="str">
        <f t="shared" si="127"/>
        <v>Noncancer</v>
      </c>
      <c r="AA107" s="373"/>
    </row>
    <row r="108" spans="1:28">
      <c r="A108" s="413" t="s">
        <v>1129</v>
      </c>
      <c r="B108" s="566" t="s">
        <v>1130</v>
      </c>
      <c r="C108" s="367">
        <f>1/(('Res-Rec Equations'!$B$152*3600)/((0.036*(1-'Res-Rec Equations'!$B$153))*('Res-Rec Equations'!$B$154/'Res-Rec Equations'!$B$155)^3*'Res-Rec Equations'!$B$156))</f>
        <v>7.3567680901159717E-10</v>
      </c>
      <c r="D108" s="368">
        <f>(('Res-Rec Equations'!$B$132^(10/3)*'Chemical Info'!$AH109*'Chemical Info'!$AN109*41+'Res-Rec Equations'!$B$135^(10/3)*'Chemical Info'!$AJ109)/'Res-Rec Equations'!$B$137^2)/('Res-Rec Equations'!$B$139*'Chemical Info'!$AL109*'Res-Rec Equations'!$B$142+'Res-Rec Equations'!$B$135+'Res-Rec Equations'!$B$132*'Chemical Info'!$AN109*41)</f>
        <v>2.4607575739509164E-7</v>
      </c>
      <c r="E108" s="368">
        <f>IF(D108=0,"NA",1/(('Res-Rec Equations'!$B$103*(3.14*'Res-Rec Calculations'!$D108*'Res-Rec Equations'!$B$105)^(1/2)*0.0001)/(2*'Res-Rec Equations'!$B$106*'Res-Rec Calculations'!$D108)))</f>
        <v>2.9118097713627836E-6</v>
      </c>
      <c r="F108" s="368">
        <f>IF(D108=0,"NA",(1/('Res-Rec Equations'!$B$117*('Res-Rec Equations'!$B$118*(31500000))/('Res-Rec Equations'!$B$119*'Res-Rec Equations'!$B$120*1000000))))</f>
        <v>6.1914410640015851E-5</v>
      </c>
      <c r="G108" s="167" t="str">
        <f>IF('Chemical Info'!E109="Yes",('Chemical Info'!AP109/'Res-Rec Equations'!$B$168)*((('Chemical Info'!AL109*'Res-Rec Equations'!$B$170)*'Res-Rec Equations'!$B$168)+'Res-Rec Equations'!$B$171+('Chemical Info'!AN109*41)*'Res-Rec Equations'!$B$173),"NA")</f>
        <v>NA</v>
      </c>
      <c r="H108" s="112" t="str">
        <f>IF('Chemical Info'!H109="NA","NA",IF(AND('Chemical Info'!E109="Yes",'Chemical Info'!D109="Yes"),'Chemical Info'!H109*'Chemical Info'!AD109*'Res-Rec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Info'!E109="Yes",'Chemical Info'!D109=""),'Chemical Info'!H109*'Chemical Info'!AD109*'Res-Rec Equations'!$B$20*'Res-Rec Equations'!$B$23*((('Res-Rec Equations'!$B$26*'Res-Rec Equations'!$B$29)/'Res-Rec Equations'!$B$32)+(('Res-Rec Equations'!$B$27*'Res-Rec Equations'!$B$30)/'Res-Rec Equations'!$B$33)+(('Res-Rec Equations'!$B$28*'Res-Rec Equations'!$B$31)/'Res-Rec Equations'!$B$34)),IF(AND('Chemical Info'!E109="No",'Chemical Info'!D109="Yes"),'Chemical Info'!H109*'Chemical Info'!AD109*'Res-Rec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Info'!E109="No",'Chemical Info'!D109=""),'Chemical Info'!H109*'Chemical Info'!AD109*'Res-Rec Equations'!$B$19*'Res-Rec Equations'!$B$23*((('Res-Rec Equations'!$B$26*'Res-Rec Equations'!$B$29)/'Res-Rec Equations'!$B$32)+(('Res-Rec Equations'!$B$27*'Res-Rec Equations'!$B$30)/'Res-Rec Equations'!$B$33)+(('Res-Rec Equations'!$B$28*'Res-Rec Equations'!$B$31)/'Res-Rec Equations'!$B$34)))))))</f>
        <v>NA</v>
      </c>
      <c r="I108" s="166" t="str">
        <f>IF('Chemical Info'!H109="NA","NA",IF('Chemical Info'!E109="Yes",0,IF('Chemical Info'!D109="Yes",'Chemical Info'!H109/'Chemical Info'!AF109*('Res-Rec Equations'!$B$21*'Chemical Info'!AB109*'Res-Rec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Info'!H109/'Chemical Info'!AF109*('Res-Rec Equations'!$B$21*'Chemical Info'!AB109*'Res-Rec Equations'!$B$23)*((('Res-Rec Equations'!$B$26*'Res-Rec Equations'!$B$37*'Res-Rec Equations'!$B$40)/'Res-Rec Equations'!$B$32)+(('Res-Rec Equations'!$B$27*'Res-Rec Equations'!$B$38*'Res-Rec Equations'!$B$41)/'Res-Rec Equations'!$B$33)+(('Res-Rec Equations'!$B$28*'Res-Rec Equations'!$B$39*'Res-Rec Equations'!$B$42)/'Res-Rec Equations'!$B$34)))))</f>
        <v>NA</v>
      </c>
      <c r="J108" s="369" t="str">
        <f>IF('Chemical Info'!J109="NA","NA",IF(AND(E108="NA",'Chemical Info'!D109="Yes"),'Res-Rec Equations'!$B$22*1000*(('Res-Rec Equations'!$B$26*'Chemical Info'!J109*'Res-Rec Equations'!$B$59)+('Res-Rec Equations'!$B$27*'Chemical Info'!J109*'Res-Rec Equations'!$B$60)+('Res-Rec Equations'!$B$28*'Chemical Info'!J109*'Res-Rec Equations'!$B$61))*'Res-Rec Calculations'!C108,IF(AND(E108="NA",'Chemical Info'!D109=""),'Res-Rec Equations'!$B$22*1000*'Res-Rec Equations'!$B$25*'Chemical Info'!J109*'Res-Rec Calculations'!C108,IF(AND('Chemical Info'!E109="Yes",'Chemical Info'!D109="Yes"),'Res-Rec Equations'!$B$22*1000*(('Res-Rec Equations'!$B$26*'Chemical Info'!J109*'Res-Rec Equations'!$B$59)+('Res-Rec Equations'!$B$27*'Chemical Info'!J109*'Res-Rec Equations'!$B$60)+('Res-Rec Equations'!$B$28*'Chemical Info'!J109*'Res-Rec Equations'!$B$61))*'Res-Rec Calculations'!E108,IF(AND('Chemical Info'!E109="Yes",'Chemical Info'!D109=""),'Res-Rec Equations'!$B$22*1000*'Res-Rec Equations'!$B$25*'Chemical Info'!J109*'Res-Rec Calculations'!E108,IF('Chemical Info'!D109="Yes",'Res-Rec Equations'!$B$22*1000*(('Res-Rec Equations'!$B$26*'Chemical Info'!J109*'Res-Rec Equations'!$B$59)+('Res-Rec Equations'!$B$27*'Chemical Info'!J109*'Res-Rec Equations'!$B$60)+('Res-Rec Equations'!$B$28*'Chemical Info'!J109*'Res-Rec Equations'!$B$61))*('Res-Rec Calculations'!C108+'Res-Rec Calculations'!E108),IF('Chemical Info'!D109="",'Res-Rec Equations'!$B$22*1000*'Res-Rec Equations'!$B$25*'Chemical Info'!J109*('Res-Rec Calculations'!C108+'Res-Rec Calculations'!E108))))))))</f>
        <v>NA</v>
      </c>
      <c r="K108" s="370" t="str">
        <f>IF('Chemical Info'!J109="NA","NA",IF(AND(F108="NA",'Chemical Info'!D109="Yes"),'Res-Rec Equations'!$B$22*1000*(('Res-Rec Equations'!$B$26*'Chemical Info'!J109*'Res-Rec Equations'!$B$59)+('Res-Rec Equations'!$B$27*'Chemical Info'!J109*'Res-Rec Equations'!$B$60)+('Res-Rec Equations'!$B$28*'Chemical Info'!J109*'Res-Rec Equations'!$B$61))*'Res-Rec Calculations'!C108,IF(AND(F108="NA",'Chemical Info'!D109=""),'Res-Rec Equations'!$B$22*1000*'Res-Rec Equations'!$B$25*'Chemical Info'!J109*'Res-Rec Calculations'!C108,IF(AND('Chemical Info'!F109="Yes",'Chemical Info'!D109="Yes"),'Res-Rec Equations'!$B$22*1000*(('Res-Rec Equations'!$B$26*'Chemical Info'!J109*'Res-Rec Equations'!$B$59)+('Res-Rec Equations'!$B$27*'Chemical Info'!J109*'Res-Rec Equations'!$B$60)+('Res-Rec Equations'!$B$28*'Chemical Info'!J109*'Res-Rec Equations'!$B$61))*'Res-Rec Calculations'!F108,IF(AND('Chemical Info'!F109="Yes",'Chemical Info'!D109=""),'Res-Rec Equations'!$B$22*1000*'Res-Rec Equations'!$B$25*'Chemical Info'!J109*'Res-Rec Calculations'!F108,IF('Chemical Info'!D109="Yes",'Res-Rec Equations'!$B$22*1000*(('Res-Rec Equations'!$B$26*'Chemical Info'!J109*'Res-Rec Equations'!$B$59)+('Res-Rec Equations'!$B$27*'Chemical Info'!J109*'Res-Rec Equations'!$B$60)+('Res-Rec Equations'!$B$28*'Chemical Info'!J109*'Res-Rec Equations'!$B$61))*('Res-Rec Calculations'!C108+'Res-Rec Calculations'!F108),IF('Chemical Info'!D109="",'Res-Rec Equations'!$B$22*1000*'Res-Rec Equations'!$B$25*'Chemical Info'!J109*('Res-Rec Calculations'!C108+'Res-Rec Calculations'!F108))))))))</f>
        <v>NA</v>
      </c>
      <c r="L108" s="167" t="str">
        <f>IF(AND(H108="NA",I108="NA",J108="NA"),"NA",IF(H108="NA",'Res-Rec Equations'!$B$15*'Res-Rec Equations'!$B$16/J108,IF(J108="NA",'Res-Rec Equations'!$B$15*'Res-Rec Equations'!$B$16/(H108+I108),'Res-Rec Equations'!$B$15*'Res-Rec Equations'!$B$16/(H108+I108+J108))))</f>
        <v>NA</v>
      </c>
      <c r="M108" s="167" t="str">
        <f>IF(AND(H108="NA",I108="NA",K108="NA"),"NA",IF(H108="NA",'Res-Rec Equations'!$B$15*'Res-Rec Equations'!$B$16/K108,IF(K108="NA",'Res-Rec Equations'!$B$15*'Res-Rec Equations'!$B$16/(H108+I108),'Res-Rec Equations'!$B$15*'Res-Rec Equations'!$B$16/(H108+I108+K108))))</f>
        <v>NA</v>
      </c>
      <c r="N108" s="167" t="str">
        <f t="shared" ref="N108:N110" si="140">IF(AND(L108="NA",M108="NA"),"NA",MAX(L108,M108))</f>
        <v>NA</v>
      </c>
      <c r="O108" s="371">
        <f>IF('Chemical Info'!L109="NA","NA",IF('Chemical Info'!E109="Yes",(('Res-Rec Equations'!$B$76*'Chemical Info'!AD109*'Res-Rec Equations'!$B$78*'Res-Rec Equations'!$B$79*'Res-Rec Equations'!$B$81)/('Res-Rec Equations'!$B$84*'Res-Rec Equations'!$B$85))/'Chemical Info'!L109,(('Res-Rec Equations'!$B$76*'Chemical Info'!AD109*'Res-Rec Equations'!$B$78*'Res-Rec Equations'!$B$79*'Res-Rec Equations'!$B$80)/('Res-Rec Equations'!$B$84*'Res-Rec Equations'!$B$85))/'Chemical Info'!L109))</f>
        <v>2.5570776255707761E-5</v>
      </c>
      <c r="P108" s="166">
        <f>IF('Chemical Info'!L109="NA","NA", IF('Chemical Info'!E109="Yes",0,((('Res-Rec Equations'!$B$87*'Res-Rec Equations'!$B$88*'Res-Rec Equations'!$B$78*'Res-Rec Equations'!$B$82*'Res-Rec Equations'!$B$79*'Chemical Info'!AB109)/('Res-Rec Equations'!$B$84*'Res-Rec Equations'!$B$85))/('Chemical Info'!L109*'Chemical Info'!AF109))))</f>
        <v>4.3342465753424656E-6</v>
      </c>
      <c r="Q108" s="166">
        <f>IF('Chemical Info'!N109="NA","NA",IF('Res-Rec Calculations'!E108="NA",(('Res-Rec Equations'!$B$83*'Res-Rec Equations'!$B$79*'Res-Rec Calculations'!C108)/('Res-Rec Equations'!$B$85))/('Chemical Info'!N109),IF('Chemical Info'!E109="Yes",(('Res-Rec Equations'!$B$83*'Res-Rec Equations'!$B$79*'Res-Rec Calculations'!E108)/('Res-Rec Equations'!$B$85))/('Chemical Info'!N109),(('Res-Rec Equations'!$B$83*'Res-Rec Equations'!$B$79*('Res-Rec Calculations'!C108+'Res-Rec Calculations'!E108))/('Res-Rec Equations'!$B$85))/('Chemical Info'!N109))))</f>
        <v>9.0677006481064599E-4</v>
      </c>
      <c r="R108" s="166">
        <f>IF('Chemical Info'!N109="NA","NA",IF('Res-Rec Calculations'!F108="NA",(('Res-Rec Equations'!$B$83*'Res-Rec Equations'!$B$79*'Res-Rec Calculations'!C108)/('Res-Rec Equations'!$B$85))/('Chemical Info'!N109),IF('Chemical Info'!E109="Yes",(('Res-Rec Equations'!$B$83*'Res-Rec Equations'!$B$79*'Res-Rec Calculations'!F108)/('Res-Rec Equations'!$B$85))/('Chemical Info'!N109),(('Res-Rec Equations'!$B$83*'Res-Rec Equations'!$B$79*('Res-Rec Calculations'!C108+'Res-Rec Calculations'!F108))/('Res-Rec Equations'!$B$85))/('Chemical Info'!N109))))</f>
        <v>1.9276197483444849E-2</v>
      </c>
      <c r="S108" s="167">
        <f>IF(AND(O108="NA",P108="NA",Q108="NA"),"NA",IF(O108="NA",'Res-Rec Equations'!$B$75/Q108,IF(Q108="NA",'Res-Rec Equations'!$B$75/(O108+P108),'Res-Rec Equations'!$B$75/(O108+P108+Q108))))</f>
        <v>213.52121203900907</v>
      </c>
      <c r="T108" s="167">
        <f>IF(AND(O108="NA",P108="NA",R108="NA"),"NA",IF(O108="NA",'Res-Rec Equations'!$B$75/R108,IF(R108="NA",'Res-Rec Equations'!$B$75/(O108+P108),'Res-Rec Equations'!$B$75/(O108+P108+R108))))</f>
        <v>10.35941873482674</v>
      </c>
      <c r="U108" s="168">
        <f t="shared" ref="U108:U110" si="141">IF(AND(S108="NA",T108="NA"),"NA",MAX(S108,T108))</f>
        <v>213.52121203900907</v>
      </c>
      <c r="V108" s="167" t="str">
        <f>IF('Chemical Info'!P109="NA","NA",(('Res-Rec Equations'!$B$185*'Res-Rec Equations'!$B$186)/('Res-Rec Equations'!$B$187*'Res-Rec Equations'!$B$188*(1/'Chemical Info'!P109))))</f>
        <v>NA</v>
      </c>
      <c r="W108" s="379" t="str">
        <f t="shared" ref="W108:W110" si="142">IF(V108="NA","NA",IF(V108&gt;100000,100000,IF(ISNUMBER(ROUND(V108*1000000,2-LEN(INT(V108*1000000)))/1000000),ROUND(V108*1000000,2-LEN(INT(V108*1000000)))/1000000,"NA")))</f>
        <v>NA</v>
      </c>
      <c r="X108" s="372">
        <f t="shared" ref="X108:X110" si="143">IF(AND(N108="NA",U108="NA",G108="NA"),"NA",MIN(N108,U108,G108))</f>
        <v>213.52121203900907</v>
      </c>
      <c r="Y108" s="62">
        <f t="shared" ref="Y108:Y110" si="144">IF(X108&gt;100000,100000,IF(ISNUMBER(ROUND(X108*1000000,2-LEN(INT(X108*1000000)))/1000000),ROUND(X108*1000000,2-LEN(INT(X108*1000000)))/1000000,"NA"))</f>
        <v>210</v>
      </c>
      <c r="Z108" s="100" t="str">
        <f t="shared" ref="Z108:Z110" si="145">IF(Y108=100000,"Max Limit",IF(X108=G108,"Csat",IF(X108=N108,"Cancer",IF(X108=V108,"Acute",IF(X108=U108,"Noncancer","")))))</f>
        <v>Noncancer</v>
      </c>
      <c r="AA108" s="373"/>
    </row>
    <row r="109" spans="1:28">
      <c r="A109" s="413" t="s">
        <v>1233</v>
      </c>
      <c r="B109" s="566" t="s">
        <v>1232</v>
      </c>
      <c r="C109" s="367">
        <f>1/(('Res-Rec Equations'!$B$152*3600)/((0.036*(1-'Res-Rec Equations'!$B$153))*('Res-Rec Equations'!$B$154/'Res-Rec Equations'!$B$155)^3*'Res-Rec Equations'!$B$156))</f>
        <v>7.3567680901159717E-10</v>
      </c>
      <c r="D109" s="368">
        <f>(('Res-Rec Equations'!$B$132^(10/3)*'Chemical Info'!$AH110*'Chemical Info'!$AN110*41+'Res-Rec Equations'!$B$135^(10/3)*'Chemical Info'!$AJ110)/'Res-Rec Equations'!$B$137^2)/('Res-Rec Equations'!$B$139*'Chemical Info'!$AL110*'Res-Rec Equations'!$B$142+'Res-Rec Equations'!$B$135+'Res-Rec Equations'!$B$132*'Chemical Info'!$AN110*41)</f>
        <v>3.0310064148394683E-7</v>
      </c>
      <c r="E109" s="368">
        <f>IF(D109=0,"NA",1/(('Res-Rec Equations'!$B$103*(3.14*'Res-Rec Calculations'!$D109*'Res-Rec Equations'!$B$105)^(1/2)*0.0001)/(2*'Res-Rec Equations'!$B$106*'Res-Rec Calculations'!$D109)))</f>
        <v>3.2316328310828588E-6</v>
      </c>
      <c r="F109" s="368">
        <f>IF(D109=0,"NA",(1/('Res-Rec Equations'!$B$117*('Res-Rec Equations'!$B$118*(31500000))/('Res-Rec Equations'!$B$119*'Res-Rec Equations'!$B$120*1000000))))</f>
        <v>6.1914410640015851E-5</v>
      </c>
      <c r="G109" s="167" t="str">
        <f>IF('Chemical Info'!E110="Yes",('Chemical Info'!AP110/'Res-Rec Equations'!$B$168)*((('Chemical Info'!AL110*'Res-Rec Equations'!$B$170)*'Res-Rec Equations'!$B$168)+'Res-Rec Equations'!$B$171+('Chemical Info'!AN110*41)*'Res-Rec Equations'!$B$173),"NA")</f>
        <v>NA</v>
      </c>
      <c r="H109" s="112">
        <f>IF('Chemical Info'!H110="NA","NA",IF(AND('Chemical Info'!E110="Yes",'Chemical Info'!D110="Yes"),'Chemical Info'!H110*'Chemical Info'!AD110*'Res-Rec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Info'!E110="Yes",'Chemical Info'!D110=""),'Chemical Info'!H110*'Chemical Info'!AD110*'Res-Rec Equations'!$B$20*'Res-Rec Equations'!$B$23*((('Res-Rec Equations'!$B$26*'Res-Rec Equations'!$B$29)/'Res-Rec Equations'!$B$32)+(('Res-Rec Equations'!$B$27*'Res-Rec Equations'!$B$30)/'Res-Rec Equations'!$B$33)+(('Res-Rec Equations'!$B$28*'Res-Rec Equations'!$B$31)/'Res-Rec Equations'!$B$34)),IF(AND('Chemical Info'!E110="No",'Chemical Info'!D110="Yes"),'Chemical Info'!H110*'Chemical Info'!AD110*'Res-Rec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Info'!E110="No",'Chemical Info'!D110=""),'Chemical Info'!H110*'Chemical Info'!AD110*'Res-Rec Equations'!$B$19*'Res-Rec Equations'!$B$23*((('Res-Rec Equations'!$B$26*'Res-Rec Equations'!$B$29)/'Res-Rec Equations'!$B$32)+(('Res-Rec Equations'!$B$27*'Res-Rec Equations'!$B$30)/'Res-Rec Equations'!$B$33)+(('Res-Rec Equations'!$B$28*'Res-Rec Equations'!$B$31)/'Res-Rec Equations'!$B$34)))))))</f>
        <v>9.0183499288762434E-3</v>
      </c>
      <c r="I109" s="166">
        <f>IF('Chemical Info'!H110="NA","NA",IF('Chemical Info'!E110="Yes",0,IF('Chemical Info'!D110="Yes",'Chemical Info'!H110/'Chemical Info'!AF110*('Res-Rec Equations'!$B$21*'Chemical Info'!AB110*'Res-Rec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Info'!H110/'Chemical Info'!AF110*('Res-Rec Equations'!$B$21*'Chemical Info'!AB110*'Res-Rec Equations'!$B$23)*((('Res-Rec Equations'!$B$26*'Res-Rec Equations'!$B$37*'Res-Rec Equations'!$B$40)/'Res-Rec Equations'!$B$32)+(('Res-Rec Equations'!$B$27*'Res-Rec Equations'!$B$38*'Res-Rec Equations'!$B$41)/'Res-Rec Equations'!$B$33)+(('Res-Rec Equations'!$B$28*'Res-Rec Equations'!$B$39*'Res-Rec Equations'!$B$42)/'Res-Rec Equations'!$B$34)))))</f>
        <v>2.1996241465149359E-3</v>
      </c>
      <c r="J109" s="369" t="str">
        <f>IF('Chemical Info'!J110="NA","NA",IF(AND(E109="NA",'Chemical Info'!D110="Yes"),'Res-Rec Equations'!$B$22*1000*(('Res-Rec Equations'!$B$26*'Chemical Info'!J110*'Res-Rec Equations'!$B$59)+('Res-Rec Equations'!$B$27*'Chemical Info'!J110*'Res-Rec Equations'!$B$60)+('Res-Rec Equations'!$B$28*'Chemical Info'!J110*'Res-Rec Equations'!$B$61))*'Res-Rec Calculations'!C109,IF(AND(E109="NA",'Chemical Info'!D110=""),'Res-Rec Equations'!$B$22*1000*'Res-Rec Equations'!$B$25*'Chemical Info'!J110*'Res-Rec Calculations'!C109,IF(AND('Chemical Info'!E110="Yes",'Chemical Info'!D110="Yes"),'Res-Rec Equations'!$B$22*1000*(('Res-Rec Equations'!$B$26*'Chemical Info'!J110*'Res-Rec Equations'!$B$59)+('Res-Rec Equations'!$B$27*'Chemical Info'!J110*'Res-Rec Equations'!$B$60)+('Res-Rec Equations'!$B$28*'Chemical Info'!J110*'Res-Rec Equations'!$B$61))*'Res-Rec Calculations'!E109,IF(AND('Chemical Info'!E110="Yes",'Chemical Info'!D110=""),'Res-Rec Equations'!$B$22*1000*'Res-Rec Equations'!$B$25*'Chemical Info'!J110*'Res-Rec Calculations'!E109,IF('Chemical Info'!D110="Yes",'Res-Rec Equations'!$B$22*1000*(('Res-Rec Equations'!$B$26*'Chemical Info'!J110*'Res-Rec Equations'!$B$59)+('Res-Rec Equations'!$B$27*'Chemical Info'!J110*'Res-Rec Equations'!$B$60)+('Res-Rec Equations'!$B$28*'Chemical Info'!J110*'Res-Rec Equations'!$B$61))*('Res-Rec Calculations'!C109+'Res-Rec Calculations'!E109),IF('Chemical Info'!D110="",'Res-Rec Equations'!$B$22*1000*'Res-Rec Equations'!$B$25*'Chemical Info'!J110*('Res-Rec Calculations'!C109+'Res-Rec Calculations'!E109))))))))</f>
        <v>NA</v>
      </c>
      <c r="K109" s="370" t="str">
        <f>IF('Chemical Info'!J110="NA","NA",IF(AND(F109="NA",'Chemical Info'!D110="Yes"),'Res-Rec Equations'!$B$22*1000*(('Res-Rec Equations'!$B$26*'Chemical Info'!J110*'Res-Rec Equations'!$B$59)+('Res-Rec Equations'!$B$27*'Chemical Info'!J110*'Res-Rec Equations'!$B$60)+('Res-Rec Equations'!$B$28*'Chemical Info'!J110*'Res-Rec Equations'!$B$61))*'Res-Rec Calculations'!C109,IF(AND(F109="NA",'Chemical Info'!D110=""),'Res-Rec Equations'!$B$22*1000*'Res-Rec Equations'!$B$25*'Chemical Info'!J110*'Res-Rec Calculations'!C109,IF(AND('Chemical Info'!F110="Yes",'Chemical Info'!D110="Yes"),'Res-Rec Equations'!$B$22*1000*(('Res-Rec Equations'!$B$26*'Chemical Info'!J110*'Res-Rec Equations'!$B$59)+('Res-Rec Equations'!$B$27*'Chemical Info'!J110*'Res-Rec Equations'!$B$60)+('Res-Rec Equations'!$B$28*'Chemical Info'!J110*'Res-Rec Equations'!$B$61))*'Res-Rec Calculations'!F109,IF(AND('Chemical Info'!F110="Yes",'Chemical Info'!D110=""),'Res-Rec Equations'!$B$22*1000*'Res-Rec Equations'!$B$25*'Chemical Info'!J110*'Res-Rec Calculations'!F109,IF('Chemical Info'!D110="Yes",'Res-Rec Equations'!$B$22*1000*(('Res-Rec Equations'!$B$26*'Chemical Info'!J110*'Res-Rec Equations'!$B$59)+('Res-Rec Equations'!$B$27*'Chemical Info'!J110*'Res-Rec Equations'!$B$60)+('Res-Rec Equations'!$B$28*'Chemical Info'!J110*'Res-Rec Equations'!$B$61))*('Res-Rec Calculations'!C109+'Res-Rec Calculations'!F109),IF('Chemical Info'!D110="",'Res-Rec Equations'!$B$22*1000*'Res-Rec Equations'!$B$25*'Chemical Info'!J110*('Res-Rec Calculations'!C109+'Res-Rec Calculations'!F109))))))))</f>
        <v>NA</v>
      </c>
      <c r="L109" s="167">
        <f>IF(AND(H109="NA",I109="NA",J109="NA"),"NA",IF(H109="NA",'Res-Rec Equations'!$B$15*'Res-Rec Equations'!$B$16/J109,IF(J109="NA",'Res-Rec Equations'!$B$15*'Res-Rec Equations'!$B$16/(H109+I109),'Res-Rec Equations'!$B$15*'Res-Rec Equations'!$B$16/(H109+I109+J109))))</f>
        <v>22.775948516451756</v>
      </c>
      <c r="M109" s="167">
        <f>IF(AND(H109="NA",I109="NA",K109="NA"),"NA",IF(H109="NA",'Res-Rec Equations'!$B$15*'Res-Rec Equations'!$B$16/K109,IF(K109="NA",'Res-Rec Equations'!$B$15*'Res-Rec Equations'!$B$16/(H109+I109),'Res-Rec Equations'!$B$15*'Res-Rec Equations'!$B$16/(H109+I109+K109))))</f>
        <v>22.775948516451756</v>
      </c>
      <c r="N109" s="167">
        <f t="shared" ref="N109" si="146">IF(AND(L109="NA",M109="NA"),"NA",MAX(L109,M109))</f>
        <v>22.775948516451756</v>
      </c>
      <c r="O109" s="371">
        <f>IF('Chemical Info'!L110="NA","NA",IF('Chemical Info'!E110="Yes",(('Res-Rec Equations'!$B$76*'Chemical Info'!AD110*'Res-Rec Equations'!$B$78*'Res-Rec Equations'!$B$79*'Res-Rec Equations'!$B$81)/('Res-Rec Equations'!$B$84*'Res-Rec Equations'!$B$85))/'Chemical Info'!L110,(('Res-Rec Equations'!$B$76*'Chemical Info'!AD110*'Res-Rec Equations'!$B$78*'Res-Rec Equations'!$B$79*'Res-Rec Equations'!$B$80)/('Res-Rec Equations'!$B$84*'Res-Rec Equations'!$B$85))/'Chemical Info'!L110))</f>
        <v>2.557077625570776E-2</v>
      </c>
      <c r="P109" s="166">
        <f>IF('Chemical Info'!L110="NA","NA", IF('Chemical Info'!E110="Yes",0,((('Res-Rec Equations'!$B$87*'Res-Rec Equations'!$B$88*'Res-Rec Equations'!$B$78*'Res-Rec Equations'!$B$82*'Res-Rec Equations'!$B$79*'Chemical Info'!AB110)/('Res-Rec Equations'!$B$84*'Res-Rec Equations'!$B$85))/('Chemical Info'!L110*'Chemical Info'!AF110))))</f>
        <v>4.3342465753424654E-3</v>
      </c>
      <c r="Q109" s="166" t="str">
        <f>IF('Chemical Info'!N110="NA","NA",IF('Res-Rec Calculations'!E109="NA",(('Res-Rec Equations'!$B$83*'Res-Rec Equations'!$B$79*'Res-Rec Calculations'!C109)/('Res-Rec Equations'!$B$85))/('Chemical Info'!N110),IF('Chemical Info'!E110="Yes",(('Res-Rec Equations'!$B$83*'Res-Rec Equations'!$B$79*'Res-Rec Calculations'!E109)/('Res-Rec Equations'!$B$85))/('Chemical Info'!N110),(('Res-Rec Equations'!$B$83*'Res-Rec Equations'!$B$79*('Res-Rec Calculations'!C109+'Res-Rec Calculations'!E109))/('Res-Rec Equations'!$B$85))/('Chemical Info'!N110))))</f>
        <v>NA</v>
      </c>
      <c r="R109" s="166" t="str">
        <f>IF('Chemical Info'!N110="NA","NA",IF('Res-Rec Calculations'!F109="NA",(('Res-Rec Equations'!$B$83*'Res-Rec Equations'!$B$79*'Res-Rec Calculations'!C109)/('Res-Rec Equations'!$B$85))/('Chemical Info'!N110),IF('Chemical Info'!E110="Yes",(('Res-Rec Equations'!$B$83*'Res-Rec Equations'!$B$79*'Res-Rec Calculations'!F109)/('Res-Rec Equations'!$B$85))/('Chemical Info'!N110),(('Res-Rec Equations'!$B$83*'Res-Rec Equations'!$B$79*('Res-Rec Calculations'!C109+'Res-Rec Calculations'!F109))/('Res-Rec Equations'!$B$85))/('Chemical Info'!N110))))</f>
        <v>NA</v>
      </c>
      <c r="S109" s="167">
        <f>IF(AND(O109="NA",P109="NA",Q109="NA"),"NA",IF(O109="NA",'Res-Rec Equations'!$B$75/Q109,IF(Q109="NA",'Res-Rec Equations'!$B$75/(O109+P109),'Res-Rec Equations'!$B$75/(O109+P109+Q109))))</f>
        <v>6.6878397361509814</v>
      </c>
      <c r="T109" s="167">
        <f>IF(AND(O109="NA",P109="NA",R109="NA"),"NA",IF(O109="NA",'Res-Rec Equations'!$B$75/R109,IF(R109="NA",'Res-Rec Equations'!$B$75/(O109+P109),'Res-Rec Equations'!$B$75/(O109+P109+R109))))</f>
        <v>6.6878397361509814</v>
      </c>
      <c r="U109" s="168">
        <f t="shared" ref="U109" si="147">IF(AND(S109="NA",T109="NA"),"NA",MAX(S109,T109))</f>
        <v>6.6878397361509814</v>
      </c>
      <c r="V109" s="167" t="str">
        <f>IF('Chemical Info'!P110="NA","NA",(('Res-Rec Equations'!$B$185*'Res-Rec Equations'!$B$186)/('Res-Rec Equations'!$B$187*'Res-Rec Equations'!$B$188*(1/'Chemical Info'!P110))))</f>
        <v>NA</v>
      </c>
      <c r="W109" s="379" t="str">
        <f t="shared" ref="W109" si="148">IF(V109="NA","NA",IF(V109&gt;100000,100000,IF(ISNUMBER(ROUND(V109*1000000,2-LEN(INT(V109*1000000)))/1000000),ROUND(V109*1000000,2-LEN(INT(V109*1000000)))/1000000,"NA")))</f>
        <v>NA</v>
      </c>
      <c r="X109" s="372">
        <f t="shared" ref="X109" si="149">IF(AND(N109="NA",U109="NA",G109="NA"),"NA",MIN(N109,U109,G109))</f>
        <v>6.6878397361509814</v>
      </c>
      <c r="Y109" s="62">
        <f t="shared" ref="Y109" si="150">IF(X109&gt;100000,100000,IF(ISNUMBER(ROUND(X109*1000000,2-LEN(INT(X109*1000000)))/1000000),ROUND(X109*1000000,2-LEN(INT(X109*1000000)))/1000000,"NA"))</f>
        <v>6.7</v>
      </c>
      <c r="Z109" s="100" t="str">
        <f t="shared" ref="Z109" si="151">IF(Y109=100000,"Max Limit",IF(X109=G109,"Csat",IF(X109=N109,"Cancer",IF(X109=V109,"Acute",IF(X109=U109,"Noncancer","")))))</f>
        <v>Noncancer</v>
      </c>
      <c r="AA109" s="373"/>
    </row>
    <row r="110" spans="1:28">
      <c r="A110" s="413" t="s">
        <v>1131</v>
      </c>
      <c r="B110" s="566" t="s">
        <v>1132</v>
      </c>
      <c r="C110" s="367">
        <f>1/(('Res-Rec Equations'!$B$152*3600)/((0.036*(1-'Res-Rec Equations'!$B$153))*('Res-Rec Equations'!$B$154/'Res-Rec Equations'!$B$155)^3*'Res-Rec Equations'!$B$156))</f>
        <v>7.3567680901159717E-10</v>
      </c>
      <c r="D110" s="368">
        <f>(('Res-Rec Equations'!$B$132^(10/3)*'Chemical Info'!$AH111*'Chemical Info'!$AN111*41+'Res-Rec Equations'!$B$135^(10/3)*'Chemical Info'!$AJ111)/'Res-Rec Equations'!$B$137^2)/('Res-Rec Equations'!$B$139*'Chemical Info'!$AL111*'Res-Rec Equations'!$B$142+'Res-Rec Equations'!$B$135+'Res-Rec Equations'!$B$132*'Chemical Info'!$AN111*41)</f>
        <v>6.6048106829946967E-7</v>
      </c>
      <c r="E110" s="368">
        <f>IF(D110=0,"NA",1/(('Res-Rec Equations'!$B$103*(3.14*'Res-Rec Calculations'!$D110*'Res-Rec Equations'!$B$105)^(1/2)*0.0001)/(2*'Res-Rec Equations'!$B$106*'Res-Rec Calculations'!$D110)))</f>
        <v>4.7704436557239131E-6</v>
      </c>
      <c r="F110" s="368">
        <f>IF(D110=0,"NA",(1/('Res-Rec Equations'!$B$117*('Res-Rec Equations'!$B$118*(31500000))/('Res-Rec Equations'!$B$119*'Res-Rec Equations'!$B$120*1000000))))</f>
        <v>6.1914410640015851E-5</v>
      </c>
      <c r="G110" s="167">
        <f>IF('Chemical Info'!E111="Yes",('Chemical Info'!AP111/'Res-Rec Equations'!$B$168)*((('Chemical Info'!AL111*'Res-Rec Equations'!$B$170)*'Res-Rec Equations'!$B$168)+'Res-Rec Equations'!$B$171+('Chemical Info'!AN111*41)*'Res-Rec Equations'!$B$173),"NA")</f>
        <v>69200.442943999995</v>
      </c>
      <c r="H110" s="112" t="str">
        <f>IF('Chemical Info'!H111="NA","NA",IF(AND('Chemical Info'!E111="Yes",'Chemical Info'!D111="Yes"),'Chemical Info'!H111*'Chemical Info'!AD111*'Res-Rec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Info'!E111="Yes",'Chemical Info'!D111=""),'Chemical Info'!H111*'Chemical Info'!AD111*'Res-Rec Equations'!$B$20*'Res-Rec Equations'!$B$23*((('Res-Rec Equations'!$B$26*'Res-Rec Equations'!$B$29)/'Res-Rec Equations'!$B$32)+(('Res-Rec Equations'!$B$27*'Res-Rec Equations'!$B$30)/'Res-Rec Equations'!$B$33)+(('Res-Rec Equations'!$B$28*'Res-Rec Equations'!$B$31)/'Res-Rec Equations'!$B$34)),IF(AND('Chemical Info'!E111="No",'Chemical Info'!D111="Yes"),'Chemical Info'!H111*'Chemical Info'!AD111*'Res-Rec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Info'!E111="No",'Chemical Info'!D111=""),'Chemical Info'!H111*'Chemical Info'!AD111*'Res-Rec Equations'!$B$19*'Res-Rec Equations'!$B$23*((('Res-Rec Equations'!$B$26*'Res-Rec Equations'!$B$29)/'Res-Rec Equations'!$B$32)+(('Res-Rec Equations'!$B$27*'Res-Rec Equations'!$B$30)/'Res-Rec Equations'!$B$33)+(('Res-Rec Equations'!$B$28*'Res-Rec Equations'!$B$31)/'Res-Rec Equations'!$B$34)))))))</f>
        <v>NA</v>
      </c>
      <c r="I110" s="166" t="str">
        <f>IF('Chemical Info'!H111="NA","NA",IF('Chemical Info'!E111="Yes",0,IF('Chemical Info'!D111="Yes",'Chemical Info'!H111/'Chemical Info'!AF111*('Res-Rec Equations'!$B$21*'Chemical Info'!AB111*'Res-Rec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Info'!H111/'Chemical Info'!AF111*('Res-Rec Equations'!$B$21*'Chemical Info'!AB111*'Res-Rec Equations'!$B$23)*((('Res-Rec Equations'!$B$26*'Res-Rec Equations'!$B$37*'Res-Rec Equations'!$B$40)/'Res-Rec Equations'!$B$32)+(('Res-Rec Equations'!$B$27*'Res-Rec Equations'!$B$38*'Res-Rec Equations'!$B$41)/'Res-Rec Equations'!$B$33)+(('Res-Rec Equations'!$B$28*'Res-Rec Equations'!$B$39*'Res-Rec Equations'!$B$42)/'Res-Rec Equations'!$B$34)))))</f>
        <v>NA</v>
      </c>
      <c r="J110" s="369" t="str">
        <f>IF('Chemical Info'!J111="NA","NA",IF(AND(E110="NA",'Chemical Info'!D111="Yes"),'Res-Rec Equations'!$B$22*1000*(('Res-Rec Equations'!$B$26*'Chemical Info'!J111*'Res-Rec Equations'!$B$59)+('Res-Rec Equations'!$B$27*'Chemical Info'!J111*'Res-Rec Equations'!$B$60)+('Res-Rec Equations'!$B$28*'Chemical Info'!J111*'Res-Rec Equations'!$B$61))*'Res-Rec Calculations'!C110,IF(AND(E110="NA",'Chemical Info'!D111=""),'Res-Rec Equations'!$B$22*1000*'Res-Rec Equations'!$B$25*'Chemical Info'!J111*'Res-Rec Calculations'!C110,IF(AND('Chemical Info'!E111="Yes",'Chemical Info'!D111="Yes"),'Res-Rec Equations'!$B$22*1000*(('Res-Rec Equations'!$B$26*'Chemical Info'!J111*'Res-Rec Equations'!$B$59)+('Res-Rec Equations'!$B$27*'Chemical Info'!J111*'Res-Rec Equations'!$B$60)+('Res-Rec Equations'!$B$28*'Chemical Info'!J111*'Res-Rec Equations'!$B$61))*'Res-Rec Calculations'!E110,IF(AND('Chemical Info'!E111="Yes",'Chemical Info'!D111=""),'Res-Rec Equations'!$B$22*1000*'Res-Rec Equations'!$B$25*'Chemical Info'!J111*'Res-Rec Calculations'!E110,IF('Chemical Info'!D111="Yes",'Res-Rec Equations'!$B$22*1000*(('Res-Rec Equations'!$B$26*'Chemical Info'!J111*'Res-Rec Equations'!$B$59)+('Res-Rec Equations'!$B$27*'Chemical Info'!J111*'Res-Rec Equations'!$B$60)+('Res-Rec Equations'!$B$28*'Chemical Info'!J111*'Res-Rec Equations'!$B$61))*('Res-Rec Calculations'!C110+'Res-Rec Calculations'!E110),IF('Chemical Info'!D111="",'Res-Rec Equations'!$B$22*1000*'Res-Rec Equations'!$B$25*'Chemical Info'!J111*('Res-Rec Calculations'!C110+'Res-Rec Calculations'!E110))))))))</f>
        <v>NA</v>
      </c>
      <c r="K110" s="370" t="str">
        <f>IF('Chemical Info'!J111="NA","NA",IF(AND(F110="NA",'Chemical Info'!D111="Yes"),'Res-Rec Equations'!$B$22*1000*(('Res-Rec Equations'!$B$26*'Chemical Info'!J111*'Res-Rec Equations'!$B$59)+('Res-Rec Equations'!$B$27*'Chemical Info'!J111*'Res-Rec Equations'!$B$60)+('Res-Rec Equations'!$B$28*'Chemical Info'!J111*'Res-Rec Equations'!$B$61))*'Res-Rec Calculations'!C110,IF(AND(F110="NA",'Chemical Info'!D111=""),'Res-Rec Equations'!$B$22*1000*'Res-Rec Equations'!$B$25*'Chemical Info'!J111*'Res-Rec Calculations'!C110,IF(AND('Chemical Info'!F111="Yes",'Chemical Info'!D111="Yes"),'Res-Rec Equations'!$B$22*1000*(('Res-Rec Equations'!$B$26*'Chemical Info'!J111*'Res-Rec Equations'!$B$59)+('Res-Rec Equations'!$B$27*'Chemical Info'!J111*'Res-Rec Equations'!$B$60)+('Res-Rec Equations'!$B$28*'Chemical Info'!J111*'Res-Rec Equations'!$B$61))*'Res-Rec Calculations'!F110,IF(AND('Chemical Info'!F111="Yes",'Chemical Info'!D111=""),'Res-Rec Equations'!$B$22*1000*'Res-Rec Equations'!$B$25*'Chemical Info'!J111*'Res-Rec Calculations'!F110,IF('Chemical Info'!D111="Yes",'Res-Rec Equations'!$B$22*1000*(('Res-Rec Equations'!$B$26*'Chemical Info'!J111*'Res-Rec Equations'!$B$59)+('Res-Rec Equations'!$B$27*'Chemical Info'!J111*'Res-Rec Equations'!$B$60)+('Res-Rec Equations'!$B$28*'Chemical Info'!J111*'Res-Rec Equations'!$B$61))*('Res-Rec Calculations'!C110+'Res-Rec Calculations'!F110),IF('Chemical Info'!D111="",'Res-Rec Equations'!$B$22*1000*'Res-Rec Equations'!$B$25*'Chemical Info'!J111*('Res-Rec Calculations'!C110+'Res-Rec Calculations'!F110))))))))</f>
        <v>NA</v>
      </c>
      <c r="L110" s="167" t="str">
        <f>IF(AND(H110="NA",I110="NA",J110="NA"),"NA",IF(H110="NA",'Res-Rec Equations'!$B$15*'Res-Rec Equations'!$B$16/J110,IF(J110="NA",'Res-Rec Equations'!$B$15*'Res-Rec Equations'!$B$16/(H110+I110),'Res-Rec Equations'!$B$15*'Res-Rec Equations'!$B$16/(H110+I110+J110))))</f>
        <v>NA</v>
      </c>
      <c r="M110" s="167" t="str">
        <f>IF(AND(H110="NA",I110="NA",K110="NA"),"NA",IF(H110="NA",'Res-Rec Equations'!$B$15*'Res-Rec Equations'!$B$16/K110,IF(K110="NA",'Res-Rec Equations'!$B$15*'Res-Rec Equations'!$B$16/(H110+I110),'Res-Rec Equations'!$B$15*'Res-Rec Equations'!$B$16/(H110+I110+K110))))</f>
        <v>NA</v>
      </c>
      <c r="N110" s="167" t="str">
        <f t="shared" si="140"/>
        <v>NA</v>
      </c>
      <c r="O110" s="371">
        <f>IF('Chemical Info'!L111="NA","NA",IF('Chemical Info'!E111="Yes",(('Res-Rec Equations'!$B$76*'Chemical Info'!AD111*'Res-Rec Equations'!$B$78*'Res-Rec Equations'!$B$79*'Res-Rec Equations'!$B$81)/('Res-Rec Equations'!$B$84*'Res-Rec Equations'!$B$85))/'Chemical Info'!L111,(('Res-Rec Equations'!$B$76*'Chemical Info'!AD111*'Res-Rec Equations'!$B$78*'Res-Rec Equations'!$B$79*'Res-Rec Equations'!$B$80)/('Res-Rec Equations'!$B$84*'Res-Rec Equations'!$B$85))/'Chemical Info'!L111))</f>
        <v>1.8264840182648401E-3</v>
      </c>
      <c r="P110" s="166">
        <f>IF('Chemical Info'!L111="NA","NA", IF('Chemical Info'!E111="Yes",0,((('Res-Rec Equations'!$B$87*'Res-Rec Equations'!$B$88*'Res-Rec Equations'!$B$78*'Res-Rec Equations'!$B$82*'Res-Rec Equations'!$B$79*'Chemical Info'!AB111)/('Res-Rec Equations'!$B$84*'Res-Rec Equations'!$B$85))/('Chemical Info'!L111*'Chemical Info'!AF111))))</f>
        <v>0</v>
      </c>
      <c r="Q110" s="166" t="str">
        <f>IF('Chemical Info'!N111="NA","NA",IF('Res-Rec Calculations'!E110="NA",(('Res-Rec Equations'!$B$83*'Res-Rec Equations'!$B$79*'Res-Rec Calculations'!C110)/('Res-Rec Equations'!$B$85))/('Chemical Info'!N111),IF('Chemical Info'!E111="Yes",(('Res-Rec Equations'!$B$83*'Res-Rec Equations'!$B$79*'Res-Rec Calculations'!E110)/('Res-Rec Equations'!$B$85))/('Chemical Info'!N111),(('Res-Rec Equations'!$B$83*'Res-Rec Equations'!$B$79*('Res-Rec Calculations'!C110+'Res-Rec Calculations'!E110))/('Res-Rec Equations'!$B$85))/('Chemical Info'!N111))))</f>
        <v>NA</v>
      </c>
      <c r="R110" s="166" t="str">
        <f>IF('Chemical Info'!N111="NA","NA",IF('Res-Rec Calculations'!F110="NA",(('Res-Rec Equations'!$B$83*'Res-Rec Equations'!$B$79*'Res-Rec Calculations'!C110)/('Res-Rec Equations'!$B$85))/('Chemical Info'!N111),IF('Chemical Info'!E111="Yes",(('Res-Rec Equations'!$B$83*'Res-Rec Equations'!$B$79*'Res-Rec Calculations'!F110)/('Res-Rec Equations'!$B$85))/('Chemical Info'!N111),(('Res-Rec Equations'!$B$83*'Res-Rec Equations'!$B$79*('Res-Rec Calculations'!C110+'Res-Rec Calculations'!F110))/('Res-Rec Equations'!$B$85))/('Chemical Info'!N111))))</f>
        <v>NA</v>
      </c>
      <c r="S110" s="167">
        <f>IF(AND(O110="NA",P110="NA",Q110="NA"),"NA",IF(O110="NA",'Res-Rec Equations'!$B$75/Q110,IF(Q110="NA",'Res-Rec Equations'!$B$75/(O110+P110),'Res-Rec Equations'!$B$75/(O110+P110+Q110))))</f>
        <v>109.50000000000001</v>
      </c>
      <c r="T110" s="167">
        <f>IF(AND(O110="NA",P110="NA",R110="NA"),"NA",IF(O110="NA",'Res-Rec Equations'!$B$75/R110,IF(R110="NA",'Res-Rec Equations'!$B$75/(O110+P110),'Res-Rec Equations'!$B$75/(O110+P110+R110))))</f>
        <v>109.50000000000001</v>
      </c>
      <c r="U110" s="168">
        <f t="shared" si="141"/>
        <v>109.50000000000001</v>
      </c>
      <c r="V110" s="167" t="str">
        <f>IF('Chemical Info'!P111="NA","NA",(('Res-Rec Equations'!$B$185*'Res-Rec Equations'!$B$186)/('Res-Rec Equations'!$B$187*'Res-Rec Equations'!$B$188*(1/'Chemical Info'!P111))))</f>
        <v>NA</v>
      </c>
      <c r="W110" s="379" t="str">
        <f t="shared" si="142"/>
        <v>NA</v>
      </c>
      <c r="X110" s="372">
        <f t="shared" si="143"/>
        <v>109.50000000000001</v>
      </c>
      <c r="Y110" s="62">
        <f t="shared" si="144"/>
        <v>110</v>
      </c>
      <c r="Z110" s="100" t="str">
        <f t="shared" si="145"/>
        <v>Noncancer</v>
      </c>
      <c r="AA110" s="373"/>
    </row>
    <row r="111" spans="1:28" ht="12">
      <c r="A111" s="424" t="s">
        <v>1031</v>
      </c>
      <c r="B111" s="566" t="s">
        <v>43</v>
      </c>
      <c r="C111" s="367">
        <f>1/(('Res-Rec Equations'!$B$152*3600)/((0.036*(1-'Res-Rec Equations'!$B$153))*('Res-Rec Equations'!$B$154/'Res-Rec Equations'!$B$155)^3*'Res-Rec Equations'!$B$156))</f>
        <v>7.3567680901159717E-10</v>
      </c>
      <c r="D111" s="368">
        <f>(('Res-Rec Equations'!$B$132^(10/3)*'Chemical Info'!$AH112*'Chemical Info'!$AN112*41+'Res-Rec Equations'!$B$135^(10/3)*'Chemical Info'!$AJ112)/'Res-Rec Equations'!$B$137^2)/('Res-Rec Equations'!$B$139*'Chemical Info'!$AL112*'Res-Rec Equations'!$B$142+'Res-Rec Equations'!$B$135+'Res-Rec Equations'!$B$132*'Chemical Info'!$AN112*41)</f>
        <v>3.3181028608402443E-7</v>
      </c>
      <c r="E111" s="368">
        <f>IF(D111=0,"NA",1/(('Res-Rec Equations'!$B$103*(3.14*'Res-Rec Calculations'!$D111*'Res-Rec Equations'!$B$105)^(1/2)*0.0001)/(2*'Res-Rec Equations'!$B$106*'Res-Rec Calculations'!$D111)))</f>
        <v>3.3812206007629989E-6</v>
      </c>
      <c r="F111" s="368">
        <f>IF(D111=0,"NA",(1/('Res-Rec Equations'!$B$117*('Res-Rec Equations'!$B$118*(31500000))/('Res-Rec Equations'!$B$119*'Res-Rec Equations'!$B$120*1000000))))</f>
        <v>6.1914410640015851E-5</v>
      </c>
      <c r="G111" s="425"/>
      <c r="H111" s="112" t="str">
        <f>IF('Chemical Info'!H112="NA","NA",IF(AND('Chemical Info'!E112="Yes",'Chemical Info'!D112="Yes"),'Chemical Info'!H112*'Chemical Info'!AD112*'Res-Rec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Info'!E112="Yes",'Chemical Info'!D112=""),'Chemical Info'!H112*'Chemical Info'!AD112*'Res-Rec Equations'!$B$20*'Res-Rec Equations'!$B$23*((('Res-Rec Equations'!$B$26*'Res-Rec Equations'!$B$29)/'Res-Rec Equations'!$B$32)+(('Res-Rec Equations'!$B$27*'Res-Rec Equations'!$B$30)/'Res-Rec Equations'!$B$33)+(('Res-Rec Equations'!$B$28*'Res-Rec Equations'!$B$31)/'Res-Rec Equations'!$B$34)),IF(AND('Chemical Info'!E112="No",'Chemical Info'!D112="Yes"),'Chemical Info'!H112*'Chemical Info'!AD112*'Res-Rec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Info'!E112="No",'Chemical Info'!D112=""),'Chemical Info'!H112*'Chemical Info'!AD112*'Res-Rec Equations'!$B$19*'Res-Rec Equations'!$B$23*((('Res-Rec Equations'!$B$26*'Res-Rec Equations'!$B$29)/'Res-Rec Equations'!$B$32)+(('Res-Rec Equations'!$B$27*'Res-Rec Equations'!$B$30)/'Res-Rec Equations'!$B$33)+(('Res-Rec Equations'!$B$28*'Res-Rec Equations'!$B$31)/'Res-Rec Equations'!$B$34)))))))</f>
        <v>NA</v>
      </c>
      <c r="I111" s="166" t="str">
        <f>IF('Chemical Info'!H112="NA","NA",IF('Chemical Info'!E112="Yes",0,IF('Chemical Info'!D112="Yes",'Chemical Info'!H112/'Chemical Info'!AF112*('Res-Rec Equations'!$B$21*'Chemical Info'!AB112*'Res-Rec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Info'!H112/'Chemical Info'!AF112*('Res-Rec Equations'!$B$21*'Chemical Info'!AB112*'Res-Rec Equations'!$B$23)*((('Res-Rec Equations'!$B$26*'Res-Rec Equations'!$B$37*'Res-Rec Equations'!$B$40)/'Res-Rec Equations'!$B$32)+(('Res-Rec Equations'!$B$27*'Res-Rec Equations'!$B$38*'Res-Rec Equations'!$B$41)/'Res-Rec Equations'!$B$33)+(('Res-Rec Equations'!$B$28*'Res-Rec Equations'!$B$39*'Res-Rec Equations'!$B$42)/'Res-Rec Equations'!$B$34)))))</f>
        <v>NA</v>
      </c>
      <c r="J111" s="369" t="str">
        <f>IF('Chemical Info'!J112="NA","NA",IF(AND(E111="NA",'Chemical Info'!D112="Yes"),'Res-Rec Equations'!$B$22*1000*(('Res-Rec Equations'!$B$26*'Chemical Info'!J112*'Res-Rec Equations'!$B$59)+('Res-Rec Equations'!$B$27*'Chemical Info'!J112*'Res-Rec Equations'!$B$60)+('Res-Rec Equations'!$B$28*'Chemical Info'!J112*'Res-Rec Equations'!$B$61))*'Res-Rec Calculations'!C111,IF(AND(E111="NA",'Chemical Info'!D112=""),'Res-Rec Equations'!$B$22*1000*'Res-Rec Equations'!$B$25*'Chemical Info'!J112*'Res-Rec Calculations'!C111,IF(AND('Chemical Info'!E112="Yes",'Chemical Info'!D112="Yes"),'Res-Rec Equations'!$B$22*1000*(('Res-Rec Equations'!$B$26*'Chemical Info'!J112*'Res-Rec Equations'!$B$59)+('Res-Rec Equations'!$B$27*'Chemical Info'!J112*'Res-Rec Equations'!$B$60)+('Res-Rec Equations'!$B$28*'Chemical Info'!J112*'Res-Rec Equations'!$B$61))*'Res-Rec Calculations'!E111,IF(AND('Chemical Info'!E112="Yes",'Chemical Info'!D112=""),'Res-Rec Equations'!$B$22*1000*'Res-Rec Equations'!$B$25*'Chemical Info'!J112*'Res-Rec Calculations'!E111,IF('Chemical Info'!D112="Yes",'Res-Rec Equations'!$B$22*1000*(('Res-Rec Equations'!$B$26*'Chemical Info'!J112*'Res-Rec Equations'!$B$59)+('Res-Rec Equations'!$B$27*'Chemical Info'!J112*'Res-Rec Equations'!$B$60)+('Res-Rec Equations'!$B$28*'Chemical Info'!J112*'Res-Rec Equations'!$B$61))*('Res-Rec Calculations'!C111+'Res-Rec Calculations'!E111),IF('Chemical Info'!D112="",'Res-Rec Equations'!$B$22*1000*'Res-Rec Equations'!$B$25*'Chemical Info'!J112*('Res-Rec Calculations'!C111+'Res-Rec Calculations'!E111))))))))</f>
        <v>NA</v>
      </c>
      <c r="K111" s="370" t="str">
        <f>IF('Chemical Info'!J112="NA","NA",IF(AND(F111="NA",'Chemical Info'!D112="Yes"),'Res-Rec Equations'!$B$22*1000*(('Res-Rec Equations'!$B$26*'Chemical Info'!J112*'Res-Rec Equations'!$B$59)+('Res-Rec Equations'!$B$27*'Chemical Info'!J112*'Res-Rec Equations'!$B$60)+('Res-Rec Equations'!$B$28*'Chemical Info'!J112*'Res-Rec Equations'!$B$61))*'Res-Rec Calculations'!C111,IF(AND(F111="NA",'Chemical Info'!D112=""),'Res-Rec Equations'!$B$22*1000*'Res-Rec Equations'!$B$25*'Chemical Info'!J112*'Res-Rec Calculations'!C111,IF(AND('Chemical Info'!F112="Yes",'Chemical Info'!D112="Yes"),'Res-Rec Equations'!$B$22*1000*(('Res-Rec Equations'!$B$26*'Chemical Info'!J112*'Res-Rec Equations'!$B$59)+('Res-Rec Equations'!$B$27*'Chemical Info'!J112*'Res-Rec Equations'!$B$60)+('Res-Rec Equations'!$B$28*'Chemical Info'!J112*'Res-Rec Equations'!$B$61))*'Res-Rec Calculations'!F111,IF(AND('Chemical Info'!F112="Yes",'Chemical Info'!D112=""),'Res-Rec Equations'!$B$22*1000*'Res-Rec Equations'!$B$25*'Chemical Info'!J112*'Res-Rec Calculations'!F111,IF('Chemical Info'!D112="Yes",'Res-Rec Equations'!$B$22*1000*(('Res-Rec Equations'!$B$26*'Chemical Info'!J112*'Res-Rec Equations'!$B$59)+('Res-Rec Equations'!$B$27*'Chemical Info'!J112*'Res-Rec Equations'!$B$60)+('Res-Rec Equations'!$B$28*'Chemical Info'!J112*'Res-Rec Equations'!$B$61))*('Res-Rec Calculations'!C111+'Res-Rec Calculations'!F111),IF('Chemical Info'!D112="",'Res-Rec Equations'!$B$22*1000*'Res-Rec Equations'!$B$25*'Chemical Info'!J112*('Res-Rec Calculations'!C111+'Res-Rec Calculations'!F111))))))))</f>
        <v>NA</v>
      </c>
      <c r="L111" s="167" t="str">
        <f>IF(AND(H111="NA",I111="NA",J111="NA"),"NA",IF(H111="NA",'Res-Rec Equations'!$B$15*'Res-Rec Equations'!$B$16/J111,IF(J111="NA",'Res-Rec Equations'!$B$15*'Res-Rec Equations'!$B$16/(H111+I111),'Res-Rec Equations'!$B$15*'Res-Rec Equations'!$B$16/(H111+I111+J111))))</f>
        <v>NA</v>
      </c>
      <c r="M111" s="167" t="str">
        <f>IF(AND(H111="NA",I111="NA",K111="NA"),"NA",IF(H111="NA",'Res-Rec Equations'!$B$15*'Res-Rec Equations'!$B$16/K111,IF(K111="NA",'Res-Rec Equations'!$B$15*'Res-Rec Equations'!$B$16/(H111+I111),'Res-Rec Equations'!$B$15*'Res-Rec Equations'!$B$16/(H111+I111+K111))))</f>
        <v>NA</v>
      </c>
      <c r="N111" s="167" t="str">
        <f t="shared" si="122"/>
        <v>NA</v>
      </c>
      <c r="O111" s="371">
        <f>IF('Chemical Info'!L112="NA","NA",IF('Chemical Info'!E112="Yes",(('Res-Rec Equations'!$B$76*'Chemical Info'!AD112*'Res-Rec Equations'!$B$78*'Res-Rec Equations'!$B$79*'Res-Rec Equations'!$B$81)/('Res-Rec Equations'!$B$84*'Res-Rec Equations'!$B$85))/'Chemical Info'!L112,(('Res-Rec Equations'!$B$76*'Chemical Info'!AD112*'Res-Rec Equations'!$B$78*'Res-Rec Equations'!$B$79*'Res-Rec Equations'!$B$80)/('Res-Rec Equations'!$B$84*'Res-Rec Equations'!$B$85))/'Chemical Info'!L112))</f>
        <v>9.1324200913242004E-3</v>
      </c>
      <c r="P111" s="166">
        <f>IF('Chemical Info'!L112="NA","NA", IF('Chemical Info'!E112="Yes",0,((('Res-Rec Equations'!$B$87*'Res-Rec Equations'!$B$88*'Res-Rec Equations'!$B$78*'Res-Rec Equations'!$B$82*'Res-Rec Equations'!$B$79*'Chemical Info'!AB112)/('Res-Rec Equations'!$B$84*'Res-Rec Equations'!$B$85))/('Chemical Info'!L112*'Chemical Info'!AF112))))</f>
        <v>0</v>
      </c>
      <c r="Q111" s="166" t="str">
        <f>IF('Chemical Info'!N112="NA","NA",IF('Res-Rec Calculations'!E111="NA",(('Res-Rec Equations'!$B$83*'Res-Rec Equations'!$B$79*'Res-Rec Calculations'!C111)/('Res-Rec Equations'!$B$85))/('Chemical Info'!N112),IF('Chemical Info'!E112="Yes",(('Res-Rec Equations'!$B$83*'Res-Rec Equations'!$B$79*'Res-Rec Calculations'!E111)/('Res-Rec Equations'!$B$85))/('Chemical Info'!N112),(('Res-Rec Equations'!$B$83*'Res-Rec Equations'!$B$79*('Res-Rec Calculations'!C111+'Res-Rec Calculations'!E111))/('Res-Rec Equations'!$B$85))/('Chemical Info'!N112))))</f>
        <v>NA</v>
      </c>
      <c r="R111" s="166" t="str">
        <f>IF('Chemical Info'!N112="NA","NA",IF('Res-Rec Calculations'!F111="NA",(('Res-Rec Equations'!$B$83*'Res-Rec Equations'!$B$79*'Res-Rec Calculations'!C111)/('Res-Rec Equations'!$B$85))/('Chemical Info'!N112),IF('Chemical Info'!E112="Yes",(('Res-Rec Equations'!$B$83*'Res-Rec Equations'!$B$79*'Res-Rec Calculations'!F111)/('Res-Rec Equations'!$B$85))/('Chemical Info'!N112),(('Res-Rec Equations'!$B$83*'Res-Rec Equations'!$B$79*('Res-Rec Calculations'!C111+'Res-Rec Calculations'!F111))/('Res-Rec Equations'!$B$85))/('Chemical Info'!N112))))</f>
        <v>NA</v>
      </c>
      <c r="S111" s="167">
        <f>IF(AND(O111="NA",P111="NA",Q111="NA"),"NA",IF(O111="NA",'Res-Rec Equations'!$B$75/Q111,IF(Q111="NA",'Res-Rec Equations'!$B$75/(O111+P111),'Res-Rec Equations'!$B$75/(O111+P111+Q111))))</f>
        <v>21.900000000000002</v>
      </c>
      <c r="T111" s="167">
        <f>IF(AND(O111="NA",P111="NA",R111="NA"),"NA",IF(O111="NA",'Res-Rec Equations'!$B$75/R111,IF(R111="NA",'Res-Rec Equations'!$B$75/(O111+P111),'Res-Rec Equations'!$B$75/(O111+P111+R111))))</f>
        <v>21.900000000000002</v>
      </c>
      <c r="U111" s="168">
        <f t="shared" si="123"/>
        <v>21.900000000000002</v>
      </c>
      <c r="V111" s="167" t="str">
        <f>IF('Chemical Info'!P112="NA","NA",(('Res-Rec Equations'!$B$185*'Res-Rec Equations'!$B$186)/('Res-Rec Equations'!$B$187*'Res-Rec Equations'!$B$188*(1/'Chemical Info'!P112))))</f>
        <v>NA</v>
      </c>
      <c r="W111" s="379" t="str">
        <f t="shared" si="124"/>
        <v>NA</v>
      </c>
      <c r="X111" s="372">
        <f t="shared" si="125"/>
        <v>21.900000000000002</v>
      </c>
      <c r="Y111" s="62">
        <f t="shared" si="126"/>
        <v>22</v>
      </c>
      <c r="Z111" s="100" t="str">
        <f t="shared" si="127"/>
        <v>Noncancer</v>
      </c>
      <c r="AA111" s="373"/>
    </row>
    <row r="112" spans="1:28" ht="12">
      <c r="A112" s="424" t="s">
        <v>1021</v>
      </c>
      <c r="B112" s="566" t="s">
        <v>44</v>
      </c>
      <c r="C112" s="367">
        <f>1/(('Res-Rec Equations'!$B$152*3600)/((0.036*(1-'Res-Rec Equations'!$B$153))*('Res-Rec Equations'!$B$154/'Res-Rec Equations'!$B$155)^3*'Res-Rec Equations'!$B$156))</f>
        <v>7.3567680901159717E-10</v>
      </c>
      <c r="D112" s="368">
        <f>(('Res-Rec Equations'!$B$132^(10/3)*'Chemical Info'!$AH113*'Chemical Info'!$AN113*41+'Res-Rec Equations'!$B$135^(10/3)*'Chemical Info'!$AJ113)/'Res-Rec Equations'!$B$137^2)/('Res-Rec Equations'!$B$139*'Chemical Info'!$AL113*'Res-Rec Equations'!$B$142+'Res-Rec Equations'!$B$135+'Res-Rec Equations'!$B$132*'Chemical Info'!$AN113*41)</f>
        <v>2.6285298625398793E-5</v>
      </c>
      <c r="E112" s="368">
        <f>IF(D112=0,"NA",1/(('Res-Rec Equations'!$B$103*(3.14*'Res-Rec Calculations'!$D112*'Res-Rec Equations'!$B$105)^(1/2)*0.0001)/(2*'Res-Rec Equations'!$B$106*'Res-Rec Calculations'!$D112)))</f>
        <v>3.0094355126702402E-5</v>
      </c>
      <c r="F112" s="368">
        <f>IF(D112=0,"NA",(1/('Res-Rec Equations'!$B$117*('Res-Rec Equations'!$B$118*(31500000))/('Res-Rec Equations'!$B$119*'Res-Rec Equations'!$B$120*1000000))))</f>
        <v>6.1914410640015851E-5</v>
      </c>
      <c r="G112" s="425"/>
      <c r="H112" s="112" t="str">
        <f>IF('Chemical Info'!H113="NA","NA",IF(AND('Chemical Info'!E113="Yes",'Chemical Info'!D113="Yes"),'Chemical Info'!H113*'Chemical Info'!AD113*'Res-Rec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Info'!E113="Yes",'Chemical Info'!D113=""),'Chemical Info'!H113*'Chemical Info'!AD113*'Res-Rec Equations'!$B$20*'Res-Rec Equations'!$B$23*((('Res-Rec Equations'!$B$26*'Res-Rec Equations'!$B$29)/'Res-Rec Equations'!$B$32)+(('Res-Rec Equations'!$B$27*'Res-Rec Equations'!$B$30)/'Res-Rec Equations'!$B$33)+(('Res-Rec Equations'!$B$28*'Res-Rec Equations'!$B$31)/'Res-Rec Equations'!$B$34)),IF(AND('Chemical Info'!E113="No",'Chemical Info'!D113="Yes"),'Chemical Info'!H113*'Chemical Info'!AD113*'Res-Rec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Info'!E113="No",'Chemical Info'!D113=""),'Chemical Info'!H113*'Chemical Info'!AD113*'Res-Rec Equations'!$B$19*'Res-Rec Equations'!$B$23*((('Res-Rec Equations'!$B$26*'Res-Rec Equations'!$B$29)/'Res-Rec Equations'!$B$32)+(('Res-Rec Equations'!$B$27*'Res-Rec Equations'!$B$30)/'Res-Rec Equations'!$B$33)+(('Res-Rec Equations'!$B$28*'Res-Rec Equations'!$B$31)/'Res-Rec Equations'!$B$34)))))))</f>
        <v>NA</v>
      </c>
      <c r="I112" s="166" t="str">
        <f>IF('Chemical Info'!H113="NA","NA",IF('Chemical Info'!E113="Yes",0,IF('Chemical Info'!D113="Yes",'Chemical Info'!H113/'Chemical Info'!AF113*('Res-Rec Equations'!$B$21*'Chemical Info'!AB113*'Res-Rec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Info'!H113/'Chemical Info'!AF113*('Res-Rec Equations'!$B$21*'Chemical Info'!AB113*'Res-Rec Equations'!$B$23)*((('Res-Rec Equations'!$B$26*'Res-Rec Equations'!$B$37*'Res-Rec Equations'!$B$40)/'Res-Rec Equations'!$B$32)+(('Res-Rec Equations'!$B$27*'Res-Rec Equations'!$B$38*'Res-Rec Equations'!$B$41)/'Res-Rec Equations'!$B$33)+(('Res-Rec Equations'!$B$28*'Res-Rec Equations'!$B$39*'Res-Rec Equations'!$B$42)/'Res-Rec Equations'!$B$34)))))</f>
        <v>NA</v>
      </c>
      <c r="J112" s="369" t="str">
        <f>IF('Chemical Info'!J113="NA","NA",IF(AND(E112="NA",'Chemical Info'!D113="Yes"),'Res-Rec Equations'!$B$22*1000*(('Res-Rec Equations'!$B$26*'Chemical Info'!J113*'Res-Rec Equations'!$B$59)+('Res-Rec Equations'!$B$27*'Chemical Info'!J113*'Res-Rec Equations'!$B$60)+('Res-Rec Equations'!$B$28*'Chemical Info'!J113*'Res-Rec Equations'!$B$61))*'Res-Rec Calculations'!C112,IF(AND(E112="NA",'Chemical Info'!D113=""),'Res-Rec Equations'!$B$22*1000*'Res-Rec Equations'!$B$25*'Chemical Info'!J113*'Res-Rec Calculations'!C112,IF(AND('Chemical Info'!E113="Yes",'Chemical Info'!D113="Yes"),'Res-Rec Equations'!$B$22*1000*(('Res-Rec Equations'!$B$26*'Chemical Info'!J113*'Res-Rec Equations'!$B$59)+('Res-Rec Equations'!$B$27*'Chemical Info'!J113*'Res-Rec Equations'!$B$60)+('Res-Rec Equations'!$B$28*'Chemical Info'!J113*'Res-Rec Equations'!$B$61))*'Res-Rec Calculations'!E112,IF(AND('Chemical Info'!E113="Yes",'Chemical Info'!D113=""),'Res-Rec Equations'!$B$22*1000*'Res-Rec Equations'!$B$25*'Chemical Info'!J113*'Res-Rec Calculations'!E112,IF('Chemical Info'!D113="Yes",'Res-Rec Equations'!$B$22*1000*(('Res-Rec Equations'!$B$26*'Chemical Info'!J113*'Res-Rec Equations'!$B$59)+('Res-Rec Equations'!$B$27*'Chemical Info'!J113*'Res-Rec Equations'!$B$60)+('Res-Rec Equations'!$B$28*'Chemical Info'!J113*'Res-Rec Equations'!$B$61))*('Res-Rec Calculations'!C112+'Res-Rec Calculations'!E112),IF('Chemical Info'!D113="",'Res-Rec Equations'!$B$22*1000*'Res-Rec Equations'!$B$25*'Chemical Info'!J113*('Res-Rec Calculations'!C112+'Res-Rec Calculations'!E112))))))))</f>
        <v>NA</v>
      </c>
      <c r="K112" s="370" t="str">
        <f>IF('Chemical Info'!J113="NA","NA",IF(AND(F112="NA",'Chemical Info'!D113="Yes"),'Res-Rec Equations'!$B$22*1000*(('Res-Rec Equations'!$B$26*'Chemical Info'!J113*'Res-Rec Equations'!$B$59)+('Res-Rec Equations'!$B$27*'Chemical Info'!J113*'Res-Rec Equations'!$B$60)+('Res-Rec Equations'!$B$28*'Chemical Info'!J113*'Res-Rec Equations'!$B$61))*'Res-Rec Calculations'!C112,IF(AND(F112="NA",'Chemical Info'!D113=""),'Res-Rec Equations'!$B$22*1000*'Res-Rec Equations'!$B$25*'Chemical Info'!J113*'Res-Rec Calculations'!C112,IF(AND('Chemical Info'!F113="Yes",'Chemical Info'!D113="Yes"),'Res-Rec Equations'!$B$22*1000*(('Res-Rec Equations'!$B$26*'Chemical Info'!J113*'Res-Rec Equations'!$B$59)+('Res-Rec Equations'!$B$27*'Chemical Info'!J113*'Res-Rec Equations'!$B$60)+('Res-Rec Equations'!$B$28*'Chemical Info'!J113*'Res-Rec Equations'!$B$61))*'Res-Rec Calculations'!F112,IF(AND('Chemical Info'!F113="Yes",'Chemical Info'!D113=""),'Res-Rec Equations'!$B$22*1000*'Res-Rec Equations'!$B$25*'Chemical Info'!J113*'Res-Rec Calculations'!F112,IF('Chemical Info'!D113="Yes",'Res-Rec Equations'!$B$22*1000*(('Res-Rec Equations'!$B$26*'Chemical Info'!J113*'Res-Rec Equations'!$B$59)+('Res-Rec Equations'!$B$27*'Chemical Info'!J113*'Res-Rec Equations'!$B$60)+('Res-Rec Equations'!$B$28*'Chemical Info'!J113*'Res-Rec Equations'!$B$61))*('Res-Rec Calculations'!C112+'Res-Rec Calculations'!F112),IF('Chemical Info'!D113="",'Res-Rec Equations'!$B$22*1000*'Res-Rec Equations'!$B$25*'Chemical Info'!J113*('Res-Rec Calculations'!C112+'Res-Rec Calculations'!F112))))))))</f>
        <v>NA</v>
      </c>
      <c r="L112" s="167" t="str">
        <f>IF(AND(H112="NA",I112="NA",J112="NA"),"NA",IF(H112="NA",'Res-Rec Equations'!$B$15*'Res-Rec Equations'!$B$16/J112,IF(J112="NA",'Res-Rec Equations'!$B$15*'Res-Rec Equations'!$B$16/(H112+I112),'Res-Rec Equations'!$B$15*'Res-Rec Equations'!$B$16/(H112+I112+J112))))</f>
        <v>NA</v>
      </c>
      <c r="M112" s="167" t="str">
        <f>IF(AND(H112="NA",I112="NA",K112="NA"),"NA",IF(H112="NA",'Res-Rec Equations'!$B$15*'Res-Rec Equations'!$B$16/K112,IF(K112="NA",'Res-Rec Equations'!$B$15*'Res-Rec Equations'!$B$16/(H112+I112),'Res-Rec Equations'!$B$15*'Res-Rec Equations'!$B$16/(H112+I112+K112))))</f>
        <v>NA</v>
      </c>
      <c r="N112" s="167" t="str">
        <f t="shared" si="122"/>
        <v>NA</v>
      </c>
      <c r="O112" s="371">
        <f>IF('Chemical Info'!L113="NA","NA",IF('Chemical Info'!E113="Yes",(('Res-Rec Equations'!$B$76*'Chemical Info'!AD113*'Res-Rec Equations'!$B$78*'Res-Rec Equations'!$B$79*'Res-Rec Equations'!$B$81)/('Res-Rec Equations'!$B$84*'Res-Rec Equations'!$B$85))/'Chemical Info'!L113,(('Res-Rec Equations'!$B$76*'Chemical Info'!AD113*'Res-Rec Equations'!$B$78*'Res-Rec Equations'!$B$79*'Res-Rec Equations'!$B$80)/('Res-Rec Equations'!$B$84*'Res-Rec Equations'!$B$85))/'Chemical Info'!L113))</f>
        <v>9.1324200913242006E-4</v>
      </c>
      <c r="P112" s="166">
        <f>IF('Chemical Info'!L113="NA","NA", IF('Chemical Info'!E113="Yes",0,((('Res-Rec Equations'!$B$87*'Res-Rec Equations'!$B$88*'Res-Rec Equations'!$B$78*'Res-Rec Equations'!$B$82*'Res-Rec Equations'!$B$79*'Chemical Info'!AB113)/('Res-Rec Equations'!$B$84*'Res-Rec Equations'!$B$85))/('Chemical Info'!L113*'Chemical Info'!AF113))))</f>
        <v>0</v>
      </c>
      <c r="Q112" s="166" t="str">
        <f>IF('Chemical Info'!N113="NA","NA",IF('Res-Rec Calculations'!E112="NA",(('Res-Rec Equations'!$B$83*'Res-Rec Equations'!$B$79*'Res-Rec Calculations'!C112)/('Res-Rec Equations'!$B$85))/('Chemical Info'!N113),IF('Chemical Info'!E113="Yes",(('Res-Rec Equations'!$B$83*'Res-Rec Equations'!$B$79*'Res-Rec Calculations'!E112)/('Res-Rec Equations'!$B$85))/('Chemical Info'!N113),(('Res-Rec Equations'!$B$83*'Res-Rec Equations'!$B$79*('Res-Rec Calculations'!C112+'Res-Rec Calculations'!E112))/('Res-Rec Equations'!$B$85))/('Chemical Info'!N113))))</f>
        <v>NA</v>
      </c>
      <c r="R112" s="166" t="str">
        <f>IF('Chemical Info'!N113="NA","NA",IF('Res-Rec Calculations'!F112="NA",(('Res-Rec Equations'!$B$83*'Res-Rec Equations'!$B$79*'Res-Rec Calculations'!C112)/('Res-Rec Equations'!$B$85))/('Chemical Info'!N113),IF('Chemical Info'!E113="Yes",(('Res-Rec Equations'!$B$83*'Res-Rec Equations'!$B$79*'Res-Rec Calculations'!F112)/('Res-Rec Equations'!$B$85))/('Chemical Info'!N113),(('Res-Rec Equations'!$B$83*'Res-Rec Equations'!$B$79*('Res-Rec Calculations'!C112+'Res-Rec Calculations'!F112))/('Res-Rec Equations'!$B$85))/('Chemical Info'!N113))))</f>
        <v>NA</v>
      </c>
      <c r="S112" s="167">
        <f>IF(AND(O112="NA",P112="NA",Q112="NA"),"NA",IF(O112="NA",'Res-Rec Equations'!$B$75/Q112,IF(Q112="NA",'Res-Rec Equations'!$B$75/(O112+P112),'Res-Rec Equations'!$B$75/(O112+P112+Q112))))</f>
        <v>219.00000000000003</v>
      </c>
      <c r="T112" s="167">
        <f>IF(AND(O112="NA",P112="NA",R112="NA"),"NA",IF(O112="NA",'Res-Rec Equations'!$B$75/R112,IF(R112="NA",'Res-Rec Equations'!$B$75/(O112+P112),'Res-Rec Equations'!$B$75/(O112+P112+R112))))</f>
        <v>219.00000000000003</v>
      </c>
      <c r="U112" s="168">
        <f t="shared" si="123"/>
        <v>219.00000000000003</v>
      </c>
      <c r="V112" s="167" t="str">
        <f>IF('Chemical Info'!P113="NA","NA",(('Res-Rec Equations'!$B$185*'Res-Rec Equations'!$B$186)/('Res-Rec Equations'!$B$187*'Res-Rec Equations'!$B$188*(1/'Chemical Info'!P113))))</f>
        <v>NA</v>
      </c>
      <c r="W112" s="379" t="str">
        <f t="shared" si="124"/>
        <v>NA</v>
      </c>
      <c r="X112" s="372">
        <f t="shared" si="125"/>
        <v>219.00000000000003</v>
      </c>
      <c r="Y112" s="62">
        <f t="shared" si="126"/>
        <v>220</v>
      </c>
      <c r="Z112" s="100" t="str">
        <f t="shared" si="127"/>
        <v>Noncancer</v>
      </c>
      <c r="AA112" s="373"/>
    </row>
    <row r="113" spans="1:28">
      <c r="A113" s="413" t="s">
        <v>67</v>
      </c>
      <c r="B113" s="566" t="s">
        <v>68</v>
      </c>
      <c r="C113" s="367">
        <f>1/(('Res-Rec Equations'!$B$152*3600)/((0.036*(1-'Res-Rec Equations'!$B$153))*('Res-Rec Equations'!$B$154/'Res-Rec Equations'!$B$155)^3*'Res-Rec Equations'!$B$156))</f>
        <v>7.3567680901159717E-10</v>
      </c>
      <c r="D113" s="368">
        <f>(('Res-Rec Equations'!$B$132^(10/3)*'Chemical Info'!$AH114*'Chemical Info'!$AN114*41+'Res-Rec Equations'!$B$135^(10/3)*'Chemical Info'!$AJ114)/'Res-Rec Equations'!$B$137^2)/('Res-Rec Equations'!$B$139*'Chemical Info'!$AL114*'Res-Rec Equations'!$B$142+'Res-Rec Equations'!$B$135+'Res-Rec Equations'!$B$132*'Chemical Info'!$AN114*41)</f>
        <v>2.0160768248290328E-4</v>
      </c>
      <c r="E113" s="368">
        <f>IF(D113=0,"NA",1/(('Res-Rec Equations'!$B$103*(3.14*'Res-Rec Calculations'!$D113*'Res-Rec Equations'!$B$105)^(1/2)*0.0001)/(2*'Res-Rec Equations'!$B$106*'Res-Rec Calculations'!$D113)))</f>
        <v>8.3345493515041519E-5</v>
      </c>
      <c r="F113" s="368">
        <f>IF(D113=0,"NA",(1/('Res-Rec Equations'!$B$117*('Res-Rec Equations'!$B$118*(31500000))/('Res-Rec Equations'!$B$119*'Res-Rec Equations'!$B$120*1000000))))</f>
        <v>6.1914410640015851E-5</v>
      </c>
      <c r="G113" s="167">
        <f>IF('Chemical Info'!E114="Yes",('Chemical Info'!AP114/'Res-Rec Equations'!$B$168)*((('Chemical Info'!AL114*'Res-Rec Equations'!$B$170)*'Res-Rec Equations'!$B$168)+'Res-Rec Equations'!$B$171+('Chemical Info'!AN114*41)*'Res-Rec Equations'!$B$173),"NA")</f>
        <v>801.66391199999998</v>
      </c>
      <c r="H113" s="112">
        <f>IF('Chemical Info'!H114="NA","NA",IF(AND('Chemical Info'!E114="Yes",'Chemical Info'!D114="Yes"),'Chemical Info'!H114*'Chemical Info'!AD114*'Res-Rec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Info'!E114="Yes",'Chemical Info'!D114=""),'Chemical Info'!H114*'Chemical Info'!AD114*'Res-Rec Equations'!$B$20*'Res-Rec Equations'!$B$23*((('Res-Rec Equations'!$B$26*'Res-Rec Equations'!$B$29)/'Res-Rec Equations'!$B$32)+(('Res-Rec Equations'!$B$27*'Res-Rec Equations'!$B$30)/'Res-Rec Equations'!$B$33)+(('Res-Rec Equations'!$B$28*'Res-Rec Equations'!$B$31)/'Res-Rec Equations'!$B$34)),IF(AND('Chemical Info'!E114="No",'Chemical Info'!D114="Yes"),'Chemical Info'!H114*'Chemical Info'!AD114*'Res-Rec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Info'!E114="No",'Chemical Info'!D114=""),'Chemical Info'!H114*'Chemical Info'!AD114*'Res-Rec Equations'!$B$19*'Res-Rec Equations'!$B$23*((('Res-Rec Equations'!$B$26*'Res-Rec Equations'!$B$29)/'Res-Rec Equations'!$B$32)+(('Res-Rec Equations'!$B$27*'Res-Rec Equations'!$B$30)/'Res-Rec Equations'!$B$33)+(('Res-Rec Equations'!$B$28*'Res-Rec Equations'!$B$31)/'Res-Rec Equations'!$B$34)))))))</f>
        <v>2.7055049786628735E-3</v>
      </c>
      <c r="I113" s="166">
        <f>IF('Chemical Info'!H114="NA","NA",IF('Chemical Info'!E114="Yes",0,IF('Chemical Info'!D114="Yes",'Chemical Info'!H114/'Chemical Info'!AF114*('Res-Rec Equations'!$B$21*'Chemical Info'!AB114*'Res-Rec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Info'!H114/'Chemical Info'!AF114*('Res-Rec Equations'!$B$21*'Chemical Info'!AB114*'Res-Rec Equations'!$B$23)*((('Res-Rec Equations'!$B$26*'Res-Rec Equations'!$B$37*'Res-Rec Equations'!$B$40)/'Res-Rec Equations'!$B$32)+(('Res-Rec Equations'!$B$27*'Res-Rec Equations'!$B$38*'Res-Rec Equations'!$B$41)/'Res-Rec Equations'!$B$33)+(('Res-Rec Equations'!$B$28*'Res-Rec Equations'!$B$39*'Res-Rec Equations'!$B$42)/'Res-Rec Equations'!$B$34)))))</f>
        <v>0</v>
      </c>
      <c r="J113" s="369" t="str">
        <f>IF('Chemical Info'!J114="NA","NA",IF(AND(E113="NA",'Chemical Info'!D114="Yes"),'Res-Rec Equations'!$B$22*1000*(('Res-Rec Equations'!$B$26*'Chemical Info'!J114*'Res-Rec Equations'!$B$59)+('Res-Rec Equations'!$B$27*'Chemical Info'!J114*'Res-Rec Equations'!$B$60)+('Res-Rec Equations'!$B$28*'Chemical Info'!J114*'Res-Rec Equations'!$B$61))*'Res-Rec Calculations'!C113,IF(AND(E113="NA",'Chemical Info'!D114=""),'Res-Rec Equations'!$B$22*1000*'Res-Rec Equations'!$B$25*'Chemical Info'!J114*'Res-Rec Calculations'!C113,IF(AND('Chemical Info'!E114="Yes",'Chemical Info'!D114="Yes"),'Res-Rec Equations'!$B$22*1000*(('Res-Rec Equations'!$B$26*'Chemical Info'!J114*'Res-Rec Equations'!$B$59)+('Res-Rec Equations'!$B$27*'Chemical Info'!J114*'Res-Rec Equations'!$B$60)+('Res-Rec Equations'!$B$28*'Chemical Info'!J114*'Res-Rec Equations'!$B$61))*'Res-Rec Calculations'!E113,IF(AND('Chemical Info'!E114="Yes",'Chemical Info'!D114=""),'Res-Rec Equations'!$B$22*1000*'Res-Rec Equations'!$B$25*'Chemical Info'!J114*'Res-Rec Calculations'!E113,IF('Chemical Info'!D114="Yes",'Res-Rec Equations'!$B$22*1000*(('Res-Rec Equations'!$B$26*'Chemical Info'!J114*'Res-Rec Equations'!$B$59)+('Res-Rec Equations'!$B$27*'Chemical Info'!J114*'Res-Rec Equations'!$B$60)+('Res-Rec Equations'!$B$28*'Chemical Info'!J114*'Res-Rec Equations'!$B$61))*('Res-Rec Calculations'!C113+'Res-Rec Calculations'!E113),IF('Chemical Info'!D114="",'Res-Rec Equations'!$B$22*1000*'Res-Rec Equations'!$B$25*'Chemical Info'!J114*('Res-Rec Calculations'!C113+'Res-Rec Calculations'!E113))))))))</f>
        <v>NA</v>
      </c>
      <c r="K113" s="370" t="str">
        <f>IF('Chemical Info'!J114="NA","NA",IF(AND(F113="NA",'Chemical Info'!D114="Yes"),'Res-Rec Equations'!$B$22*1000*(('Res-Rec Equations'!$B$26*'Chemical Info'!J114*'Res-Rec Equations'!$B$59)+('Res-Rec Equations'!$B$27*'Chemical Info'!J114*'Res-Rec Equations'!$B$60)+('Res-Rec Equations'!$B$28*'Chemical Info'!J114*'Res-Rec Equations'!$B$61))*'Res-Rec Calculations'!C113,IF(AND(F113="NA",'Chemical Info'!D114=""),'Res-Rec Equations'!$B$22*1000*'Res-Rec Equations'!$B$25*'Chemical Info'!J114*'Res-Rec Calculations'!C113,IF(AND('Chemical Info'!F114="Yes",'Chemical Info'!D114="Yes"),'Res-Rec Equations'!$B$22*1000*(('Res-Rec Equations'!$B$26*'Chemical Info'!J114*'Res-Rec Equations'!$B$59)+('Res-Rec Equations'!$B$27*'Chemical Info'!J114*'Res-Rec Equations'!$B$60)+('Res-Rec Equations'!$B$28*'Chemical Info'!J114*'Res-Rec Equations'!$B$61))*'Res-Rec Calculations'!F113,IF(AND('Chemical Info'!F114="Yes",'Chemical Info'!D114=""),'Res-Rec Equations'!$B$22*1000*'Res-Rec Equations'!$B$25*'Chemical Info'!J114*'Res-Rec Calculations'!F113,IF('Chemical Info'!D114="Yes",'Res-Rec Equations'!$B$22*1000*(('Res-Rec Equations'!$B$26*'Chemical Info'!J114*'Res-Rec Equations'!$B$59)+('Res-Rec Equations'!$B$27*'Chemical Info'!J114*'Res-Rec Equations'!$B$60)+('Res-Rec Equations'!$B$28*'Chemical Info'!J114*'Res-Rec Equations'!$B$61))*('Res-Rec Calculations'!C113+'Res-Rec Calculations'!F113),IF('Chemical Info'!D114="",'Res-Rec Equations'!$B$22*1000*'Res-Rec Equations'!$B$25*'Chemical Info'!J114*('Res-Rec Calculations'!C113+'Res-Rec Calculations'!F113))))))))</f>
        <v>NA</v>
      </c>
      <c r="L113" s="167">
        <f>IF(AND(H113="NA",I113="NA",J113="NA"),"NA",IF(H113="NA",'Res-Rec Equations'!$B$15*'Res-Rec Equations'!$B$16/J113,IF(J113="NA",'Res-Rec Equations'!$B$15*'Res-Rec Equations'!$B$16/(H113+I113),'Res-Rec Equations'!$B$15*'Res-Rec Equations'!$B$16/(H113+I113+J113))))</f>
        <v>94.437083655367857</v>
      </c>
      <c r="M113" s="167">
        <f>IF(AND(H113="NA",I113="NA",K113="NA"),"NA",IF(H113="NA",'Res-Rec Equations'!$B$15*'Res-Rec Equations'!$B$16/K113,IF(K113="NA",'Res-Rec Equations'!$B$15*'Res-Rec Equations'!$B$16/(H113+I113),'Res-Rec Equations'!$B$15*'Res-Rec Equations'!$B$16/(H113+I113+K113))))</f>
        <v>94.437083655367857</v>
      </c>
      <c r="N113" s="167">
        <f t="shared" si="122"/>
        <v>94.437083655367857</v>
      </c>
      <c r="O113" s="371">
        <f>IF('Chemical Info'!L114="NA","NA",IF('Chemical Info'!E114="Yes",(('Res-Rec Equations'!$B$76*'Chemical Info'!AD114*'Res-Rec Equations'!$B$78*'Res-Rec Equations'!$B$79*'Res-Rec Equations'!$B$81)/('Res-Rec Equations'!$B$84*'Res-Rec Equations'!$B$85))/'Chemical Info'!L114,(('Res-Rec Equations'!$B$76*'Chemical Info'!AD114*'Res-Rec Equations'!$B$78*'Res-Rec Equations'!$B$79*'Res-Rec Equations'!$B$80)/('Res-Rec Equations'!$B$84*'Res-Rec Equations'!$B$85))/'Chemical Info'!L114))</f>
        <v>3.0441400304414001E-3</v>
      </c>
      <c r="P113" s="166">
        <f>IF('Chemical Info'!L114="NA","NA", IF('Chemical Info'!E114="Yes",0,((('Res-Rec Equations'!$B$87*'Res-Rec Equations'!$B$88*'Res-Rec Equations'!$B$78*'Res-Rec Equations'!$B$82*'Res-Rec Equations'!$B$79*'Chemical Info'!AB114)/('Res-Rec Equations'!$B$84*'Res-Rec Equations'!$B$85))/('Chemical Info'!L114*'Chemical Info'!AF114))))</f>
        <v>0</v>
      </c>
      <c r="Q113" s="166" t="str">
        <f>IF('Chemical Info'!N114="NA","NA",IF('Res-Rec Calculations'!E113="NA",(('Res-Rec Equations'!$B$83*'Res-Rec Equations'!$B$79*'Res-Rec Calculations'!C113)/('Res-Rec Equations'!$B$85))/('Chemical Info'!N114),IF('Chemical Info'!E114="Yes",(('Res-Rec Equations'!$B$83*'Res-Rec Equations'!$B$79*'Res-Rec Calculations'!E113)/('Res-Rec Equations'!$B$85))/('Chemical Info'!N114),(('Res-Rec Equations'!$B$83*'Res-Rec Equations'!$B$79*('Res-Rec Calculations'!C113+'Res-Rec Calculations'!E113))/('Res-Rec Equations'!$B$85))/('Chemical Info'!N114))))</f>
        <v>NA</v>
      </c>
      <c r="R113" s="166" t="str">
        <f>IF('Chemical Info'!N114="NA","NA",IF('Res-Rec Calculations'!F113="NA",(('Res-Rec Equations'!$B$83*'Res-Rec Equations'!$B$79*'Res-Rec Calculations'!C113)/('Res-Rec Equations'!$B$85))/('Chemical Info'!N114),IF('Chemical Info'!E114="Yes",(('Res-Rec Equations'!$B$83*'Res-Rec Equations'!$B$79*'Res-Rec Calculations'!F113)/('Res-Rec Equations'!$B$85))/('Chemical Info'!N114),(('Res-Rec Equations'!$B$83*'Res-Rec Equations'!$B$79*('Res-Rec Calculations'!C113+'Res-Rec Calculations'!F113))/('Res-Rec Equations'!$B$85))/('Chemical Info'!N114))))</f>
        <v>NA</v>
      </c>
      <c r="S113" s="167">
        <f>IF(AND(O113="NA",P113="NA",Q113="NA"),"NA",IF(O113="NA",'Res-Rec Equations'!$B$75/Q113,IF(Q113="NA",'Res-Rec Equations'!$B$75/(O113+P113),'Res-Rec Equations'!$B$75/(O113+P113+Q113))))</f>
        <v>65.7</v>
      </c>
      <c r="T113" s="167">
        <f>IF(AND(O113="NA",P113="NA",R113="NA"),"NA",IF(O113="NA",'Res-Rec Equations'!$B$75/R113,IF(R113="NA",'Res-Rec Equations'!$B$75/(O113+P113),'Res-Rec Equations'!$B$75/(O113+P113+R113))))</f>
        <v>65.7</v>
      </c>
      <c r="U113" s="168">
        <f t="shared" si="123"/>
        <v>65.7</v>
      </c>
      <c r="V113" s="167" t="str">
        <f>IF('Chemical Info'!P114="NA","NA",(('Res-Rec Equations'!$B$185*'Res-Rec Equations'!$B$186)/('Res-Rec Equations'!$B$187*'Res-Rec Equations'!$B$188*(1/'Chemical Info'!P114))))</f>
        <v>NA</v>
      </c>
      <c r="W113" s="379" t="str">
        <f t="shared" si="124"/>
        <v>NA</v>
      </c>
      <c r="X113" s="372">
        <f t="shared" si="125"/>
        <v>65.7</v>
      </c>
      <c r="Y113" s="62">
        <f t="shared" si="126"/>
        <v>66</v>
      </c>
      <c r="Z113" s="100" t="str">
        <f t="shared" si="127"/>
        <v>Noncancer</v>
      </c>
      <c r="AA113" s="373"/>
    </row>
    <row r="114" spans="1:28">
      <c r="A114" s="146" t="s">
        <v>487</v>
      </c>
      <c r="B114" s="595" t="s">
        <v>156</v>
      </c>
      <c r="C114" s="367">
        <f>1/(('Res-Rec Equations'!$B$152*3600)/((0.036*(1-'Res-Rec Equations'!$B$153))*('Res-Rec Equations'!$B$154/'Res-Rec Equations'!$B$155)^3*'Res-Rec Equations'!$B$156))</f>
        <v>7.3567680901159717E-10</v>
      </c>
      <c r="D114" s="368">
        <f>(('Res-Rec Equations'!$B$132^(10/3)*'Chemical Info'!$AH115*'Chemical Info'!$AN115*41+'Res-Rec Equations'!$B$135^(10/3)*'Chemical Info'!$AJ115)/'Res-Rec Equations'!$B$137^2)/('Res-Rec Equations'!$B$139*'Chemical Info'!$AL115*'Res-Rec Equations'!$B$142+'Res-Rec Equations'!$B$135+'Res-Rec Equations'!$B$132*'Chemical Info'!$AN115*41)</f>
        <v>1.6285201265160267E-8</v>
      </c>
      <c r="E114" s="368">
        <f>IF(D114=0,"NA",1/(('Res-Rec Equations'!$B$103*(3.14*'Res-Rec Calculations'!$D114*'Res-Rec Equations'!$B$105)^(1/2)*0.0001)/(2*'Res-Rec Equations'!$B$106*'Res-Rec Calculations'!$D114)))</f>
        <v>7.4907473443977791E-7</v>
      </c>
      <c r="F114" s="368">
        <f>IF(D114=0,"NA",(1/('Res-Rec Equations'!$B$117*('Res-Rec Equations'!$B$118*(31500000))/('Res-Rec Equations'!$B$119*'Res-Rec Equations'!$B$120*1000000))))</f>
        <v>6.1914410640015851E-5</v>
      </c>
      <c r="G114" s="167" t="str">
        <f>IF('Chemical Info'!E115="Yes",('Chemical Info'!AP115/'Res-Rec Equations'!$B$168)*((('Chemical Info'!AL115*'Res-Rec Equations'!$B$170)*'Res-Rec Equations'!$B$168)+'Res-Rec Equations'!$B$171+('Chemical Info'!AN115*41)*'Res-Rec Equations'!$B$173),"NA")</f>
        <v>NA</v>
      </c>
      <c r="H114" s="112" t="str">
        <f>IF('Chemical Info'!H115="NA","NA",IF(AND('Chemical Info'!E115="Yes",'Chemical Info'!D115="Yes"),'Chemical Info'!H115*'Chemical Info'!AD115*'Res-Rec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Info'!E115="Yes",'Chemical Info'!D115=""),'Chemical Info'!H115*'Chemical Info'!AD115*'Res-Rec Equations'!$B$20*'Res-Rec Equations'!$B$23*((('Res-Rec Equations'!$B$26*'Res-Rec Equations'!$B$29)/'Res-Rec Equations'!$B$32)+(('Res-Rec Equations'!$B$27*'Res-Rec Equations'!$B$30)/'Res-Rec Equations'!$B$33)+(('Res-Rec Equations'!$B$28*'Res-Rec Equations'!$B$31)/'Res-Rec Equations'!$B$34)),IF(AND('Chemical Info'!E115="No",'Chemical Info'!D115="Yes"),'Chemical Info'!H115*'Chemical Info'!AD115*'Res-Rec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Info'!E115="No",'Chemical Info'!D115=""),'Chemical Info'!H115*'Chemical Info'!AD115*'Res-Rec Equations'!$B$19*'Res-Rec Equations'!$B$23*((('Res-Rec Equations'!$B$26*'Res-Rec Equations'!$B$29)/'Res-Rec Equations'!$B$32)+(('Res-Rec Equations'!$B$27*'Res-Rec Equations'!$B$30)/'Res-Rec Equations'!$B$33)+(('Res-Rec Equations'!$B$28*'Res-Rec Equations'!$B$31)/'Res-Rec Equations'!$B$34)))))))</f>
        <v>NA</v>
      </c>
      <c r="I114" s="166" t="str">
        <f>IF('Chemical Info'!H115="NA","NA",IF('Chemical Info'!E115="Yes",0,IF('Chemical Info'!D115="Yes",'Chemical Info'!H115/'Chemical Info'!AF115*('Res-Rec Equations'!$B$21*'Chemical Info'!AB115*'Res-Rec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Info'!H115/'Chemical Info'!AF115*('Res-Rec Equations'!$B$21*'Chemical Info'!AB115*'Res-Rec Equations'!$B$23)*((('Res-Rec Equations'!$B$26*'Res-Rec Equations'!$B$37*'Res-Rec Equations'!$B$40)/'Res-Rec Equations'!$B$32)+(('Res-Rec Equations'!$B$27*'Res-Rec Equations'!$B$38*'Res-Rec Equations'!$B$41)/'Res-Rec Equations'!$B$33)+(('Res-Rec Equations'!$B$28*'Res-Rec Equations'!$B$39*'Res-Rec Equations'!$B$42)/'Res-Rec Equations'!$B$34)))))</f>
        <v>NA</v>
      </c>
      <c r="J114" s="369" t="str">
        <f>IF('Chemical Info'!J115="NA","NA",IF(AND(E114="NA",'Chemical Info'!D115="Yes"),'Res-Rec Equations'!$B$22*1000*(('Res-Rec Equations'!$B$26*'Chemical Info'!J115*'Res-Rec Equations'!$B$59)+('Res-Rec Equations'!$B$27*'Chemical Info'!J115*'Res-Rec Equations'!$B$60)+('Res-Rec Equations'!$B$28*'Chemical Info'!J115*'Res-Rec Equations'!$B$61))*'Res-Rec Calculations'!C114,IF(AND(E114="NA",'Chemical Info'!D115=""),'Res-Rec Equations'!$B$22*1000*'Res-Rec Equations'!$B$25*'Chemical Info'!J115*'Res-Rec Calculations'!C114,IF(AND('Chemical Info'!E115="Yes",'Chemical Info'!D115="Yes"),'Res-Rec Equations'!$B$22*1000*(('Res-Rec Equations'!$B$26*'Chemical Info'!J115*'Res-Rec Equations'!$B$59)+('Res-Rec Equations'!$B$27*'Chemical Info'!J115*'Res-Rec Equations'!$B$60)+('Res-Rec Equations'!$B$28*'Chemical Info'!J115*'Res-Rec Equations'!$B$61))*'Res-Rec Calculations'!E114,IF(AND('Chemical Info'!E115="Yes",'Chemical Info'!D115=""),'Res-Rec Equations'!$B$22*1000*'Res-Rec Equations'!$B$25*'Chemical Info'!J115*'Res-Rec Calculations'!E114,IF('Chemical Info'!D115="Yes",'Res-Rec Equations'!$B$22*1000*(('Res-Rec Equations'!$B$26*'Chemical Info'!J115*'Res-Rec Equations'!$B$59)+('Res-Rec Equations'!$B$27*'Chemical Info'!J115*'Res-Rec Equations'!$B$60)+('Res-Rec Equations'!$B$28*'Chemical Info'!J115*'Res-Rec Equations'!$B$61))*('Res-Rec Calculations'!C114+'Res-Rec Calculations'!E114),IF('Chemical Info'!D115="",'Res-Rec Equations'!$B$22*1000*'Res-Rec Equations'!$B$25*'Chemical Info'!J115*('Res-Rec Calculations'!C114+'Res-Rec Calculations'!E114))))))))</f>
        <v>NA</v>
      </c>
      <c r="K114" s="370" t="str">
        <f>IF('Chemical Info'!J115="NA","NA",IF(AND(F114="NA",'Chemical Info'!D115="Yes"),'Res-Rec Equations'!$B$22*1000*(('Res-Rec Equations'!$B$26*'Chemical Info'!J115*'Res-Rec Equations'!$B$59)+('Res-Rec Equations'!$B$27*'Chemical Info'!J115*'Res-Rec Equations'!$B$60)+('Res-Rec Equations'!$B$28*'Chemical Info'!J115*'Res-Rec Equations'!$B$61))*'Res-Rec Calculations'!C114,IF(AND(F114="NA",'Chemical Info'!D115=""),'Res-Rec Equations'!$B$22*1000*'Res-Rec Equations'!$B$25*'Chemical Info'!J115*'Res-Rec Calculations'!C114,IF(AND('Chemical Info'!F115="Yes",'Chemical Info'!D115="Yes"),'Res-Rec Equations'!$B$22*1000*(('Res-Rec Equations'!$B$26*'Chemical Info'!J115*'Res-Rec Equations'!$B$59)+('Res-Rec Equations'!$B$27*'Chemical Info'!J115*'Res-Rec Equations'!$B$60)+('Res-Rec Equations'!$B$28*'Chemical Info'!J115*'Res-Rec Equations'!$B$61))*'Res-Rec Calculations'!F114,IF(AND('Chemical Info'!F115="Yes",'Chemical Info'!D115=""),'Res-Rec Equations'!$B$22*1000*'Res-Rec Equations'!$B$25*'Chemical Info'!J115*'Res-Rec Calculations'!F114,IF('Chemical Info'!D115="Yes",'Res-Rec Equations'!$B$22*1000*(('Res-Rec Equations'!$B$26*'Chemical Info'!J115*'Res-Rec Equations'!$B$59)+('Res-Rec Equations'!$B$27*'Chemical Info'!J115*'Res-Rec Equations'!$B$60)+('Res-Rec Equations'!$B$28*'Chemical Info'!J115*'Res-Rec Equations'!$B$61))*('Res-Rec Calculations'!C114+'Res-Rec Calculations'!F114),IF('Chemical Info'!D115="",'Res-Rec Equations'!$B$22*1000*'Res-Rec Equations'!$B$25*'Chemical Info'!J115*('Res-Rec Calculations'!C114+'Res-Rec Calculations'!F114))))))))</f>
        <v>NA</v>
      </c>
      <c r="L114" s="167" t="str">
        <f>IF(AND(H114="NA",I114="NA",J114="NA"),"NA",IF(H114="NA",'Res-Rec Equations'!$B$15*'Res-Rec Equations'!$B$16/J114,IF(J114="NA",'Res-Rec Equations'!$B$15*'Res-Rec Equations'!$B$16/(H114+I114),'Res-Rec Equations'!$B$15*'Res-Rec Equations'!$B$16/(H114+I114+J114))))</f>
        <v>NA</v>
      </c>
      <c r="M114" s="167" t="str">
        <f>IF(AND(H114="NA",I114="NA",K114="NA"),"NA",IF(H114="NA",'Res-Rec Equations'!$B$15*'Res-Rec Equations'!$B$16/K114,IF(K114="NA",'Res-Rec Equations'!$B$15*'Res-Rec Equations'!$B$16/(H114+I114),'Res-Rec Equations'!$B$15*'Res-Rec Equations'!$B$16/(H114+I114+K114))))</f>
        <v>NA</v>
      </c>
      <c r="N114" s="167" t="str">
        <f t="shared" si="122"/>
        <v>NA</v>
      </c>
      <c r="O114" s="371">
        <f>IF('Chemical Info'!L115="NA","NA",IF('Chemical Info'!E115="Yes",(('Res-Rec Equations'!$B$76*'Chemical Info'!AD115*'Res-Rec Equations'!$B$78*'Res-Rec Equations'!$B$79*'Res-Rec Equations'!$B$81)/('Res-Rec Equations'!$B$84*'Res-Rec Equations'!$B$85))/'Chemical Info'!L115,(('Res-Rec Equations'!$B$76*'Chemical Info'!AD115*'Res-Rec Equations'!$B$78*'Res-Rec Equations'!$B$79*'Res-Rec Equations'!$B$80)/('Res-Rec Equations'!$B$84*'Res-Rec Equations'!$B$85))/'Chemical Info'!L115))</f>
        <v>5.5588644034147304E-4</v>
      </c>
      <c r="P114" s="166">
        <f>IF('Chemical Info'!L115="NA","NA", IF('Chemical Info'!E115="Yes",0,((('Res-Rec Equations'!$B$87*'Res-Rec Equations'!$B$88*'Res-Rec Equations'!$B$78*'Res-Rec Equations'!$B$82*'Res-Rec Equations'!$B$79*'Chemical Info'!AB115)/('Res-Rec Equations'!$B$84*'Res-Rec Equations'!$B$85))/('Chemical Info'!L115*'Chemical Info'!AF115))))</f>
        <v>9.4222751637879684E-5</v>
      </c>
      <c r="Q114" s="166" t="str">
        <f>IF('Chemical Info'!N115="NA","NA",IF('Res-Rec Calculations'!E114="NA",(('Res-Rec Equations'!$B$83*'Res-Rec Equations'!$B$79*'Res-Rec Calculations'!C114)/('Res-Rec Equations'!$B$85))/('Chemical Info'!N115),IF('Chemical Info'!E115="Yes",(('Res-Rec Equations'!$B$83*'Res-Rec Equations'!$B$79*'Res-Rec Calculations'!E114)/('Res-Rec Equations'!$B$85))/('Chemical Info'!N115),(('Res-Rec Equations'!$B$83*'Res-Rec Equations'!$B$79*('Res-Rec Calculations'!C114+'Res-Rec Calculations'!E114))/('Res-Rec Equations'!$B$85))/('Chemical Info'!N115))))</f>
        <v>NA</v>
      </c>
      <c r="R114" s="166" t="str">
        <f>IF('Chemical Info'!N115="NA","NA",IF('Res-Rec Calculations'!F114="NA",(('Res-Rec Equations'!$B$83*'Res-Rec Equations'!$B$79*'Res-Rec Calculations'!C114)/('Res-Rec Equations'!$B$85))/('Chemical Info'!N115),IF('Chemical Info'!E115="Yes",(('Res-Rec Equations'!$B$83*'Res-Rec Equations'!$B$79*'Res-Rec Calculations'!F114)/('Res-Rec Equations'!$B$85))/('Chemical Info'!N115),(('Res-Rec Equations'!$B$83*'Res-Rec Equations'!$B$79*('Res-Rec Calculations'!C114+'Res-Rec Calculations'!F114))/('Res-Rec Equations'!$B$85))/('Chemical Info'!N115))))</f>
        <v>NA</v>
      </c>
      <c r="S114" s="167">
        <f>IF(AND(O114="NA",P114="NA",Q114="NA"),"NA",IF(O114="NA",'Res-Rec Equations'!$B$75/Q114,IF(Q114="NA",'Res-Rec Equations'!$B$75/(O114+P114),'Res-Rec Equations'!$B$75/(O114+P114+Q114))))</f>
        <v>307.64062786294517</v>
      </c>
      <c r="T114" s="167">
        <f>IF(AND(O114="NA",P114="NA",R114="NA"),"NA",IF(O114="NA",'Res-Rec Equations'!$B$75/R114,IF(R114="NA",'Res-Rec Equations'!$B$75/(O114+P114),'Res-Rec Equations'!$B$75/(O114+P114+R114))))</f>
        <v>307.64062786294517</v>
      </c>
      <c r="U114" s="168">
        <f t="shared" si="123"/>
        <v>307.64062786294517</v>
      </c>
      <c r="V114" s="167" t="str">
        <f>IF('Chemical Info'!P115="NA","NA",(('Res-Rec Equations'!$B$185*'Res-Rec Equations'!$B$186)/('Res-Rec Equations'!$B$187*'Res-Rec Equations'!$B$188*(1/'Chemical Info'!P115))))</f>
        <v>NA</v>
      </c>
      <c r="W114" s="379" t="str">
        <f t="shared" si="124"/>
        <v>NA</v>
      </c>
      <c r="X114" s="372">
        <f t="shared" si="125"/>
        <v>307.64062786294517</v>
      </c>
      <c r="Y114" s="62">
        <f t="shared" si="126"/>
        <v>310</v>
      </c>
      <c r="Z114" s="100" t="str">
        <f t="shared" si="127"/>
        <v>Noncancer</v>
      </c>
      <c r="AA114" s="373"/>
    </row>
    <row r="115" spans="1:28">
      <c r="A115" s="373" t="s">
        <v>382</v>
      </c>
      <c r="B115" s="566" t="s">
        <v>157</v>
      </c>
      <c r="C115" s="367">
        <f>1/(('Res-Rec Equations'!$B$152*3600)/((0.036*(1-'Res-Rec Equations'!$B$153))*('Res-Rec Equations'!$B$154/'Res-Rec Equations'!$B$155)^3*'Res-Rec Equations'!$B$156))</f>
        <v>7.3567680901159717E-10</v>
      </c>
      <c r="D115" s="368">
        <f>(('Res-Rec Equations'!$B$132^(10/3)*'Chemical Info'!$AH116*'Chemical Info'!$AN116*41+'Res-Rec Equations'!$B$135^(10/3)*'Chemical Info'!$AJ116)/'Res-Rec Equations'!$B$137^2)/('Res-Rec Equations'!$B$139*'Chemical Info'!$AL116*'Res-Rec Equations'!$B$142+'Res-Rec Equations'!$B$135+'Res-Rec Equations'!$B$132*'Chemical Info'!$AN116*41)</f>
        <v>9.3219101224221811E-5</v>
      </c>
      <c r="E115" s="368">
        <f>IF(D115=0,"NA",1/(('Res-Rec Equations'!$B$103*(3.14*'Res-Rec Calculations'!$D115*'Res-Rec Equations'!$B$105)^(1/2)*0.0001)/(2*'Res-Rec Equations'!$B$106*'Res-Rec Calculations'!$D115)))</f>
        <v>5.6673631176307886E-5</v>
      </c>
      <c r="F115" s="368">
        <f>IF(D115=0,"NA",(1/('Res-Rec Equations'!$B$117*('Res-Rec Equations'!$B$118*(31500000))/('Res-Rec Equations'!$B$119*'Res-Rec Equations'!$B$120*1000000))))</f>
        <v>6.1914410640015851E-5</v>
      </c>
      <c r="G115" s="167">
        <f>IF('Chemical Info'!E116="Yes",('Chemical Info'!AP116/'Res-Rec Equations'!$B$168)*((('Chemical Info'!AL116*'Res-Rec Equations'!$B$170)*'Res-Rec Equations'!$B$168)+'Res-Rec Equations'!$B$171+('Chemical Info'!AN116*41)*'Res-Rec Equations'!$B$173),"NA")</f>
        <v>376.28672640000002</v>
      </c>
      <c r="H115" s="112" t="str">
        <f>IF('Chemical Info'!H116="NA","NA",IF(AND('Chemical Info'!E116="Yes",'Chemical Info'!D116="Yes"),'Chemical Info'!H116*'Chemical Info'!AD116*'Res-Rec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Info'!E116="Yes",'Chemical Info'!D116=""),'Chemical Info'!H116*'Chemical Info'!AD116*'Res-Rec Equations'!$B$20*'Res-Rec Equations'!$B$23*((('Res-Rec Equations'!$B$26*'Res-Rec Equations'!$B$29)/'Res-Rec Equations'!$B$32)+(('Res-Rec Equations'!$B$27*'Res-Rec Equations'!$B$30)/'Res-Rec Equations'!$B$33)+(('Res-Rec Equations'!$B$28*'Res-Rec Equations'!$B$31)/'Res-Rec Equations'!$B$34)),IF(AND('Chemical Info'!E116="No",'Chemical Info'!D116="Yes"),'Chemical Info'!H116*'Chemical Info'!AD116*'Res-Rec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Info'!E116="No",'Chemical Info'!D116=""),'Chemical Info'!H116*'Chemical Info'!AD116*'Res-Rec Equations'!$B$19*'Res-Rec Equations'!$B$23*((('Res-Rec Equations'!$B$26*'Res-Rec Equations'!$B$29)/'Res-Rec Equations'!$B$32)+(('Res-Rec Equations'!$B$27*'Res-Rec Equations'!$B$30)/'Res-Rec Equations'!$B$33)+(('Res-Rec Equations'!$B$28*'Res-Rec Equations'!$B$31)/'Res-Rec Equations'!$B$34)))))))</f>
        <v>NA</v>
      </c>
      <c r="I115" s="166" t="str">
        <f>IF('Chemical Info'!H116="NA","NA",IF('Chemical Info'!E116="Yes",0,IF('Chemical Info'!D116="Yes",'Chemical Info'!H116/'Chemical Info'!AF116*('Res-Rec Equations'!$B$21*'Chemical Info'!AB116*'Res-Rec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Info'!H116/'Chemical Info'!AF116*('Res-Rec Equations'!$B$21*'Chemical Info'!AB116*'Res-Rec Equations'!$B$23)*((('Res-Rec Equations'!$B$26*'Res-Rec Equations'!$B$37*'Res-Rec Equations'!$B$40)/'Res-Rec Equations'!$B$32)+(('Res-Rec Equations'!$B$27*'Res-Rec Equations'!$B$38*'Res-Rec Equations'!$B$41)/'Res-Rec Equations'!$B$33)+(('Res-Rec Equations'!$B$28*'Res-Rec Equations'!$B$39*'Res-Rec Equations'!$B$42)/'Res-Rec Equations'!$B$34)))))</f>
        <v>NA</v>
      </c>
      <c r="J115" s="369" t="str">
        <f>IF('Chemical Info'!J116="NA","NA",IF(AND(E115="NA",'Chemical Info'!D116="Yes"),'Res-Rec Equations'!$B$22*1000*(('Res-Rec Equations'!$B$26*'Chemical Info'!J116*'Res-Rec Equations'!$B$59)+('Res-Rec Equations'!$B$27*'Chemical Info'!J116*'Res-Rec Equations'!$B$60)+('Res-Rec Equations'!$B$28*'Chemical Info'!J116*'Res-Rec Equations'!$B$61))*'Res-Rec Calculations'!C115,IF(AND(E115="NA",'Chemical Info'!D116=""),'Res-Rec Equations'!$B$22*1000*'Res-Rec Equations'!$B$25*'Chemical Info'!J116*'Res-Rec Calculations'!C115,IF(AND('Chemical Info'!E116="Yes",'Chemical Info'!D116="Yes"),'Res-Rec Equations'!$B$22*1000*(('Res-Rec Equations'!$B$26*'Chemical Info'!J116*'Res-Rec Equations'!$B$59)+('Res-Rec Equations'!$B$27*'Chemical Info'!J116*'Res-Rec Equations'!$B$60)+('Res-Rec Equations'!$B$28*'Chemical Info'!J116*'Res-Rec Equations'!$B$61))*'Res-Rec Calculations'!E115,IF(AND('Chemical Info'!E116="Yes",'Chemical Info'!D116=""),'Res-Rec Equations'!$B$22*1000*'Res-Rec Equations'!$B$25*'Chemical Info'!J116*'Res-Rec Calculations'!E115,IF('Chemical Info'!D116="Yes",'Res-Rec Equations'!$B$22*1000*(('Res-Rec Equations'!$B$26*'Chemical Info'!J116*'Res-Rec Equations'!$B$59)+('Res-Rec Equations'!$B$27*'Chemical Info'!J116*'Res-Rec Equations'!$B$60)+('Res-Rec Equations'!$B$28*'Chemical Info'!J116*'Res-Rec Equations'!$B$61))*('Res-Rec Calculations'!C115+'Res-Rec Calculations'!E115),IF('Chemical Info'!D116="",'Res-Rec Equations'!$B$22*1000*'Res-Rec Equations'!$B$25*'Chemical Info'!J116*('Res-Rec Calculations'!C115+'Res-Rec Calculations'!E115))))))))</f>
        <v>NA</v>
      </c>
      <c r="K115" s="370" t="str">
        <f>IF('Chemical Info'!J116="NA","NA",IF(AND(F115="NA",'Chemical Info'!D116="Yes"),'Res-Rec Equations'!$B$22*1000*(('Res-Rec Equations'!$B$26*'Chemical Info'!J116*'Res-Rec Equations'!$B$59)+('Res-Rec Equations'!$B$27*'Chemical Info'!J116*'Res-Rec Equations'!$B$60)+('Res-Rec Equations'!$B$28*'Chemical Info'!J116*'Res-Rec Equations'!$B$61))*'Res-Rec Calculations'!C115,IF(AND(F115="NA",'Chemical Info'!D116=""),'Res-Rec Equations'!$B$22*1000*'Res-Rec Equations'!$B$25*'Chemical Info'!J116*'Res-Rec Calculations'!C115,IF(AND('Chemical Info'!F116="Yes",'Chemical Info'!D116="Yes"),'Res-Rec Equations'!$B$22*1000*(('Res-Rec Equations'!$B$26*'Chemical Info'!J116*'Res-Rec Equations'!$B$59)+('Res-Rec Equations'!$B$27*'Chemical Info'!J116*'Res-Rec Equations'!$B$60)+('Res-Rec Equations'!$B$28*'Chemical Info'!J116*'Res-Rec Equations'!$B$61))*'Res-Rec Calculations'!F115,IF(AND('Chemical Info'!F116="Yes",'Chemical Info'!D116=""),'Res-Rec Equations'!$B$22*1000*'Res-Rec Equations'!$B$25*'Chemical Info'!J116*'Res-Rec Calculations'!F115,IF('Chemical Info'!D116="Yes",'Res-Rec Equations'!$B$22*1000*(('Res-Rec Equations'!$B$26*'Chemical Info'!J116*'Res-Rec Equations'!$B$59)+('Res-Rec Equations'!$B$27*'Chemical Info'!J116*'Res-Rec Equations'!$B$60)+('Res-Rec Equations'!$B$28*'Chemical Info'!J116*'Res-Rec Equations'!$B$61))*('Res-Rec Calculations'!C115+'Res-Rec Calculations'!F115),IF('Chemical Info'!D116="",'Res-Rec Equations'!$B$22*1000*'Res-Rec Equations'!$B$25*'Chemical Info'!J116*('Res-Rec Calculations'!C115+'Res-Rec Calculations'!F115))))))))</f>
        <v>NA</v>
      </c>
      <c r="L115" s="167" t="str">
        <f>IF(AND(H115="NA",I115="NA",J115="NA"),"NA",IF(H115="NA",'Res-Rec Equations'!$B$15*'Res-Rec Equations'!$B$16/J115,IF(J115="NA",'Res-Rec Equations'!$B$15*'Res-Rec Equations'!$B$16/(H115+I115),'Res-Rec Equations'!$B$15*'Res-Rec Equations'!$B$16/(H115+I115+J115))))</f>
        <v>NA</v>
      </c>
      <c r="M115" s="167" t="str">
        <f>IF(AND(H115="NA",I115="NA",K115="NA"),"NA",IF(H115="NA",'Res-Rec Equations'!$B$15*'Res-Rec Equations'!$B$16/K115,IF(K115="NA",'Res-Rec Equations'!$B$15*'Res-Rec Equations'!$B$16/(H115+I115),'Res-Rec Equations'!$B$15*'Res-Rec Equations'!$B$16/(H115+I115+K115))))</f>
        <v>NA</v>
      </c>
      <c r="N115" s="167" t="str">
        <f t="shared" si="122"/>
        <v>NA</v>
      </c>
      <c r="O115" s="371">
        <f>IF('Chemical Info'!L116="NA","NA",IF('Chemical Info'!E116="Yes",(('Res-Rec Equations'!$B$76*'Chemical Info'!AD116*'Res-Rec Equations'!$B$78*'Res-Rec Equations'!$B$79*'Res-Rec Equations'!$B$81)/('Res-Rec Equations'!$B$84*'Res-Rec Equations'!$B$85))/'Chemical Info'!L116,(('Res-Rec Equations'!$B$76*'Chemical Info'!AD116*'Res-Rec Equations'!$B$78*'Res-Rec Equations'!$B$79*'Res-Rec Equations'!$B$80)/('Res-Rec Equations'!$B$84*'Res-Rec Equations'!$B$85))/'Chemical Info'!L116))</f>
        <v>3.0441400304414005E-5</v>
      </c>
      <c r="P115" s="166">
        <f>IF('Chemical Info'!L116="NA","NA", IF('Chemical Info'!E116="Yes",0,((('Res-Rec Equations'!$B$87*'Res-Rec Equations'!$B$88*'Res-Rec Equations'!$B$78*'Res-Rec Equations'!$B$82*'Res-Rec Equations'!$B$79*'Chemical Info'!AB116)/('Res-Rec Equations'!$B$84*'Res-Rec Equations'!$B$85))/('Chemical Info'!L116*'Chemical Info'!AF116))))</f>
        <v>0</v>
      </c>
      <c r="Q115" s="166">
        <f>IF('Chemical Info'!N116="NA","NA",IF('Res-Rec Calculations'!E115="NA",(('Res-Rec Equations'!$B$83*'Res-Rec Equations'!$B$79*'Res-Rec Calculations'!C115)/('Res-Rec Equations'!$B$85))/('Chemical Info'!N116),IF('Chemical Info'!E116="Yes",(('Res-Rec Equations'!$B$83*'Res-Rec Equations'!$B$79*'Res-Rec Calculations'!E115)/('Res-Rec Equations'!$B$85))/('Chemical Info'!N116),(('Res-Rec Equations'!$B$83*'Res-Rec Equations'!$B$79*('Res-Rec Calculations'!C115+'Res-Rec Calculations'!E115))/('Res-Rec Equations'!$B$85))/('Chemical Info'!N116))))</f>
        <v>1.9408777800105441E-4</v>
      </c>
      <c r="R115" s="166">
        <f>IF('Chemical Info'!N116="NA","NA",IF('Res-Rec Calculations'!F115="NA",(('Res-Rec Equations'!$B$83*'Res-Rec Equations'!$B$79*'Res-Rec Calculations'!C115)/('Res-Rec Equations'!$B$85))/('Chemical Info'!N116),IF('Chemical Info'!E116="Yes",(('Res-Rec Equations'!$B$83*'Res-Rec Equations'!$B$79*'Res-Rec Calculations'!F115)/('Res-Rec Equations'!$B$85))/('Chemical Info'!N116),(('Res-Rec Equations'!$B$83*'Res-Rec Equations'!$B$79*('Res-Rec Calculations'!C115+'Res-Rec Calculations'!F115))/('Res-Rec Equations'!$B$85))/('Chemical Info'!N116))))</f>
        <v>2.120356528767666E-4</v>
      </c>
      <c r="S115" s="167">
        <f>IF(AND(O115="NA",P115="NA",Q115="NA"),"NA",IF(O115="NA",'Res-Rec Equations'!$B$75/Q115,IF(Q115="NA",'Res-Rec Equations'!$B$75/(O115+P115),'Res-Rec Equations'!$B$75/(O115+P115+Q115))))</f>
        <v>890.75282557665253</v>
      </c>
      <c r="T115" s="167">
        <f>IF(AND(O115="NA",P115="NA",R115="NA"),"NA",IF(O115="NA",'Res-Rec Equations'!$B$75/R115,IF(R115="NA",'Res-Rec Equations'!$B$75/(O115+P115),'Res-Rec Equations'!$B$75/(O115+P115+R115))))</f>
        <v>824.82031753560852</v>
      </c>
      <c r="U115" s="168">
        <f t="shared" si="123"/>
        <v>890.75282557665253</v>
      </c>
      <c r="V115" s="167" t="str">
        <f>IF('Chemical Info'!P116="NA","NA",(('Res-Rec Equations'!$B$185*'Res-Rec Equations'!$B$186)/('Res-Rec Equations'!$B$187*'Res-Rec Equations'!$B$188*(1/'Chemical Info'!P116))))</f>
        <v>NA</v>
      </c>
      <c r="W115" s="379" t="str">
        <f t="shared" si="124"/>
        <v>NA</v>
      </c>
      <c r="X115" s="372">
        <f t="shared" si="125"/>
        <v>376.28672640000002</v>
      </c>
      <c r="Y115" s="62">
        <f t="shared" si="126"/>
        <v>380</v>
      </c>
      <c r="Z115" s="100" t="str">
        <f t="shared" si="127"/>
        <v>Csat</v>
      </c>
      <c r="AA115" s="373"/>
    </row>
    <row r="116" spans="1:28">
      <c r="A116" s="373" t="s">
        <v>383</v>
      </c>
      <c r="B116" s="566" t="s">
        <v>198</v>
      </c>
      <c r="C116" s="367">
        <f>1/(('Res-Rec Equations'!$B$152*3600)/((0.036*(1-'Res-Rec Equations'!$B$153))*('Res-Rec Equations'!$B$154/'Res-Rec Equations'!$B$155)^3*'Res-Rec Equations'!$B$156))</f>
        <v>7.3567680901159717E-10</v>
      </c>
      <c r="D116" s="368">
        <f>(('Res-Rec Equations'!$B$132^(10/3)*'Chemical Info'!$AH117*'Chemical Info'!$AN117*41+'Res-Rec Equations'!$B$135^(10/3)*'Chemical Info'!$AJ117)/'Res-Rec Equations'!$B$137^2)/('Res-Rec Equations'!$B$139*'Chemical Info'!$AL117*'Res-Rec Equations'!$B$142+'Res-Rec Equations'!$B$135+'Res-Rec Equations'!$B$132*'Chemical Info'!$AN117*41)</f>
        <v>2.3502224937459716E-4</v>
      </c>
      <c r="E116" s="368">
        <f>IF(D116=0,"NA",1/(('Res-Rec Equations'!$B$103*(3.14*'Res-Rec Calculations'!$D116*'Res-Rec Equations'!$B$105)^(1/2)*0.0001)/(2*'Res-Rec Equations'!$B$106*'Res-Rec Calculations'!$D116)))</f>
        <v>8.9987683695911007E-5</v>
      </c>
      <c r="F116" s="368">
        <f>IF(D116=0,"NA",(1/('Res-Rec Equations'!$B$117*('Res-Rec Equations'!$B$118*(31500000))/('Res-Rec Equations'!$B$119*'Res-Rec Equations'!$B$120*1000000))))</f>
        <v>6.1914410640015851E-5</v>
      </c>
      <c r="G116" s="167">
        <f>IF('Chemical Info'!E117="Yes",('Chemical Info'!AP117/'Res-Rec Equations'!$B$168)*((('Chemical Info'!AL117*'Res-Rec Equations'!$B$170)*'Res-Rec Equations'!$B$168)+'Res-Rec Equations'!$B$171+('Chemical Info'!AN117*41)*'Res-Rec Equations'!$B$173),"NA")</f>
        <v>297.68686666666667</v>
      </c>
      <c r="H116" s="112" t="str">
        <f>IF('Chemical Info'!H117="NA","NA",IF(AND('Chemical Info'!E117="Yes",'Chemical Info'!D117="Yes"),'Chemical Info'!H117*'Chemical Info'!AD117*'Res-Rec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Info'!E117="Yes",'Chemical Info'!D117=""),'Chemical Info'!H117*'Chemical Info'!AD117*'Res-Rec Equations'!$B$20*'Res-Rec Equations'!$B$23*((('Res-Rec Equations'!$B$26*'Res-Rec Equations'!$B$29)/'Res-Rec Equations'!$B$32)+(('Res-Rec Equations'!$B$27*'Res-Rec Equations'!$B$30)/'Res-Rec Equations'!$B$33)+(('Res-Rec Equations'!$B$28*'Res-Rec Equations'!$B$31)/'Res-Rec Equations'!$B$34)),IF(AND('Chemical Info'!E117="No",'Chemical Info'!D117="Yes"),'Chemical Info'!H117*'Chemical Info'!AD117*'Res-Rec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Info'!E117="No",'Chemical Info'!D117=""),'Chemical Info'!H117*'Chemical Info'!AD117*'Res-Rec Equations'!$B$19*'Res-Rec Equations'!$B$23*((('Res-Rec Equations'!$B$26*'Res-Rec Equations'!$B$29)/'Res-Rec Equations'!$B$32)+(('Res-Rec Equations'!$B$27*'Res-Rec Equations'!$B$30)/'Res-Rec Equations'!$B$33)+(('Res-Rec Equations'!$B$28*'Res-Rec Equations'!$B$31)/'Res-Rec Equations'!$B$34)))))))</f>
        <v>NA</v>
      </c>
      <c r="I116" s="166" t="str">
        <f>IF('Chemical Info'!H117="NA","NA",IF('Chemical Info'!E117="Yes",0,IF('Chemical Info'!D117="Yes",'Chemical Info'!H117/'Chemical Info'!AF117*('Res-Rec Equations'!$B$21*'Chemical Info'!AB117*'Res-Rec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Info'!H117/'Chemical Info'!AF117*('Res-Rec Equations'!$B$21*'Chemical Info'!AB117*'Res-Rec Equations'!$B$23)*((('Res-Rec Equations'!$B$26*'Res-Rec Equations'!$B$37*'Res-Rec Equations'!$B$40)/'Res-Rec Equations'!$B$32)+(('Res-Rec Equations'!$B$27*'Res-Rec Equations'!$B$38*'Res-Rec Equations'!$B$41)/'Res-Rec Equations'!$B$33)+(('Res-Rec Equations'!$B$28*'Res-Rec Equations'!$B$39*'Res-Rec Equations'!$B$42)/'Res-Rec Equations'!$B$34)))))</f>
        <v>NA</v>
      </c>
      <c r="J116" s="369" t="str">
        <f>IF('Chemical Info'!J117="NA","NA",IF(AND(E116="NA",'Chemical Info'!D117="Yes"),'Res-Rec Equations'!$B$22*1000*(('Res-Rec Equations'!$B$26*'Chemical Info'!J117*'Res-Rec Equations'!$B$59)+('Res-Rec Equations'!$B$27*'Chemical Info'!J117*'Res-Rec Equations'!$B$60)+('Res-Rec Equations'!$B$28*'Chemical Info'!J117*'Res-Rec Equations'!$B$61))*'Res-Rec Calculations'!C116,IF(AND(E116="NA",'Chemical Info'!D117=""),'Res-Rec Equations'!$B$22*1000*'Res-Rec Equations'!$B$25*'Chemical Info'!J117*'Res-Rec Calculations'!C116,IF(AND('Chemical Info'!E117="Yes",'Chemical Info'!D117="Yes"),'Res-Rec Equations'!$B$22*1000*(('Res-Rec Equations'!$B$26*'Chemical Info'!J117*'Res-Rec Equations'!$B$59)+('Res-Rec Equations'!$B$27*'Chemical Info'!J117*'Res-Rec Equations'!$B$60)+('Res-Rec Equations'!$B$28*'Chemical Info'!J117*'Res-Rec Equations'!$B$61))*'Res-Rec Calculations'!E116,IF(AND('Chemical Info'!E117="Yes",'Chemical Info'!D117=""),'Res-Rec Equations'!$B$22*1000*'Res-Rec Equations'!$B$25*'Chemical Info'!J117*'Res-Rec Calculations'!E116,IF('Chemical Info'!D117="Yes",'Res-Rec Equations'!$B$22*1000*(('Res-Rec Equations'!$B$26*'Chemical Info'!J117*'Res-Rec Equations'!$B$59)+('Res-Rec Equations'!$B$27*'Chemical Info'!J117*'Res-Rec Equations'!$B$60)+('Res-Rec Equations'!$B$28*'Chemical Info'!J117*'Res-Rec Equations'!$B$61))*('Res-Rec Calculations'!C116+'Res-Rec Calculations'!E116),IF('Chemical Info'!D117="",'Res-Rec Equations'!$B$22*1000*'Res-Rec Equations'!$B$25*'Chemical Info'!J117*('Res-Rec Calculations'!C116+'Res-Rec Calculations'!E116))))))))</f>
        <v>NA</v>
      </c>
      <c r="K116" s="370" t="str">
        <f>IF('Chemical Info'!J117="NA","NA",IF(AND(F116="NA",'Chemical Info'!D117="Yes"),'Res-Rec Equations'!$B$22*1000*(('Res-Rec Equations'!$B$26*'Chemical Info'!J117*'Res-Rec Equations'!$B$59)+('Res-Rec Equations'!$B$27*'Chemical Info'!J117*'Res-Rec Equations'!$B$60)+('Res-Rec Equations'!$B$28*'Chemical Info'!J117*'Res-Rec Equations'!$B$61))*'Res-Rec Calculations'!C116,IF(AND(F116="NA",'Chemical Info'!D117=""),'Res-Rec Equations'!$B$22*1000*'Res-Rec Equations'!$B$25*'Chemical Info'!J117*'Res-Rec Calculations'!C116,IF(AND('Chemical Info'!F117="Yes",'Chemical Info'!D117="Yes"),'Res-Rec Equations'!$B$22*1000*(('Res-Rec Equations'!$B$26*'Chemical Info'!J117*'Res-Rec Equations'!$B$59)+('Res-Rec Equations'!$B$27*'Chemical Info'!J117*'Res-Rec Equations'!$B$60)+('Res-Rec Equations'!$B$28*'Chemical Info'!J117*'Res-Rec Equations'!$B$61))*'Res-Rec Calculations'!F116,IF(AND('Chemical Info'!F117="Yes",'Chemical Info'!D117=""),'Res-Rec Equations'!$B$22*1000*'Res-Rec Equations'!$B$25*'Chemical Info'!J117*'Res-Rec Calculations'!F116,IF('Chemical Info'!D117="Yes",'Res-Rec Equations'!$B$22*1000*(('Res-Rec Equations'!$B$26*'Chemical Info'!J117*'Res-Rec Equations'!$B$59)+('Res-Rec Equations'!$B$27*'Chemical Info'!J117*'Res-Rec Equations'!$B$60)+('Res-Rec Equations'!$B$28*'Chemical Info'!J117*'Res-Rec Equations'!$B$61))*('Res-Rec Calculations'!C116+'Res-Rec Calculations'!F116),IF('Chemical Info'!D117="",'Res-Rec Equations'!$B$22*1000*'Res-Rec Equations'!$B$25*'Chemical Info'!J117*('Res-Rec Calculations'!C116+'Res-Rec Calculations'!F116))))))))</f>
        <v>NA</v>
      </c>
      <c r="L116" s="167" t="str">
        <f>IF(AND(H116="NA",I116="NA",J116="NA"),"NA",IF(H116="NA",'Res-Rec Equations'!$B$15*'Res-Rec Equations'!$B$16/J116,IF(J116="NA",'Res-Rec Equations'!$B$15*'Res-Rec Equations'!$B$16/(H116+I116),'Res-Rec Equations'!$B$15*'Res-Rec Equations'!$B$16/(H116+I116+J116))))</f>
        <v>NA</v>
      </c>
      <c r="M116" s="167" t="str">
        <f>IF(AND(H116="NA",I116="NA",K116="NA"),"NA",IF(H116="NA",'Res-Rec Equations'!$B$15*'Res-Rec Equations'!$B$16/K116,IF(K116="NA",'Res-Rec Equations'!$B$15*'Res-Rec Equations'!$B$16/(H116+I116),'Res-Rec Equations'!$B$15*'Res-Rec Equations'!$B$16/(H116+I116+K116))))</f>
        <v>NA</v>
      </c>
      <c r="N116" s="167" t="str">
        <f t="shared" si="122"/>
        <v>NA</v>
      </c>
      <c r="O116" s="371" t="str">
        <f>IF('Chemical Info'!L117="NA","NA",IF('Chemical Info'!E117="Yes",(('Res-Rec Equations'!$B$76*'Chemical Info'!AD117*'Res-Rec Equations'!$B$78*'Res-Rec Equations'!$B$79*'Res-Rec Equations'!$B$81)/('Res-Rec Equations'!$B$84*'Res-Rec Equations'!$B$85))/'Chemical Info'!L117,(('Res-Rec Equations'!$B$76*'Chemical Info'!AD117*'Res-Rec Equations'!$B$78*'Res-Rec Equations'!$B$79*'Res-Rec Equations'!$B$80)/('Res-Rec Equations'!$B$84*'Res-Rec Equations'!$B$85))/'Chemical Info'!L117))</f>
        <v>NA</v>
      </c>
      <c r="P116" s="166" t="str">
        <f>IF('Chemical Info'!L117="NA","NA", IF('Chemical Info'!E117="Yes",0,((('Res-Rec Equations'!$B$87*'Res-Rec Equations'!$B$88*'Res-Rec Equations'!$B$78*'Res-Rec Equations'!$B$82*'Res-Rec Equations'!$B$79*'Chemical Info'!AB117)/('Res-Rec Equations'!$B$84*'Res-Rec Equations'!$B$85))/('Chemical Info'!L117*'Chemical Info'!AF117))))</f>
        <v>NA</v>
      </c>
      <c r="Q116" s="166" t="str">
        <f>IF('Chemical Info'!N117="NA","NA",IF('Res-Rec Calculations'!E116="NA",(('Res-Rec Equations'!$B$83*'Res-Rec Equations'!$B$79*'Res-Rec Calculations'!C116)/('Res-Rec Equations'!$B$85))/('Chemical Info'!N117),IF('Chemical Info'!E117="Yes",(('Res-Rec Equations'!$B$83*'Res-Rec Equations'!$B$79*'Res-Rec Calculations'!E116)/('Res-Rec Equations'!$B$85))/('Chemical Info'!N117),(('Res-Rec Equations'!$B$83*'Res-Rec Equations'!$B$79*('Res-Rec Calculations'!C116+'Res-Rec Calculations'!E116))/('Res-Rec Equations'!$B$85))/('Chemical Info'!N117))))</f>
        <v>NA</v>
      </c>
      <c r="R116" s="166" t="str">
        <f>IF('Chemical Info'!N117="NA","NA",IF('Res-Rec Calculations'!F116="NA",(('Res-Rec Equations'!$B$83*'Res-Rec Equations'!$B$79*'Res-Rec Calculations'!C116)/('Res-Rec Equations'!$B$85))/('Chemical Info'!N117),IF('Chemical Info'!E117="Yes",(('Res-Rec Equations'!$B$83*'Res-Rec Equations'!$B$79*'Res-Rec Calculations'!F116)/('Res-Rec Equations'!$B$85))/('Chemical Info'!N117),(('Res-Rec Equations'!$B$83*'Res-Rec Equations'!$B$79*('Res-Rec Calculations'!C116+'Res-Rec Calculations'!F116))/('Res-Rec Equations'!$B$85))/('Chemical Info'!N117))))</f>
        <v>NA</v>
      </c>
      <c r="S116" s="167" t="str">
        <f>IF(AND(O116="NA",P116="NA",Q116="NA"),"NA",IF(O116="NA",'Res-Rec Equations'!$B$75/Q116,IF(Q116="NA",'Res-Rec Equations'!$B$75/(O116+P116),'Res-Rec Equations'!$B$75/(O116+P116+Q116))))</f>
        <v>NA</v>
      </c>
      <c r="T116" s="167" t="str">
        <f>IF(AND(O116="NA",P116="NA",R116="NA"),"NA",IF(O116="NA",'Res-Rec Equations'!$B$75/R116,IF(R116="NA",'Res-Rec Equations'!$B$75/(O116+P116),'Res-Rec Equations'!$B$75/(O116+P116+R116))))</f>
        <v>NA</v>
      </c>
      <c r="U116" s="168" t="str">
        <f t="shared" si="123"/>
        <v>NA</v>
      </c>
      <c r="V116" s="167" t="str">
        <f>IF('Chemical Info'!P117="NA","NA",(('Res-Rec Equations'!$B$185*'Res-Rec Equations'!$B$186)/('Res-Rec Equations'!$B$187*'Res-Rec Equations'!$B$188*(1/'Chemical Info'!P117))))</f>
        <v>NA</v>
      </c>
      <c r="W116" s="379" t="str">
        <f t="shared" si="124"/>
        <v>NA</v>
      </c>
      <c r="X116" s="372">
        <f t="shared" si="125"/>
        <v>297.68686666666667</v>
      </c>
      <c r="Y116" s="62">
        <f t="shared" si="126"/>
        <v>300</v>
      </c>
      <c r="Z116" s="100" t="str">
        <f t="shared" si="127"/>
        <v>Csat</v>
      </c>
      <c r="AA116" s="373"/>
      <c r="AB116" s="376"/>
    </row>
    <row r="117" spans="1:28" ht="12">
      <c r="A117" s="373" t="s">
        <v>430</v>
      </c>
      <c r="B117" s="566" t="s">
        <v>199</v>
      </c>
      <c r="C117" s="367">
        <f>1/(('Res-Rec Equations'!$B$152*3600)/((0.036*(1-'Res-Rec Equations'!$B$153))*('Res-Rec Equations'!$B$154/'Res-Rec Equations'!$B$155)^3*'Res-Rec Equations'!$B$156))</f>
        <v>7.3567680901159717E-10</v>
      </c>
      <c r="D117" s="368">
        <f>(('Res-Rec Equations'!$B$132^(10/3)*'Chemical Info'!$AH118*'Chemical Info'!$AN118*41+'Res-Rec Equations'!$B$135^(10/3)*'Chemical Info'!$AJ118)/'Res-Rec Equations'!$B$137^2)/('Res-Rec Equations'!$B$139*'Chemical Info'!$AL118*'Res-Rec Equations'!$B$142+'Res-Rec Equations'!$B$135+'Res-Rec Equations'!$B$132*'Chemical Info'!$AN118*41)</f>
        <v>1.1667930482362268E-4</v>
      </c>
      <c r="E117" s="368">
        <f>IF(D117=0,"NA",1/(('Res-Rec Equations'!$B$103*(3.14*'Res-Rec Calculations'!$D117*'Res-Rec Equations'!$B$105)^(1/2)*0.0001)/(2*'Res-Rec Equations'!$B$106*'Res-Rec Calculations'!$D117)))</f>
        <v>6.3405291031746113E-5</v>
      </c>
      <c r="F117" s="368">
        <f>IF(D117=0,"NA",(1/('Res-Rec Equations'!$B$117*('Res-Rec Equations'!$B$118*(31500000))/('Res-Rec Equations'!$B$119*'Res-Rec Equations'!$B$120*1000000))))</f>
        <v>6.1914410640015851E-5</v>
      </c>
      <c r="G117" s="425"/>
      <c r="H117" s="112">
        <f>IF('Chemical Info'!H118="NA","NA",IF(AND('Chemical Info'!E118="Yes",'Chemical Info'!D118="Yes"),'Chemical Info'!H118*'Chemical Info'!AD118*'Res-Rec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Info'!E118="Yes",'Chemical Info'!D118=""),'Chemical Info'!H118*'Chemical Info'!AD118*'Res-Rec Equations'!$B$20*'Res-Rec Equations'!$B$23*((('Res-Rec Equations'!$B$26*'Res-Rec Equations'!$B$29)/'Res-Rec Equations'!$B$32)+(('Res-Rec Equations'!$B$27*'Res-Rec Equations'!$B$30)/'Res-Rec Equations'!$B$33)+(('Res-Rec Equations'!$B$28*'Res-Rec Equations'!$B$31)/'Res-Rec Equations'!$B$34)),IF(AND('Chemical Info'!E118="No",'Chemical Info'!D118="Yes"),'Chemical Info'!H118*'Chemical Info'!AD118*'Res-Rec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Info'!E118="No",'Chemical Info'!D118=""),'Chemical Info'!H118*'Chemical Info'!AD118*'Res-Rec Equations'!$B$19*'Res-Rec Equations'!$B$23*((('Res-Rec Equations'!$B$26*'Res-Rec Equations'!$B$29)/'Res-Rec Equations'!$B$32)+(('Res-Rec Equations'!$B$27*'Res-Rec Equations'!$B$30)/'Res-Rec Equations'!$B$33)+(('Res-Rec Equations'!$B$28*'Res-Rec Equations'!$B$31)/'Res-Rec Equations'!$B$34)))))))</f>
        <v>1.7392532005689902E-4</v>
      </c>
      <c r="I117" s="166">
        <f>IF('Chemical Info'!H118="NA","NA",IF('Chemical Info'!E118="Yes",0,IF('Chemical Info'!D118="Yes",'Chemical Info'!H118/'Chemical Info'!AF118*('Res-Rec Equations'!$B$21*'Chemical Info'!AB118*'Res-Rec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Info'!H118/'Chemical Info'!AF118*('Res-Rec Equations'!$B$21*'Chemical Info'!AB118*'Res-Rec Equations'!$B$23)*((('Res-Rec Equations'!$B$26*'Res-Rec Equations'!$B$37*'Res-Rec Equations'!$B$40)/'Res-Rec Equations'!$B$32)+(('Res-Rec Equations'!$B$27*'Res-Rec Equations'!$B$38*'Res-Rec Equations'!$B$41)/'Res-Rec Equations'!$B$33)+(('Res-Rec Equations'!$B$28*'Res-Rec Equations'!$B$39*'Res-Rec Equations'!$B$42)/'Res-Rec Equations'!$B$34)))))</f>
        <v>0</v>
      </c>
      <c r="J117" s="369">
        <f>IF('Chemical Info'!J118="NA","NA",IF(AND(E117="NA",'Chemical Info'!D118="Yes"),'Res-Rec Equations'!$B$22*1000*(('Res-Rec Equations'!$B$26*'Chemical Info'!J118*'Res-Rec Equations'!$B$59)+('Res-Rec Equations'!$B$27*'Chemical Info'!J118*'Res-Rec Equations'!$B$60)+('Res-Rec Equations'!$B$28*'Chemical Info'!J118*'Res-Rec Equations'!$B$61))*'Res-Rec Calculations'!C117,IF(AND(E117="NA",'Chemical Info'!D118=""),'Res-Rec Equations'!$B$22*1000*'Res-Rec Equations'!$B$25*'Chemical Info'!J118*'Res-Rec Calculations'!C117,IF(AND('Chemical Info'!E118="Yes",'Chemical Info'!D118="Yes"),'Res-Rec Equations'!$B$22*1000*(('Res-Rec Equations'!$B$26*'Chemical Info'!J118*'Res-Rec Equations'!$B$59)+('Res-Rec Equations'!$B$27*'Chemical Info'!J118*'Res-Rec Equations'!$B$60)+('Res-Rec Equations'!$B$28*'Chemical Info'!J118*'Res-Rec Equations'!$B$61))*'Res-Rec Calculations'!E117,IF(AND('Chemical Info'!E118="Yes",'Chemical Info'!D118=""),'Res-Rec Equations'!$B$22*1000*'Res-Rec Equations'!$B$25*'Chemical Info'!J118*'Res-Rec Calculations'!E117,IF('Chemical Info'!D118="Yes",'Res-Rec Equations'!$B$22*1000*(('Res-Rec Equations'!$B$26*'Chemical Info'!J118*'Res-Rec Equations'!$B$59)+('Res-Rec Equations'!$B$27*'Chemical Info'!J118*'Res-Rec Equations'!$B$60)+('Res-Rec Equations'!$B$28*'Chemical Info'!J118*'Res-Rec Equations'!$B$61))*('Res-Rec Calculations'!C117+'Res-Rec Calculations'!E117),IF('Chemical Info'!D118="",'Res-Rec Equations'!$B$22*1000*'Res-Rec Equations'!$B$25*'Chemical Info'!J118*('Res-Rec Calculations'!C117+'Res-Rec Calculations'!E117))))))))</f>
        <v>4.533478308769847E-3</v>
      </c>
      <c r="K117" s="370">
        <f>IF('Chemical Info'!J118="NA","NA",IF(AND(F117="NA",'Chemical Info'!D118="Yes"),'Res-Rec Equations'!$B$22*1000*(('Res-Rec Equations'!$B$26*'Chemical Info'!J118*'Res-Rec Equations'!$B$59)+('Res-Rec Equations'!$B$27*'Chemical Info'!J118*'Res-Rec Equations'!$B$60)+('Res-Rec Equations'!$B$28*'Chemical Info'!J118*'Res-Rec Equations'!$B$61))*'Res-Rec Calculations'!C117,IF(AND(F117="NA",'Chemical Info'!D118=""),'Res-Rec Equations'!$B$22*1000*'Res-Rec Equations'!$B$25*'Chemical Info'!J118*'Res-Rec Calculations'!C117,IF(AND('Chemical Info'!F118="Yes",'Chemical Info'!D118="Yes"),'Res-Rec Equations'!$B$22*1000*(('Res-Rec Equations'!$B$26*'Chemical Info'!J118*'Res-Rec Equations'!$B$59)+('Res-Rec Equations'!$B$27*'Chemical Info'!J118*'Res-Rec Equations'!$B$60)+('Res-Rec Equations'!$B$28*'Chemical Info'!J118*'Res-Rec Equations'!$B$61))*'Res-Rec Calculations'!F117,IF(AND('Chemical Info'!F118="Yes",'Chemical Info'!D118=""),'Res-Rec Equations'!$B$22*1000*'Res-Rec Equations'!$B$25*'Chemical Info'!J118*'Res-Rec Calculations'!F117,IF('Chemical Info'!D118="Yes",'Res-Rec Equations'!$B$22*1000*(('Res-Rec Equations'!$B$26*'Chemical Info'!J118*'Res-Rec Equations'!$B$59)+('Res-Rec Equations'!$B$27*'Chemical Info'!J118*'Res-Rec Equations'!$B$60)+('Res-Rec Equations'!$B$28*'Chemical Info'!J118*'Res-Rec Equations'!$B$61))*('Res-Rec Calculations'!C117+'Res-Rec Calculations'!F117),IF('Chemical Info'!D118="",'Res-Rec Equations'!$B$22*1000*'Res-Rec Equations'!$B$25*'Chemical Info'!J118*('Res-Rec Calculations'!C117+'Res-Rec Calculations'!F117))))))))</f>
        <v>4.4269329616529775E-3</v>
      </c>
      <c r="L117" s="167">
        <f>IF(AND(H117="NA",I117="NA",J117="NA"),"NA",IF(H117="NA",'Res-Rec Equations'!$B$15*'Res-Rec Equations'!$B$16/J117,IF(J117="NA",'Res-Rec Equations'!$B$15*'Res-Rec Equations'!$B$16/(H117+I117),'Res-Rec Equations'!$B$15*'Res-Rec Equations'!$B$16/(H117+I117+J117))))</f>
        <v>54.276204070412334</v>
      </c>
      <c r="M117" s="167">
        <f>IF(AND(H117="NA",I117="NA",K117="NA"),"NA",IF(H117="NA",'Res-Rec Equations'!$B$15*'Res-Rec Equations'!$B$16/K117,IF(K117="NA",'Res-Rec Equations'!$B$15*'Res-Rec Equations'!$B$16/(H117+I117),'Res-Rec Equations'!$B$15*'Res-Rec Equations'!$B$16/(H117+I117+K117))))</f>
        <v>55.53311672643941</v>
      </c>
      <c r="N117" s="167">
        <f t="shared" si="122"/>
        <v>55.53311672643941</v>
      </c>
      <c r="O117" s="371">
        <f>IF('Chemical Info'!L118="NA","NA",IF('Chemical Info'!E118="Yes",(('Res-Rec Equations'!$B$76*'Chemical Info'!AD118*'Res-Rec Equations'!$B$78*'Res-Rec Equations'!$B$79*'Res-Rec Equations'!$B$81)/('Res-Rec Equations'!$B$84*'Res-Rec Equations'!$B$85))/'Chemical Info'!L118,(('Res-Rec Equations'!$B$76*'Chemical Info'!AD118*'Res-Rec Equations'!$B$78*'Res-Rec Equations'!$B$79*'Res-Rec Equations'!$B$80)/('Res-Rec Equations'!$B$84*'Res-Rec Equations'!$B$85))/'Chemical Info'!L118))</f>
        <v>2.8538812785388126E-4</v>
      </c>
      <c r="P117" s="166">
        <f>IF('Chemical Info'!L118="NA","NA", IF('Chemical Info'!E118="Yes",0,((('Res-Rec Equations'!$B$87*'Res-Rec Equations'!$B$88*'Res-Rec Equations'!$B$78*'Res-Rec Equations'!$B$82*'Res-Rec Equations'!$B$79*'Chemical Info'!AB118)/('Res-Rec Equations'!$B$84*'Res-Rec Equations'!$B$85))/('Chemical Info'!L118*'Chemical Info'!AF118))))</f>
        <v>0</v>
      </c>
      <c r="Q117" s="166">
        <f>IF('Chemical Info'!N118="NA","NA",IF('Res-Rec Calculations'!E117="NA",(('Res-Rec Equations'!$B$83*'Res-Rec Equations'!$B$79*'Res-Rec Calculations'!C117)/('Res-Rec Equations'!$B$85))/('Chemical Info'!N118),IF('Chemical Info'!E118="Yes",(('Res-Rec Equations'!$B$83*'Res-Rec Equations'!$B$79*'Res-Rec Calculations'!E117)/('Res-Rec Equations'!$B$85))/('Chemical Info'!N118),(('Res-Rec Equations'!$B$83*'Res-Rec Equations'!$B$79*('Res-Rec Calculations'!C117+'Res-Rec Calculations'!E117))/('Res-Rec Equations'!$B$85))/('Chemical Info'!N118))))</f>
        <v>7.2380469214322054E-4</v>
      </c>
      <c r="R117" s="166">
        <f>IF('Chemical Info'!N118="NA","NA",IF('Res-Rec Calculations'!F117="NA",(('Res-Rec Equations'!$B$83*'Res-Rec Equations'!$B$79*'Res-Rec Calculations'!C117)/('Res-Rec Equations'!$B$85))/('Chemical Info'!N118),IF('Chemical Info'!E118="Yes",(('Res-Rec Equations'!$B$83*'Res-Rec Equations'!$B$79*'Res-Rec Calculations'!F117)/('Res-Rec Equations'!$B$85))/('Chemical Info'!N118),(('Res-Rec Equations'!$B$83*'Res-Rec Equations'!$B$79*('Res-Rec Calculations'!C117+'Res-Rec Calculations'!F117))/('Res-Rec Equations'!$B$85))/('Chemical Info'!N118))))</f>
        <v>7.0678550958922209E-4</v>
      </c>
      <c r="S117" s="167">
        <f>IF(AND(O117="NA",P117="NA",Q117="NA"),"NA",IF(O117="NA",'Res-Rec Equations'!$B$75/Q117,IF(Q117="NA",'Res-Rec Equations'!$B$75/(O117+P117),'Res-Rec Equations'!$B$75/(O117+P117+Q117))))</f>
        <v>198.17818363053195</v>
      </c>
      <c r="T117" s="167">
        <f>IF(AND(O117="NA",P117="NA",R117="NA"),"NA",IF(O117="NA",'Res-Rec Equations'!$B$75/R117,IF(R117="NA",'Res-Rec Equations'!$B$75/(O117+P117),'Res-Rec Equations'!$B$75/(O117+P117+R117))))</f>
        <v>201.57761953382791</v>
      </c>
      <c r="U117" s="168">
        <f t="shared" si="123"/>
        <v>201.57761953382791</v>
      </c>
      <c r="V117" s="167" t="str">
        <f>IF('Chemical Info'!P118="NA","NA",(('Res-Rec Equations'!$B$185*'Res-Rec Equations'!$B$186)/('Res-Rec Equations'!$B$187*'Res-Rec Equations'!$B$188*(1/'Chemical Info'!P118))))</f>
        <v>NA</v>
      </c>
      <c r="W117" s="379" t="str">
        <f t="shared" si="124"/>
        <v>NA</v>
      </c>
      <c r="X117" s="372">
        <f t="shared" si="125"/>
        <v>55.53311672643941</v>
      </c>
      <c r="Y117" s="62">
        <f t="shared" si="126"/>
        <v>56</v>
      </c>
      <c r="Z117" s="100" t="str">
        <f t="shared" si="127"/>
        <v>Cancer</v>
      </c>
      <c r="AA117" s="373"/>
    </row>
    <row r="118" spans="1:28">
      <c r="A118" s="373" t="s">
        <v>405</v>
      </c>
      <c r="B118" s="566" t="s">
        <v>200</v>
      </c>
      <c r="C118" s="367">
        <f>1/(('Res-Rec Equations'!$B$152*3600)/((0.036*(1-'Res-Rec Equations'!$B$153))*('Res-Rec Equations'!$B$154/'Res-Rec Equations'!$B$155)^3*'Res-Rec Equations'!$B$156))</f>
        <v>7.3567680901159717E-10</v>
      </c>
      <c r="D118" s="368">
        <f>(('Res-Rec Equations'!$B$132^(10/3)*'Chemical Info'!$AH119*'Chemical Info'!$AN119*41+'Res-Rec Equations'!$B$135^(10/3)*'Chemical Info'!$AJ119)/'Res-Rec Equations'!$B$137^2)/('Res-Rec Equations'!$B$139*'Chemical Info'!$AL119*'Res-Rec Equations'!$B$142+'Res-Rec Equations'!$B$135+'Res-Rec Equations'!$B$132*'Chemical Info'!$AN119*41)</f>
        <v>1.8305969179214777E-9</v>
      </c>
      <c r="E118" s="368">
        <f>IF(D118=0,"NA",1/(('Res-Rec Equations'!$B$103*(3.14*'Res-Rec Calculations'!$D118*'Res-Rec Equations'!$B$105)^(1/2)*0.0001)/(2*'Res-Rec Equations'!$B$106*'Res-Rec Calculations'!$D118)))</f>
        <v>2.51145237656738E-7</v>
      </c>
      <c r="F118" s="368">
        <f>IF(D118=0,"NA",(1/('Res-Rec Equations'!$B$117*('Res-Rec Equations'!$B$118*(31500000))/('Res-Rec Equations'!$B$119*'Res-Rec Equations'!$B$120*1000000))))</f>
        <v>6.1914410640015851E-5</v>
      </c>
      <c r="G118" s="167" t="str">
        <f>IF('Chemical Info'!E119="Yes",('Chemical Info'!AP119/'Res-Rec Equations'!$B$168)*((('Chemical Info'!AL119*'Res-Rec Equations'!$B$170)*'Res-Rec Equations'!$B$168)+'Res-Rec Equations'!$B$171+('Chemical Info'!AN119*41)*'Res-Rec Equations'!$B$173),"NA")</f>
        <v>NA</v>
      </c>
      <c r="H118" s="112">
        <f>IF('Chemical Info'!H119="NA","NA",IF(AND('Chemical Info'!E119="Yes",'Chemical Info'!D119="Yes"),'Chemical Info'!H119*'Chemical Info'!AD119*'Res-Rec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Info'!E119="Yes",'Chemical Info'!D119=""),'Chemical Info'!H119*'Chemical Info'!AD119*'Res-Rec Equations'!$B$20*'Res-Rec Equations'!$B$23*((('Res-Rec Equations'!$B$26*'Res-Rec Equations'!$B$29)/'Res-Rec Equations'!$B$32)+(('Res-Rec Equations'!$B$27*'Res-Rec Equations'!$B$30)/'Res-Rec Equations'!$B$33)+(('Res-Rec Equations'!$B$28*'Res-Rec Equations'!$B$31)/'Res-Rec Equations'!$B$34)),IF(AND('Chemical Info'!E119="No",'Chemical Info'!D119="Yes"),'Chemical Info'!H119*'Chemical Info'!AD119*'Res-Rec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Info'!E119="No",'Chemical Info'!D119=""),'Chemical Info'!H119*'Chemical Info'!AD119*'Res-Rec Equations'!$B$19*'Res-Rec Equations'!$B$23*((('Res-Rec Equations'!$B$26*'Res-Rec Equations'!$B$29)/'Res-Rec Equations'!$B$32)+(('Res-Rec Equations'!$B$27*'Res-Rec Equations'!$B$30)/'Res-Rec Equations'!$B$33)+(('Res-Rec Equations'!$B$28*'Res-Rec Equations'!$B$31)/'Res-Rec Equations'!$B$34)))))))</f>
        <v>2.0291287339971549E-2</v>
      </c>
      <c r="I118" s="166">
        <f>IF('Chemical Info'!H119="NA","NA",IF('Chemical Info'!E119="Yes",0,IF('Chemical Info'!D119="Yes",'Chemical Info'!H119/'Chemical Info'!AF119*('Res-Rec Equations'!$B$21*'Chemical Info'!AB119*'Res-Rec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Info'!H119/'Chemical Info'!AF119*('Res-Rec Equations'!$B$21*'Chemical Info'!AB119*'Res-Rec Equations'!$B$23)*((('Res-Rec Equations'!$B$26*'Res-Rec Equations'!$B$37*'Res-Rec Equations'!$B$40)/'Res-Rec Equations'!$B$32)+(('Res-Rec Equations'!$B$27*'Res-Rec Equations'!$B$38*'Res-Rec Equations'!$B$41)/'Res-Rec Equations'!$B$33)+(('Res-Rec Equations'!$B$28*'Res-Rec Equations'!$B$39*'Res-Rec Equations'!$B$42)/'Res-Rec Equations'!$B$34)))))</f>
        <v>4.9491543296586058E-3</v>
      </c>
      <c r="J118" s="369">
        <f>IF('Chemical Info'!J119="NA","NA",IF(AND(E118="NA",'Chemical Info'!D119="Yes"),'Res-Rec Equations'!$B$22*1000*(('Res-Rec Equations'!$B$26*'Chemical Info'!J119*'Res-Rec Equations'!$B$59)+('Res-Rec Equations'!$B$27*'Chemical Info'!J119*'Res-Rec Equations'!$B$60)+('Res-Rec Equations'!$B$28*'Chemical Info'!J119*'Res-Rec Equations'!$B$61))*'Res-Rec Calculations'!C118,IF(AND(E118="NA",'Chemical Info'!D119=""),'Res-Rec Equations'!$B$22*1000*'Res-Rec Equations'!$B$25*'Chemical Info'!J119*'Res-Rec Calculations'!C118,IF(AND('Chemical Info'!E119="Yes",'Chemical Info'!D119="Yes"),'Res-Rec Equations'!$B$22*1000*(('Res-Rec Equations'!$B$26*'Chemical Info'!J119*'Res-Rec Equations'!$B$59)+('Res-Rec Equations'!$B$27*'Chemical Info'!J119*'Res-Rec Equations'!$B$60)+('Res-Rec Equations'!$B$28*'Chemical Info'!J119*'Res-Rec Equations'!$B$61))*'Res-Rec Calculations'!E118,IF(AND('Chemical Info'!E119="Yes",'Chemical Info'!D119=""),'Res-Rec Equations'!$B$22*1000*'Res-Rec Equations'!$B$25*'Chemical Info'!J119*'Res-Rec Calculations'!E118,IF('Chemical Info'!D119="Yes",'Res-Rec Equations'!$B$22*1000*(('Res-Rec Equations'!$B$26*'Chemical Info'!J119*'Res-Rec Equations'!$B$59)+('Res-Rec Equations'!$B$27*'Chemical Info'!J119*'Res-Rec Equations'!$B$60)+('Res-Rec Equations'!$B$28*'Chemical Info'!J119*'Res-Rec Equations'!$B$61))*('Res-Rec Calculations'!C118+'Res-Rec Calculations'!E118),IF('Chemical Info'!D119="",'Res-Rec Equations'!$B$22*1000*'Res-Rec Equations'!$B$25*'Chemical Info'!J119*('Res-Rec Calculations'!C118+'Res-Rec Calculations'!E118))))))))</f>
        <v>5.5665682096930652E-4</v>
      </c>
      <c r="K118" s="370">
        <f>IF('Chemical Info'!J119="NA","NA",IF(AND(F118="NA",'Chemical Info'!D119="Yes"),'Res-Rec Equations'!$B$22*1000*(('Res-Rec Equations'!$B$26*'Chemical Info'!J119*'Res-Rec Equations'!$B$59)+('Res-Rec Equations'!$B$27*'Chemical Info'!J119*'Res-Rec Equations'!$B$60)+('Res-Rec Equations'!$B$28*'Chemical Info'!J119*'Res-Rec Equations'!$B$61))*'Res-Rec Calculations'!C118,IF(AND(F118="NA",'Chemical Info'!D119=""),'Res-Rec Equations'!$B$22*1000*'Res-Rec Equations'!$B$25*'Chemical Info'!J119*'Res-Rec Calculations'!C118,IF(AND('Chemical Info'!F119="Yes",'Chemical Info'!D119="Yes"),'Res-Rec Equations'!$B$22*1000*(('Res-Rec Equations'!$B$26*'Chemical Info'!J119*'Res-Rec Equations'!$B$59)+('Res-Rec Equations'!$B$27*'Chemical Info'!J119*'Res-Rec Equations'!$B$60)+('Res-Rec Equations'!$B$28*'Chemical Info'!J119*'Res-Rec Equations'!$B$61))*'Res-Rec Calculations'!F118,IF(AND('Chemical Info'!F119="Yes",'Chemical Info'!D119=""),'Res-Rec Equations'!$B$22*1000*'Res-Rec Equations'!$B$25*'Chemical Info'!J119*'Res-Rec Calculations'!F118,IF('Chemical Info'!D119="Yes",'Res-Rec Equations'!$B$22*1000*(('Res-Rec Equations'!$B$26*'Chemical Info'!J119*'Res-Rec Equations'!$B$59)+('Res-Rec Equations'!$B$27*'Chemical Info'!J119*'Res-Rec Equations'!$B$60)+('Res-Rec Equations'!$B$28*'Chemical Info'!J119*'Res-Rec Equations'!$B$61))*('Res-Rec Calculations'!C118+'Res-Rec Calculations'!F118),IF('Chemical Info'!D119="",'Res-Rec Equations'!$B$22*1000*'Res-Rec Equations'!$B$25*'Chemical Info'!J119*('Res-Rec Calculations'!C118+'Res-Rec Calculations'!F118))))))))</f>
        <v>0.13683247336018295</v>
      </c>
      <c r="L118" s="167">
        <f>IF(AND(H118="NA",I118="NA",J118="NA"),"NA",IF(H118="NA",'Res-Rec Equations'!$B$15*'Res-Rec Equations'!$B$16/J118,IF(J118="NA",'Res-Rec Equations'!$B$15*'Res-Rec Equations'!$B$16/(H118+I118),'Res-Rec Equations'!$B$15*'Res-Rec Equations'!$B$16/(H118+I118+J118))))</f>
        <v>9.9042146190628753</v>
      </c>
      <c r="M118" s="167">
        <f>IF(AND(H118="NA",I118="NA",K118="NA"),"NA",IF(H118="NA",'Res-Rec Equations'!$B$15*'Res-Rec Equations'!$B$16/K118,IF(K118="NA",'Res-Rec Equations'!$B$15*'Res-Rec Equations'!$B$16/(H118+I118),'Res-Rec Equations'!$B$15*'Res-Rec Equations'!$B$16/(H118+I118+K118))))</f>
        <v>1.5764509446442738</v>
      </c>
      <c r="N118" s="167">
        <f t="shared" si="122"/>
        <v>9.9042146190628753</v>
      </c>
      <c r="O118" s="371" t="str">
        <f>IF('Chemical Info'!L119="NA","NA",IF('Chemical Info'!E119="Yes",(('Res-Rec Equations'!$B$76*'Chemical Info'!AD119*'Res-Rec Equations'!$B$78*'Res-Rec Equations'!$B$79*'Res-Rec Equations'!$B$81)/('Res-Rec Equations'!$B$84*'Res-Rec Equations'!$B$85))/'Chemical Info'!L119,(('Res-Rec Equations'!$B$76*'Chemical Info'!AD119*'Res-Rec Equations'!$B$78*'Res-Rec Equations'!$B$79*'Res-Rec Equations'!$B$80)/('Res-Rec Equations'!$B$84*'Res-Rec Equations'!$B$85))/'Chemical Info'!L119))</f>
        <v>NA</v>
      </c>
      <c r="P118" s="166" t="str">
        <f>IF('Chemical Info'!L119="NA","NA", IF('Chemical Info'!E119="Yes",0,((('Res-Rec Equations'!$B$87*'Res-Rec Equations'!$B$88*'Res-Rec Equations'!$B$78*'Res-Rec Equations'!$B$82*'Res-Rec Equations'!$B$79*'Chemical Info'!AB119)/('Res-Rec Equations'!$B$84*'Res-Rec Equations'!$B$85))/('Chemical Info'!L119*'Chemical Info'!AF119))))</f>
        <v>NA</v>
      </c>
      <c r="Q118" s="166" t="str">
        <f>IF('Chemical Info'!N119="NA","NA",IF('Res-Rec Calculations'!E118="NA",(('Res-Rec Equations'!$B$83*'Res-Rec Equations'!$B$79*'Res-Rec Calculations'!C118)/('Res-Rec Equations'!$B$85))/('Chemical Info'!N119),IF('Chemical Info'!E119="Yes",(('Res-Rec Equations'!$B$83*'Res-Rec Equations'!$B$79*'Res-Rec Calculations'!E118)/('Res-Rec Equations'!$B$85))/('Chemical Info'!N119),(('Res-Rec Equations'!$B$83*'Res-Rec Equations'!$B$79*('Res-Rec Calculations'!C118+'Res-Rec Calculations'!E118))/('Res-Rec Equations'!$B$85))/('Chemical Info'!N119))))</f>
        <v>NA</v>
      </c>
      <c r="R118" s="166" t="str">
        <f>IF('Chemical Info'!N119="NA","NA",IF('Res-Rec Calculations'!F118="NA",(('Res-Rec Equations'!$B$83*'Res-Rec Equations'!$B$79*'Res-Rec Calculations'!C118)/('Res-Rec Equations'!$B$85))/('Chemical Info'!N119),IF('Chemical Info'!E119="Yes",(('Res-Rec Equations'!$B$83*'Res-Rec Equations'!$B$79*'Res-Rec Calculations'!F118)/('Res-Rec Equations'!$B$85))/('Chemical Info'!N119),(('Res-Rec Equations'!$B$83*'Res-Rec Equations'!$B$79*('Res-Rec Calculations'!C118+'Res-Rec Calculations'!F118))/('Res-Rec Equations'!$B$85))/('Chemical Info'!N119))))</f>
        <v>NA</v>
      </c>
      <c r="S118" s="167" t="str">
        <f>IF(AND(O118="NA",P118="NA",Q118="NA"),"NA",IF(O118="NA",'Res-Rec Equations'!$B$75/Q118,IF(Q118="NA",'Res-Rec Equations'!$B$75/(O118+P118),'Res-Rec Equations'!$B$75/(O118+P118+Q118))))</f>
        <v>NA</v>
      </c>
      <c r="T118" s="167" t="str">
        <f>IF(AND(O118="NA",P118="NA",R118="NA"),"NA",IF(O118="NA",'Res-Rec Equations'!$B$75/R118,IF(R118="NA",'Res-Rec Equations'!$B$75/(O118+P118),'Res-Rec Equations'!$B$75/(O118+P118+R118))))</f>
        <v>NA</v>
      </c>
      <c r="U118" s="168" t="str">
        <f t="shared" si="123"/>
        <v>NA</v>
      </c>
      <c r="V118" s="167" t="str">
        <f>IF('Chemical Info'!P119="NA","NA",(('Res-Rec Equations'!$B$185*'Res-Rec Equations'!$B$186)/('Res-Rec Equations'!$B$187*'Res-Rec Equations'!$B$188*(1/'Chemical Info'!P119))))</f>
        <v>NA</v>
      </c>
      <c r="W118" s="379" t="str">
        <f t="shared" si="124"/>
        <v>NA</v>
      </c>
      <c r="X118" s="372">
        <f t="shared" si="125"/>
        <v>9.9042146190628753</v>
      </c>
      <c r="Y118" s="62">
        <f t="shared" si="126"/>
        <v>9.9</v>
      </c>
      <c r="Z118" s="100" t="str">
        <f t="shared" si="127"/>
        <v>Cancer</v>
      </c>
      <c r="AA118" s="373"/>
    </row>
    <row r="119" spans="1:28">
      <c r="A119" s="373" t="s">
        <v>1091</v>
      </c>
      <c r="B119" s="566" t="s">
        <v>201</v>
      </c>
      <c r="C119" s="367">
        <f>1/(('Res-Rec Equations'!$B$152*3600)/((0.036*(1-'Res-Rec Equations'!$B$153))*('Res-Rec Equations'!$B$154/'Res-Rec Equations'!$B$155)^3*'Res-Rec Equations'!$B$156))</f>
        <v>7.3567680901159717E-10</v>
      </c>
      <c r="D119" s="368">
        <f>(('Res-Rec Equations'!$B$132^(10/3)*'Chemical Info'!$AH120*'Chemical Info'!$AN120*41+'Res-Rec Equations'!$B$135^(10/3)*'Chemical Info'!$AJ120)/'Res-Rec Equations'!$B$137^2)/('Res-Rec Equations'!$B$139*'Chemical Info'!$AL120*'Res-Rec Equations'!$B$142+'Res-Rec Equations'!$B$135+'Res-Rec Equations'!$B$132*'Chemical Info'!$AN120*41)</f>
        <v>1.6043866635433461E-7</v>
      </c>
      <c r="E119" s="368">
        <f>IF(D119=0,"NA",1/(('Res-Rec Equations'!$B$103*(3.14*'Res-Rec Calculations'!$D119*'Res-Rec Equations'!$B$105)^(1/2)*0.0001)/(2*'Res-Rec Equations'!$B$106*'Res-Rec Calculations'!$D119)))</f>
        <v>2.3511649857748911E-6</v>
      </c>
      <c r="F119" s="368">
        <f>IF(D119=0,"NA",(1/('Res-Rec Equations'!$B$117*('Res-Rec Equations'!$B$118*(31500000))/('Res-Rec Equations'!$B$119*'Res-Rec Equations'!$B$120*1000000))))</f>
        <v>6.1914410640015851E-5</v>
      </c>
      <c r="G119" s="167" t="str">
        <f>IF('Chemical Info'!E120="Yes",('Chemical Info'!AP120/'Res-Rec Equations'!$B$168)*((('Chemical Info'!AL120*'Res-Rec Equations'!$B$170)*'Res-Rec Equations'!$B$168)+'Res-Rec Equations'!$B$171+('Chemical Info'!AN120*41)*'Res-Rec Equations'!$B$173),"NA")</f>
        <v>NA</v>
      </c>
      <c r="H119" s="112" t="str">
        <f>IF('Chemical Info'!H120="NA","NA",IF(AND('Chemical Info'!E120="Yes",'Chemical Info'!D120="Yes"),'Chemical Info'!H120*'Chemical Info'!AD120*'Res-Rec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Info'!E120="Yes",'Chemical Info'!D120=""),'Chemical Info'!H120*'Chemical Info'!AD120*'Res-Rec Equations'!$B$20*'Res-Rec Equations'!$B$23*((('Res-Rec Equations'!$B$26*'Res-Rec Equations'!$B$29)/'Res-Rec Equations'!$B$32)+(('Res-Rec Equations'!$B$27*'Res-Rec Equations'!$B$30)/'Res-Rec Equations'!$B$33)+(('Res-Rec Equations'!$B$28*'Res-Rec Equations'!$B$31)/'Res-Rec Equations'!$B$34)),IF(AND('Chemical Info'!E120="No",'Chemical Info'!D120="Yes"),'Chemical Info'!H120*'Chemical Info'!AD120*'Res-Rec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Info'!E120="No",'Chemical Info'!D120=""),'Chemical Info'!H120*'Chemical Info'!AD120*'Res-Rec Equations'!$B$19*'Res-Rec Equations'!$B$23*((('Res-Rec Equations'!$B$26*'Res-Rec Equations'!$B$29)/'Res-Rec Equations'!$B$32)+(('Res-Rec Equations'!$B$27*'Res-Rec Equations'!$B$30)/'Res-Rec Equations'!$B$33)+(('Res-Rec Equations'!$B$28*'Res-Rec Equations'!$B$31)/'Res-Rec Equations'!$B$34)))))))</f>
        <v>NA</v>
      </c>
      <c r="I119" s="166" t="str">
        <f>IF('Chemical Info'!H120="NA","NA",IF('Chemical Info'!E120="Yes",0,IF('Chemical Info'!D120="Yes",'Chemical Info'!H120/'Chemical Info'!AF120*('Res-Rec Equations'!$B$21*'Chemical Info'!AB120*'Res-Rec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Info'!H120/'Chemical Info'!AF120*('Res-Rec Equations'!$B$21*'Chemical Info'!AB120*'Res-Rec Equations'!$B$23)*((('Res-Rec Equations'!$B$26*'Res-Rec Equations'!$B$37*'Res-Rec Equations'!$B$40)/'Res-Rec Equations'!$B$32)+(('Res-Rec Equations'!$B$27*'Res-Rec Equations'!$B$38*'Res-Rec Equations'!$B$41)/'Res-Rec Equations'!$B$33)+(('Res-Rec Equations'!$B$28*'Res-Rec Equations'!$B$39*'Res-Rec Equations'!$B$42)/'Res-Rec Equations'!$B$34)))))</f>
        <v>NA</v>
      </c>
      <c r="J119" s="369" t="str">
        <f>IF('Chemical Info'!J120="NA","NA",IF(AND(E119="NA",'Chemical Info'!D120="Yes"),'Res-Rec Equations'!$B$22*1000*(('Res-Rec Equations'!$B$26*'Chemical Info'!J120*'Res-Rec Equations'!$B$59)+('Res-Rec Equations'!$B$27*'Chemical Info'!J120*'Res-Rec Equations'!$B$60)+('Res-Rec Equations'!$B$28*'Chemical Info'!J120*'Res-Rec Equations'!$B$61))*'Res-Rec Calculations'!C119,IF(AND(E119="NA",'Chemical Info'!D120=""),'Res-Rec Equations'!$B$22*1000*'Res-Rec Equations'!$B$25*'Chemical Info'!J120*'Res-Rec Calculations'!C119,IF(AND('Chemical Info'!E120="Yes",'Chemical Info'!D120="Yes"),'Res-Rec Equations'!$B$22*1000*(('Res-Rec Equations'!$B$26*'Chemical Info'!J120*'Res-Rec Equations'!$B$59)+('Res-Rec Equations'!$B$27*'Chemical Info'!J120*'Res-Rec Equations'!$B$60)+('Res-Rec Equations'!$B$28*'Chemical Info'!J120*'Res-Rec Equations'!$B$61))*'Res-Rec Calculations'!E119,IF(AND('Chemical Info'!E120="Yes",'Chemical Info'!D120=""),'Res-Rec Equations'!$B$22*1000*'Res-Rec Equations'!$B$25*'Chemical Info'!J120*'Res-Rec Calculations'!E119,IF('Chemical Info'!D120="Yes",'Res-Rec Equations'!$B$22*1000*(('Res-Rec Equations'!$B$26*'Chemical Info'!J120*'Res-Rec Equations'!$B$59)+('Res-Rec Equations'!$B$27*'Chemical Info'!J120*'Res-Rec Equations'!$B$60)+('Res-Rec Equations'!$B$28*'Chemical Info'!J120*'Res-Rec Equations'!$B$61))*('Res-Rec Calculations'!C119+'Res-Rec Calculations'!E119),IF('Chemical Info'!D120="",'Res-Rec Equations'!$B$22*1000*'Res-Rec Equations'!$B$25*'Chemical Info'!J120*('Res-Rec Calculations'!C119+'Res-Rec Calculations'!E119))))))))</f>
        <v>NA</v>
      </c>
      <c r="K119" s="370" t="str">
        <f>IF('Chemical Info'!J120="NA","NA",IF(AND(F119="NA",'Chemical Info'!D120="Yes"),'Res-Rec Equations'!$B$22*1000*(('Res-Rec Equations'!$B$26*'Chemical Info'!J120*'Res-Rec Equations'!$B$59)+('Res-Rec Equations'!$B$27*'Chemical Info'!J120*'Res-Rec Equations'!$B$60)+('Res-Rec Equations'!$B$28*'Chemical Info'!J120*'Res-Rec Equations'!$B$61))*'Res-Rec Calculations'!C119,IF(AND(F119="NA",'Chemical Info'!D120=""),'Res-Rec Equations'!$B$22*1000*'Res-Rec Equations'!$B$25*'Chemical Info'!J120*'Res-Rec Calculations'!C119,IF(AND('Chemical Info'!F120="Yes",'Chemical Info'!D120="Yes"),'Res-Rec Equations'!$B$22*1000*(('Res-Rec Equations'!$B$26*'Chemical Info'!J120*'Res-Rec Equations'!$B$59)+('Res-Rec Equations'!$B$27*'Chemical Info'!J120*'Res-Rec Equations'!$B$60)+('Res-Rec Equations'!$B$28*'Chemical Info'!J120*'Res-Rec Equations'!$B$61))*'Res-Rec Calculations'!F119,IF(AND('Chemical Info'!F120="Yes",'Chemical Info'!D120=""),'Res-Rec Equations'!$B$22*1000*'Res-Rec Equations'!$B$25*'Chemical Info'!J120*'Res-Rec Calculations'!F119,IF('Chemical Info'!D120="Yes",'Res-Rec Equations'!$B$22*1000*(('Res-Rec Equations'!$B$26*'Chemical Info'!J120*'Res-Rec Equations'!$B$59)+('Res-Rec Equations'!$B$27*'Chemical Info'!J120*'Res-Rec Equations'!$B$60)+('Res-Rec Equations'!$B$28*'Chemical Info'!J120*'Res-Rec Equations'!$B$61))*('Res-Rec Calculations'!C119+'Res-Rec Calculations'!F119),IF('Chemical Info'!D120="",'Res-Rec Equations'!$B$22*1000*'Res-Rec Equations'!$B$25*'Chemical Info'!J120*('Res-Rec Calculations'!C119+'Res-Rec Calculations'!F119))))))))</f>
        <v>NA</v>
      </c>
      <c r="L119" s="167" t="str">
        <f>IF(AND(H119="NA",I119="NA",J119="NA"),"NA",IF(H119="NA",'Res-Rec Equations'!$B$15*'Res-Rec Equations'!$B$16/J119,IF(J119="NA",'Res-Rec Equations'!$B$15*'Res-Rec Equations'!$B$16/(H119+I119),'Res-Rec Equations'!$B$15*'Res-Rec Equations'!$B$16/(H119+I119+J119))))</f>
        <v>NA</v>
      </c>
      <c r="M119" s="167" t="str">
        <f>IF(AND(H119="NA",I119="NA",K119="NA"),"NA",IF(H119="NA",'Res-Rec Equations'!$B$15*'Res-Rec Equations'!$B$16/K119,IF(K119="NA",'Res-Rec Equations'!$B$15*'Res-Rec Equations'!$B$16/(H119+I119),'Res-Rec Equations'!$B$15*'Res-Rec Equations'!$B$16/(H119+I119+K119))))</f>
        <v>NA</v>
      </c>
      <c r="N119" s="167" t="str">
        <f t="shared" si="122"/>
        <v>NA</v>
      </c>
      <c r="O119" s="371">
        <f>IF('Chemical Info'!L120="NA","NA",IF('Chemical Info'!E120="Yes",(('Res-Rec Equations'!$B$76*'Chemical Info'!AD120*'Res-Rec Equations'!$B$78*'Res-Rec Equations'!$B$79*'Res-Rec Equations'!$B$81)/('Res-Rec Equations'!$B$84*'Res-Rec Equations'!$B$85))/'Chemical Info'!L120,(('Res-Rec Equations'!$B$76*'Chemical Info'!AD120*'Res-Rec Equations'!$B$78*'Res-Rec Equations'!$B$79*'Res-Rec Equations'!$B$80)/('Res-Rec Equations'!$B$84*'Res-Rec Equations'!$B$85))/'Chemical Info'!L120))</f>
        <v>4.2617960426179604E-3</v>
      </c>
      <c r="P119" s="166">
        <f>IF('Chemical Info'!L120="NA","NA", IF('Chemical Info'!E120="Yes",0,((('Res-Rec Equations'!$B$87*'Res-Rec Equations'!$B$88*'Res-Rec Equations'!$B$78*'Res-Rec Equations'!$B$82*'Res-Rec Equations'!$B$79*'Chemical Info'!AB120)/('Res-Rec Equations'!$B$84*'Res-Rec Equations'!$B$85))/('Chemical Info'!L120*'Chemical Info'!AF120))))</f>
        <v>7.2237442922374424E-4</v>
      </c>
      <c r="Q119" s="166" t="str">
        <f>IF('Chemical Info'!N120="NA","NA",IF('Res-Rec Calculations'!E119="NA",(('Res-Rec Equations'!$B$83*'Res-Rec Equations'!$B$79*'Res-Rec Calculations'!C119)/('Res-Rec Equations'!$B$85))/('Chemical Info'!N120),IF('Chemical Info'!E120="Yes",(('Res-Rec Equations'!$B$83*'Res-Rec Equations'!$B$79*'Res-Rec Calculations'!E119)/('Res-Rec Equations'!$B$85))/('Chemical Info'!N120),(('Res-Rec Equations'!$B$83*'Res-Rec Equations'!$B$79*('Res-Rec Calculations'!C119+'Res-Rec Calculations'!E119))/('Res-Rec Equations'!$B$85))/('Chemical Info'!N120))))</f>
        <v>NA</v>
      </c>
      <c r="R119" s="166" t="str">
        <f>IF('Chemical Info'!N120="NA","NA",IF('Res-Rec Calculations'!F119="NA",(('Res-Rec Equations'!$B$83*'Res-Rec Equations'!$B$79*'Res-Rec Calculations'!C119)/('Res-Rec Equations'!$B$85))/('Chemical Info'!N120),IF('Chemical Info'!E120="Yes",(('Res-Rec Equations'!$B$83*'Res-Rec Equations'!$B$79*'Res-Rec Calculations'!F119)/('Res-Rec Equations'!$B$85))/('Chemical Info'!N120),(('Res-Rec Equations'!$B$83*'Res-Rec Equations'!$B$79*('Res-Rec Calculations'!C119+'Res-Rec Calculations'!F119))/('Res-Rec Equations'!$B$85))/('Chemical Info'!N120))))</f>
        <v>NA</v>
      </c>
      <c r="S119" s="167">
        <f>IF(AND(O119="NA",P119="NA",Q119="NA"),"NA",IF(O119="NA",'Res-Rec Equations'!$B$75/Q119,IF(Q119="NA",'Res-Rec Equations'!$B$75/(O119+P119),'Res-Rec Equations'!$B$75/(O119+P119+Q119))))</f>
        <v>40.12703841690589</v>
      </c>
      <c r="T119" s="167">
        <f>IF(AND(O119="NA",P119="NA",R119="NA"),"NA",IF(O119="NA",'Res-Rec Equations'!$B$75/R119,IF(R119="NA",'Res-Rec Equations'!$B$75/(O119+P119),'Res-Rec Equations'!$B$75/(O119+P119+R119))))</f>
        <v>40.12703841690589</v>
      </c>
      <c r="U119" s="168">
        <f t="shared" si="123"/>
        <v>40.12703841690589</v>
      </c>
      <c r="V119" s="167" t="str">
        <f>IF('Chemical Info'!P120="NA","NA",(('Res-Rec Equations'!$B$185*'Res-Rec Equations'!$B$186)/('Res-Rec Equations'!$B$187*'Res-Rec Equations'!$B$188*(1/'Chemical Info'!P120))))</f>
        <v>NA</v>
      </c>
      <c r="W119" s="379" t="str">
        <f t="shared" si="124"/>
        <v>NA</v>
      </c>
      <c r="X119" s="372">
        <f t="shared" si="125"/>
        <v>40.12703841690589</v>
      </c>
      <c r="Y119" s="62">
        <f t="shared" si="126"/>
        <v>40</v>
      </c>
      <c r="Z119" s="100" t="str">
        <f t="shared" si="127"/>
        <v>Noncancer</v>
      </c>
      <c r="AA119" s="373"/>
    </row>
    <row r="120" spans="1:28">
      <c r="A120" s="373" t="s">
        <v>1154</v>
      </c>
      <c r="B120" s="566" t="s">
        <v>1155</v>
      </c>
      <c r="C120" s="367">
        <f>1/(('Res-Rec Equations'!$B$152*3600)/((0.036*(1-'Res-Rec Equations'!$B$153))*('Res-Rec Equations'!$B$154/'Res-Rec Equations'!$B$155)^3*'Res-Rec Equations'!$B$156))</f>
        <v>7.3567680901159717E-10</v>
      </c>
      <c r="D120" s="368">
        <f>(('Res-Rec Equations'!$B$132^(10/3)*'Chemical Info'!$AH121*'Chemical Info'!$AN121*41+'Res-Rec Equations'!$B$135^(10/3)*'Chemical Info'!$AJ121)/'Res-Rec Equations'!$B$137^2)/('Res-Rec Equations'!$B$139*'Chemical Info'!$AL121*'Res-Rec Equations'!$B$142+'Res-Rec Equations'!$B$135+'Res-Rec Equations'!$B$132*'Chemical Info'!$AN121*41)</f>
        <v>7.348554766102905E-8</v>
      </c>
      <c r="E120" s="368">
        <f>IF(D120=0,"NA",1/(('Res-Rec Equations'!$B$103*(3.14*'Res-Rec Calculations'!$D120*'Res-Rec Equations'!$B$105)^(1/2)*0.0001)/(2*'Res-Rec Equations'!$B$106*'Res-Rec Calculations'!$D120)))</f>
        <v>1.5912175182200938E-6</v>
      </c>
      <c r="F120" s="368">
        <f>IF(D120=0,"NA",(1/('Res-Rec Equations'!$B$117*('Res-Rec Equations'!$B$118*(31500000))/('Res-Rec Equations'!$B$119*'Res-Rec Equations'!$B$120*1000000))))</f>
        <v>6.1914410640015851E-5</v>
      </c>
      <c r="G120" s="167" t="str">
        <f>IF('Chemical Info'!E121="Yes",('Chemical Info'!AP121/'Res-Rec Equations'!$B$168)*((('Chemical Info'!AL121*'Res-Rec Equations'!$B$170)*'Res-Rec Equations'!$B$168)+'Res-Rec Equations'!$B$171+('Chemical Info'!AN121*41)*'Res-Rec Equations'!$B$173),"NA")</f>
        <v>NA</v>
      </c>
      <c r="H120" s="112" t="str">
        <f>IF('Chemical Info'!H121="NA","NA",IF(AND('Chemical Info'!E121="Yes",'Chemical Info'!D121="Yes"),'Chemical Info'!H121*'Chemical Info'!AD121*'Res-Rec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Info'!E121="Yes",'Chemical Info'!D121=""),'Chemical Info'!H121*'Chemical Info'!AD121*'Res-Rec Equations'!$B$20*'Res-Rec Equations'!$B$23*((('Res-Rec Equations'!$B$26*'Res-Rec Equations'!$B$29)/'Res-Rec Equations'!$B$32)+(('Res-Rec Equations'!$B$27*'Res-Rec Equations'!$B$30)/'Res-Rec Equations'!$B$33)+(('Res-Rec Equations'!$B$28*'Res-Rec Equations'!$B$31)/'Res-Rec Equations'!$B$34)),IF(AND('Chemical Info'!E121="No",'Chemical Info'!D121="Yes"),'Chemical Info'!H121*'Chemical Info'!AD121*'Res-Rec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Info'!E121="No",'Chemical Info'!D121=""),'Chemical Info'!H121*'Chemical Info'!AD121*'Res-Rec Equations'!$B$19*'Res-Rec Equations'!$B$23*((('Res-Rec Equations'!$B$26*'Res-Rec Equations'!$B$29)/'Res-Rec Equations'!$B$32)+(('Res-Rec Equations'!$B$27*'Res-Rec Equations'!$B$30)/'Res-Rec Equations'!$B$33)+(('Res-Rec Equations'!$B$28*'Res-Rec Equations'!$B$31)/'Res-Rec Equations'!$B$34)))))))</f>
        <v>NA</v>
      </c>
      <c r="I120" s="166" t="str">
        <f>IF('Chemical Info'!H121="NA","NA",IF('Chemical Info'!E121="Yes",0,IF('Chemical Info'!D121="Yes",'Chemical Info'!H121/'Chemical Info'!AF121*('Res-Rec Equations'!$B$21*'Chemical Info'!AB121*'Res-Rec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Info'!H121/'Chemical Info'!AF121*('Res-Rec Equations'!$B$21*'Chemical Info'!AB121*'Res-Rec Equations'!$B$23)*((('Res-Rec Equations'!$B$26*'Res-Rec Equations'!$B$37*'Res-Rec Equations'!$B$40)/'Res-Rec Equations'!$B$32)+(('Res-Rec Equations'!$B$27*'Res-Rec Equations'!$B$38*'Res-Rec Equations'!$B$41)/'Res-Rec Equations'!$B$33)+(('Res-Rec Equations'!$B$28*'Res-Rec Equations'!$B$39*'Res-Rec Equations'!$B$42)/'Res-Rec Equations'!$B$34)))))</f>
        <v>NA</v>
      </c>
      <c r="J120" s="369" t="str">
        <f>IF('Chemical Info'!J121="NA","NA",IF(AND(E120="NA",'Chemical Info'!D121="Yes"),'Res-Rec Equations'!$B$22*1000*(('Res-Rec Equations'!$B$26*'Chemical Info'!J121*'Res-Rec Equations'!$B$59)+('Res-Rec Equations'!$B$27*'Chemical Info'!J121*'Res-Rec Equations'!$B$60)+('Res-Rec Equations'!$B$28*'Chemical Info'!J121*'Res-Rec Equations'!$B$61))*'Res-Rec Calculations'!C120,IF(AND(E120="NA",'Chemical Info'!D121=""),'Res-Rec Equations'!$B$22*1000*'Res-Rec Equations'!$B$25*'Chemical Info'!J121*'Res-Rec Calculations'!C120,IF(AND('Chemical Info'!E121="Yes",'Chemical Info'!D121="Yes"),'Res-Rec Equations'!$B$22*1000*(('Res-Rec Equations'!$B$26*'Chemical Info'!J121*'Res-Rec Equations'!$B$59)+('Res-Rec Equations'!$B$27*'Chemical Info'!J121*'Res-Rec Equations'!$B$60)+('Res-Rec Equations'!$B$28*'Chemical Info'!J121*'Res-Rec Equations'!$B$61))*'Res-Rec Calculations'!E120,IF(AND('Chemical Info'!E121="Yes",'Chemical Info'!D121=""),'Res-Rec Equations'!$B$22*1000*'Res-Rec Equations'!$B$25*'Chemical Info'!J121*'Res-Rec Calculations'!E120,IF('Chemical Info'!D121="Yes",'Res-Rec Equations'!$B$22*1000*(('Res-Rec Equations'!$B$26*'Chemical Info'!J121*'Res-Rec Equations'!$B$59)+('Res-Rec Equations'!$B$27*'Chemical Info'!J121*'Res-Rec Equations'!$B$60)+('Res-Rec Equations'!$B$28*'Chemical Info'!J121*'Res-Rec Equations'!$B$61))*('Res-Rec Calculations'!C120+'Res-Rec Calculations'!E120),IF('Chemical Info'!D121="",'Res-Rec Equations'!$B$22*1000*'Res-Rec Equations'!$B$25*'Chemical Info'!J121*('Res-Rec Calculations'!C120+'Res-Rec Calculations'!E120))))))))</f>
        <v>NA</v>
      </c>
      <c r="K120" s="370" t="str">
        <f>IF('Chemical Info'!J121="NA","NA",IF(AND(F120="NA",'Chemical Info'!D121="Yes"),'Res-Rec Equations'!$B$22*1000*(('Res-Rec Equations'!$B$26*'Chemical Info'!J121*'Res-Rec Equations'!$B$59)+('Res-Rec Equations'!$B$27*'Chemical Info'!J121*'Res-Rec Equations'!$B$60)+('Res-Rec Equations'!$B$28*'Chemical Info'!J121*'Res-Rec Equations'!$B$61))*'Res-Rec Calculations'!C120,IF(AND(F120="NA",'Chemical Info'!D121=""),'Res-Rec Equations'!$B$22*1000*'Res-Rec Equations'!$B$25*'Chemical Info'!J121*'Res-Rec Calculations'!C120,IF(AND('Chemical Info'!F121="Yes",'Chemical Info'!D121="Yes"),'Res-Rec Equations'!$B$22*1000*(('Res-Rec Equations'!$B$26*'Chemical Info'!J121*'Res-Rec Equations'!$B$59)+('Res-Rec Equations'!$B$27*'Chemical Info'!J121*'Res-Rec Equations'!$B$60)+('Res-Rec Equations'!$B$28*'Chemical Info'!J121*'Res-Rec Equations'!$B$61))*'Res-Rec Calculations'!F120,IF(AND('Chemical Info'!F121="Yes",'Chemical Info'!D121=""),'Res-Rec Equations'!$B$22*1000*'Res-Rec Equations'!$B$25*'Chemical Info'!J121*'Res-Rec Calculations'!F120,IF('Chemical Info'!D121="Yes",'Res-Rec Equations'!$B$22*1000*(('Res-Rec Equations'!$B$26*'Chemical Info'!J121*'Res-Rec Equations'!$B$59)+('Res-Rec Equations'!$B$27*'Chemical Info'!J121*'Res-Rec Equations'!$B$60)+('Res-Rec Equations'!$B$28*'Chemical Info'!J121*'Res-Rec Equations'!$B$61))*('Res-Rec Calculations'!C120+'Res-Rec Calculations'!F120),IF('Chemical Info'!D121="",'Res-Rec Equations'!$B$22*1000*'Res-Rec Equations'!$B$25*'Chemical Info'!J121*('Res-Rec Calculations'!C120+'Res-Rec Calculations'!F120))))))))</f>
        <v>NA</v>
      </c>
      <c r="L120" s="167" t="str">
        <f>IF(AND(H120="NA",I120="NA",J120="NA"),"NA",IF(H120="NA",'Res-Rec Equations'!$B$15*'Res-Rec Equations'!$B$16/J120,IF(J120="NA",'Res-Rec Equations'!$B$15*'Res-Rec Equations'!$B$16/(H120+I120),'Res-Rec Equations'!$B$15*'Res-Rec Equations'!$B$16/(H120+I120+J120))))</f>
        <v>NA</v>
      </c>
      <c r="M120" s="167" t="str">
        <f>IF(AND(H120="NA",I120="NA",K120="NA"),"NA",IF(H120="NA",'Res-Rec Equations'!$B$15*'Res-Rec Equations'!$B$16/K120,IF(K120="NA",'Res-Rec Equations'!$B$15*'Res-Rec Equations'!$B$16/(H120+I120),'Res-Rec Equations'!$B$15*'Res-Rec Equations'!$B$16/(H120+I120+K120))))</f>
        <v>NA</v>
      </c>
      <c r="N120" s="167" t="str">
        <f t="shared" ref="N120" si="152">IF(AND(L120="NA",M120="NA"),"NA",MAX(L120,M120))</f>
        <v>NA</v>
      </c>
      <c r="O120" s="371">
        <f>IF('Chemical Info'!L121="NA","NA",IF('Chemical Info'!E121="Yes",(('Res-Rec Equations'!$B$76*'Chemical Info'!AD121*'Res-Rec Equations'!$B$78*'Res-Rec Equations'!$B$79*'Res-Rec Equations'!$B$81)/('Res-Rec Equations'!$B$84*'Res-Rec Equations'!$B$85))/'Chemical Info'!L121,(('Res-Rec Equations'!$B$76*'Chemical Info'!AD121*'Res-Rec Equations'!$B$78*'Res-Rec Equations'!$B$79*'Res-Rec Equations'!$B$80)/('Res-Rec Equations'!$B$84*'Res-Rec Equations'!$B$85))/'Chemical Info'!L121))</f>
        <v>1.5981735159817349E-5</v>
      </c>
      <c r="P120" s="166">
        <f>IF('Chemical Info'!L121="NA","NA", IF('Chemical Info'!E121="Yes",0,((('Res-Rec Equations'!$B$87*'Res-Rec Equations'!$B$88*'Res-Rec Equations'!$B$78*'Res-Rec Equations'!$B$82*'Res-Rec Equations'!$B$79*'Chemical Info'!AB121)/('Res-Rec Equations'!$B$84*'Res-Rec Equations'!$B$85))/('Chemical Info'!L121*'Chemical Info'!AF121))))</f>
        <v>2.7089041095890407E-6</v>
      </c>
      <c r="Q120" s="166" t="str">
        <f>IF('Chemical Info'!N121="NA","NA",IF('Res-Rec Calculations'!E120="NA",(('Res-Rec Equations'!$B$83*'Res-Rec Equations'!$B$79*'Res-Rec Calculations'!C120)/('Res-Rec Equations'!$B$85))/('Chemical Info'!N121),IF('Chemical Info'!E121="Yes",(('Res-Rec Equations'!$B$83*'Res-Rec Equations'!$B$79*'Res-Rec Calculations'!E120)/('Res-Rec Equations'!$B$85))/('Chemical Info'!N121),(('Res-Rec Equations'!$B$83*'Res-Rec Equations'!$B$79*('Res-Rec Calculations'!C120+'Res-Rec Calculations'!E120))/('Res-Rec Equations'!$B$85))/('Chemical Info'!N121))))</f>
        <v>NA</v>
      </c>
      <c r="R120" s="166" t="str">
        <f>IF('Chemical Info'!N121="NA","NA",IF('Res-Rec Calculations'!F120="NA",(('Res-Rec Equations'!$B$83*'Res-Rec Equations'!$B$79*'Res-Rec Calculations'!C120)/('Res-Rec Equations'!$B$85))/('Chemical Info'!N121),IF('Chemical Info'!E121="Yes",(('Res-Rec Equations'!$B$83*'Res-Rec Equations'!$B$79*'Res-Rec Calculations'!F120)/('Res-Rec Equations'!$B$85))/('Chemical Info'!N121),(('Res-Rec Equations'!$B$83*'Res-Rec Equations'!$B$79*('Res-Rec Calculations'!C120+'Res-Rec Calculations'!F120))/('Res-Rec Equations'!$B$85))/('Chemical Info'!N121))))</f>
        <v>NA</v>
      </c>
      <c r="S120" s="167">
        <f>IF(AND(O120="NA",P120="NA",Q120="NA"),"NA",IF(O120="NA",'Res-Rec Equations'!$B$75/Q120,IF(Q120="NA",'Res-Rec Equations'!$B$75/(O120+P120),'Res-Rec Equations'!$B$75/(O120+P120+Q120))))</f>
        <v>10700.543577841572</v>
      </c>
      <c r="T120" s="167">
        <f>IF(AND(O120="NA",P120="NA",R120="NA"),"NA",IF(O120="NA",'Res-Rec Equations'!$B$75/R120,IF(R120="NA",'Res-Rec Equations'!$B$75/(O120+P120),'Res-Rec Equations'!$B$75/(O120+P120+R120))))</f>
        <v>10700.543577841572</v>
      </c>
      <c r="U120" s="168">
        <f t="shared" ref="U120" si="153">IF(AND(S120="NA",T120="NA"),"NA",MAX(S120,T120))</f>
        <v>10700.543577841572</v>
      </c>
      <c r="V120" s="167" t="str">
        <f>IF('Chemical Info'!P121="NA","NA",(('Res-Rec Equations'!$B$185*'Res-Rec Equations'!$B$186)/('Res-Rec Equations'!$B$187*'Res-Rec Equations'!$B$188*(1/'Chemical Info'!P121))))</f>
        <v>NA</v>
      </c>
      <c r="W120" s="379" t="str">
        <f t="shared" ref="W120" si="154">IF(V120="NA","NA",IF(V120&gt;100000,100000,IF(ISNUMBER(ROUND(V120*1000000,2-LEN(INT(V120*1000000)))/1000000),ROUND(V120*1000000,2-LEN(INT(V120*1000000)))/1000000,"NA")))</f>
        <v>NA</v>
      </c>
      <c r="X120" s="372">
        <f t="shared" ref="X120" si="155">IF(AND(N120="NA",U120="NA",G120="NA"),"NA",MIN(N120,U120,G120))</f>
        <v>10700.543577841572</v>
      </c>
      <c r="Y120" s="62">
        <f t="shared" ref="Y120" si="156">IF(X120&gt;100000,100000,IF(ISNUMBER(ROUND(X120*1000000,2-LEN(INT(X120*1000000)))/1000000),ROUND(X120*1000000,2-LEN(INT(X120*1000000)))/1000000,"NA"))</f>
        <v>11000</v>
      </c>
      <c r="Z120" s="100" t="str">
        <f t="shared" ref="Z120" si="157">IF(Y120=100000,"Max Limit",IF(X120=G120,"Csat",IF(X120=N120,"Cancer",IF(X120=V120,"Acute",IF(X120=U120,"Noncancer","")))))</f>
        <v>Noncancer</v>
      </c>
      <c r="AA120" s="373"/>
    </row>
    <row r="121" spans="1:28">
      <c r="A121" s="373" t="s">
        <v>1133</v>
      </c>
      <c r="B121" s="566" t="s">
        <v>1134</v>
      </c>
      <c r="C121" s="367">
        <f>1/(('Res-Rec Equations'!$B$152*3600)/((0.036*(1-'Res-Rec Equations'!$B$153))*('Res-Rec Equations'!$B$154/'Res-Rec Equations'!$B$155)^3*'Res-Rec Equations'!$B$156))</f>
        <v>7.3567680901159717E-10</v>
      </c>
      <c r="D121" s="368">
        <f>(('Res-Rec Equations'!$B$132^(10/3)*'Chemical Info'!$AH122*'Chemical Info'!$AN122*41+'Res-Rec Equations'!$B$135^(10/3)*'Chemical Info'!$AJ122)/'Res-Rec Equations'!$B$137^2)/('Res-Rec Equations'!$B$139*'Chemical Info'!$AL122*'Res-Rec Equations'!$B$142+'Res-Rec Equations'!$B$135+'Res-Rec Equations'!$B$132*'Chemical Info'!$AN122*41)</f>
        <v>2.5463466739078758E-8</v>
      </c>
      <c r="E121" s="368">
        <f>IF(D121=0,"NA",1/(('Res-Rec Equations'!$B$103*(3.14*'Res-Rec Calculations'!$D121*'Res-Rec Equations'!$B$105)^(1/2)*0.0001)/(2*'Res-Rec Equations'!$B$106*'Res-Rec Calculations'!$D121)))</f>
        <v>9.3667159265565415E-7</v>
      </c>
      <c r="F121" s="368">
        <f>IF(D121=0,"NA",(1/('Res-Rec Equations'!$B$117*('Res-Rec Equations'!$B$118*(31500000))/('Res-Rec Equations'!$B$119*'Res-Rec Equations'!$B$120*1000000))))</f>
        <v>6.1914410640015851E-5</v>
      </c>
      <c r="G121" s="167" t="str">
        <f>IF('Chemical Info'!E122="Yes",('Chemical Info'!AP122/'Res-Rec Equations'!$B$168)*((('Chemical Info'!AL122*'Res-Rec Equations'!$B$170)*'Res-Rec Equations'!$B$168)+'Res-Rec Equations'!$B$171+('Chemical Info'!AN122*41)*'Res-Rec Equations'!$B$173),"NA")</f>
        <v>NA</v>
      </c>
      <c r="H121" s="112" t="str">
        <f>IF('Chemical Info'!H122="NA","NA",IF(AND('Chemical Info'!E122="Yes",'Chemical Info'!D122="Yes"),'Chemical Info'!H122*'Chemical Info'!AD122*'Res-Rec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Info'!E122="Yes",'Chemical Info'!D122=""),'Chemical Info'!H122*'Chemical Info'!AD122*'Res-Rec Equations'!$B$20*'Res-Rec Equations'!$B$23*((('Res-Rec Equations'!$B$26*'Res-Rec Equations'!$B$29)/'Res-Rec Equations'!$B$32)+(('Res-Rec Equations'!$B$27*'Res-Rec Equations'!$B$30)/'Res-Rec Equations'!$B$33)+(('Res-Rec Equations'!$B$28*'Res-Rec Equations'!$B$31)/'Res-Rec Equations'!$B$34)),IF(AND('Chemical Info'!E122="No",'Chemical Info'!D122="Yes"),'Chemical Info'!H122*'Chemical Info'!AD122*'Res-Rec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Info'!E122="No",'Chemical Info'!D122=""),'Chemical Info'!H122*'Chemical Info'!AD122*'Res-Rec Equations'!$B$19*'Res-Rec Equations'!$B$23*((('Res-Rec Equations'!$B$26*'Res-Rec Equations'!$B$29)/'Res-Rec Equations'!$B$32)+(('Res-Rec Equations'!$B$27*'Res-Rec Equations'!$B$30)/'Res-Rec Equations'!$B$33)+(('Res-Rec Equations'!$B$28*'Res-Rec Equations'!$B$31)/'Res-Rec Equations'!$B$34)))))))</f>
        <v>NA</v>
      </c>
      <c r="I121" s="166" t="str">
        <f>IF('Chemical Info'!H122="NA","NA",IF('Chemical Info'!E122="Yes",0,IF('Chemical Info'!D122="Yes",'Chemical Info'!H122/'Chemical Info'!AF122*('Res-Rec Equations'!$B$21*'Chemical Info'!AB122*'Res-Rec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Info'!H122/'Chemical Info'!AF122*('Res-Rec Equations'!$B$21*'Chemical Info'!AB122*'Res-Rec Equations'!$B$23)*((('Res-Rec Equations'!$B$26*'Res-Rec Equations'!$B$37*'Res-Rec Equations'!$B$40)/'Res-Rec Equations'!$B$32)+(('Res-Rec Equations'!$B$27*'Res-Rec Equations'!$B$38*'Res-Rec Equations'!$B$41)/'Res-Rec Equations'!$B$33)+(('Res-Rec Equations'!$B$28*'Res-Rec Equations'!$B$39*'Res-Rec Equations'!$B$42)/'Res-Rec Equations'!$B$34)))))</f>
        <v>NA</v>
      </c>
      <c r="J121" s="369" t="str">
        <f>IF('Chemical Info'!J122="NA","NA",IF(AND(E121="NA",'Chemical Info'!D122="Yes"),'Res-Rec Equations'!$B$22*1000*(('Res-Rec Equations'!$B$26*'Chemical Info'!J122*'Res-Rec Equations'!$B$59)+('Res-Rec Equations'!$B$27*'Chemical Info'!J122*'Res-Rec Equations'!$B$60)+('Res-Rec Equations'!$B$28*'Chemical Info'!J122*'Res-Rec Equations'!$B$61))*'Res-Rec Calculations'!C121,IF(AND(E121="NA",'Chemical Info'!D122=""),'Res-Rec Equations'!$B$22*1000*'Res-Rec Equations'!$B$25*'Chemical Info'!J122*'Res-Rec Calculations'!C121,IF(AND('Chemical Info'!E122="Yes",'Chemical Info'!D122="Yes"),'Res-Rec Equations'!$B$22*1000*(('Res-Rec Equations'!$B$26*'Chemical Info'!J122*'Res-Rec Equations'!$B$59)+('Res-Rec Equations'!$B$27*'Chemical Info'!J122*'Res-Rec Equations'!$B$60)+('Res-Rec Equations'!$B$28*'Chemical Info'!J122*'Res-Rec Equations'!$B$61))*'Res-Rec Calculations'!E121,IF(AND('Chemical Info'!E122="Yes",'Chemical Info'!D122=""),'Res-Rec Equations'!$B$22*1000*'Res-Rec Equations'!$B$25*'Chemical Info'!J122*'Res-Rec Calculations'!E121,IF('Chemical Info'!D122="Yes",'Res-Rec Equations'!$B$22*1000*(('Res-Rec Equations'!$B$26*'Chemical Info'!J122*'Res-Rec Equations'!$B$59)+('Res-Rec Equations'!$B$27*'Chemical Info'!J122*'Res-Rec Equations'!$B$60)+('Res-Rec Equations'!$B$28*'Chemical Info'!J122*'Res-Rec Equations'!$B$61))*('Res-Rec Calculations'!C121+'Res-Rec Calculations'!E121),IF('Chemical Info'!D122="",'Res-Rec Equations'!$B$22*1000*'Res-Rec Equations'!$B$25*'Chemical Info'!J122*('Res-Rec Calculations'!C121+'Res-Rec Calculations'!E121))))))))</f>
        <v>NA</v>
      </c>
      <c r="K121" s="370" t="str">
        <f>IF('Chemical Info'!J122="NA","NA",IF(AND(F121="NA",'Chemical Info'!D122="Yes"),'Res-Rec Equations'!$B$22*1000*(('Res-Rec Equations'!$B$26*'Chemical Info'!J122*'Res-Rec Equations'!$B$59)+('Res-Rec Equations'!$B$27*'Chemical Info'!J122*'Res-Rec Equations'!$B$60)+('Res-Rec Equations'!$B$28*'Chemical Info'!J122*'Res-Rec Equations'!$B$61))*'Res-Rec Calculations'!C121,IF(AND(F121="NA",'Chemical Info'!D122=""),'Res-Rec Equations'!$B$22*1000*'Res-Rec Equations'!$B$25*'Chemical Info'!J122*'Res-Rec Calculations'!C121,IF(AND('Chemical Info'!F122="Yes",'Chemical Info'!D122="Yes"),'Res-Rec Equations'!$B$22*1000*(('Res-Rec Equations'!$B$26*'Chemical Info'!J122*'Res-Rec Equations'!$B$59)+('Res-Rec Equations'!$B$27*'Chemical Info'!J122*'Res-Rec Equations'!$B$60)+('Res-Rec Equations'!$B$28*'Chemical Info'!J122*'Res-Rec Equations'!$B$61))*'Res-Rec Calculations'!F121,IF(AND('Chemical Info'!F122="Yes",'Chemical Info'!D122=""),'Res-Rec Equations'!$B$22*1000*'Res-Rec Equations'!$B$25*'Chemical Info'!J122*'Res-Rec Calculations'!F121,IF('Chemical Info'!D122="Yes",'Res-Rec Equations'!$B$22*1000*(('Res-Rec Equations'!$B$26*'Chemical Info'!J122*'Res-Rec Equations'!$B$59)+('Res-Rec Equations'!$B$27*'Chemical Info'!J122*'Res-Rec Equations'!$B$60)+('Res-Rec Equations'!$B$28*'Chemical Info'!J122*'Res-Rec Equations'!$B$61))*('Res-Rec Calculations'!C121+'Res-Rec Calculations'!F121),IF('Chemical Info'!D122="",'Res-Rec Equations'!$B$22*1000*'Res-Rec Equations'!$B$25*'Chemical Info'!J122*('Res-Rec Calculations'!C121+'Res-Rec Calculations'!F121))))))))</f>
        <v>NA</v>
      </c>
      <c r="L121" s="167" t="str">
        <f>IF(AND(H121="NA",I121="NA",J121="NA"),"NA",IF(H121="NA",'Res-Rec Equations'!$B$15*'Res-Rec Equations'!$B$16/J121,IF(J121="NA",'Res-Rec Equations'!$B$15*'Res-Rec Equations'!$B$16/(H121+I121),'Res-Rec Equations'!$B$15*'Res-Rec Equations'!$B$16/(H121+I121+J121))))</f>
        <v>NA</v>
      </c>
      <c r="M121" s="167" t="str">
        <f>IF(AND(H121="NA",I121="NA",K121="NA"),"NA",IF(H121="NA",'Res-Rec Equations'!$B$15*'Res-Rec Equations'!$B$16/K121,IF(K121="NA",'Res-Rec Equations'!$B$15*'Res-Rec Equations'!$B$16/(H121+I121),'Res-Rec Equations'!$B$15*'Res-Rec Equations'!$B$16/(H121+I121+K121))))</f>
        <v>NA</v>
      </c>
      <c r="N121" s="167" t="str">
        <f t="shared" ref="N121:N122" si="158">IF(AND(L121="NA",M121="NA"),"NA",MAX(L121,M121))</f>
        <v>NA</v>
      </c>
      <c r="O121" s="371">
        <f>IF('Chemical Info'!L122="NA","NA",IF('Chemical Info'!E122="Yes",(('Res-Rec Equations'!$B$76*'Chemical Info'!AD122*'Res-Rec Equations'!$B$78*'Res-Rec Equations'!$B$79*'Res-Rec Equations'!$B$81)/('Res-Rec Equations'!$B$84*'Res-Rec Equations'!$B$85))/'Chemical Info'!L122,(('Res-Rec Equations'!$B$76*'Chemical Info'!AD122*'Res-Rec Equations'!$B$78*'Res-Rec Equations'!$B$79*'Res-Rec Equations'!$B$80)/('Res-Rec Equations'!$B$84*'Res-Rec Equations'!$B$85))/'Chemical Info'!L122))</f>
        <v>0.12785388127853881</v>
      </c>
      <c r="P121" s="166">
        <f>IF('Chemical Info'!L122="NA","NA", IF('Chemical Info'!E122="Yes",0,((('Res-Rec Equations'!$B$87*'Res-Rec Equations'!$B$88*'Res-Rec Equations'!$B$78*'Res-Rec Equations'!$B$82*'Res-Rec Equations'!$B$79*'Chemical Info'!AB122)/('Res-Rec Equations'!$B$84*'Res-Rec Equations'!$B$85))/('Chemical Info'!L122*'Chemical Info'!AF122))))</f>
        <v>2.1671232876712326E-2</v>
      </c>
      <c r="Q121" s="166" t="str">
        <f>IF('Chemical Info'!N122="NA","NA",IF('Res-Rec Calculations'!E121="NA",(('Res-Rec Equations'!$B$83*'Res-Rec Equations'!$B$79*'Res-Rec Calculations'!C121)/('Res-Rec Equations'!$B$85))/('Chemical Info'!N122),IF('Chemical Info'!E122="Yes",(('Res-Rec Equations'!$B$83*'Res-Rec Equations'!$B$79*'Res-Rec Calculations'!E121)/('Res-Rec Equations'!$B$85))/('Chemical Info'!N122),(('Res-Rec Equations'!$B$83*'Res-Rec Equations'!$B$79*('Res-Rec Calculations'!C121+'Res-Rec Calculations'!E121))/('Res-Rec Equations'!$B$85))/('Chemical Info'!N122))))</f>
        <v>NA</v>
      </c>
      <c r="R121" s="166" t="str">
        <f>IF('Chemical Info'!N122="NA","NA",IF('Res-Rec Calculations'!F121="NA",(('Res-Rec Equations'!$B$83*'Res-Rec Equations'!$B$79*'Res-Rec Calculations'!C121)/('Res-Rec Equations'!$B$85))/('Chemical Info'!N122),IF('Chemical Info'!E122="Yes",(('Res-Rec Equations'!$B$83*'Res-Rec Equations'!$B$79*'Res-Rec Calculations'!F121)/('Res-Rec Equations'!$B$85))/('Chemical Info'!N122),(('Res-Rec Equations'!$B$83*'Res-Rec Equations'!$B$79*('Res-Rec Calculations'!C121+'Res-Rec Calculations'!F121))/('Res-Rec Equations'!$B$85))/('Chemical Info'!N122))))</f>
        <v>NA</v>
      </c>
      <c r="S121" s="167">
        <f>IF(AND(O121="NA",P121="NA",Q121="NA"),"NA",IF(O121="NA",'Res-Rec Equations'!$B$75/Q121,IF(Q121="NA",'Res-Rec Equations'!$B$75/(O121+P121),'Res-Rec Equations'!$B$75/(O121+P121+Q121))))</f>
        <v>1.3375679472301962</v>
      </c>
      <c r="T121" s="167">
        <f>IF(AND(O121="NA",P121="NA",R121="NA"),"NA",IF(O121="NA",'Res-Rec Equations'!$B$75/R121,IF(R121="NA",'Res-Rec Equations'!$B$75/(O121+P121),'Res-Rec Equations'!$B$75/(O121+P121+R121))))</f>
        <v>1.3375679472301962</v>
      </c>
      <c r="U121" s="168">
        <f t="shared" ref="U121:U122" si="159">IF(AND(S121="NA",T121="NA"),"NA",MAX(S121,T121))</f>
        <v>1.3375679472301962</v>
      </c>
      <c r="V121" s="167" t="str">
        <f>IF('Chemical Info'!P122="NA","NA",(('Res-Rec Equations'!$B$185*'Res-Rec Equations'!$B$186)/('Res-Rec Equations'!$B$187*'Res-Rec Equations'!$B$188*(1/'Chemical Info'!P122))))</f>
        <v>NA</v>
      </c>
      <c r="W121" s="379" t="str">
        <f t="shared" ref="W121:W122" si="160">IF(V121="NA","NA",IF(V121&gt;100000,100000,IF(ISNUMBER(ROUND(V121*1000000,2-LEN(INT(V121*1000000)))/1000000),ROUND(V121*1000000,2-LEN(INT(V121*1000000)))/1000000,"NA")))</f>
        <v>NA</v>
      </c>
      <c r="X121" s="372">
        <f t="shared" ref="X121:X122" si="161">IF(AND(N121="NA",U121="NA",G121="NA"),"NA",MIN(N121,U121,G121))</f>
        <v>1.3375679472301962</v>
      </c>
      <c r="Y121" s="62">
        <f t="shared" ref="Y121:Y122" si="162">IF(X121&gt;100000,100000,IF(ISNUMBER(ROUND(X121*1000000,2-LEN(INT(X121*1000000)))/1000000),ROUND(X121*1000000,2-LEN(INT(X121*1000000)))/1000000,"NA"))</f>
        <v>1.3</v>
      </c>
      <c r="Z121" s="100" t="str">
        <f t="shared" ref="Z121:Z122" si="163">IF(Y121=100000,"Max Limit",IF(X121=G121,"Csat",IF(X121=N121,"Cancer",IF(X121=V121,"Acute",IF(X121=U121,"Noncancer","")))))</f>
        <v>Noncancer</v>
      </c>
      <c r="AA121" s="373"/>
    </row>
    <row r="122" spans="1:28">
      <c r="A122" s="373" t="s">
        <v>1135</v>
      </c>
      <c r="B122" s="566" t="s">
        <v>1136</v>
      </c>
      <c r="C122" s="367">
        <f>1/(('Res-Rec Equations'!$B$152*3600)/((0.036*(1-'Res-Rec Equations'!$B$153))*('Res-Rec Equations'!$B$154/'Res-Rec Equations'!$B$155)^3*'Res-Rec Equations'!$B$156))</f>
        <v>7.3567680901159717E-10</v>
      </c>
      <c r="D122" s="368">
        <f>(('Res-Rec Equations'!$B$132^(10/3)*'Chemical Info'!$AH123*'Chemical Info'!$AN123*41+'Res-Rec Equations'!$B$135^(10/3)*'Chemical Info'!$AJ123)/'Res-Rec Equations'!$B$137^2)/('Res-Rec Equations'!$B$139*'Chemical Info'!$AL123*'Res-Rec Equations'!$B$142+'Res-Rec Equations'!$B$135+'Res-Rec Equations'!$B$132*'Chemical Info'!$AN123*41)</f>
        <v>4.4123174815624906E-8</v>
      </c>
      <c r="E122" s="368">
        <f>IF(D122=0,"NA",1/(('Res-Rec Equations'!$B$103*(3.14*'Res-Rec Calculations'!$D122*'Res-Rec Equations'!$B$105)^(1/2)*0.0001)/(2*'Res-Rec Equations'!$B$106*'Res-Rec Calculations'!$D122)))</f>
        <v>1.2329968321387874E-6</v>
      </c>
      <c r="F122" s="368">
        <f>IF(D122=0,"NA",(1/('Res-Rec Equations'!$B$117*('Res-Rec Equations'!$B$118*(31500000))/('Res-Rec Equations'!$B$119*'Res-Rec Equations'!$B$120*1000000))))</f>
        <v>6.1914410640015851E-5</v>
      </c>
      <c r="G122" s="167" t="str">
        <f>IF('Chemical Info'!E123="Yes",('Chemical Info'!AP123/'Res-Rec Equations'!$B$168)*((('Chemical Info'!AL123*'Res-Rec Equations'!$B$170)*'Res-Rec Equations'!$B$168)+'Res-Rec Equations'!$B$171+('Chemical Info'!AN123*41)*'Res-Rec Equations'!$B$173),"NA")</f>
        <v>NA</v>
      </c>
      <c r="H122" s="112" t="str">
        <f>IF('Chemical Info'!H123="NA","NA",IF(AND('Chemical Info'!E123="Yes",'Chemical Info'!D123="Yes"),'Chemical Info'!H123*'Chemical Info'!AD123*'Res-Rec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Info'!E123="Yes",'Chemical Info'!D123=""),'Chemical Info'!H123*'Chemical Info'!AD123*'Res-Rec Equations'!$B$20*'Res-Rec Equations'!$B$23*((('Res-Rec Equations'!$B$26*'Res-Rec Equations'!$B$29)/'Res-Rec Equations'!$B$32)+(('Res-Rec Equations'!$B$27*'Res-Rec Equations'!$B$30)/'Res-Rec Equations'!$B$33)+(('Res-Rec Equations'!$B$28*'Res-Rec Equations'!$B$31)/'Res-Rec Equations'!$B$34)),IF(AND('Chemical Info'!E123="No",'Chemical Info'!D123="Yes"),'Chemical Info'!H123*'Chemical Info'!AD123*'Res-Rec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Info'!E123="No",'Chemical Info'!D123=""),'Chemical Info'!H123*'Chemical Info'!AD123*'Res-Rec Equations'!$B$19*'Res-Rec Equations'!$B$23*((('Res-Rec Equations'!$B$26*'Res-Rec Equations'!$B$29)/'Res-Rec Equations'!$B$32)+(('Res-Rec Equations'!$B$27*'Res-Rec Equations'!$B$30)/'Res-Rec Equations'!$B$33)+(('Res-Rec Equations'!$B$28*'Res-Rec Equations'!$B$31)/'Res-Rec Equations'!$B$34)))))))</f>
        <v>NA</v>
      </c>
      <c r="I122" s="166" t="str">
        <f>IF('Chemical Info'!H123="NA","NA",IF('Chemical Info'!E123="Yes",0,IF('Chemical Info'!D123="Yes",'Chemical Info'!H123/'Chemical Info'!AF123*('Res-Rec Equations'!$B$21*'Chemical Info'!AB123*'Res-Rec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Info'!H123/'Chemical Info'!AF123*('Res-Rec Equations'!$B$21*'Chemical Info'!AB123*'Res-Rec Equations'!$B$23)*((('Res-Rec Equations'!$B$26*'Res-Rec Equations'!$B$37*'Res-Rec Equations'!$B$40)/'Res-Rec Equations'!$B$32)+(('Res-Rec Equations'!$B$27*'Res-Rec Equations'!$B$38*'Res-Rec Equations'!$B$41)/'Res-Rec Equations'!$B$33)+(('Res-Rec Equations'!$B$28*'Res-Rec Equations'!$B$39*'Res-Rec Equations'!$B$42)/'Res-Rec Equations'!$B$34)))))</f>
        <v>NA</v>
      </c>
      <c r="J122" s="369" t="str">
        <f>IF('Chemical Info'!J123="NA","NA",IF(AND(E122="NA",'Chemical Info'!D123="Yes"),'Res-Rec Equations'!$B$22*1000*(('Res-Rec Equations'!$B$26*'Chemical Info'!J123*'Res-Rec Equations'!$B$59)+('Res-Rec Equations'!$B$27*'Chemical Info'!J123*'Res-Rec Equations'!$B$60)+('Res-Rec Equations'!$B$28*'Chemical Info'!J123*'Res-Rec Equations'!$B$61))*'Res-Rec Calculations'!C122,IF(AND(E122="NA",'Chemical Info'!D123=""),'Res-Rec Equations'!$B$22*1000*'Res-Rec Equations'!$B$25*'Chemical Info'!J123*'Res-Rec Calculations'!C122,IF(AND('Chemical Info'!E123="Yes",'Chemical Info'!D123="Yes"),'Res-Rec Equations'!$B$22*1000*(('Res-Rec Equations'!$B$26*'Chemical Info'!J123*'Res-Rec Equations'!$B$59)+('Res-Rec Equations'!$B$27*'Chemical Info'!J123*'Res-Rec Equations'!$B$60)+('Res-Rec Equations'!$B$28*'Chemical Info'!J123*'Res-Rec Equations'!$B$61))*'Res-Rec Calculations'!E122,IF(AND('Chemical Info'!E123="Yes",'Chemical Info'!D123=""),'Res-Rec Equations'!$B$22*1000*'Res-Rec Equations'!$B$25*'Chemical Info'!J123*'Res-Rec Calculations'!E122,IF('Chemical Info'!D123="Yes",'Res-Rec Equations'!$B$22*1000*(('Res-Rec Equations'!$B$26*'Chemical Info'!J123*'Res-Rec Equations'!$B$59)+('Res-Rec Equations'!$B$27*'Chemical Info'!J123*'Res-Rec Equations'!$B$60)+('Res-Rec Equations'!$B$28*'Chemical Info'!J123*'Res-Rec Equations'!$B$61))*('Res-Rec Calculations'!C122+'Res-Rec Calculations'!E122),IF('Chemical Info'!D123="",'Res-Rec Equations'!$B$22*1000*'Res-Rec Equations'!$B$25*'Chemical Info'!J123*('Res-Rec Calculations'!C122+'Res-Rec Calculations'!E122))))))))</f>
        <v>NA</v>
      </c>
      <c r="K122" s="370" t="str">
        <f>IF('Chemical Info'!J123="NA","NA",IF(AND(F122="NA",'Chemical Info'!D123="Yes"),'Res-Rec Equations'!$B$22*1000*(('Res-Rec Equations'!$B$26*'Chemical Info'!J123*'Res-Rec Equations'!$B$59)+('Res-Rec Equations'!$B$27*'Chemical Info'!J123*'Res-Rec Equations'!$B$60)+('Res-Rec Equations'!$B$28*'Chemical Info'!J123*'Res-Rec Equations'!$B$61))*'Res-Rec Calculations'!C122,IF(AND(F122="NA",'Chemical Info'!D123=""),'Res-Rec Equations'!$B$22*1000*'Res-Rec Equations'!$B$25*'Chemical Info'!J123*'Res-Rec Calculations'!C122,IF(AND('Chemical Info'!F123="Yes",'Chemical Info'!D123="Yes"),'Res-Rec Equations'!$B$22*1000*(('Res-Rec Equations'!$B$26*'Chemical Info'!J123*'Res-Rec Equations'!$B$59)+('Res-Rec Equations'!$B$27*'Chemical Info'!J123*'Res-Rec Equations'!$B$60)+('Res-Rec Equations'!$B$28*'Chemical Info'!J123*'Res-Rec Equations'!$B$61))*'Res-Rec Calculations'!F122,IF(AND('Chemical Info'!F123="Yes",'Chemical Info'!D123=""),'Res-Rec Equations'!$B$22*1000*'Res-Rec Equations'!$B$25*'Chemical Info'!J123*'Res-Rec Calculations'!F122,IF('Chemical Info'!D123="Yes",'Res-Rec Equations'!$B$22*1000*(('Res-Rec Equations'!$B$26*'Chemical Info'!J123*'Res-Rec Equations'!$B$59)+('Res-Rec Equations'!$B$27*'Chemical Info'!J123*'Res-Rec Equations'!$B$60)+('Res-Rec Equations'!$B$28*'Chemical Info'!J123*'Res-Rec Equations'!$B$61))*('Res-Rec Calculations'!C122+'Res-Rec Calculations'!F122),IF('Chemical Info'!D123="",'Res-Rec Equations'!$B$22*1000*'Res-Rec Equations'!$B$25*'Chemical Info'!J123*('Res-Rec Calculations'!C122+'Res-Rec Calculations'!F122))))))))</f>
        <v>NA</v>
      </c>
      <c r="L122" s="167" t="str">
        <f>IF(AND(H122="NA",I122="NA",J122="NA"),"NA",IF(H122="NA",'Res-Rec Equations'!$B$15*'Res-Rec Equations'!$B$16/J122,IF(J122="NA",'Res-Rec Equations'!$B$15*'Res-Rec Equations'!$B$16/(H122+I122),'Res-Rec Equations'!$B$15*'Res-Rec Equations'!$B$16/(H122+I122+J122))))</f>
        <v>NA</v>
      </c>
      <c r="M122" s="167" t="str">
        <f>IF(AND(H122="NA",I122="NA",K122="NA"),"NA",IF(H122="NA",'Res-Rec Equations'!$B$15*'Res-Rec Equations'!$B$16/K122,IF(K122="NA",'Res-Rec Equations'!$B$15*'Res-Rec Equations'!$B$16/(H122+I122),'Res-Rec Equations'!$B$15*'Res-Rec Equations'!$B$16/(H122+I122+K122))))</f>
        <v>NA</v>
      </c>
      <c r="N122" s="167" t="str">
        <f t="shared" si="158"/>
        <v>NA</v>
      </c>
      <c r="O122" s="371">
        <f>IF('Chemical Info'!L123="NA","NA",IF('Chemical Info'!E123="Yes",(('Res-Rec Equations'!$B$76*'Chemical Info'!AD123*'Res-Rec Equations'!$B$78*'Res-Rec Equations'!$B$79*'Res-Rec Equations'!$B$81)/('Res-Rec Equations'!$B$84*'Res-Rec Equations'!$B$85))/'Chemical Info'!L123,(('Res-Rec Equations'!$B$76*'Chemical Info'!AD123*'Res-Rec Equations'!$B$78*'Res-Rec Equations'!$B$79*'Res-Rec Equations'!$B$80)/('Res-Rec Equations'!$B$84*'Res-Rec Equations'!$B$85))/'Chemical Info'!L123))</f>
        <v>0.12785388127853881</v>
      </c>
      <c r="P122" s="166">
        <f>IF('Chemical Info'!L123="NA","NA", IF('Chemical Info'!E123="Yes",0,((('Res-Rec Equations'!$B$87*'Res-Rec Equations'!$B$88*'Res-Rec Equations'!$B$78*'Res-Rec Equations'!$B$82*'Res-Rec Equations'!$B$79*'Chemical Info'!AB123)/('Res-Rec Equations'!$B$84*'Res-Rec Equations'!$B$85))/('Chemical Info'!L123*'Chemical Info'!AF123))))</f>
        <v>2.1671232876712326E-2</v>
      </c>
      <c r="Q122" s="166" t="str">
        <f>IF('Chemical Info'!N123="NA","NA",IF('Res-Rec Calculations'!E122="NA",(('Res-Rec Equations'!$B$83*'Res-Rec Equations'!$B$79*'Res-Rec Calculations'!C122)/('Res-Rec Equations'!$B$85))/('Chemical Info'!N123),IF('Chemical Info'!E123="Yes",(('Res-Rec Equations'!$B$83*'Res-Rec Equations'!$B$79*'Res-Rec Calculations'!E122)/('Res-Rec Equations'!$B$85))/('Chemical Info'!N123),(('Res-Rec Equations'!$B$83*'Res-Rec Equations'!$B$79*('Res-Rec Calculations'!C122+'Res-Rec Calculations'!E122))/('Res-Rec Equations'!$B$85))/('Chemical Info'!N123))))</f>
        <v>NA</v>
      </c>
      <c r="R122" s="166" t="str">
        <f>IF('Chemical Info'!N123="NA","NA",IF('Res-Rec Calculations'!F122="NA",(('Res-Rec Equations'!$B$83*'Res-Rec Equations'!$B$79*'Res-Rec Calculations'!C122)/('Res-Rec Equations'!$B$85))/('Chemical Info'!N123),IF('Chemical Info'!E123="Yes",(('Res-Rec Equations'!$B$83*'Res-Rec Equations'!$B$79*'Res-Rec Calculations'!F122)/('Res-Rec Equations'!$B$85))/('Chemical Info'!N123),(('Res-Rec Equations'!$B$83*'Res-Rec Equations'!$B$79*('Res-Rec Calculations'!C122+'Res-Rec Calculations'!F122))/('Res-Rec Equations'!$B$85))/('Chemical Info'!N123))))</f>
        <v>NA</v>
      </c>
      <c r="S122" s="167">
        <f>IF(AND(O122="NA",P122="NA",Q122="NA"),"NA",IF(O122="NA",'Res-Rec Equations'!$B$75/Q122,IF(Q122="NA",'Res-Rec Equations'!$B$75/(O122+P122),'Res-Rec Equations'!$B$75/(O122+P122+Q122))))</f>
        <v>1.3375679472301962</v>
      </c>
      <c r="T122" s="167">
        <f>IF(AND(O122="NA",P122="NA",R122="NA"),"NA",IF(O122="NA",'Res-Rec Equations'!$B$75/R122,IF(R122="NA",'Res-Rec Equations'!$B$75/(O122+P122),'Res-Rec Equations'!$B$75/(O122+P122+R122))))</f>
        <v>1.3375679472301962</v>
      </c>
      <c r="U122" s="168">
        <f t="shared" si="159"/>
        <v>1.3375679472301962</v>
      </c>
      <c r="V122" s="167" t="str">
        <f>IF('Chemical Info'!P123="NA","NA",(('Res-Rec Equations'!$B$185*'Res-Rec Equations'!$B$186)/('Res-Rec Equations'!$B$187*'Res-Rec Equations'!$B$188*(1/'Chemical Info'!P123))))</f>
        <v>NA</v>
      </c>
      <c r="W122" s="379" t="str">
        <f t="shared" si="160"/>
        <v>NA</v>
      </c>
      <c r="X122" s="372">
        <f t="shared" si="161"/>
        <v>1.3375679472301962</v>
      </c>
      <c r="Y122" s="62">
        <f t="shared" si="162"/>
        <v>1.3</v>
      </c>
      <c r="Z122" s="100" t="str">
        <f t="shared" si="163"/>
        <v>Noncancer</v>
      </c>
      <c r="AA122" s="373"/>
    </row>
    <row r="123" spans="1:28">
      <c r="A123" s="373" t="s">
        <v>1194</v>
      </c>
      <c r="B123" s="566" t="s">
        <v>1156</v>
      </c>
      <c r="C123" s="367">
        <f>1/(('Res-Rec Equations'!$B$152*3600)/((0.036*(1-'Res-Rec Equations'!$B$153))*('Res-Rec Equations'!$B$154/'Res-Rec Equations'!$B$155)^3*'Res-Rec Equations'!$B$156))</f>
        <v>7.3567680901159717E-10</v>
      </c>
      <c r="D123" s="368">
        <f>(('Res-Rec Equations'!$B$132^(10/3)*'Chemical Info'!$AH124*'Chemical Info'!$AN124*41+'Res-Rec Equations'!$B$135^(10/3)*'Chemical Info'!$AJ124)/'Res-Rec Equations'!$B$137^2)/('Res-Rec Equations'!$B$139*'Chemical Info'!$AL124*'Res-Rec Equations'!$B$142+'Res-Rec Equations'!$B$135+'Res-Rec Equations'!$B$132*'Chemical Info'!$AN124*41)</f>
        <v>1.9009615764715886E-8</v>
      </c>
      <c r="E123" s="368">
        <f>IF(D123=0,"NA",1/(('Res-Rec Equations'!$B$103*(3.14*'Res-Rec Calculations'!$D123*'Res-Rec Equations'!$B$105)^(1/2)*0.0001)/(2*'Res-Rec Equations'!$B$106*'Res-Rec Calculations'!$D123)))</f>
        <v>8.093106457786759E-7</v>
      </c>
      <c r="F123" s="368">
        <f>IF(D123=0,"NA",(1/('Res-Rec Equations'!$B$117*('Res-Rec Equations'!$B$118*(31500000))/('Res-Rec Equations'!$B$119*'Res-Rec Equations'!$B$120*1000000))))</f>
        <v>6.1914410640015851E-5</v>
      </c>
      <c r="G123" s="167" t="str">
        <f>IF('Chemical Info'!E124="Yes",('Chemical Info'!AP124/'Res-Rec Equations'!$B$168)*((('Chemical Info'!AL124*'Res-Rec Equations'!$B$170)*'Res-Rec Equations'!$B$168)+'Res-Rec Equations'!$B$171+('Chemical Info'!AN124*41)*'Res-Rec Equations'!$B$173),"NA")</f>
        <v>NA</v>
      </c>
      <c r="H123" s="112" t="str">
        <f>IF('Chemical Info'!H124="NA","NA",IF(AND('Chemical Info'!E124="Yes",'Chemical Info'!D124="Yes"),'Chemical Info'!H124*'Chemical Info'!AD124*'Res-Rec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Info'!E124="Yes",'Chemical Info'!D124=""),'Chemical Info'!H124*'Chemical Info'!AD124*'Res-Rec Equations'!$B$20*'Res-Rec Equations'!$B$23*((('Res-Rec Equations'!$B$26*'Res-Rec Equations'!$B$29)/'Res-Rec Equations'!$B$32)+(('Res-Rec Equations'!$B$27*'Res-Rec Equations'!$B$30)/'Res-Rec Equations'!$B$33)+(('Res-Rec Equations'!$B$28*'Res-Rec Equations'!$B$31)/'Res-Rec Equations'!$B$34)),IF(AND('Chemical Info'!E124="No",'Chemical Info'!D124="Yes"),'Chemical Info'!H124*'Chemical Info'!AD124*'Res-Rec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Info'!E124="No",'Chemical Info'!D124=""),'Chemical Info'!H124*'Chemical Info'!AD124*'Res-Rec Equations'!$B$19*'Res-Rec Equations'!$B$23*((('Res-Rec Equations'!$B$26*'Res-Rec Equations'!$B$29)/'Res-Rec Equations'!$B$32)+(('Res-Rec Equations'!$B$27*'Res-Rec Equations'!$B$30)/'Res-Rec Equations'!$B$33)+(('Res-Rec Equations'!$B$28*'Res-Rec Equations'!$B$31)/'Res-Rec Equations'!$B$34)))))))</f>
        <v>NA</v>
      </c>
      <c r="I123" s="166" t="str">
        <f>IF('Chemical Info'!H124="NA","NA",IF('Chemical Info'!E124="Yes",0,IF('Chemical Info'!D124="Yes",'Chemical Info'!H124/'Chemical Info'!AF124*('Res-Rec Equations'!$B$21*'Chemical Info'!AB124*'Res-Rec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Info'!H124/'Chemical Info'!AF124*('Res-Rec Equations'!$B$21*'Chemical Info'!AB124*'Res-Rec Equations'!$B$23)*((('Res-Rec Equations'!$B$26*'Res-Rec Equations'!$B$37*'Res-Rec Equations'!$B$40)/'Res-Rec Equations'!$B$32)+(('Res-Rec Equations'!$B$27*'Res-Rec Equations'!$B$38*'Res-Rec Equations'!$B$41)/'Res-Rec Equations'!$B$33)+(('Res-Rec Equations'!$B$28*'Res-Rec Equations'!$B$39*'Res-Rec Equations'!$B$42)/'Res-Rec Equations'!$B$34)))))</f>
        <v>NA</v>
      </c>
      <c r="J123" s="369" t="str">
        <f>IF('Chemical Info'!J124="NA","NA",IF(AND(E123="NA",'Chemical Info'!D124="Yes"),'Res-Rec Equations'!$B$22*1000*(('Res-Rec Equations'!$B$26*'Chemical Info'!J124*'Res-Rec Equations'!$B$59)+('Res-Rec Equations'!$B$27*'Chemical Info'!J124*'Res-Rec Equations'!$B$60)+('Res-Rec Equations'!$B$28*'Chemical Info'!J124*'Res-Rec Equations'!$B$61))*'Res-Rec Calculations'!C123,IF(AND(E123="NA",'Chemical Info'!D124=""),'Res-Rec Equations'!$B$22*1000*'Res-Rec Equations'!$B$25*'Chemical Info'!J124*'Res-Rec Calculations'!C123,IF(AND('Chemical Info'!E124="Yes",'Chemical Info'!D124="Yes"),'Res-Rec Equations'!$B$22*1000*(('Res-Rec Equations'!$B$26*'Chemical Info'!J124*'Res-Rec Equations'!$B$59)+('Res-Rec Equations'!$B$27*'Chemical Info'!J124*'Res-Rec Equations'!$B$60)+('Res-Rec Equations'!$B$28*'Chemical Info'!J124*'Res-Rec Equations'!$B$61))*'Res-Rec Calculations'!E123,IF(AND('Chemical Info'!E124="Yes",'Chemical Info'!D124=""),'Res-Rec Equations'!$B$22*1000*'Res-Rec Equations'!$B$25*'Chemical Info'!J124*'Res-Rec Calculations'!E123,IF('Chemical Info'!D124="Yes",'Res-Rec Equations'!$B$22*1000*(('Res-Rec Equations'!$B$26*'Chemical Info'!J124*'Res-Rec Equations'!$B$59)+('Res-Rec Equations'!$B$27*'Chemical Info'!J124*'Res-Rec Equations'!$B$60)+('Res-Rec Equations'!$B$28*'Chemical Info'!J124*'Res-Rec Equations'!$B$61))*('Res-Rec Calculations'!C123+'Res-Rec Calculations'!E123),IF('Chemical Info'!D124="",'Res-Rec Equations'!$B$22*1000*'Res-Rec Equations'!$B$25*'Chemical Info'!J124*('Res-Rec Calculations'!C123+'Res-Rec Calculations'!E123))))))))</f>
        <v>NA</v>
      </c>
      <c r="K123" s="370" t="str">
        <f>IF('Chemical Info'!J124="NA","NA",IF(AND(F123="NA",'Chemical Info'!D124="Yes"),'Res-Rec Equations'!$B$22*1000*(('Res-Rec Equations'!$B$26*'Chemical Info'!J124*'Res-Rec Equations'!$B$59)+('Res-Rec Equations'!$B$27*'Chemical Info'!J124*'Res-Rec Equations'!$B$60)+('Res-Rec Equations'!$B$28*'Chemical Info'!J124*'Res-Rec Equations'!$B$61))*'Res-Rec Calculations'!C123,IF(AND(F123="NA",'Chemical Info'!D124=""),'Res-Rec Equations'!$B$22*1000*'Res-Rec Equations'!$B$25*'Chemical Info'!J124*'Res-Rec Calculations'!C123,IF(AND('Chemical Info'!F124="Yes",'Chemical Info'!D124="Yes"),'Res-Rec Equations'!$B$22*1000*(('Res-Rec Equations'!$B$26*'Chemical Info'!J124*'Res-Rec Equations'!$B$59)+('Res-Rec Equations'!$B$27*'Chemical Info'!J124*'Res-Rec Equations'!$B$60)+('Res-Rec Equations'!$B$28*'Chemical Info'!J124*'Res-Rec Equations'!$B$61))*'Res-Rec Calculations'!F123,IF(AND('Chemical Info'!F124="Yes",'Chemical Info'!D124=""),'Res-Rec Equations'!$B$22*1000*'Res-Rec Equations'!$B$25*'Chemical Info'!J124*'Res-Rec Calculations'!F123,IF('Chemical Info'!D124="Yes",'Res-Rec Equations'!$B$22*1000*(('Res-Rec Equations'!$B$26*'Chemical Info'!J124*'Res-Rec Equations'!$B$59)+('Res-Rec Equations'!$B$27*'Chemical Info'!J124*'Res-Rec Equations'!$B$60)+('Res-Rec Equations'!$B$28*'Chemical Info'!J124*'Res-Rec Equations'!$B$61))*('Res-Rec Calculations'!C123+'Res-Rec Calculations'!F123),IF('Chemical Info'!D124="",'Res-Rec Equations'!$B$22*1000*'Res-Rec Equations'!$B$25*'Chemical Info'!J124*('Res-Rec Calculations'!C123+'Res-Rec Calculations'!F123))))))))</f>
        <v>NA</v>
      </c>
      <c r="L123" s="167" t="str">
        <f>IF(AND(H123="NA",I123="NA",J123="NA"),"NA",IF(H123="NA",'Res-Rec Equations'!$B$15*'Res-Rec Equations'!$B$16/J123,IF(J123="NA",'Res-Rec Equations'!$B$15*'Res-Rec Equations'!$B$16/(H123+I123),'Res-Rec Equations'!$B$15*'Res-Rec Equations'!$B$16/(H123+I123+J123))))</f>
        <v>NA</v>
      </c>
      <c r="M123" s="167" t="str">
        <f>IF(AND(H123="NA",I123="NA",K123="NA"),"NA",IF(H123="NA",'Res-Rec Equations'!$B$15*'Res-Rec Equations'!$B$16/K123,IF(K123="NA",'Res-Rec Equations'!$B$15*'Res-Rec Equations'!$B$16/(H123+I123),'Res-Rec Equations'!$B$15*'Res-Rec Equations'!$B$16/(H123+I123+K123))))</f>
        <v>NA</v>
      </c>
      <c r="N123" s="167" t="str">
        <f t="shared" ref="N123" si="164">IF(AND(L123="NA",M123="NA"),"NA",MAX(L123,M123))</f>
        <v>NA</v>
      </c>
      <c r="O123" s="371">
        <f>IF('Chemical Info'!L124="NA","NA",IF('Chemical Info'!E124="Yes",(('Res-Rec Equations'!$B$76*'Chemical Info'!AD124*'Res-Rec Equations'!$B$78*'Res-Rec Equations'!$B$79*'Res-Rec Equations'!$B$81)/('Res-Rec Equations'!$B$84*'Res-Rec Equations'!$B$85))/'Chemical Info'!L124,(('Res-Rec Equations'!$B$76*'Chemical Info'!AD124*'Res-Rec Equations'!$B$78*'Res-Rec Equations'!$B$79*'Res-Rec Equations'!$B$80)/('Res-Rec Equations'!$B$84*'Res-Rec Equations'!$B$85))/'Chemical Info'!L124))</f>
        <v>6.3926940639269401E-3</v>
      </c>
      <c r="P123" s="166">
        <f>IF('Chemical Info'!L124="NA","NA", IF('Chemical Info'!E124="Yes",0,((('Res-Rec Equations'!$B$87*'Res-Rec Equations'!$B$88*'Res-Rec Equations'!$B$78*'Res-Rec Equations'!$B$82*'Res-Rec Equations'!$B$79*'Chemical Info'!AB124)/('Res-Rec Equations'!$B$84*'Res-Rec Equations'!$B$85))/('Chemical Info'!L124*'Chemical Info'!AF124))))</f>
        <v>1.0835616438356164E-3</v>
      </c>
      <c r="Q123" s="166" t="str">
        <f>IF('Chemical Info'!N124="NA","NA",IF('Res-Rec Calculations'!E123="NA",(('Res-Rec Equations'!$B$83*'Res-Rec Equations'!$B$79*'Res-Rec Calculations'!C123)/('Res-Rec Equations'!$B$85))/('Chemical Info'!N124),IF('Chemical Info'!E124="Yes",(('Res-Rec Equations'!$B$83*'Res-Rec Equations'!$B$79*'Res-Rec Calculations'!E123)/('Res-Rec Equations'!$B$85))/('Chemical Info'!N124),(('Res-Rec Equations'!$B$83*'Res-Rec Equations'!$B$79*('Res-Rec Calculations'!C123+'Res-Rec Calculations'!E123))/('Res-Rec Equations'!$B$85))/('Chemical Info'!N124))))</f>
        <v>NA</v>
      </c>
      <c r="R123" s="166" t="str">
        <f>IF('Chemical Info'!N124="NA","NA",IF('Res-Rec Calculations'!F123="NA",(('Res-Rec Equations'!$B$83*'Res-Rec Equations'!$B$79*'Res-Rec Calculations'!C123)/('Res-Rec Equations'!$B$85))/('Chemical Info'!N124),IF('Chemical Info'!E124="Yes",(('Res-Rec Equations'!$B$83*'Res-Rec Equations'!$B$79*'Res-Rec Calculations'!F123)/('Res-Rec Equations'!$B$85))/('Chemical Info'!N124),(('Res-Rec Equations'!$B$83*'Res-Rec Equations'!$B$79*('Res-Rec Calculations'!C123+'Res-Rec Calculations'!F123))/('Res-Rec Equations'!$B$85))/('Chemical Info'!N124))))</f>
        <v>NA</v>
      </c>
      <c r="S123" s="167">
        <f>IF(AND(O123="NA",P123="NA",Q123="NA"),"NA",IF(O123="NA",'Res-Rec Equations'!$B$75/Q123,IF(Q123="NA",'Res-Rec Equations'!$B$75/(O123+P123),'Res-Rec Equations'!$B$75/(O123+P123+Q123))))</f>
        <v>26.751358944603925</v>
      </c>
      <c r="T123" s="167">
        <f>IF(AND(O123="NA",P123="NA",R123="NA"),"NA",IF(O123="NA",'Res-Rec Equations'!$B$75/R123,IF(R123="NA",'Res-Rec Equations'!$B$75/(O123+P123),'Res-Rec Equations'!$B$75/(O123+P123+R123))))</f>
        <v>26.751358944603925</v>
      </c>
      <c r="U123" s="168">
        <f t="shared" ref="U123" si="165">IF(AND(S123="NA",T123="NA"),"NA",MAX(S123,T123))</f>
        <v>26.751358944603925</v>
      </c>
      <c r="V123" s="167" t="str">
        <f>IF('Chemical Info'!P124="NA","NA",(('Res-Rec Equations'!$B$185*'Res-Rec Equations'!$B$186)/('Res-Rec Equations'!$B$187*'Res-Rec Equations'!$B$188*(1/'Chemical Info'!P124))))</f>
        <v>NA</v>
      </c>
      <c r="W123" s="379" t="str">
        <f t="shared" ref="W123" si="166">IF(V123="NA","NA",IF(V123&gt;100000,100000,IF(ISNUMBER(ROUND(V123*1000000,2-LEN(INT(V123*1000000)))/1000000),ROUND(V123*1000000,2-LEN(INT(V123*1000000)))/1000000,"NA")))</f>
        <v>NA</v>
      </c>
      <c r="X123" s="372">
        <f t="shared" ref="X123" si="167">IF(AND(N123="NA",U123="NA",G123="NA"),"NA",MIN(N123,U123,G123))</f>
        <v>26.751358944603925</v>
      </c>
      <c r="Y123" s="62">
        <f t="shared" ref="Y123" si="168">IF(X123&gt;100000,100000,IF(ISNUMBER(ROUND(X123*1000000,2-LEN(INT(X123*1000000)))/1000000),ROUND(X123*1000000,2-LEN(INT(X123*1000000)))/1000000,"NA"))</f>
        <v>27</v>
      </c>
      <c r="Z123" s="100" t="str">
        <f t="shared" ref="Z123" si="169">IF(Y123=100000,"Max Limit",IF(X123=G123,"Csat",IF(X123=N123,"Cancer",IF(X123=V123,"Acute",IF(X123=U123,"Noncancer","")))))</f>
        <v>Noncancer</v>
      </c>
      <c r="AA123" s="373"/>
    </row>
    <row r="124" spans="1:28">
      <c r="A124" s="413" t="s">
        <v>217</v>
      </c>
      <c r="B124" s="566" t="s">
        <v>218</v>
      </c>
      <c r="C124" s="367">
        <f>1/(('Res-Rec Equations'!$B$152*3600)/((0.036*(1-'Res-Rec Equations'!$B$153))*('Res-Rec Equations'!$B$154/'Res-Rec Equations'!$B$155)^3*'Res-Rec Equations'!$B$156))</f>
        <v>7.3567680901159717E-10</v>
      </c>
      <c r="D124" s="368">
        <f>(('Res-Rec Equations'!$B$132^(10/3)*'Chemical Info'!$AH125*'Chemical Info'!$AN125*41+'Res-Rec Equations'!$B$135^(10/3)*'Chemical Info'!$AJ125)/'Res-Rec Equations'!$B$137^2)/('Res-Rec Equations'!$B$139*'Chemical Info'!$AL125*'Res-Rec Equations'!$B$142+'Res-Rec Equations'!$B$135+'Res-Rec Equations'!$B$132*'Chemical Info'!$AN125*41)</f>
        <v>5.5841449373937727E-8</v>
      </c>
      <c r="E124" s="368">
        <f>IF(D124=0,"NA",1/(('Res-Rec Equations'!$B$103*(3.14*'Res-Rec Calculations'!$D124*'Res-Rec Equations'!$B$105)^(1/2)*0.0001)/(2*'Res-Rec Equations'!$B$106*'Res-Rec Calculations'!$D124)))</f>
        <v>1.3870972950402523E-6</v>
      </c>
      <c r="F124" s="368">
        <f>IF(D124=0,"NA",(1/('Res-Rec Equations'!$B$117*('Res-Rec Equations'!$B$118*(31500000))/('Res-Rec Equations'!$B$119*'Res-Rec Equations'!$B$120*1000000))))</f>
        <v>6.1914410640015851E-5</v>
      </c>
      <c r="G124" s="167" t="str">
        <f>IF('Chemical Info'!E125="Yes",('Chemical Info'!AP125/'Res-Rec Equations'!$B$168)*((('Chemical Info'!AL125*'Res-Rec Equations'!$B$170)*'Res-Rec Equations'!$B$168)+'Res-Rec Equations'!$B$171+('Chemical Info'!AN125*41)*'Res-Rec Equations'!$B$173),"NA")</f>
        <v>NA</v>
      </c>
      <c r="H124" s="112" t="str">
        <f>IF('Chemical Info'!H125="NA","NA",IF(AND('Chemical Info'!E125="Yes",'Chemical Info'!D125="Yes"),'Chemical Info'!H125*'Chemical Info'!AD125*'Res-Rec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Info'!E125="Yes",'Chemical Info'!D125=""),'Chemical Info'!H125*'Chemical Info'!AD125*'Res-Rec Equations'!$B$20*'Res-Rec Equations'!$B$23*((('Res-Rec Equations'!$B$26*'Res-Rec Equations'!$B$29)/'Res-Rec Equations'!$B$32)+(('Res-Rec Equations'!$B$27*'Res-Rec Equations'!$B$30)/'Res-Rec Equations'!$B$33)+(('Res-Rec Equations'!$B$28*'Res-Rec Equations'!$B$31)/'Res-Rec Equations'!$B$34)),IF(AND('Chemical Info'!E125="No",'Chemical Info'!D125="Yes"),'Chemical Info'!H125*'Chemical Info'!AD125*'Res-Rec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Info'!E125="No",'Chemical Info'!D125=""),'Chemical Info'!H125*'Chemical Info'!AD125*'Res-Rec Equations'!$B$19*'Res-Rec Equations'!$B$23*((('Res-Rec Equations'!$B$26*'Res-Rec Equations'!$B$29)/'Res-Rec Equations'!$B$32)+(('Res-Rec Equations'!$B$27*'Res-Rec Equations'!$B$30)/'Res-Rec Equations'!$B$33)+(('Res-Rec Equations'!$B$28*'Res-Rec Equations'!$B$31)/'Res-Rec Equations'!$B$34)))))))</f>
        <v>NA</v>
      </c>
      <c r="I124" s="166" t="str">
        <f>IF('Chemical Info'!H125="NA","NA",IF('Chemical Info'!E125="Yes",0,IF('Chemical Info'!D125="Yes",'Chemical Info'!H125/'Chemical Info'!AF125*('Res-Rec Equations'!$B$21*'Chemical Info'!AB125*'Res-Rec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Info'!H125/'Chemical Info'!AF125*('Res-Rec Equations'!$B$21*'Chemical Info'!AB125*'Res-Rec Equations'!$B$23)*((('Res-Rec Equations'!$B$26*'Res-Rec Equations'!$B$37*'Res-Rec Equations'!$B$40)/'Res-Rec Equations'!$B$32)+(('Res-Rec Equations'!$B$27*'Res-Rec Equations'!$B$38*'Res-Rec Equations'!$B$41)/'Res-Rec Equations'!$B$33)+(('Res-Rec Equations'!$B$28*'Res-Rec Equations'!$B$39*'Res-Rec Equations'!$B$42)/'Res-Rec Equations'!$B$34)))))</f>
        <v>NA</v>
      </c>
      <c r="J124" s="369" t="str">
        <f>IF('Chemical Info'!J125="NA","NA",IF(AND(E124="NA",'Chemical Info'!D125="Yes"),'Res-Rec Equations'!$B$22*1000*(('Res-Rec Equations'!$B$26*'Chemical Info'!J125*'Res-Rec Equations'!$B$59)+('Res-Rec Equations'!$B$27*'Chemical Info'!J125*'Res-Rec Equations'!$B$60)+('Res-Rec Equations'!$B$28*'Chemical Info'!J125*'Res-Rec Equations'!$B$61))*'Res-Rec Calculations'!C124,IF(AND(E124="NA",'Chemical Info'!D125=""),'Res-Rec Equations'!$B$22*1000*'Res-Rec Equations'!$B$25*'Chemical Info'!J125*'Res-Rec Calculations'!C124,IF(AND('Chemical Info'!E125="Yes",'Chemical Info'!D125="Yes"),'Res-Rec Equations'!$B$22*1000*(('Res-Rec Equations'!$B$26*'Chemical Info'!J125*'Res-Rec Equations'!$B$59)+('Res-Rec Equations'!$B$27*'Chemical Info'!J125*'Res-Rec Equations'!$B$60)+('Res-Rec Equations'!$B$28*'Chemical Info'!J125*'Res-Rec Equations'!$B$61))*'Res-Rec Calculations'!E124,IF(AND('Chemical Info'!E125="Yes",'Chemical Info'!D125=""),'Res-Rec Equations'!$B$22*1000*'Res-Rec Equations'!$B$25*'Chemical Info'!J125*'Res-Rec Calculations'!E124,IF('Chemical Info'!D125="Yes",'Res-Rec Equations'!$B$22*1000*(('Res-Rec Equations'!$B$26*'Chemical Info'!J125*'Res-Rec Equations'!$B$59)+('Res-Rec Equations'!$B$27*'Chemical Info'!J125*'Res-Rec Equations'!$B$60)+('Res-Rec Equations'!$B$28*'Chemical Info'!J125*'Res-Rec Equations'!$B$61))*('Res-Rec Calculations'!C124+'Res-Rec Calculations'!E124),IF('Chemical Info'!D125="",'Res-Rec Equations'!$B$22*1000*'Res-Rec Equations'!$B$25*'Chemical Info'!J125*('Res-Rec Calculations'!C124+'Res-Rec Calculations'!E124))))))))</f>
        <v>NA</v>
      </c>
      <c r="K124" s="370" t="str">
        <f>IF('Chemical Info'!J125="NA","NA",IF(AND(F124="NA",'Chemical Info'!D125="Yes"),'Res-Rec Equations'!$B$22*1000*(('Res-Rec Equations'!$B$26*'Chemical Info'!J125*'Res-Rec Equations'!$B$59)+('Res-Rec Equations'!$B$27*'Chemical Info'!J125*'Res-Rec Equations'!$B$60)+('Res-Rec Equations'!$B$28*'Chemical Info'!J125*'Res-Rec Equations'!$B$61))*'Res-Rec Calculations'!C124,IF(AND(F124="NA",'Chemical Info'!D125=""),'Res-Rec Equations'!$B$22*1000*'Res-Rec Equations'!$B$25*'Chemical Info'!J125*'Res-Rec Calculations'!C124,IF(AND('Chemical Info'!F125="Yes",'Chemical Info'!D125="Yes"),'Res-Rec Equations'!$B$22*1000*(('Res-Rec Equations'!$B$26*'Chemical Info'!J125*'Res-Rec Equations'!$B$59)+('Res-Rec Equations'!$B$27*'Chemical Info'!J125*'Res-Rec Equations'!$B$60)+('Res-Rec Equations'!$B$28*'Chemical Info'!J125*'Res-Rec Equations'!$B$61))*'Res-Rec Calculations'!F124,IF(AND('Chemical Info'!F125="Yes",'Chemical Info'!D125=""),'Res-Rec Equations'!$B$22*1000*'Res-Rec Equations'!$B$25*'Chemical Info'!J125*'Res-Rec Calculations'!F124,IF('Chemical Info'!D125="Yes",'Res-Rec Equations'!$B$22*1000*(('Res-Rec Equations'!$B$26*'Chemical Info'!J125*'Res-Rec Equations'!$B$59)+('Res-Rec Equations'!$B$27*'Chemical Info'!J125*'Res-Rec Equations'!$B$60)+('Res-Rec Equations'!$B$28*'Chemical Info'!J125*'Res-Rec Equations'!$B$61))*('Res-Rec Calculations'!C124+'Res-Rec Calculations'!F124),IF('Chemical Info'!D125="",'Res-Rec Equations'!$B$22*1000*'Res-Rec Equations'!$B$25*'Chemical Info'!J125*('Res-Rec Calculations'!C124+'Res-Rec Calculations'!F124))))))))</f>
        <v>NA</v>
      </c>
      <c r="L124" s="167" t="str">
        <f>IF(AND(H124="NA",I124="NA",J124="NA"),"NA",IF(H124="NA",'Res-Rec Equations'!$B$15*'Res-Rec Equations'!$B$16/J124,IF(J124="NA",'Res-Rec Equations'!$B$15*'Res-Rec Equations'!$B$16/(H124+I124),'Res-Rec Equations'!$B$15*'Res-Rec Equations'!$B$16/(H124+I124+J124))))</f>
        <v>NA</v>
      </c>
      <c r="M124" s="167" t="str">
        <f>IF(AND(H124="NA",I124="NA",K124="NA"),"NA",IF(H124="NA",'Res-Rec Equations'!$B$15*'Res-Rec Equations'!$B$16/K124,IF(K124="NA",'Res-Rec Equations'!$B$15*'Res-Rec Equations'!$B$16/(H124+I124),'Res-Rec Equations'!$B$15*'Res-Rec Equations'!$B$16/(H124+I124+K124))))</f>
        <v>NA</v>
      </c>
      <c r="N124" s="167" t="str">
        <f t="shared" si="122"/>
        <v>NA</v>
      </c>
      <c r="O124" s="371">
        <f>IF('Chemical Info'!L125="NA","NA",IF('Chemical Info'!E125="Yes",(('Res-Rec Equations'!$B$76*'Chemical Info'!AD125*'Res-Rec Equations'!$B$78*'Res-Rec Equations'!$B$79*'Res-Rec Equations'!$B$81)/('Res-Rec Equations'!$B$84*'Res-Rec Equations'!$B$85))/'Chemical Info'!L125,(('Res-Rec Equations'!$B$76*'Chemical Info'!AD125*'Res-Rec Equations'!$B$78*'Res-Rec Equations'!$B$79*'Res-Rec Equations'!$B$80)/('Res-Rec Equations'!$B$84*'Res-Rec Equations'!$B$85))/'Chemical Info'!L125))</f>
        <v>5.1141552511415516E-4</v>
      </c>
      <c r="P124" s="166">
        <f>IF('Chemical Info'!L125="NA","NA", IF('Chemical Info'!E125="Yes",0,((('Res-Rec Equations'!$B$87*'Res-Rec Equations'!$B$88*'Res-Rec Equations'!$B$78*'Res-Rec Equations'!$B$82*'Res-Rec Equations'!$B$79*'Chemical Info'!AB125)/('Res-Rec Equations'!$B$84*'Res-Rec Equations'!$B$85))/('Chemical Info'!L125*'Chemical Info'!AF125))))</f>
        <v>8.6684931506849302E-5</v>
      </c>
      <c r="Q124" s="166" t="str">
        <f>IF('Chemical Info'!N125="NA","NA",IF('Res-Rec Calculations'!E124="NA",(('Res-Rec Equations'!$B$83*'Res-Rec Equations'!$B$79*'Res-Rec Calculations'!C124)/('Res-Rec Equations'!$B$85))/('Chemical Info'!N125),IF('Chemical Info'!E125="Yes",(('Res-Rec Equations'!$B$83*'Res-Rec Equations'!$B$79*'Res-Rec Calculations'!E124)/('Res-Rec Equations'!$B$85))/('Chemical Info'!N125),(('Res-Rec Equations'!$B$83*'Res-Rec Equations'!$B$79*('Res-Rec Calculations'!C124+'Res-Rec Calculations'!E124))/('Res-Rec Equations'!$B$85))/('Chemical Info'!N125))))</f>
        <v>NA</v>
      </c>
      <c r="R124" s="166" t="str">
        <f>IF('Chemical Info'!N125="NA","NA",IF('Res-Rec Calculations'!F124="NA",(('Res-Rec Equations'!$B$83*'Res-Rec Equations'!$B$79*'Res-Rec Calculations'!C124)/('Res-Rec Equations'!$B$85))/('Chemical Info'!N125),IF('Chemical Info'!E125="Yes",(('Res-Rec Equations'!$B$83*'Res-Rec Equations'!$B$79*'Res-Rec Calculations'!F124)/('Res-Rec Equations'!$B$85))/('Chemical Info'!N125),(('Res-Rec Equations'!$B$83*'Res-Rec Equations'!$B$79*('Res-Rec Calculations'!C124+'Res-Rec Calculations'!F124))/('Res-Rec Equations'!$B$85))/('Chemical Info'!N125))))</f>
        <v>NA</v>
      </c>
      <c r="S124" s="167">
        <f>IF(AND(O124="NA",P124="NA",Q124="NA"),"NA",IF(O124="NA",'Res-Rec Equations'!$B$75/Q124,IF(Q124="NA",'Res-Rec Equations'!$B$75/(O124+P124),'Res-Rec Equations'!$B$75/(O124+P124+Q124))))</f>
        <v>334.39198680754913</v>
      </c>
      <c r="T124" s="167">
        <f>IF(AND(O124="NA",P124="NA",R124="NA"),"NA",IF(O124="NA",'Res-Rec Equations'!$B$75/R124,IF(R124="NA",'Res-Rec Equations'!$B$75/(O124+P124),'Res-Rec Equations'!$B$75/(O124+P124+R124))))</f>
        <v>334.39198680754913</v>
      </c>
      <c r="U124" s="168">
        <f t="shared" si="123"/>
        <v>334.39198680754913</v>
      </c>
      <c r="V124" s="167" t="str">
        <f>IF('Chemical Info'!P125="NA","NA",(('Res-Rec Equations'!$B$185*'Res-Rec Equations'!$B$186)/('Res-Rec Equations'!$B$187*'Res-Rec Equations'!$B$188*(1/'Chemical Info'!P125))))</f>
        <v>NA</v>
      </c>
      <c r="W124" s="379" t="str">
        <f t="shared" si="124"/>
        <v>NA</v>
      </c>
      <c r="X124" s="372">
        <f t="shared" si="125"/>
        <v>334.39198680754913</v>
      </c>
      <c r="Y124" s="62">
        <f t="shared" si="126"/>
        <v>330</v>
      </c>
      <c r="Z124" s="100" t="str">
        <f t="shared" si="127"/>
        <v>Noncancer</v>
      </c>
      <c r="AA124" s="373"/>
    </row>
    <row r="125" spans="1:28">
      <c r="A125" s="63" t="s">
        <v>488</v>
      </c>
      <c r="B125" s="595" t="s">
        <v>221</v>
      </c>
      <c r="C125" s="367">
        <f>1/(('Res-Rec Equations'!$B$152*3600)/((0.036*(1-'Res-Rec Equations'!$B$153))*('Res-Rec Equations'!$B$154/'Res-Rec Equations'!$B$155)^3*'Res-Rec Equations'!$B$156))</f>
        <v>7.3567680901159717E-10</v>
      </c>
      <c r="D125" s="368">
        <f>(('Res-Rec Equations'!$B$132^(10/3)*'Chemical Info'!$AH126*'Chemical Info'!$AN126*41+'Res-Rec Equations'!$B$135^(10/3)*'Chemical Info'!$AJ126)/'Res-Rec Equations'!$B$137^2)/('Res-Rec Equations'!$B$139*'Chemical Info'!$AL126*'Res-Rec Equations'!$B$142+'Res-Rec Equations'!$B$135+'Res-Rec Equations'!$B$132*'Chemical Info'!$AN126*41)</f>
        <v>5.9818304210136107E-11</v>
      </c>
      <c r="E125" s="368">
        <f>IF(D125=0,"NA",1/(('Res-Rec Equations'!$B$103*(3.14*'Res-Rec Calculations'!$D125*'Res-Rec Equations'!$B$105)^(1/2)*0.0001)/(2*'Res-Rec Equations'!$B$106*'Res-Rec Calculations'!$D125)))</f>
        <v>4.5398931590064396E-8</v>
      </c>
      <c r="F125" s="368">
        <f>IF(D125=0,"NA",(1/('Res-Rec Equations'!$B$117*('Res-Rec Equations'!$B$118*(31500000))/('Res-Rec Equations'!$B$119*'Res-Rec Equations'!$B$120*1000000))))</f>
        <v>6.1914410640015851E-5</v>
      </c>
      <c r="G125" s="167" t="str">
        <f>IF('Chemical Info'!E126="Yes",('Chemical Info'!AP126/'Res-Rec Equations'!$B$168)*((('Chemical Info'!AL126*'Res-Rec Equations'!$B$170)*'Res-Rec Equations'!$B$168)+'Res-Rec Equations'!$B$171+('Chemical Info'!AN126*41)*'Res-Rec Equations'!$B$173),"NA")</f>
        <v>NA</v>
      </c>
      <c r="H125" s="112">
        <f>IF('Chemical Info'!H126="NA","NA",IF(AND('Chemical Info'!E126="Yes",'Chemical Info'!D126="Yes"),'Chemical Info'!H126*'Chemical Info'!AD126*'Res-Rec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Info'!E126="Yes",'Chemical Info'!D126=""),'Chemical Info'!H126*'Chemical Info'!AD126*'Res-Rec Equations'!$B$20*'Res-Rec Equations'!$B$23*((('Res-Rec Equations'!$B$26*'Res-Rec Equations'!$B$29)/'Res-Rec Equations'!$B$32)+(('Res-Rec Equations'!$B$27*'Res-Rec Equations'!$B$30)/'Res-Rec Equations'!$B$33)+(('Res-Rec Equations'!$B$28*'Res-Rec Equations'!$B$31)/'Res-Rec Equations'!$B$34)),IF(AND('Chemical Info'!E126="No",'Chemical Info'!D126="Yes"),'Chemical Info'!H126*'Chemical Info'!AD126*'Res-Rec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Info'!E126="No",'Chemical Info'!D126=""),'Chemical Info'!H126*'Chemical Info'!AD126*'Res-Rec Equations'!$B$19*'Res-Rec Equations'!$B$23*((('Res-Rec Equations'!$B$26*'Res-Rec Equations'!$B$29)/'Res-Rec Equations'!$B$32)+(('Res-Rec Equations'!$B$27*'Res-Rec Equations'!$B$30)/'Res-Rec Equations'!$B$33)+(('Res-Rec Equations'!$B$28*'Res-Rec Equations'!$B$31)/'Res-Rec Equations'!$B$34)))))))</f>
        <v>6.3128449502133726E-4</v>
      </c>
      <c r="I125" s="166">
        <f>IF('Chemical Info'!H126="NA","NA",IF('Chemical Info'!E126="Yes",0,IF('Chemical Info'!D126="Yes",'Chemical Info'!H126/'Chemical Info'!AF126*('Res-Rec Equations'!$B$21*'Chemical Info'!AB126*'Res-Rec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Info'!H126/'Chemical Info'!AF126*('Res-Rec Equations'!$B$21*'Chemical Info'!AB126*'Res-Rec Equations'!$B$23)*((('Res-Rec Equations'!$B$26*'Res-Rec Equations'!$B$37*'Res-Rec Equations'!$B$40)/'Res-Rec Equations'!$B$32)+(('Res-Rec Equations'!$B$27*'Res-Rec Equations'!$B$38*'Res-Rec Equations'!$B$41)/'Res-Rec Equations'!$B$33)+(('Res-Rec Equations'!$B$28*'Res-Rec Equations'!$B$39*'Res-Rec Equations'!$B$42)/'Res-Rec Equations'!$B$34)))))</f>
        <v>1.5397369025604553E-4</v>
      </c>
      <c r="J125" s="369">
        <f>IF('Chemical Info'!J126="NA","NA",IF(AND(E125="NA",'Chemical Info'!D126="Yes"),'Res-Rec Equations'!$B$22*1000*(('Res-Rec Equations'!$B$26*'Chemical Info'!J126*'Res-Rec Equations'!$B$59)+('Res-Rec Equations'!$B$27*'Chemical Info'!J126*'Res-Rec Equations'!$B$60)+('Res-Rec Equations'!$B$28*'Chemical Info'!J126*'Res-Rec Equations'!$B$61))*'Res-Rec Calculations'!C125,IF(AND(E125="NA",'Chemical Info'!D126=""),'Res-Rec Equations'!$B$22*1000*'Res-Rec Equations'!$B$25*'Chemical Info'!J126*'Res-Rec Calculations'!C125,IF(AND('Chemical Info'!E126="Yes",'Chemical Info'!D126="Yes"),'Res-Rec Equations'!$B$22*1000*(('Res-Rec Equations'!$B$26*'Chemical Info'!J126*'Res-Rec Equations'!$B$59)+('Res-Rec Equations'!$B$27*'Chemical Info'!J126*'Res-Rec Equations'!$B$60)+('Res-Rec Equations'!$B$28*'Chemical Info'!J126*'Res-Rec Equations'!$B$61))*'Res-Rec Calculations'!E125,IF(AND('Chemical Info'!E126="Yes",'Chemical Info'!D126=""),'Res-Rec Equations'!$B$22*1000*'Res-Rec Equations'!$B$25*'Chemical Info'!J126*'Res-Rec Calculations'!E125,IF('Chemical Info'!D126="Yes",'Res-Rec Equations'!$B$22*1000*(('Res-Rec Equations'!$B$26*'Chemical Info'!J126*'Res-Rec Equations'!$B$59)+('Res-Rec Equations'!$B$27*'Chemical Info'!J126*'Res-Rec Equations'!$B$60)+('Res-Rec Equations'!$B$28*'Chemical Info'!J126*'Res-Rec Equations'!$B$61))*('Res-Rec Calculations'!C125+'Res-Rec Calculations'!E125),IF('Chemical Info'!D126="",'Res-Rec Equations'!$B$22*1000*'Res-Rec Equations'!$B$25*'Chemical Info'!J126*('Res-Rec Calculations'!C125+'Res-Rec Calculations'!E125))))))))</f>
        <v>7.1969989102558558E-7</v>
      </c>
      <c r="K125" s="370">
        <f>IF('Chemical Info'!J126="NA","NA",IF(AND(F125="NA",'Chemical Info'!D126="Yes"),'Res-Rec Equations'!$B$22*1000*(('Res-Rec Equations'!$B$26*'Chemical Info'!J126*'Res-Rec Equations'!$B$59)+('Res-Rec Equations'!$B$27*'Chemical Info'!J126*'Res-Rec Equations'!$B$60)+('Res-Rec Equations'!$B$28*'Chemical Info'!J126*'Res-Rec Equations'!$B$61))*'Res-Rec Calculations'!C125,IF(AND(F125="NA",'Chemical Info'!D126=""),'Res-Rec Equations'!$B$22*1000*'Res-Rec Equations'!$B$25*'Chemical Info'!J126*'Res-Rec Calculations'!C125,IF(AND('Chemical Info'!F126="Yes",'Chemical Info'!D126="Yes"),'Res-Rec Equations'!$B$22*1000*(('Res-Rec Equations'!$B$26*'Chemical Info'!J126*'Res-Rec Equations'!$B$59)+('Res-Rec Equations'!$B$27*'Chemical Info'!J126*'Res-Rec Equations'!$B$60)+('Res-Rec Equations'!$B$28*'Chemical Info'!J126*'Res-Rec Equations'!$B$61))*'Res-Rec Calculations'!F125,IF(AND('Chemical Info'!F126="Yes",'Chemical Info'!D126=""),'Res-Rec Equations'!$B$22*1000*'Res-Rec Equations'!$B$25*'Chemical Info'!J126*'Res-Rec Calculations'!F125,IF('Chemical Info'!D126="Yes",'Res-Rec Equations'!$B$22*1000*(('Res-Rec Equations'!$B$26*'Chemical Info'!J126*'Res-Rec Equations'!$B$59)+('Res-Rec Equations'!$B$27*'Chemical Info'!J126*'Res-Rec Equations'!$B$60)+('Res-Rec Equations'!$B$28*'Chemical Info'!J126*'Res-Rec Equations'!$B$61))*('Res-Rec Calculations'!C125+'Res-Rec Calculations'!F125),IF('Chemical Info'!D126="",'Res-Rec Equations'!$B$22*1000*'Res-Rec Equations'!$B$25*'Chemical Info'!J126*('Res-Rec Calculations'!C125+'Res-Rec Calculations'!F125))))))))</f>
        <v>9.6587628254246778E-4</v>
      </c>
      <c r="L125" s="167">
        <f>IF(AND(H125="NA",I125="NA",J125="NA"),"NA",IF(H125="NA",'Res-Rec Equations'!$B$15*'Res-Rec Equations'!$B$16/J125,IF(J125="NA",'Res-Rec Equations'!$B$15*'Res-Rec Equations'!$B$16/(H125+I125),'Res-Rec Equations'!$B$15*'Res-Rec Equations'!$B$16/(H125+I125+J125))))</f>
        <v>325.07275945207419</v>
      </c>
      <c r="M125" s="167">
        <f>IF(AND(H125="NA",I125="NA",K125="NA"),"NA",IF(H125="NA",'Res-Rec Equations'!$B$15*'Res-Rec Equations'!$B$16/K125,IF(K125="NA",'Res-Rec Equations'!$B$15*'Res-Rec Equations'!$B$16/(H125+I125),'Res-Rec Equations'!$B$15*'Res-Rec Equations'!$B$16/(H125+I125+K125))))</f>
        <v>145.9054142872852</v>
      </c>
      <c r="N125" s="167">
        <f t="shared" si="122"/>
        <v>325.07275945207419</v>
      </c>
      <c r="O125" s="371">
        <f>IF('Chemical Info'!L126="NA","NA",IF('Chemical Info'!E126="Yes",(('Res-Rec Equations'!$B$76*'Chemical Info'!AD126*'Res-Rec Equations'!$B$78*'Res-Rec Equations'!$B$79*'Res-Rec Equations'!$B$81)/('Res-Rec Equations'!$B$84*'Res-Rec Equations'!$B$85))/'Chemical Info'!L126,(('Res-Rec Equations'!$B$76*'Chemical Info'!AD126*'Res-Rec Equations'!$B$78*'Res-Rec Equations'!$B$79*'Res-Rec Equations'!$B$80)/('Res-Rec Equations'!$B$84*'Res-Rec Equations'!$B$85))/'Chemical Info'!L126))</f>
        <v>4.4087545268461654E-4</v>
      </c>
      <c r="P125" s="166">
        <f>IF('Chemical Info'!L126="NA","NA", IF('Chemical Info'!E126="Yes",0,((('Res-Rec Equations'!$B$87*'Res-Rec Equations'!$B$88*'Res-Rec Equations'!$B$78*'Res-Rec Equations'!$B$82*'Res-Rec Equations'!$B$79*'Chemical Info'!AB126)/('Res-Rec Equations'!$B$84*'Res-Rec Equations'!$B$85))/('Chemical Info'!L126*'Chemical Info'!AF126))))</f>
        <v>7.4728389230042504E-5</v>
      </c>
      <c r="Q125" s="166" t="str">
        <f>IF('Chemical Info'!N126="NA","NA",IF('Res-Rec Calculations'!E125="NA",(('Res-Rec Equations'!$B$83*'Res-Rec Equations'!$B$79*'Res-Rec Calculations'!C125)/('Res-Rec Equations'!$B$85))/('Chemical Info'!N126),IF('Chemical Info'!E126="Yes",(('Res-Rec Equations'!$B$83*'Res-Rec Equations'!$B$79*'Res-Rec Calculations'!E125)/('Res-Rec Equations'!$B$85))/('Chemical Info'!N126),(('Res-Rec Equations'!$B$83*'Res-Rec Equations'!$B$79*('Res-Rec Calculations'!C125+'Res-Rec Calculations'!E125))/('Res-Rec Equations'!$B$85))/('Chemical Info'!N126))))</f>
        <v>NA</v>
      </c>
      <c r="R125" s="166" t="str">
        <f>IF('Chemical Info'!N126="NA","NA",IF('Res-Rec Calculations'!F125="NA",(('Res-Rec Equations'!$B$83*'Res-Rec Equations'!$B$79*'Res-Rec Calculations'!C125)/('Res-Rec Equations'!$B$85))/('Chemical Info'!N126),IF('Chemical Info'!E126="Yes",(('Res-Rec Equations'!$B$83*'Res-Rec Equations'!$B$79*'Res-Rec Calculations'!F125)/('Res-Rec Equations'!$B$85))/('Chemical Info'!N126),(('Res-Rec Equations'!$B$83*'Res-Rec Equations'!$B$79*('Res-Rec Calculations'!C125+'Res-Rec Calculations'!F125))/('Res-Rec Equations'!$B$85))/('Chemical Info'!N126))))</f>
        <v>NA</v>
      </c>
      <c r="S125" s="167">
        <f>IF(AND(O125="NA",P125="NA",Q125="NA"),"NA",IF(O125="NA",'Res-Rec Equations'!$B$75/Q125,IF(Q125="NA",'Res-Rec Equations'!$B$75/(O125+P125),'Res-Rec Equations'!$B$75/(O125+P125+Q125))))</f>
        <v>387.89470469675689</v>
      </c>
      <c r="T125" s="167">
        <f>IF(AND(O125="NA",P125="NA",R125="NA"),"NA",IF(O125="NA",'Res-Rec Equations'!$B$75/R125,IF(R125="NA",'Res-Rec Equations'!$B$75/(O125+P125),'Res-Rec Equations'!$B$75/(O125+P125+R125))))</f>
        <v>387.89470469675689</v>
      </c>
      <c r="U125" s="168">
        <f t="shared" si="123"/>
        <v>387.89470469675689</v>
      </c>
      <c r="V125" s="167" t="str">
        <f>IF('Chemical Info'!P126="NA","NA",(('Res-Rec Equations'!$B$185*'Res-Rec Equations'!$B$186)/('Res-Rec Equations'!$B$187*'Res-Rec Equations'!$B$188*(1/'Chemical Info'!P126))))</f>
        <v>NA</v>
      </c>
      <c r="W125" s="379" t="str">
        <f t="shared" si="124"/>
        <v>NA</v>
      </c>
      <c r="X125" s="372">
        <f t="shared" si="125"/>
        <v>325.07275945207419</v>
      </c>
      <c r="Y125" s="62">
        <f t="shared" si="126"/>
        <v>330</v>
      </c>
      <c r="Z125" s="100" t="str">
        <f t="shared" si="127"/>
        <v>Cancer</v>
      </c>
      <c r="AA125" s="373"/>
    </row>
    <row r="126" spans="1:28">
      <c r="A126" s="373" t="s">
        <v>384</v>
      </c>
      <c r="B126" s="566" t="s">
        <v>174</v>
      </c>
      <c r="C126" s="367">
        <f>1/(('Res-Rec Equations'!$B$152*3600)/((0.036*(1-'Res-Rec Equations'!$B$153))*('Res-Rec Equations'!$B$154/'Res-Rec Equations'!$B$155)^3*'Res-Rec Equations'!$B$156))</f>
        <v>7.3567680901159717E-10</v>
      </c>
      <c r="D126" s="368">
        <f>(('Res-Rec Equations'!$B$132^(10/3)*'Chemical Info'!$AH127*'Chemical Info'!$AN127*41+'Res-Rec Equations'!$B$135^(10/3)*'Chemical Info'!$AJ127)/'Res-Rec Equations'!$B$137^2)/('Res-Rec Equations'!$B$139*'Chemical Info'!$AL127*'Res-Rec Equations'!$B$142+'Res-Rec Equations'!$B$135+'Res-Rec Equations'!$B$132*'Chemical Info'!$AN127*41)</f>
        <v>5.774355944793546E-8</v>
      </c>
      <c r="E126" s="368">
        <f>IF(D126=0,"NA",1/(('Res-Rec Equations'!$B$103*(3.14*'Res-Rec Calculations'!$D126*'Res-Rec Equations'!$B$105)^(1/2)*0.0001)/(2*'Res-Rec Equations'!$B$106*'Res-Rec Calculations'!$D126)))</f>
        <v>1.410523608442984E-6</v>
      </c>
      <c r="F126" s="368">
        <f>IF(D126=0,"NA",(1/('Res-Rec Equations'!$B$117*('Res-Rec Equations'!$B$118*(31500000))/('Res-Rec Equations'!$B$119*'Res-Rec Equations'!$B$120*1000000))))</f>
        <v>6.1914410640015851E-5</v>
      </c>
      <c r="G126" s="167" t="str">
        <f>IF('Chemical Info'!E127="Yes",('Chemical Info'!AP127/'Res-Rec Equations'!$B$168)*((('Chemical Info'!AL127*'Res-Rec Equations'!$B$170)*'Res-Rec Equations'!$B$168)+'Res-Rec Equations'!$B$171+('Chemical Info'!AN127*41)*'Res-Rec Equations'!$B$173),"NA")</f>
        <v>NA</v>
      </c>
      <c r="H126" s="112" t="str">
        <f>IF('Chemical Info'!H127="NA","NA",IF(AND('Chemical Info'!E127="Yes",'Chemical Info'!D127="Yes"),'Chemical Info'!H127*'Chemical Info'!AD127*'Res-Rec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Info'!E127="Yes",'Chemical Info'!D127=""),'Chemical Info'!H127*'Chemical Info'!AD127*'Res-Rec Equations'!$B$20*'Res-Rec Equations'!$B$23*((('Res-Rec Equations'!$B$26*'Res-Rec Equations'!$B$29)/'Res-Rec Equations'!$B$32)+(('Res-Rec Equations'!$B$27*'Res-Rec Equations'!$B$30)/'Res-Rec Equations'!$B$33)+(('Res-Rec Equations'!$B$28*'Res-Rec Equations'!$B$31)/'Res-Rec Equations'!$B$34)),IF(AND('Chemical Info'!E127="No",'Chemical Info'!D127="Yes"),'Chemical Info'!H127*'Chemical Info'!AD127*'Res-Rec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Info'!E127="No",'Chemical Info'!D127=""),'Chemical Info'!H127*'Chemical Info'!AD127*'Res-Rec Equations'!$B$19*'Res-Rec Equations'!$B$23*((('Res-Rec Equations'!$B$26*'Res-Rec Equations'!$B$29)/'Res-Rec Equations'!$B$32)+(('Res-Rec Equations'!$B$27*'Res-Rec Equations'!$B$30)/'Res-Rec Equations'!$B$33)+(('Res-Rec Equations'!$B$28*'Res-Rec Equations'!$B$31)/'Res-Rec Equations'!$B$34)))))))</f>
        <v>NA</v>
      </c>
      <c r="I126" s="166" t="str">
        <f>IF('Chemical Info'!H127="NA","NA",IF('Chemical Info'!E127="Yes",0,IF('Chemical Info'!D127="Yes",'Chemical Info'!H127/'Chemical Info'!AF127*('Res-Rec Equations'!$B$21*'Chemical Info'!AB127*'Res-Rec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Info'!H127/'Chemical Info'!AF127*('Res-Rec Equations'!$B$21*'Chemical Info'!AB127*'Res-Rec Equations'!$B$23)*((('Res-Rec Equations'!$B$26*'Res-Rec Equations'!$B$37*'Res-Rec Equations'!$B$40)/'Res-Rec Equations'!$B$32)+(('Res-Rec Equations'!$B$27*'Res-Rec Equations'!$B$38*'Res-Rec Equations'!$B$41)/'Res-Rec Equations'!$B$33)+(('Res-Rec Equations'!$B$28*'Res-Rec Equations'!$B$39*'Res-Rec Equations'!$B$42)/'Res-Rec Equations'!$B$34)))))</f>
        <v>NA</v>
      </c>
      <c r="J126" s="369" t="str">
        <f>IF('Chemical Info'!J127="NA","NA",IF(AND(E126="NA",'Chemical Info'!D127="Yes"),'Res-Rec Equations'!$B$22*1000*(('Res-Rec Equations'!$B$26*'Chemical Info'!J127*'Res-Rec Equations'!$B$59)+('Res-Rec Equations'!$B$27*'Chemical Info'!J127*'Res-Rec Equations'!$B$60)+('Res-Rec Equations'!$B$28*'Chemical Info'!J127*'Res-Rec Equations'!$B$61))*'Res-Rec Calculations'!C126,IF(AND(E126="NA",'Chemical Info'!D127=""),'Res-Rec Equations'!$B$22*1000*'Res-Rec Equations'!$B$25*'Chemical Info'!J127*'Res-Rec Calculations'!C126,IF(AND('Chemical Info'!E127="Yes",'Chemical Info'!D127="Yes"),'Res-Rec Equations'!$B$22*1000*(('Res-Rec Equations'!$B$26*'Chemical Info'!J127*'Res-Rec Equations'!$B$59)+('Res-Rec Equations'!$B$27*'Chemical Info'!J127*'Res-Rec Equations'!$B$60)+('Res-Rec Equations'!$B$28*'Chemical Info'!J127*'Res-Rec Equations'!$B$61))*'Res-Rec Calculations'!E126,IF(AND('Chemical Info'!E127="Yes",'Chemical Info'!D127=""),'Res-Rec Equations'!$B$22*1000*'Res-Rec Equations'!$B$25*'Chemical Info'!J127*'Res-Rec Calculations'!E126,IF('Chemical Info'!D127="Yes",'Res-Rec Equations'!$B$22*1000*(('Res-Rec Equations'!$B$26*'Chemical Info'!J127*'Res-Rec Equations'!$B$59)+('Res-Rec Equations'!$B$27*'Chemical Info'!J127*'Res-Rec Equations'!$B$60)+('Res-Rec Equations'!$B$28*'Chemical Info'!J127*'Res-Rec Equations'!$B$61))*('Res-Rec Calculations'!C126+'Res-Rec Calculations'!E126),IF('Chemical Info'!D127="",'Res-Rec Equations'!$B$22*1000*'Res-Rec Equations'!$B$25*'Chemical Info'!J127*('Res-Rec Calculations'!C126+'Res-Rec Calculations'!E126))))))))</f>
        <v>NA</v>
      </c>
      <c r="K126" s="370" t="str">
        <f>IF('Chemical Info'!J127="NA","NA",IF(AND(F126="NA",'Chemical Info'!D127="Yes"),'Res-Rec Equations'!$B$22*1000*(('Res-Rec Equations'!$B$26*'Chemical Info'!J127*'Res-Rec Equations'!$B$59)+('Res-Rec Equations'!$B$27*'Chemical Info'!J127*'Res-Rec Equations'!$B$60)+('Res-Rec Equations'!$B$28*'Chemical Info'!J127*'Res-Rec Equations'!$B$61))*'Res-Rec Calculations'!C126,IF(AND(F126="NA",'Chemical Info'!D127=""),'Res-Rec Equations'!$B$22*1000*'Res-Rec Equations'!$B$25*'Chemical Info'!J127*'Res-Rec Calculations'!C126,IF(AND('Chemical Info'!F127="Yes",'Chemical Info'!D127="Yes"),'Res-Rec Equations'!$B$22*1000*(('Res-Rec Equations'!$B$26*'Chemical Info'!J127*'Res-Rec Equations'!$B$59)+('Res-Rec Equations'!$B$27*'Chemical Info'!J127*'Res-Rec Equations'!$B$60)+('Res-Rec Equations'!$B$28*'Chemical Info'!J127*'Res-Rec Equations'!$B$61))*'Res-Rec Calculations'!F126,IF(AND('Chemical Info'!F127="Yes",'Chemical Info'!D127=""),'Res-Rec Equations'!$B$22*1000*'Res-Rec Equations'!$B$25*'Chemical Info'!J127*'Res-Rec Calculations'!F126,IF('Chemical Info'!D127="Yes",'Res-Rec Equations'!$B$22*1000*(('Res-Rec Equations'!$B$26*'Chemical Info'!J127*'Res-Rec Equations'!$B$59)+('Res-Rec Equations'!$B$27*'Chemical Info'!J127*'Res-Rec Equations'!$B$60)+('Res-Rec Equations'!$B$28*'Chemical Info'!J127*'Res-Rec Equations'!$B$61))*('Res-Rec Calculations'!C126+'Res-Rec Calculations'!F126),IF('Chemical Info'!D127="",'Res-Rec Equations'!$B$22*1000*'Res-Rec Equations'!$B$25*'Chemical Info'!J127*('Res-Rec Calculations'!C126+'Res-Rec Calculations'!F126))))))))</f>
        <v>NA</v>
      </c>
      <c r="L126" s="167" t="str">
        <f>IF(AND(H126="NA",I126="NA",J126="NA"),"NA",IF(H126="NA",'Res-Rec Equations'!$B$15*'Res-Rec Equations'!$B$16/J126,IF(J126="NA",'Res-Rec Equations'!$B$15*'Res-Rec Equations'!$B$16/(H126+I126),'Res-Rec Equations'!$B$15*'Res-Rec Equations'!$B$16/(H126+I126+J126))))</f>
        <v>NA</v>
      </c>
      <c r="M126" s="167" t="str">
        <f>IF(AND(H126="NA",I126="NA",K126="NA"),"NA",IF(H126="NA",'Res-Rec Equations'!$B$15*'Res-Rec Equations'!$B$16/K126,IF(K126="NA",'Res-Rec Equations'!$B$15*'Res-Rec Equations'!$B$16/(H126+I126),'Res-Rec Equations'!$B$15*'Res-Rec Equations'!$B$16/(H126+I126+K126))))</f>
        <v>NA</v>
      </c>
      <c r="N126" s="167" t="str">
        <f t="shared" si="122"/>
        <v>NA</v>
      </c>
      <c r="O126" s="371">
        <f>IF('Chemical Info'!L127="NA","NA",IF('Chemical Info'!E127="Yes",(('Res-Rec Equations'!$B$76*'Chemical Info'!AD127*'Res-Rec Equations'!$B$78*'Res-Rec Equations'!$B$79*'Res-Rec Equations'!$B$81)/('Res-Rec Equations'!$B$84*'Res-Rec Equations'!$B$85))/'Chemical Info'!L127,(('Res-Rec Equations'!$B$76*'Chemical Info'!AD127*'Res-Rec Equations'!$B$78*'Res-Rec Equations'!$B$79*'Res-Rec Equations'!$B$80)/('Res-Rec Equations'!$B$84*'Res-Rec Equations'!$B$85))/'Chemical Info'!L127))</f>
        <v>6.3926940639269405E-4</v>
      </c>
      <c r="P126" s="166">
        <f>IF('Chemical Info'!L127="NA","NA", IF('Chemical Info'!E127="Yes",0,((('Res-Rec Equations'!$B$87*'Res-Rec Equations'!$B$88*'Res-Rec Equations'!$B$78*'Res-Rec Equations'!$B$82*'Res-Rec Equations'!$B$79*'Chemical Info'!AB127)/('Res-Rec Equations'!$B$84*'Res-Rec Equations'!$B$85))/('Chemical Info'!L127*'Chemical Info'!AF127))))</f>
        <v>1.0835616438356164E-4</v>
      </c>
      <c r="Q126" s="166" t="str">
        <f>IF('Chemical Info'!N127="NA","NA",IF('Res-Rec Calculations'!E126="NA",(('Res-Rec Equations'!$B$83*'Res-Rec Equations'!$B$79*'Res-Rec Calculations'!C126)/('Res-Rec Equations'!$B$85))/('Chemical Info'!N127),IF('Chemical Info'!E127="Yes",(('Res-Rec Equations'!$B$83*'Res-Rec Equations'!$B$79*'Res-Rec Calculations'!E126)/('Res-Rec Equations'!$B$85))/('Chemical Info'!N127),(('Res-Rec Equations'!$B$83*'Res-Rec Equations'!$B$79*('Res-Rec Calculations'!C126+'Res-Rec Calculations'!E126))/('Res-Rec Equations'!$B$85))/('Chemical Info'!N127))))</f>
        <v>NA</v>
      </c>
      <c r="R126" s="166" t="str">
        <f>IF('Chemical Info'!N127="NA","NA",IF('Res-Rec Calculations'!F126="NA",(('Res-Rec Equations'!$B$83*'Res-Rec Equations'!$B$79*'Res-Rec Calculations'!C126)/('Res-Rec Equations'!$B$85))/('Chemical Info'!N127),IF('Chemical Info'!E127="Yes",(('Res-Rec Equations'!$B$83*'Res-Rec Equations'!$B$79*'Res-Rec Calculations'!F126)/('Res-Rec Equations'!$B$85))/('Chemical Info'!N127),(('Res-Rec Equations'!$B$83*'Res-Rec Equations'!$B$79*('Res-Rec Calculations'!C126+'Res-Rec Calculations'!F126))/('Res-Rec Equations'!$B$85))/('Chemical Info'!N127))))</f>
        <v>NA</v>
      </c>
      <c r="S126" s="167">
        <f>IF(AND(O126="NA",P126="NA",Q126="NA"),"NA",IF(O126="NA",'Res-Rec Equations'!$B$75/Q126,IF(Q126="NA",'Res-Rec Equations'!$B$75/(O126+P126),'Res-Rec Equations'!$B$75/(O126+P126+Q126))))</f>
        <v>267.51358944603925</v>
      </c>
      <c r="T126" s="167">
        <f>IF(AND(O126="NA",P126="NA",R126="NA"),"NA",IF(O126="NA",'Res-Rec Equations'!$B$75/R126,IF(R126="NA",'Res-Rec Equations'!$B$75/(O126+P126),'Res-Rec Equations'!$B$75/(O126+P126+R126))))</f>
        <v>267.51358944603925</v>
      </c>
      <c r="U126" s="168">
        <f t="shared" si="123"/>
        <v>267.51358944603925</v>
      </c>
      <c r="V126" s="167" t="str">
        <f>IF('Chemical Info'!P127="NA","NA",(('Res-Rec Equations'!$B$185*'Res-Rec Equations'!$B$186)/('Res-Rec Equations'!$B$187*'Res-Rec Equations'!$B$188*(1/'Chemical Info'!P127))))</f>
        <v>NA</v>
      </c>
      <c r="W126" s="379" t="str">
        <f t="shared" si="124"/>
        <v>NA</v>
      </c>
      <c r="X126" s="372">
        <f t="shared" si="125"/>
        <v>267.51358944603925</v>
      </c>
      <c r="Y126" s="62">
        <f t="shared" si="126"/>
        <v>270</v>
      </c>
      <c r="Z126" s="100" t="str">
        <f t="shared" si="127"/>
        <v>Noncancer</v>
      </c>
      <c r="AA126" s="373"/>
    </row>
    <row r="127" spans="1:28">
      <c r="A127" s="413" t="s">
        <v>219</v>
      </c>
      <c r="B127" s="566" t="s">
        <v>220</v>
      </c>
      <c r="C127" s="367">
        <f>1/(('Res-Rec Equations'!$B$152*3600)/((0.036*(1-'Res-Rec Equations'!$B$153))*('Res-Rec Equations'!$B$154/'Res-Rec Equations'!$B$155)^3*'Res-Rec Equations'!$B$156))</f>
        <v>7.3567680901159717E-10</v>
      </c>
      <c r="D127" s="368">
        <f>(('Res-Rec Equations'!$B$132^(10/3)*'Chemical Info'!$AH128*'Chemical Info'!$AN128*41+'Res-Rec Equations'!$B$135^(10/3)*'Chemical Info'!$AJ128)/'Res-Rec Equations'!$B$137^2)/('Res-Rec Equations'!$B$139*'Chemical Info'!$AL128*'Res-Rec Equations'!$B$142+'Res-Rec Equations'!$B$135+'Res-Rec Equations'!$B$132*'Chemical Info'!$AN128*41)</f>
        <v>2.5666801484335495E-10</v>
      </c>
      <c r="E127" s="368">
        <f>IF(D127=0,"NA",1/(('Res-Rec Equations'!$B$103*(3.14*'Res-Rec Calculations'!$D127*'Res-Rec Equations'!$B$105)^(1/2)*0.0001)/(2*'Res-Rec Equations'!$B$106*'Res-Rec Calculations'!$D127)))</f>
        <v>9.4040398255135523E-8</v>
      </c>
      <c r="F127" s="368">
        <f>IF(D127=0,"NA",(1/('Res-Rec Equations'!$B$117*('Res-Rec Equations'!$B$118*(31500000))/('Res-Rec Equations'!$B$119*'Res-Rec Equations'!$B$120*1000000))))</f>
        <v>6.1914410640015851E-5</v>
      </c>
      <c r="G127" s="167" t="str">
        <f>IF('Chemical Info'!E128="Yes",('Chemical Info'!AP128/'Res-Rec Equations'!$B$168)*((('Chemical Info'!AL128*'Res-Rec Equations'!$B$170)*'Res-Rec Equations'!$B$168)+'Res-Rec Equations'!$B$171+('Chemical Info'!AN128*41)*'Res-Rec Equations'!$B$173),"NA")</f>
        <v>NA</v>
      </c>
      <c r="H127" s="112" t="str">
        <f>IF('Chemical Info'!H128="NA","NA",IF(AND('Chemical Info'!E128="Yes",'Chemical Info'!D128="Yes"),'Chemical Info'!H128*'Chemical Info'!AD128*'Res-Rec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Info'!E128="Yes",'Chemical Info'!D128=""),'Chemical Info'!H128*'Chemical Info'!AD128*'Res-Rec Equations'!$B$20*'Res-Rec Equations'!$B$23*((('Res-Rec Equations'!$B$26*'Res-Rec Equations'!$B$29)/'Res-Rec Equations'!$B$32)+(('Res-Rec Equations'!$B$27*'Res-Rec Equations'!$B$30)/'Res-Rec Equations'!$B$33)+(('Res-Rec Equations'!$B$28*'Res-Rec Equations'!$B$31)/'Res-Rec Equations'!$B$34)),IF(AND('Chemical Info'!E128="No",'Chemical Info'!D128="Yes"),'Chemical Info'!H128*'Chemical Info'!AD128*'Res-Rec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Info'!E128="No",'Chemical Info'!D128=""),'Chemical Info'!H128*'Chemical Info'!AD128*'Res-Rec Equations'!$B$19*'Res-Rec Equations'!$B$23*((('Res-Rec Equations'!$B$26*'Res-Rec Equations'!$B$29)/'Res-Rec Equations'!$B$32)+(('Res-Rec Equations'!$B$27*'Res-Rec Equations'!$B$30)/'Res-Rec Equations'!$B$33)+(('Res-Rec Equations'!$B$28*'Res-Rec Equations'!$B$31)/'Res-Rec Equations'!$B$34)))))))</f>
        <v>NA</v>
      </c>
      <c r="I127" s="166" t="str">
        <f>IF('Chemical Info'!H128="NA","NA",IF('Chemical Info'!E128="Yes",0,IF('Chemical Info'!D128="Yes",'Chemical Info'!H128/'Chemical Info'!AF128*('Res-Rec Equations'!$B$21*'Chemical Info'!AB128*'Res-Rec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Info'!H128/'Chemical Info'!AF128*('Res-Rec Equations'!$B$21*'Chemical Info'!AB128*'Res-Rec Equations'!$B$23)*((('Res-Rec Equations'!$B$26*'Res-Rec Equations'!$B$37*'Res-Rec Equations'!$B$40)/'Res-Rec Equations'!$B$32)+(('Res-Rec Equations'!$B$27*'Res-Rec Equations'!$B$38*'Res-Rec Equations'!$B$41)/'Res-Rec Equations'!$B$33)+(('Res-Rec Equations'!$B$28*'Res-Rec Equations'!$B$39*'Res-Rec Equations'!$B$42)/'Res-Rec Equations'!$B$34)))))</f>
        <v>NA</v>
      </c>
      <c r="J127" s="369" t="str">
        <f>IF('Chemical Info'!J128="NA","NA",IF(AND(E127="NA",'Chemical Info'!D128="Yes"),'Res-Rec Equations'!$B$22*1000*(('Res-Rec Equations'!$B$26*'Chemical Info'!J128*'Res-Rec Equations'!$B$59)+('Res-Rec Equations'!$B$27*'Chemical Info'!J128*'Res-Rec Equations'!$B$60)+('Res-Rec Equations'!$B$28*'Chemical Info'!J128*'Res-Rec Equations'!$B$61))*'Res-Rec Calculations'!C127,IF(AND(E127="NA",'Chemical Info'!D128=""),'Res-Rec Equations'!$B$22*1000*'Res-Rec Equations'!$B$25*'Chemical Info'!J128*'Res-Rec Calculations'!C127,IF(AND('Chemical Info'!E128="Yes",'Chemical Info'!D128="Yes"),'Res-Rec Equations'!$B$22*1000*(('Res-Rec Equations'!$B$26*'Chemical Info'!J128*'Res-Rec Equations'!$B$59)+('Res-Rec Equations'!$B$27*'Chemical Info'!J128*'Res-Rec Equations'!$B$60)+('Res-Rec Equations'!$B$28*'Chemical Info'!J128*'Res-Rec Equations'!$B$61))*'Res-Rec Calculations'!E127,IF(AND('Chemical Info'!E128="Yes",'Chemical Info'!D128=""),'Res-Rec Equations'!$B$22*1000*'Res-Rec Equations'!$B$25*'Chemical Info'!J128*'Res-Rec Calculations'!E127,IF('Chemical Info'!D128="Yes",'Res-Rec Equations'!$B$22*1000*(('Res-Rec Equations'!$B$26*'Chemical Info'!J128*'Res-Rec Equations'!$B$59)+('Res-Rec Equations'!$B$27*'Chemical Info'!J128*'Res-Rec Equations'!$B$60)+('Res-Rec Equations'!$B$28*'Chemical Info'!J128*'Res-Rec Equations'!$B$61))*('Res-Rec Calculations'!C127+'Res-Rec Calculations'!E127),IF('Chemical Info'!D128="",'Res-Rec Equations'!$B$22*1000*'Res-Rec Equations'!$B$25*'Chemical Info'!J128*('Res-Rec Calculations'!C127+'Res-Rec Calculations'!E127))))))))</f>
        <v>NA</v>
      </c>
      <c r="K127" s="370" t="str">
        <f>IF('Chemical Info'!J128="NA","NA",IF(AND(F127="NA",'Chemical Info'!D128="Yes"),'Res-Rec Equations'!$B$22*1000*(('Res-Rec Equations'!$B$26*'Chemical Info'!J128*'Res-Rec Equations'!$B$59)+('Res-Rec Equations'!$B$27*'Chemical Info'!J128*'Res-Rec Equations'!$B$60)+('Res-Rec Equations'!$B$28*'Chemical Info'!J128*'Res-Rec Equations'!$B$61))*'Res-Rec Calculations'!C127,IF(AND(F127="NA",'Chemical Info'!D128=""),'Res-Rec Equations'!$B$22*1000*'Res-Rec Equations'!$B$25*'Chemical Info'!J128*'Res-Rec Calculations'!C127,IF(AND('Chemical Info'!F128="Yes",'Chemical Info'!D128="Yes"),'Res-Rec Equations'!$B$22*1000*(('Res-Rec Equations'!$B$26*'Chemical Info'!J128*'Res-Rec Equations'!$B$59)+('Res-Rec Equations'!$B$27*'Chemical Info'!J128*'Res-Rec Equations'!$B$60)+('Res-Rec Equations'!$B$28*'Chemical Info'!J128*'Res-Rec Equations'!$B$61))*'Res-Rec Calculations'!F127,IF(AND('Chemical Info'!F128="Yes",'Chemical Info'!D128=""),'Res-Rec Equations'!$B$22*1000*'Res-Rec Equations'!$B$25*'Chemical Info'!J128*'Res-Rec Calculations'!F127,IF('Chemical Info'!D128="Yes",'Res-Rec Equations'!$B$22*1000*(('Res-Rec Equations'!$B$26*'Chemical Info'!J128*'Res-Rec Equations'!$B$59)+('Res-Rec Equations'!$B$27*'Chemical Info'!J128*'Res-Rec Equations'!$B$60)+('Res-Rec Equations'!$B$28*'Chemical Info'!J128*'Res-Rec Equations'!$B$61))*('Res-Rec Calculations'!C127+'Res-Rec Calculations'!F127),IF('Chemical Info'!D128="",'Res-Rec Equations'!$B$22*1000*'Res-Rec Equations'!$B$25*'Chemical Info'!J128*('Res-Rec Calculations'!C127+'Res-Rec Calculations'!F127))))))))</f>
        <v>NA</v>
      </c>
      <c r="L127" s="167" t="str">
        <f>IF(AND(H127="NA",I127="NA",J127="NA"),"NA",IF(H127="NA",'Res-Rec Equations'!$B$15*'Res-Rec Equations'!$B$16/J127,IF(J127="NA",'Res-Rec Equations'!$B$15*'Res-Rec Equations'!$B$16/(H127+I127),'Res-Rec Equations'!$B$15*'Res-Rec Equations'!$B$16/(H127+I127+J127))))</f>
        <v>NA</v>
      </c>
      <c r="M127" s="167" t="str">
        <f>IF(AND(H127="NA",I127="NA",K127="NA"),"NA",IF(H127="NA",'Res-Rec Equations'!$B$15*'Res-Rec Equations'!$B$16/K127,IF(K127="NA",'Res-Rec Equations'!$B$15*'Res-Rec Equations'!$B$16/(H127+I127),'Res-Rec Equations'!$B$15*'Res-Rec Equations'!$B$16/(H127+I127+K127))))</f>
        <v>NA</v>
      </c>
      <c r="N127" s="167" t="str">
        <f t="shared" si="122"/>
        <v>NA</v>
      </c>
      <c r="O127" s="371">
        <f>IF('Chemical Info'!L128="NA","NA",IF('Chemical Info'!E128="Yes",(('Res-Rec Equations'!$B$76*'Chemical Info'!AD128*'Res-Rec Equations'!$B$78*'Res-Rec Equations'!$B$79*'Res-Rec Equations'!$B$81)/('Res-Rec Equations'!$B$84*'Res-Rec Equations'!$B$85))/'Chemical Info'!L128,(('Res-Rec Equations'!$B$76*'Chemical Info'!AD128*'Res-Rec Equations'!$B$78*'Res-Rec Equations'!$B$79*'Res-Rec Equations'!$B$80)/('Res-Rec Equations'!$B$84*'Res-Rec Equations'!$B$85))/'Chemical Info'!L128))</f>
        <v>1.2785388127853881E-3</v>
      </c>
      <c r="P127" s="166">
        <f>IF('Chemical Info'!L128="NA","NA", IF('Chemical Info'!E128="Yes",0,((('Res-Rec Equations'!$B$87*'Res-Rec Equations'!$B$88*'Res-Rec Equations'!$B$78*'Res-Rec Equations'!$B$82*'Res-Rec Equations'!$B$79*'Chemical Info'!AB128)/('Res-Rec Equations'!$B$84*'Res-Rec Equations'!$B$85))/('Chemical Info'!L128*'Chemical Info'!AF128))))</f>
        <v>2.1671232876712329E-4</v>
      </c>
      <c r="Q127" s="166" t="str">
        <f>IF('Chemical Info'!N128="NA","NA",IF('Res-Rec Calculations'!E127="NA",(('Res-Rec Equations'!$B$83*'Res-Rec Equations'!$B$79*'Res-Rec Calculations'!C127)/('Res-Rec Equations'!$B$85))/('Chemical Info'!N128),IF('Chemical Info'!E128="Yes",(('Res-Rec Equations'!$B$83*'Res-Rec Equations'!$B$79*'Res-Rec Calculations'!E127)/('Res-Rec Equations'!$B$85))/('Chemical Info'!N128),(('Res-Rec Equations'!$B$83*'Res-Rec Equations'!$B$79*('Res-Rec Calculations'!C127+'Res-Rec Calculations'!E127))/('Res-Rec Equations'!$B$85))/('Chemical Info'!N128))))</f>
        <v>NA</v>
      </c>
      <c r="R127" s="166" t="str">
        <f>IF('Chemical Info'!N128="NA","NA",IF('Res-Rec Calculations'!F127="NA",(('Res-Rec Equations'!$B$83*'Res-Rec Equations'!$B$79*'Res-Rec Calculations'!C127)/('Res-Rec Equations'!$B$85))/('Chemical Info'!N128),IF('Chemical Info'!E128="Yes",(('Res-Rec Equations'!$B$83*'Res-Rec Equations'!$B$79*'Res-Rec Calculations'!F127)/('Res-Rec Equations'!$B$85))/('Chemical Info'!N128),(('Res-Rec Equations'!$B$83*'Res-Rec Equations'!$B$79*('Res-Rec Calculations'!C127+'Res-Rec Calculations'!F127))/('Res-Rec Equations'!$B$85))/('Chemical Info'!N128))))</f>
        <v>NA</v>
      </c>
      <c r="S127" s="167">
        <f>IF(AND(O127="NA",P127="NA",Q127="NA"),"NA",IF(O127="NA",'Res-Rec Equations'!$B$75/Q127,IF(Q127="NA",'Res-Rec Equations'!$B$75/(O127+P127),'Res-Rec Equations'!$B$75/(O127+P127+Q127))))</f>
        <v>133.75679472301962</v>
      </c>
      <c r="T127" s="167">
        <f>IF(AND(O127="NA",P127="NA",R127="NA"),"NA",IF(O127="NA",'Res-Rec Equations'!$B$75/R127,IF(R127="NA",'Res-Rec Equations'!$B$75/(O127+P127),'Res-Rec Equations'!$B$75/(O127+P127+R127))))</f>
        <v>133.75679472301962</v>
      </c>
      <c r="U127" s="168">
        <f t="shared" si="123"/>
        <v>133.75679472301962</v>
      </c>
      <c r="V127" s="167" t="str">
        <f>IF('Chemical Info'!P128="NA","NA",(('Res-Rec Equations'!$B$185*'Res-Rec Equations'!$B$186)/('Res-Rec Equations'!$B$187*'Res-Rec Equations'!$B$188*(1/'Chemical Info'!P128))))</f>
        <v>NA</v>
      </c>
      <c r="W127" s="379" t="str">
        <f t="shared" si="124"/>
        <v>NA</v>
      </c>
      <c r="X127" s="372">
        <f t="shared" si="125"/>
        <v>133.75679472301962</v>
      </c>
      <c r="Y127" s="62">
        <f t="shared" si="126"/>
        <v>130</v>
      </c>
      <c r="Z127" s="100" t="str">
        <f t="shared" si="127"/>
        <v>Noncancer</v>
      </c>
      <c r="AA127" s="373"/>
    </row>
    <row r="128" spans="1:28">
      <c r="A128" s="373" t="s">
        <v>385</v>
      </c>
      <c r="B128" s="566" t="s">
        <v>163</v>
      </c>
      <c r="C128" s="367">
        <f>1/(('Res-Rec Equations'!$B$152*3600)/((0.036*(1-'Res-Rec Equations'!$B$153))*('Res-Rec Equations'!$B$154/'Res-Rec Equations'!$B$155)^3*'Res-Rec Equations'!$B$156))</f>
        <v>7.3567680901159717E-10</v>
      </c>
      <c r="D128" s="368">
        <f>(('Res-Rec Equations'!$B$132^(10/3)*'Chemical Info'!$AH129*'Chemical Info'!$AN129*41+'Res-Rec Equations'!$B$135^(10/3)*'Chemical Info'!$AJ129)/'Res-Rec Equations'!$B$137^2)/('Res-Rec Equations'!$B$139*'Chemical Info'!$AL129*'Res-Rec Equations'!$B$142+'Res-Rec Equations'!$B$135+'Res-Rec Equations'!$B$132*'Chemical Info'!$AN129*41)</f>
        <v>8.1220823395500269E-6</v>
      </c>
      <c r="E128" s="368">
        <f>IF(D128=0,"NA",1/(('Res-Rec Equations'!$B$103*(3.14*'Res-Rec Calculations'!$D128*'Res-Rec Equations'!$B$105)^(1/2)*0.0001)/(2*'Res-Rec Equations'!$B$106*'Res-Rec Calculations'!$D128)))</f>
        <v>1.6728703270228687E-5</v>
      </c>
      <c r="F128" s="368">
        <f>IF(D128=0,"NA",(1/('Res-Rec Equations'!$B$117*('Res-Rec Equations'!$B$118*(31500000))/('Res-Rec Equations'!$B$119*'Res-Rec Equations'!$B$120*1000000))))</f>
        <v>6.1914410640015851E-5</v>
      </c>
      <c r="G128" s="167">
        <f>IF('Chemical Info'!E129="Yes",('Chemical Info'!AP129/'Res-Rec Equations'!$B$168)*((('Chemical Info'!AL129*'Res-Rec Equations'!$B$170)*'Res-Rec Equations'!$B$168)+'Res-Rec Equations'!$B$171+('Chemical Info'!AN129*41)*'Res-Rec Equations'!$B$173),"NA")</f>
        <v>115834.73599999999</v>
      </c>
      <c r="H128" s="112">
        <f>IF('Chemical Info'!H129="NA","NA",IF(AND('Chemical Info'!E129="Yes",'Chemical Info'!D129="Yes"),'Chemical Info'!H129*'Chemical Info'!AD129*'Res-Rec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Info'!E129="Yes",'Chemical Info'!D129=""),'Chemical Info'!H129*'Chemical Info'!AD129*'Res-Rec Equations'!$B$20*'Res-Rec Equations'!$B$23*((('Res-Rec Equations'!$B$26*'Res-Rec Equations'!$B$29)/'Res-Rec Equations'!$B$32)+(('Res-Rec Equations'!$B$27*'Res-Rec Equations'!$B$30)/'Res-Rec Equations'!$B$33)+(('Res-Rec Equations'!$B$28*'Res-Rec Equations'!$B$31)/'Res-Rec Equations'!$B$34)),IF(AND('Chemical Info'!E129="No",'Chemical Info'!D129="Yes"),'Chemical Info'!H129*'Chemical Info'!AD129*'Res-Rec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Info'!E129="No",'Chemical Info'!D129=""),'Chemical Info'!H129*'Chemical Info'!AD129*'Res-Rec Equations'!$B$19*'Res-Rec Equations'!$B$23*((('Res-Rec Equations'!$B$26*'Res-Rec Equations'!$B$29)/'Res-Rec Equations'!$B$32)+(('Res-Rec Equations'!$B$27*'Res-Rec Equations'!$B$30)/'Res-Rec Equations'!$B$33)+(('Res-Rec Equations'!$B$28*'Res-Rec Equations'!$B$31)/'Res-Rec Equations'!$B$34)))))))</f>
        <v>1.6004623044096729E-2</v>
      </c>
      <c r="I128" s="166">
        <f>IF('Chemical Info'!H129="NA","NA",IF('Chemical Info'!E129="Yes",0,IF('Chemical Info'!D129="Yes",'Chemical Info'!H129/'Chemical Info'!AF129*('Res-Rec Equations'!$B$21*'Chemical Info'!AB129*'Res-Rec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Info'!H129/'Chemical Info'!AF129*('Res-Rec Equations'!$B$21*'Chemical Info'!AB129*'Res-Rec Equations'!$B$23)*((('Res-Rec Equations'!$B$26*'Res-Rec Equations'!$B$37*'Res-Rec Equations'!$B$40)/'Res-Rec Equations'!$B$32)+(('Res-Rec Equations'!$B$27*'Res-Rec Equations'!$B$38*'Res-Rec Equations'!$B$41)/'Res-Rec Equations'!$B$33)+(('Res-Rec Equations'!$B$28*'Res-Rec Equations'!$B$39*'Res-Rec Equations'!$B$42)/'Res-Rec Equations'!$B$34)))))</f>
        <v>0</v>
      </c>
      <c r="J128" s="369">
        <f>IF('Chemical Info'!J129="NA","NA",IF(AND(E128="NA",'Chemical Info'!D129="Yes"),'Res-Rec Equations'!$B$22*1000*(('Res-Rec Equations'!$B$26*'Chemical Info'!J129*'Res-Rec Equations'!$B$59)+('Res-Rec Equations'!$B$27*'Chemical Info'!J129*'Res-Rec Equations'!$B$60)+('Res-Rec Equations'!$B$28*'Chemical Info'!J129*'Res-Rec Equations'!$B$61))*'Res-Rec Calculations'!C128,IF(AND(E128="NA",'Chemical Info'!D129=""),'Res-Rec Equations'!$B$22*1000*'Res-Rec Equations'!$B$25*'Chemical Info'!J129*'Res-Rec Calculations'!C128,IF(AND('Chemical Info'!E129="Yes",'Chemical Info'!D129="Yes"),'Res-Rec Equations'!$B$22*1000*(('Res-Rec Equations'!$B$26*'Chemical Info'!J129*'Res-Rec Equations'!$B$59)+('Res-Rec Equations'!$B$27*'Chemical Info'!J129*'Res-Rec Equations'!$B$60)+('Res-Rec Equations'!$B$28*'Chemical Info'!J129*'Res-Rec Equations'!$B$61))*'Res-Rec Calculations'!E128,IF(AND('Chemical Info'!E129="Yes",'Chemical Info'!D129=""),'Res-Rec Equations'!$B$22*1000*'Res-Rec Equations'!$B$25*'Chemical Info'!J129*'Res-Rec Calculations'!E128,IF('Chemical Info'!D129="Yes",'Res-Rec Equations'!$B$22*1000*(('Res-Rec Equations'!$B$26*'Chemical Info'!J129*'Res-Rec Equations'!$B$59)+('Res-Rec Equations'!$B$27*'Chemical Info'!J129*'Res-Rec Equations'!$B$60)+('Res-Rec Equations'!$B$28*'Chemical Info'!J129*'Res-Rec Equations'!$B$61))*('Res-Rec Calculations'!C128+'Res-Rec Calculations'!E128),IF('Chemical Info'!D129="",'Res-Rec Equations'!$B$22*1000*'Res-Rec Equations'!$B$25*'Chemical Info'!J129*('Res-Rec Calculations'!C128+'Res-Rec Calculations'!E128))))))))</f>
        <v>1.5055832943205818E-3</v>
      </c>
      <c r="K128" s="370">
        <f>IF('Chemical Info'!J129="NA","NA",IF(AND(F128="NA",'Chemical Info'!D129="Yes"),'Res-Rec Equations'!$B$22*1000*(('Res-Rec Equations'!$B$26*'Chemical Info'!J129*'Res-Rec Equations'!$B$59)+('Res-Rec Equations'!$B$27*'Chemical Info'!J129*'Res-Rec Equations'!$B$60)+('Res-Rec Equations'!$B$28*'Chemical Info'!J129*'Res-Rec Equations'!$B$61))*'Res-Rec Calculations'!C128,IF(AND(F128="NA",'Chemical Info'!D129=""),'Res-Rec Equations'!$B$22*1000*'Res-Rec Equations'!$B$25*'Chemical Info'!J129*'Res-Rec Calculations'!C128,IF(AND('Chemical Info'!F129="Yes",'Chemical Info'!D129="Yes"),'Res-Rec Equations'!$B$22*1000*(('Res-Rec Equations'!$B$26*'Chemical Info'!J129*'Res-Rec Equations'!$B$59)+('Res-Rec Equations'!$B$27*'Chemical Info'!J129*'Res-Rec Equations'!$B$60)+('Res-Rec Equations'!$B$28*'Chemical Info'!J129*'Res-Rec Equations'!$B$61))*'Res-Rec Calculations'!F128,IF(AND('Chemical Info'!F129="Yes",'Chemical Info'!D129=""),'Res-Rec Equations'!$B$22*1000*'Res-Rec Equations'!$B$25*'Chemical Info'!J129*'Res-Rec Calculations'!F128,IF('Chemical Info'!D129="Yes",'Res-Rec Equations'!$B$22*1000*(('Res-Rec Equations'!$B$26*'Chemical Info'!J129*'Res-Rec Equations'!$B$59)+('Res-Rec Equations'!$B$27*'Chemical Info'!J129*'Res-Rec Equations'!$B$60)+('Res-Rec Equations'!$B$28*'Chemical Info'!J129*'Res-Rec Equations'!$B$61))*('Res-Rec Calculations'!C128+'Res-Rec Calculations'!F128),IF('Chemical Info'!D129="",'Res-Rec Equations'!$B$22*1000*'Res-Rec Equations'!$B$25*'Chemical Info'!J129*('Res-Rec Calculations'!C128+'Res-Rec Calculations'!F128))))))))</f>
        <v>5.5723631685142376E-3</v>
      </c>
      <c r="L128" s="167">
        <f>IF(AND(H128="NA",I128="NA",J128="NA"),"NA",IF(H128="NA",'Res-Rec Equations'!$B$15*'Res-Rec Equations'!$B$16/J128,IF(J128="NA",'Res-Rec Equations'!$B$15*'Res-Rec Equations'!$B$16/(H128+I128),'Res-Rec Equations'!$B$15*'Res-Rec Equations'!$B$16/(H128+I128+J128))))</f>
        <v>14.591489960882653</v>
      </c>
      <c r="M128" s="167">
        <f>IF(AND(H128="NA",I128="NA",K128="NA"),"NA",IF(H128="NA",'Res-Rec Equations'!$B$15*'Res-Rec Equations'!$B$16/K128,IF(K128="NA",'Res-Rec Equations'!$B$15*'Res-Rec Equations'!$B$16/(H128+I128),'Res-Rec Equations'!$B$15*'Res-Rec Equations'!$B$16/(H128+I128+K128))))</f>
        <v>11.841320075121034</v>
      </c>
      <c r="N128" s="167">
        <f t="shared" si="122"/>
        <v>14.591489960882653</v>
      </c>
      <c r="O128" s="371">
        <f>IF('Chemical Info'!L129="NA","NA",IF('Chemical Info'!E129="Yes",(('Res-Rec Equations'!$B$76*'Chemical Info'!AD129*'Res-Rec Equations'!$B$78*'Res-Rec Equations'!$B$79*'Res-Rec Equations'!$B$81)/('Res-Rec Equations'!$B$84*'Res-Rec Equations'!$B$85))/'Chemical Info'!L129,(('Res-Rec Equations'!$B$76*'Chemical Info'!AD129*'Res-Rec Equations'!$B$78*'Res-Rec Equations'!$B$79*'Res-Rec Equations'!$B$80)/('Res-Rec Equations'!$B$84*'Res-Rec Equations'!$B$85))/'Chemical Info'!L129))</f>
        <v>3.6529680365296805E-4</v>
      </c>
      <c r="P128" s="166">
        <f>IF('Chemical Info'!L129="NA","NA", IF('Chemical Info'!E129="Yes",0,((('Res-Rec Equations'!$B$87*'Res-Rec Equations'!$B$88*'Res-Rec Equations'!$B$78*'Res-Rec Equations'!$B$82*'Res-Rec Equations'!$B$79*'Chemical Info'!AB129)/('Res-Rec Equations'!$B$84*'Res-Rec Equations'!$B$85))/('Chemical Info'!L129*'Chemical Info'!AF129))))</f>
        <v>0</v>
      </c>
      <c r="Q128" s="166">
        <f>IF('Chemical Info'!N129="NA","NA",IF('Res-Rec Calculations'!E128="NA",(('Res-Rec Equations'!$B$83*'Res-Rec Equations'!$B$79*'Res-Rec Calculations'!C128)/('Res-Rec Equations'!$B$85))/('Chemical Info'!N129),IF('Chemical Info'!E129="Yes",(('Res-Rec Equations'!$B$83*'Res-Rec Equations'!$B$79*'Res-Rec Calculations'!E128)/('Res-Rec Equations'!$B$85))/('Chemical Info'!N129),(('Res-Rec Equations'!$B$83*'Res-Rec Equations'!$B$79*('Res-Rec Calculations'!C128+'Res-Rec Calculations'!E128))/('Res-Rec Equations'!$B$85))/('Chemical Info'!N129))))</f>
        <v>3.819338646170933E-4</v>
      </c>
      <c r="R128" s="166">
        <f>IF('Chemical Info'!N129="NA","NA",IF('Res-Rec Calculations'!F128="NA",(('Res-Rec Equations'!$B$83*'Res-Rec Equations'!$B$79*'Res-Rec Calculations'!C128)/('Res-Rec Equations'!$B$85))/('Chemical Info'!N129),IF('Chemical Info'!E129="Yes",(('Res-Rec Equations'!$B$83*'Res-Rec Equations'!$B$79*'Res-Rec Calculations'!F128)/('Res-Rec Equations'!$B$85))/('Chemical Info'!N129),(('Res-Rec Equations'!$B$83*'Res-Rec Equations'!$B$79*('Res-Rec Calculations'!C128+'Res-Rec Calculations'!F128))/('Res-Rec Equations'!$B$85))/('Chemical Info'!N129))))</f>
        <v>1.4135710191784442E-3</v>
      </c>
      <c r="S128" s="167">
        <f>IF(AND(O128="NA",P128="NA",Q128="NA"),"NA",IF(O128="NA",'Res-Rec Equations'!$B$75/Q128,IF(Q128="NA",'Res-Rec Equations'!$B$75/(O128+P128),'Res-Rec Equations'!$B$75/(O128+P128+Q128))))</f>
        <v>267.65496719109063</v>
      </c>
      <c r="T128" s="167">
        <f>IF(AND(O128="NA",P128="NA",R128="NA"),"NA",IF(O128="NA",'Res-Rec Equations'!$B$75/R128,IF(R128="NA",'Res-Rec Equations'!$B$75/(O128+P128),'Res-Rec Equations'!$B$75/(O128+P128+R128))))</f>
        <v>112.4310628552836</v>
      </c>
      <c r="U128" s="168">
        <f t="shared" si="123"/>
        <v>267.65496719109063</v>
      </c>
      <c r="V128" s="167" t="str">
        <f>IF('Chemical Info'!P129="NA","NA",(('Res-Rec Equations'!$B$185*'Res-Rec Equations'!$B$186)/('Res-Rec Equations'!$B$187*'Res-Rec Equations'!$B$188*(1/'Chemical Info'!P129))))</f>
        <v>NA</v>
      </c>
      <c r="W128" s="379" t="str">
        <f t="shared" si="124"/>
        <v>NA</v>
      </c>
      <c r="X128" s="372">
        <f t="shared" si="125"/>
        <v>14.591489960882653</v>
      </c>
      <c r="Y128" s="62">
        <f t="shared" si="126"/>
        <v>15</v>
      </c>
      <c r="Z128" s="100" t="str">
        <f t="shared" si="127"/>
        <v>Cancer</v>
      </c>
      <c r="AA128" s="373"/>
    </row>
    <row r="129" spans="1:27">
      <c r="A129" s="413" t="s">
        <v>8</v>
      </c>
      <c r="B129" s="566" t="s">
        <v>9</v>
      </c>
      <c r="C129" s="367">
        <f>1/(('Res-Rec Equations'!$B$152*3600)/((0.036*(1-'Res-Rec Equations'!$B$153))*('Res-Rec Equations'!$B$154/'Res-Rec Equations'!$B$155)^3*'Res-Rec Equations'!$B$156))</f>
        <v>7.3567680901159717E-10</v>
      </c>
      <c r="D129" s="368">
        <f>(('Res-Rec Equations'!$B$132^(10/3)*'Chemical Info'!$AH130*'Chemical Info'!$AN130*41+'Res-Rec Equations'!$B$135^(10/3)*'Chemical Info'!$AJ130)/'Res-Rec Equations'!$B$137^2)/('Res-Rec Equations'!$B$139*'Chemical Info'!$AL130*'Res-Rec Equations'!$B$142+'Res-Rec Equations'!$B$135+'Res-Rec Equations'!$B$132*'Chemical Info'!$AN130*41)</f>
        <v>9.5241906324870432E-7</v>
      </c>
      <c r="E129" s="368">
        <f>IF(D129=0,"NA",1/(('Res-Rec Equations'!$B$103*(3.14*'Res-Rec Calculations'!$D129*'Res-Rec Equations'!$B$105)^(1/2)*0.0001)/(2*'Res-Rec Equations'!$B$106*'Res-Rec Calculations'!$D129)))</f>
        <v>5.7285225049457281E-6</v>
      </c>
      <c r="F129" s="368">
        <f>IF(D129=0,"NA",(1/('Res-Rec Equations'!$B$117*('Res-Rec Equations'!$B$118*(31500000))/('Res-Rec Equations'!$B$119*'Res-Rec Equations'!$B$120*1000000))))</f>
        <v>6.1914410640015851E-5</v>
      </c>
      <c r="G129" s="167" t="str">
        <f>IF('Chemical Info'!E130="Yes",('Chemical Info'!AP130/'Res-Rec Equations'!$B$168)*((('Chemical Info'!AL130*'Res-Rec Equations'!$B$170)*'Res-Rec Equations'!$B$168)+'Res-Rec Equations'!$B$171+('Chemical Info'!AN130*41)*'Res-Rec Equations'!$B$173),"NA")</f>
        <v>NA</v>
      </c>
      <c r="H129" s="112" t="str">
        <f>IF('Chemical Info'!H130="NA","NA",IF(AND('Chemical Info'!E130="Yes",'Chemical Info'!D130="Yes"),'Chemical Info'!H130*'Chemical Info'!AD130*'Res-Rec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Info'!E130="Yes",'Chemical Info'!D130=""),'Chemical Info'!H130*'Chemical Info'!AD130*'Res-Rec Equations'!$B$20*'Res-Rec Equations'!$B$23*((('Res-Rec Equations'!$B$26*'Res-Rec Equations'!$B$29)/'Res-Rec Equations'!$B$32)+(('Res-Rec Equations'!$B$27*'Res-Rec Equations'!$B$30)/'Res-Rec Equations'!$B$33)+(('Res-Rec Equations'!$B$28*'Res-Rec Equations'!$B$31)/'Res-Rec Equations'!$B$34)),IF(AND('Chemical Info'!E130="No",'Chemical Info'!D130="Yes"),'Chemical Info'!H130*'Chemical Info'!AD130*'Res-Rec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Info'!E130="No",'Chemical Info'!D130=""),'Chemical Info'!H130*'Chemical Info'!AD130*'Res-Rec Equations'!$B$19*'Res-Rec Equations'!$B$23*((('Res-Rec Equations'!$B$26*'Res-Rec Equations'!$B$29)/'Res-Rec Equations'!$B$32)+(('Res-Rec Equations'!$B$27*'Res-Rec Equations'!$B$30)/'Res-Rec Equations'!$B$33)+(('Res-Rec Equations'!$B$28*'Res-Rec Equations'!$B$31)/'Res-Rec Equations'!$B$34)))))))</f>
        <v>NA</v>
      </c>
      <c r="I129" s="166" t="str">
        <f>IF('Chemical Info'!H130="NA","NA",IF('Chemical Info'!E130="Yes",0,IF('Chemical Info'!D130="Yes",'Chemical Info'!H130/'Chemical Info'!AF130*('Res-Rec Equations'!$B$21*'Chemical Info'!AB130*'Res-Rec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Info'!H130/'Chemical Info'!AF130*('Res-Rec Equations'!$B$21*'Chemical Info'!AB130*'Res-Rec Equations'!$B$23)*((('Res-Rec Equations'!$B$26*'Res-Rec Equations'!$B$37*'Res-Rec Equations'!$B$40)/'Res-Rec Equations'!$B$32)+(('Res-Rec Equations'!$B$27*'Res-Rec Equations'!$B$38*'Res-Rec Equations'!$B$41)/'Res-Rec Equations'!$B$33)+(('Res-Rec Equations'!$B$28*'Res-Rec Equations'!$B$39*'Res-Rec Equations'!$B$42)/'Res-Rec Equations'!$B$34)))))</f>
        <v>NA</v>
      </c>
      <c r="J129" s="369" t="str">
        <f>IF('Chemical Info'!J130="NA","NA",IF(AND(E129="NA",'Chemical Info'!D130="Yes"),'Res-Rec Equations'!$B$22*1000*(('Res-Rec Equations'!$B$26*'Chemical Info'!J130*'Res-Rec Equations'!$B$59)+('Res-Rec Equations'!$B$27*'Chemical Info'!J130*'Res-Rec Equations'!$B$60)+('Res-Rec Equations'!$B$28*'Chemical Info'!J130*'Res-Rec Equations'!$B$61))*'Res-Rec Calculations'!C129,IF(AND(E129="NA",'Chemical Info'!D130=""),'Res-Rec Equations'!$B$22*1000*'Res-Rec Equations'!$B$25*'Chemical Info'!J130*'Res-Rec Calculations'!C129,IF(AND('Chemical Info'!E130="Yes",'Chemical Info'!D130="Yes"),'Res-Rec Equations'!$B$22*1000*(('Res-Rec Equations'!$B$26*'Chemical Info'!J130*'Res-Rec Equations'!$B$59)+('Res-Rec Equations'!$B$27*'Chemical Info'!J130*'Res-Rec Equations'!$B$60)+('Res-Rec Equations'!$B$28*'Chemical Info'!J130*'Res-Rec Equations'!$B$61))*'Res-Rec Calculations'!E129,IF(AND('Chemical Info'!E130="Yes",'Chemical Info'!D130=""),'Res-Rec Equations'!$B$22*1000*'Res-Rec Equations'!$B$25*'Chemical Info'!J130*'Res-Rec Calculations'!E129,IF('Chemical Info'!D130="Yes",'Res-Rec Equations'!$B$22*1000*(('Res-Rec Equations'!$B$26*'Chemical Info'!J130*'Res-Rec Equations'!$B$59)+('Res-Rec Equations'!$B$27*'Chemical Info'!J130*'Res-Rec Equations'!$B$60)+('Res-Rec Equations'!$B$28*'Chemical Info'!J130*'Res-Rec Equations'!$B$61))*('Res-Rec Calculations'!C129+'Res-Rec Calculations'!E129),IF('Chemical Info'!D130="",'Res-Rec Equations'!$B$22*1000*'Res-Rec Equations'!$B$25*'Chemical Info'!J130*('Res-Rec Calculations'!C129+'Res-Rec Calculations'!E129))))))))</f>
        <v>NA</v>
      </c>
      <c r="K129" s="370" t="str">
        <f>IF('Chemical Info'!J130="NA","NA",IF(AND(F129="NA",'Chemical Info'!D130="Yes"),'Res-Rec Equations'!$B$22*1000*(('Res-Rec Equations'!$B$26*'Chemical Info'!J130*'Res-Rec Equations'!$B$59)+('Res-Rec Equations'!$B$27*'Chemical Info'!J130*'Res-Rec Equations'!$B$60)+('Res-Rec Equations'!$B$28*'Chemical Info'!J130*'Res-Rec Equations'!$B$61))*'Res-Rec Calculations'!C129,IF(AND(F129="NA",'Chemical Info'!D130=""),'Res-Rec Equations'!$B$22*1000*'Res-Rec Equations'!$B$25*'Chemical Info'!J130*'Res-Rec Calculations'!C129,IF(AND('Chemical Info'!F130="Yes",'Chemical Info'!D130="Yes"),'Res-Rec Equations'!$B$22*1000*(('Res-Rec Equations'!$B$26*'Chemical Info'!J130*'Res-Rec Equations'!$B$59)+('Res-Rec Equations'!$B$27*'Chemical Info'!J130*'Res-Rec Equations'!$B$60)+('Res-Rec Equations'!$B$28*'Chemical Info'!J130*'Res-Rec Equations'!$B$61))*'Res-Rec Calculations'!F129,IF(AND('Chemical Info'!F130="Yes",'Chemical Info'!D130=""),'Res-Rec Equations'!$B$22*1000*'Res-Rec Equations'!$B$25*'Chemical Info'!J130*'Res-Rec Calculations'!F129,IF('Chemical Info'!D130="Yes",'Res-Rec Equations'!$B$22*1000*(('Res-Rec Equations'!$B$26*'Chemical Info'!J130*'Res-Rec Equations'!$B$59)+('Res-Rec Equations'!$B$27*'Chemical Info'!J130*'Res-Rec Equations'!$B$60)+('Res-Rec Equations'!$B$28*'Chemical Info'!J130*'Res-Rec Equations'!$B$61))*('Res-Rec Calculations'!C129+'Res-Rec Calculations'!F129),IF('Chemical Info'!D130="",'Res-Rec Equations'!$B$22*1000*'Res-Rec Equations'!$B$25*'Chemical Info'!J130*('Res-Rec Calculations'!C129+'Res-Rec Calculations'!F129))))))))</f>
        <v>NA</v>
      </c>
      <c r="L129" s="167" t="str">
        <f>IF(AND(H129="NA",I129="NA",J129="NA"),"NA",IF(H129="NA",'Res-Rec Equations'!$B$15*'Res-Rec Equations'!$B$16/J129,IF(J129="NA",'Res-Rec Equations'!$B$15*'Res-Rec Equations'!$B$16/(H129+I129),'Res-Rec Equations'!$B$15*'Res-Rec Equations'!$B$16/(H129+I129+J129))))</f>
        <v>NA</v>
      </c>
      <c r="M129" s="167" t="str">
        <f>IF(AND(H129="NA",I129="NA",K129="NA"),"NA",IF(H129="NA",'Res-Rec Equations'!$B$15*'Res-Rec Equations'!$B$16/K129,IF(K129="NA",'Res-Rec Equations'!$B$15*'Res-Rec Equations'!$B$16/(H129+I129),'Res-Rec Equations'!$B$15*'Res-Rec Equations'!$B$16/(H129+I129+K129))))</f>
        <v>NA</v>
      </c>
      <c r="N129" s="167" t="str">
        <f t="shared" si="122"/>
        <v>NA</v>
      </c>
      <c r="O129" s="371">
        <f>IF('Chemical Info'!L130="NA","NA",IF('Chemical Info'!E130="Yes",(('Res-Rec Equations'!$B$76*'Chemical Info'!AD130*'Res-Rec Equations'!$B$78*'Res-Rec Equations'!$B$79*'Res-Rec Equations'!$B$81)/('Res-Rec Equations'!$B$84*'Res-Rec Equations'!$B$85))/'Chemical Info'!L130,(('Res-Rec Equations'!$B$76*'Chemical Info'!AD130*'Res-Rec Equations'!$B$78*'Res-Rec Equations'!$B$79*'Res-Rec Equations'!$B$80)/('Res-Rec Equations'!$B$84*'Res-Rec Equations'!$B$85))/'Chemical Info'!L130))</f>
        <v>3.8743600387436E-5</v>
      </c>
      <c r="P129" s="166">
        <f>IF('Chemical Info'!L130="NA","NA", IF('Chemical Info'!E130="Yes",0,((('Res-Rec Equations'!$B$87*'Res-Rec Equations'!$B$88*'Res-Rec Equations'!$B$78*'Res-Rec Equations'!$B$82*'Res-Rec Equations'!$B$79*'Chemical Info'!AB130)/('Res-Rec Equations'!$B$84*'Res-Rec Equations'!$B$85))/('Chemical Info'!L130*'Chemical Info'!AF130))))</f>
        <v>6.5670402656704018E-6</v>
      </c>
      <c r="Q129" s="166">
        <f>IF('Chemical Info'!N130="NA","NA",IF('Res-Rec Calculations'!E129="NA",(('Res-Rec Equations'!$B$83*'Res-Rec Equations'!$B$79*'Res-Rec Calculations'!C129)/('Res-Rec Equations'!$B$85))/('Chemical Info'!N130),IF('Chemical Info'!E130="Yes",(('Res-Rec Equations'!$B$83*'Res-Rec Equations'!$B$79*'Res-Rec Calculations'!E129)/('Res-Rec Equations'!$B$85))/('Chemical Info'!N130),(('Res-Rec Equations'!$B$83*'Res-Rec Equations'!$B$79*('Res-Rec Calculations'!C129+'Res-Rec Calculations'!E129))/('Res-Rec Equations'!$B$85))/('Chemical Info'!N130))))</f>
        <v>9.8103735988951023E-6</v>
      </c>
      <c r="R129" s="166">
        <f>IF('Chemical Info'!N130="NA","NA",IF('Res-Rec Calculations'!F129="NA",(('Res-Rec Equations'!$B$83*'Res-Rec Equations'!$B$79*'Res-Rec Calculations'!C129)/('Res-Rec Equations'!$B$85))/('Chemical Info'!N130),IF('Chemical Info'!E130="Yes",(('Res-Rec Equations'!$B$83*'Res-Rec Equations'!$B$79*'Res-Rec Calculations'!F129)/('Res-Rec Equations'!$B$85))/('Chemical Info'!N130),(('Res-Rec Equations'!$B$83*'Res-Rec Equations'!$B$79*('Res-Rec Calculations'!C129+'Res-Rec Calculations'!F129))/('Res-Rec Equations'!$B$85))/('Chemical Info'!N130))))</f>
        <v>1.0601908615894667E-4</v>
      </c>
      <c r="S129" s="167">
        <f>IF(AND(O129="NA",P129="NA",Q129="NA"),"NA",IF(O129="NA",'Res-Rec Equations'!$B$75/Q129,IF(Q129="NA",'Res-Rec Equations'!$B$75/(O129+P129),'Res-Rec Equations'!$B$75/(O129+P129+Q129))))</f>
        <v>3628.3802595801799</v>
      </c>
      <c r="T129" s="167">
        <f>IF(AND(O129="NA",P129="NA",R129="NA"),"NA",IF(O129="NA",'Res-Rec Equations'!$B$75/R129,IF(R129="NA",'Res-Rec Equations'!$B$75/(O129+P129),'Res-Rec Equations'!$B$75/(O129+P129+R129))))</f>
        <v>1321.6173993916868</v>
      </c>
      <c r="U129" s="168">
        <f t="shared" si="123"/>
        <v>3628.3802595801799</v>
      </c>
      <c r="V129" s="167" t="str">
        <f>IF('Chemical Info'!P130="NA","NA",(('Res-Rec Equations'!$B$185*'Res-Rec Equations'!$B$186)/('Res-Rec Equations'!$B$187*'Res-Rec Equations'!$B$188*(1/'Chemical Info'!P130))))</f>
        <v>NA</v>
      </c>
      <c r="W129" s="379" t="str">
        <f t="shared" si="124"/>
        <v>NA</v>
      </c>
      <c r="X129" s="372">
        <f t="shared" si="125"/>
        <v>3628.3802595801799</v>
      </c>
      <c r="Y129" s="62">
        <f t="shared" si="126"/>
        <v>3600</v>
      </c>
      <c r="Z129" s="100" t="str">
        <f t="shared" si="127"/>
        <v>Noncancer</v>
      </c>
      <c r="AA129" s="373"/>
    </row>
    <row r="130" spans="1:27">
      <c r="A130" s="413" t="s">
        <v>164</v>
      </c>
      <c r="B130" s="566" t="s">
        <v>165</v>
      </c>
      <c r="C130" s="367">
        <f>1/(('Res-Rec Equations'!$B$152*3600)/((0.036*(1-'Res-Rec Equations'!$B$153))*('Res-Rec Equations'!$B$154/'Res-Rec Equations'!$B$155)^3*'Res-Rec Equations'!$B$156))</f>
        <v>7.3567680901159717E-10</v>
      </c>
      <c r="D130" s="368">
        <f>(('Res-Rec Equations'!$B$132^(10/3)*'Chemical Info'!$AH131*'Chemical Info'!$AN131*41+'Res-Rec Equations'!$B$135^(10/3)*'Chemical Info'!$AJ131)/'Res-Rec Equations'!$B$137^2)/('Res-Rec Equations'!$B$139*'Chemical Info'!$AL131*'Res-Rec Equations'!$B$142+'Res-Rec Equations'!$B$135+'Res-Rec Equations'!$B$132*'Chemical Info'!$AN131*41)</f>
        <v>2.1491527428971095E-6</v>
      </c>
      <c r="E130" s="368">
        <f>IF(D130=0,"NA",1/(('Res-Rec Equations'!$B$103*(3.14*'Res-Rec Calculations'!$D130*'Res-Rec Equations'!$B$105)^(1/2)*0.0001)/(2*'Res-Rec Equations'!$B$106*'Res-Rec Calculations'!$D130)))</f>
        <v>8.6052248967956171E-6</v>
      </c>
      <c r="F130" s="368">
        <f>IF(D130=0,"NA",(1/('Res-Rec Equations'!$B$117*('Res-Rec Equations'!$B$118*(31500000))/('Res-Rec Equations'!$B$119*'Res-Rec Equations'!$B$120*1000000))))</f>
        <v>6.1914410640015851E-5</v>
      </c>
      <c r="G130" s="167">
        <f>IF('Chemical Info'!E131="Yes",('Chemical Info'!AP131/'Res-Rec Equations'!$B$168)*((('Chemical Info'!AL131*'Res-Rec Equations'!$B$170)*'Res-Rec Equations'!$B$168)+'Res-Rec Equations'!$B$171+('Chemical Info'!AN131*41)*'Res-Rec Equations'!$B$173),"NA")</f>
        <v>42401.031669333337</v>
      </c>
      <c r="H130" s="112" t="str">
        <f>IF('Chemical Info'!H131="NA","NA",IF(AND('Chemical Info'!E131="Yes",'Chemical Info'!D131="Yes"),'Chemical Info'!H131*'Chemical Info'!AD131*'Res-Rec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Info'!E131="Yes",'Chemical Info'!D131=""),'Chemical Info'!H131*'Chemical Info'!AD131*'Res-Rec Equations'!$B$20*'Res-Rec Equations'!$B$23*((('Res-Rec Equations'!$B$26*'Res-Rec Equations'!$B$29)/'Res-Rec Equations'!$B$32)+(('Res-Rec Equations'!$B$27*'Res-Rec Equations'!$B$30)/'Res-Rec Equations'!$B$33)+(('Res-Rec Equations'!$B$28*'Res-Rec Equations'!$B$31)/'Res-Rec Equations'!$B$34)),IF(AND('Chemical Info'!E131="No",'Chemical Info'!D131="Yes"),'Chemical Info'!H131*'Chemical Info'!AD131*'Res-Rec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Info'!E131="No",'Chemical Info'!D131=""),'Chemical Info'!H131*'Chemical Info'!AD131*'Res-Rec Equations'!$B$19*'Res-Rec Equations'!$B$23*((('Res-Rec Equations'!$B$26*'Res-Rec Equations'!$B$29)/'Res-Rec Equations'!$B$32)+(('Res-Rec Equations'!$B$27*'Res-Rec Equations'!$B$30)/'Res-Rec Equations'!$B$33)+(('Res-Rec Equations'!$B$28*'Res-Rec Equations'!$B$31)/'Res-Rec Equations'!$B$34)))))))</f>
        <v>NA</v>
      </c>
      <c r="I130" s="166" t="str">
        <f>IF('Chemical Info'!H131="NA","NA",IF('Chemical Info'!E131="Yes",0,IF('Chemical Info'!D131="Yes",'Chemical Info'!H131/'Chemical Info'!AF131*('Res-Rec Equations'!$B$21*'Chemical Info'!AB131*'Res-Rec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Info'!H131/'Chemical Info'!AF131*('Res-Rec Equations'!$B$21*'Chemical Info'!AB131*'Res-Rec Equations'!$B$23)*((('Res-Rec Equations'!$B$26*'Res-Rec Equations'!$B$37*'Res-Rec Equations'!$B$40)/'Res-Rec Equations'!$B$32)+(('Res-Rec Equations'!$B$27*'Res-Rec Equations'!$B$38*'Res-Rec Equations'!$B$41)/'Res-Rec Equations'!$B$33)+(('Res-Rec Equations'!$B$28*'Res-Rec Equations'!$B$39*'Res-Rec Equations'!$B$42)/'Res-Rec Equations'!$B$34)))))</f>
        <v>NA</v>
      </c>
      <c r="J130" s="369" t="str">
        <f>IF('Chemical Info'!J131="NA","NA",IF(AND(E130="NA",'Chemical Info'!D131="Yes"),'Res-Rec Equations'!$B$22*1000*(('Res-Rec Equations'!$B$26*'Chemical Info'!J131*'Res-Rec Equations'!$B$59)+('Res-Rec Equations'!$B$27*'Chemical Info'!J131*'Res-Rec Equations'!$B$60)+('Res-Rec Equations'!$B$28*'Chemical Info'!J131*'Res-Rec Equations'!$B$61))*'Res-Rec Calculations'!C130,IF(AND(E130="NA",'Chemical Info'!D131=""),'Res-Rec Equations'!$B$22*1000*'Res-Rec Equations'!$B$25*'Chemical Info'!J131*'Res-Rec Calculations'!C130,IF(AND('Chemical Info'!E131="Yes",'Chemical Info'!D131="Yes"),'Res-Rec Equations'!$B$22*1000*(('Res-Rec Equations'!$B$26*'Chemical Info'!J131*'Res-Rec Equations'!$B$59)+('Res-Rec Equations'!$B$27*'Chemical Info'!J131*'Res-Rec Equations'!$B$60)+('Res-Rec Equations'!$B$28*'Chemical Info'!J131*'Res-Rec Equations'!$B$61))*'Res-Rec Calculations'!E130,IF(AND('Chemical Info'!E131="Yes",'Chemical Info'!D131=""),'Res-Rec Equations'!$B$22*1000*'Res-Rec Equations'!$B$25*'Chemical Info'!J131*'Res-Rec Calculations'!E130,IF('Chemical Info'!D131="Yes",'Res-Rec Equations'!$B$22*1000*(('Res-Rec Equations'!$B$26*'Chemical Info'!J131*'Res-Rec Equations'!$B$59)+('Res-Rec Equations'!$B$27*'Chemical Info'!J131*'Res-Rec Equations'!$B$60)+('Res-Rec Equations'!$B$28*'Chemical Info'!J131*'Res-Rec Equations'!$B$61))*('Res-Rec Calculations'!C130+'Res-Rec Calculations'!E130),IF('Chemical Info'!D131="",'Res-Rec Equations'!$B$22*1000*'Res-Rec Equations'!$B$25*'Chemical Info'!J131*('Res-Rec Calculations'!C130+'Res-Rec Calculations'!E130))))))))</f>
        <v>NA</v>
      </c>
      <c r="K130" s="370" t="str">
        <f>IF('Chemical Info'!J131="NA","NA",IF(AND(F130="NA",'Chemical Info'!D131="Yes"),'Res-Rec Equations'!$B$22*1000*(('Res-Rec Equations'!$B$26*'Chemical Info'!J131*'Res-Rec Equations'!$B$59)+('Res-Rec Equations'!$B$27*'Chemical Info'!J131*'Res-Rec Equations'!$B$60)+('Res-Rec Equations'!$B$28*'Chemical Info'!J131*'Res-Rec Equations'!$B$61))*'Res-Rec Calculations'!C130,IF(AND(F130="NA",'Chemical Info'!D131=""),'Res-Rec Equations'!$B$22*1000*'Res-Rec Equations'!$B$25*'Chemical Info'!J131*'Res-Rec Calculations'!C130,IF(AND('Chemical Info'!F131="Yes",'Chemical Info'!D131="Yes"),'Res-Rec Equations'!$B$22*1000*(('Res-Rec Equations'!$B$26*'Chemical Info'!J131*'Res-Rec Equations'!$B$59)+('Res-Rec Equations'!$B$27*'Chemical Info'!J131*'Res-Rec Equations'!$B$60)+('Res-Rec Equations'!$B$28*'Chemical Info'!J131*'Res-Rec Equations'!$B$61))*'Res-Rec Calculations'!F130,IF(AND('Chemical Info'!F131="Yes",'Chemical Info'!D131=""),'Res-Rec Equations'!$B$22*1000*'Res-Rec Equations'!$B$25*'Chemical Info'!J131*'Res-Rec Calculations'!F130,IF('Chemical Info'!D131="Yes",'Res-Rec Equations'!$B$22*1000*(('Res-Rec Equations'!$B$26*'Chemical Info'!J131*'Res-Rec Equations'!$B$59)+('Res-Rec Equations'!$B$27*'Chemical Info'!J131*'Res-Rec Equations'!$B$60)+('Res-Rec Equations'!$B$28*'Chemical Info'!J131*'Res-Rec Equations'!$B$61))*('Res-Rec Calculations'!C130+'Res-Rec Calculations'!F130),IF('Chemical Info'!D131="",'Res-Rec Equations'!$B$22*1000*'Res-Rec Equations'!$B$25*'Chemical Info'!J131*('Res-Rec Calculations'!C130+'Res-Rec Calculations'!F130))))))))</f>
        <v>NA</v>
      </c>
      <c r="L130" s="167" t="str">
        <f>IF(AND(H130="NA",I130="NA",J130="NA"),"NA",IF(H130="NA",'Res-Rec Equations'!$B$15*'Res-Rec Equations'!$B$16/J130,IF(J130="NA",'Res-Rec Equations'!$B$15*'Res-Rec Equations'!$B$16/(H130+I130),'Res-Rec Equations'!$B$15*'Res-Rec Equations'!$B$16/(H130+I130+J130))))</f>
        <v>NA</v>
      </c>
      <c r="M130" s="167" t="str">
        <f>IF(AND(H130="NA",I130="NA",K130="NA"),"NA",IF(H130="NA",'Res-Rec Equations'!$B$15*'Res-Rec Equations'!$B$16/K130,IF(K130="NA",'Res-Rec Equations'!$B$15*'Res-Rec Equations'!$B$16/(H130+I130),'Res-Rec Equations'!$B$15*'Res-Rec Equations'!$B$16/(H130+I130+K130))))</f>
        <v>NA</v>
      </c>
      <c r="N130" s="167" t="str">
        <f t="shared" si="122"/>
        <v>NA</v>
      </c>
      <c r="O130" s="371">
        <f>IF('Chemical Info'!L131="NA","NA",IF('Chemical Info'!E131="Yes",(('Res-Rec Equations'!$B$76*'Chemical Info'!AD131*'Res-Rec Equations'!$B$78*'Res-Rec Equations'!$B$79*'Res-Rec Equations'!$B$81)/('Res-Rec Equations'!$B$84*'Res-Rec Equations'!$B$85))/'Chemical Info'!L131,(('Res-Rec Equations'!$B$76*'Chemical Info'!AD131*'Res-Rec Equations'!$B$78*'Res-Rec Equations'!$B$79*'Res-Rec Equations'!$B$80)/('Res-Rec Equations'!$B$84*'Res-Rec Equations'!$B$85))/'Chemical Info'!L131))</f>
        <v>4.5662100456621006E-5</v>
      </c>
      <c r="P130" s="166">
        <f>IF('Chemical Info'!L131="NA","NA", IF('Chemical Info'!E131="Yes",0,((('Res-Rec Equations'!$B$87*'Res-Rec Equations'!$B$88*'Res-Rec Equations'!$B$78*'Res-Rec Equations'!$B$82*'Res-Rec Equations'!$B$79*'Chemical Info'!AB131)/('Res-Rec Equations'!$B$84*'Res-Rec Equations'!$B$85))/('Chemical Info'!L131*'Chemical Info'!AF131))))</f>
        <v>0</v>
      </c>
      <c r="Q130" s="166">
        <f>IF('Chemical Info'!N131="NA","NA",IF('Res-Rec Calculations'!E130="NA",(('Res-Rec Equations'!$B$83*'Res-Rec Equations'!$B$79*'Res-Rec Calculations'!C130)/('Res-Rec Equations'!$B$85))/('Chemical Info'!N131),IF('Chemical Info'!E131="Yes",(('Res-Rec Equations'!$B$83*'Res-Rec Equations'!$B$79*'Res-Rec Calculations'!E130)/('Res-Rec Equations'!$B$85))/('Chemical Info'!N131),(('Res-Rec Equations'!$B$83*'Res-Rec Equations'!$B$79*('Res-Rec Calculations'!C130+'Res-Rec Calculations'!E130))/('Res-Rec Equations'!$B$85))/('Chemical Info'!N131))))</f>
        <v>8.4199852219135195E-4</v>
      </c>
      <c r="R130" s="166">
        <f>IF('Chemical Info'!N131="NA","NA",IF('Res-Rec Calculations'!F130="NA",(('Res-Rec Equations'!$B$83*'Res-Rec Equations'!$B$79*'Res-Rec Calculations'!C130)/('Res-Rec Equations'!$B$85))/('Chemical Info'!N131),IF('Chemical Info'!E131="Yes",(('Res-Rec Equations'!$B$83*'Res-Rec Equations'!$B$79*'Res-Rec Calculations'!F130)/('Res-Rec Equations'!$B$85))/('Chemical Info'!N131),(('Res-Rec Equations'!$B$83*'Res-Rec Equations'!$B$79*('Res-Rec Calculations'!C130+'Res-Rec Calculations'!F130))/('Res-Rec Equations'!$B$85))/('Chemical Info'!N131))))</f>
        <v>6.0581615107647598E-3</v>
      </c>
      <c r="S130" s="167">
        <f>IF(AND(O130="NA",P130="NA",Q130="NA"),"NA",IF(O130="NA",'Res-Rec Equations'!$B$75/Q130,IF(Q130="NA",'Res-Rec Equations'!$B$75/(O130+P130),'Res-Rec Equations'!$B$75/(O130+P130+Q130))))</f>
        <v>225.3113350949169</v>
      </c>
      <c r="T130" s="167">
        <f>IF(AND(O130="NA",P130="NA",R130="NA"),"NA",IF(O130="NA",'Res-Rec Equations'!$B$75/R130,IF(R130="NA",'Res-Rec Equations'!$B$75/(O130+P130),'Res-Rec Equations'!$B$75/(O130+P130+R130))))</f>
        <v>32.766346594996023</v>
      </c>
      <c r="U130" s="168">
        <f t="shared" si="123"/>
        <v>225.3113350949169</v>
      </c>
      <c r="V130" s="167" t="str">
        <f>IF('Chemical Info'!P131="NA","NA",(('Res-Rec Equations'!$B$185*'Res-Rec Equations'!$B$186)/('Res-Rec Equations'!$B$187*'Res-Rec Equations'!$B$188*(1/'Chemical Info'!P131))))</f>
        <v>NA</v>
      </c>
      <c r="W130" s="379" t="str">
        <f t="shared" si="124"/>
        <v>NA</v>
      </c>
      <c r="X130" s="372">
        <f t="shared" si="125"/>
        <v>225.3113350949169</v>
      </c>
      <c r="Y130" s="62">
        <f t="shared" si="126"/>
        <v>230</v>
      </c>
      <c r="Z130" s="100" t="str">
        <f t="shared" si="127"/>
        <v>Noncancer</v>
      </c>
      <c r="AA130" s="373"/>
    </row>
    <row r="131" spans="1:27">
      <c r="A131" s="413" t="s">
        <v>89</v>
      </c>
      <c r="B131" s="566" t="s">
        <v>90</v>
      </c>
      <c r="C131" s="367">
        <f>1/(('Res-Rec Equations'!$B$152*3600)/((0.036*(1-'Res-Rec Equations'!$B$153))*('Res-Rec Equations'!$B$154/'Res-Rec Equations'!$B$155)^3*'Res-Rec Equations'!$B$156))</f>
        <v>7.3567680901159717E-10</v>
      </c>
      <c r="D131" s="368">
        <f>(('Res-Rec Equations'!$B$132^(10/3)*'Chemical Info'!$AH132*'Chemical Info'!$AN132*41+'Res-Rec Equations'!$B$135^(10/3)*'Chemical Info'!$AJ132)/'Res-Rec Equations'!$B$137^2)/('Res-Rec Equations'!$B$139*'Chemical Info'!$AL132*'Res-Rec Equations'!$B$142+'Res-Rec Equations'!$B$135+'Res-Rec Equations'!$B$132*'Chemical Info'!$AN132*41)</f>
        <v>5.4082584429949048E-6</v>
      </c>
      <c r="E131" s="368">
        <f>IF(D131=0,"NA",1/(('Res-Rec Equations'!$B$103*(3.14*'Res-Rec Calculations'!$D131*'Res-Rec Equations'!$B$105)^(1/2)*0.0001)/(2*'Res-Rec Equations'!$B$106*'Res-Rec Calculations'!$D131)))</f>
        <v>1.3650774808172042E-5</v>
      </c>
      <c r="F131" s="368">
        <f>IF(D131=0,"NA",(1/('Res-Rec Equations'!$B$117*('Res-Rec Equations'!$B$118*(31500000))/('Res-Rec Equations'!$B$119*'Res-Rec Equations'!$B$120*1000000))))</f>
        <v>6.1914410640015851E-5</v>
      </c>
      <c r="G131" s="167">
        <f>IF('Chemical Info'!E132="Yes",('Chemical Info'!AP132/'Res-Rec Equations'!$B$168)*((('Chemical Info'!AL132*'Res-Rec Equations'!$B$170)*'Res-Rec Equations'!$B$168)+'Res-Rec Equations'!$B$171+('Chemical Info'!AN132*41)*'Res-Rec Equations'!$B$173),"NA")</f>
        <v>10116.639812240001</v>
      </c>
      <c r="H131" s="112" t="str">
        <f>IF('Chemical Info'!H132="NA","NA",IF(AND('Chemical Info'!E132="Yes",'Chemical Info'!D132="Yes"),'Chemical Info'!H132*'Chemical Info'!AD132*'Res-Rec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Info'!E132="Yes",'Chemical Info'!D132=""),'Chemical Info'!H132*'Chemical Info'!AD132*'Res-Rec Equations'!$B$20*'Res-Rec Equations'!$B$23*((('Res-Rec Equations'!$B$26*'Res-Rec Equations'!$B$29)/'Res-Rec Equations'!$B$32)+(('Res-Rec Equations'!$B$27*'Res-Rec Equations'!$B$30)/'Res-Rec Equations'!$B$33)+(('Res-Rec Equations'!$B$28*'Res-Rec Equations'!$B$31)/'Res-Rec Equations'!$B$34)),IF(AND('Chemical Info'!E132="No",'Chemical Info'!D132="Yes"),'Chemical Info'!H132*'Chemical Info'!AD132*'Res-Rec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Info'!E132="No",'Chemical Info'!D132=""),'Chemical Info'!H132*'Chemical Info'!AD132*'Res-Rec Equations'!$B$19*'Res-Rec Equations'!$B$23*((('Res-Rec Equations'!$B$26*'Res-Rec Equations'!$B$29)/'Res-Rec Equations'!$B$32)+(('Res-Rec Equations'!$B$27*'Res-Rec Equations'!$B$30)/'Res-Rec Equations'!$B$33)+(('Res-Rec Equations'!$B$28*'Res-Rec Equations'!$B$31)/'Res-Rec Equations'!$B$34)))))))</f>
        <v>NA</v>
      </c>
      <c r="I131" s="166" t="str">
        <f>IF('Chemical Info'!H132="NA","NA",IF('Chemical Info'!E132="Yes",0,IF('Chemical Info'!D132="Yes",'Chemical Info'!H132/'Chemical Info'!AF132*('Res-Rec Equations'!$B$21*'Chemical Info'!AB132*'Res-Rec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Info'!H132/'Chemical Info'!AF132*('Res-Rec Equations'!$B$21*'Chemical Info'!AB132*'Res-Rec Equations'!$B$23)*((('Res-Rec Equations'!$B$26*'Res-Rec Equations'!$B$37*'Res-Rec Equations'!$B$40)/'Res-Rec Equations'!$B$32)+(('Res-Rec Equations'!$B$27*'Res-Rec Equations'!$B$38*'Res-Rec Equations'!$B$41)/'Res-Rec Equations'!$B$33)+(('Res-Rec Equations'!$B$28*'Res-Rec Equations'!$B$39*'Res-Rec Equations'!$B$42)/'Res-Rec Equations'!$B$34)))))</f>
        <v>NA</v>
      </c>
      <c r="J131" s="369" t="str">
        <f>IF('Chemical Info'!J132="NA","NA",IF(AND(E131="NA",'Chemical Info'!D132="Yes"),'Res-Rec Equations'!$B$22*1000*(('Res-Rec Equations'!$B$26*'Chemical Info'!J132*'Res-Rec Equations'!$B$59)+('Res-Rec Equations'!$B$27*'Chemical Info'!J132*'Res-Rec Equations'!$B$60)+('Res-Rec Equations'!$B$28*'Chemical Info'!J132*'Res-Rec Equations'!$B$61))*'Res-Rec Calculations'!C131,IF(AND(E131="NA",'Chemical Info'!D132=""),'Res-Rec Equations'!$B$22*1000*'Res-Rec Equations'!$B$25*'Chemical Info'!J132*'Res-Rec Calculations'!C131,IF(AND('Chemical Info'!E132="Yes",'Chemical Info'!D132="Yes"),'Res-Rec Equations'!$B$22*1000*(('Res-Rec Equations'!$B$26*'Chemical Info'!J132*'Res-Rec Equations'!$B$59)+('Res-Rec Equations'!$B$27*'Chemical Info'!J132*'Res-Rec Equations'!$B$60)+('Res-Rec Equations'!$B$28*'Chemical Info'!J132*'Res-Rec Equations'!$B$61))*'Res-Rec Calculations'!E131,IF(AND('Chemical Info'!E132="Yes",'Chemical Info'!D132=""),'Res-Rec Equations'!$B$22*1000*'Res-Rec Equations'!$B$25*'Chemical Info'!J132*'Res-Rec Calculations'!E131,IF('Chemical Info'!D132="Yes",'Res-Rec Equations'!$B$22*1000*(('Res-Rec Equations'!$B$26*'Chemical Info'!J132*'Res-Rec Equations'!$B$59)+('Res-Rec Equations'!$B$27*'Chemical Info'!J132*'Res-Rec Equations'!$B$60)+('Res-Rec Equations'!$B$28*'Chemical Info'!J132*'Res-Rec Equations'!$B$61))*('Res-Rec Calculations'!C131+'Res-Rec Calculations'!E131),IF('Chemical Info'!D132="",'Res-Rec Equations'!$B$22*1000*'Res-Rec Equations'!$B$25*'Chemical Info'!J132*('Res-Rec Calculations'!C131+'Res-Rec Calculations'!E131))))))))</f>
        <v>NA</v>
      </c>
      <c r="K131" s="370" t="str">
        <f>IF('Chemical Info'!J132="NA","NA",IF(AND(F131="NA",'Chemical Info'!D132="Yes"),'Res-Rec Equations'!$B$22*1000*(('Res-Rec Equations'!$B$26*'Chemical Info'!J132*'Res-Rec Equations'!$B$59)+('Res-Rec Equations'!$B$27*'Chemical Info'!J132*'Res-Rec Equations'!$B$60)+('Res-Rec Equations'!$B$28*'Chemical Info'!J132*'Res-Rec Equations'!$B$61))*'Res-Rec Calculations'!C131,IF(AND(F131="NA",'Chemical Info'!D132=""),'Res-Rec Equations'!$B$22*1000*'Res-Rec Equations'!$B$25*'Chemical Info'!J132*'Res-Rec Calculations'!C131,IF(AND('Chemical Info'!F132="Yes",'Chemical Info'!D132="Yes"),'Res-Rec Equations'!$B$22*1000*(('Res-Rec Equations'!$B$26*'Chemical Info'!J132*'Res-Rec Equations'!$B$59)+('Res-Rec Equations'!$B$27*'Chemical Info'!J132*'Res-Rec Equations'!$B$60)+('Res-Rec Equations'!$B$28*'Chemical Info'!J132*'Res-Rec Equations'!$B$61))*'Res-Rec Calculations'!F131,IF(AND('Chemical Info'!F132="Yes",'Chemical Info'!D132=""),'Res-Rec Equations'!$B$22*1000*'Res-Rec Equations'!$B$25*'Chemical Info'!J132*'Res-Rec Calculations'!F131,IF('Chemical Info'!D132="Yes",'Res-Rec Equations'!$B$22*1000*(('Res-Rec Equations'!$B$26*'Chemical Info'!J132*'Res-Rec Equations'!$B$59)+('Res-Rec Equations'!$B$27*'Chemical Info'!J132*'Res-Rec Equations'!$B$60)+('Res-Rec Equations'!$B$28*'Chemical Info'!J132*'Res-Rec Equations'!$B$61))*('Res-Rec Calculations'!C131+'Res-Rec Calculations'!F131),IF('Chemical Info'!D132="",'Res-Rec Equations'!$B$22*1000*'Res-Rec Equations'!$B$25*'Chemical Info'!J132*('Res-Rec Calculations'!C131+'Res-Rec Calculations'!F131))))))))</f>
        <v>NA</v>
      </c>
      <c r="L131" s="167" t="str">
        <f>IF(AND(H131="NA",I131="NA",J131="NA"),"NA",IF(H131="NA",'Res-Rec Equations'!$B$15*'Res-Rec Equations'!$B$16/J131,IF(J131="NA",'Res-Rec Equations'!$B$15*'Res-Rec Equations'!$B$16/(H131+I131),'Res-Rec Equations'!$B$15*'Res-Rec Equations'!$B$16/(H131+I131+J131))))</f>
        <v>NA</v>
      </c>
      <c r="M131" s="167" t="str">
        <f>IF(AND(H131="NA",I131="NA",K131="NA"),"NA",IF(H131="NA",'Res-Rec Equations'!$B$15*'Res-Rec Equations'!$B$16/K131,IF(K131="NA",'Res-Rec Equations'!$B$15*'Res-Rec Equations'!$B$16/(H131+I131),'Res-Rec Equations'!$B$15*'Res-Rec Equations'!$B$16/(H131+I131+K131))))</f>
        <v>NA</v>
      </c>
      <c r="N131" s="167" t="str">
        <f t="shared" si="122"/>
        <v>NA</v>
      </c>
      <c r="O131" s="371">
        <f>IF('Chemical Info'!L132="NA","NA",IF('Chemical Info'!E132="Yes",(('Res-Rec Equations'!$B$76*'Chemical Info'!AD132*'Res-Rec Equations'!$B$78*'Res-Rec Equations'!$B$79*'Res-Rec Equations'!$B$81)/('Res-Rec Equations'!$B$84*'Res-Rec Equations'!$B$85))/'Chemical Info'!L132,(('Res-Rec Equations'!$B$76*'Chemical Info'!AD132*'Res-Rec Equations'!$B$78*'Res-Rec Equations'!$B$79*'Res-Rec Equations'!$B$80)/('Res-Rec Equations'!$B$84*'Res-Rec Equations'!$B$85))/'Chemical Info'!L132))</f>
        <v>3.0441400304414001E-3</v>
      </c>
      <c r="P131" s="166">
        <f>IF('Chemical Info'!L132="NA","NA", IF('Chemical Info'!E132="Yes",0,((('Res-Rec Equations'!$B$87*'Res-Rec Equations'!$B$88*'Res-Rec Equations'!$B$78*'Res-Rec Equations'!$B$82*'Res-Rec Equations'!$B$79*'Chemical Info'!AB132)/('Res-Rec Equations'!$B$84*'Res-Rec Equations'!$B$85))/('Chemical Info'!L132*'Chemical Info'!AF132))))</f>
        <v>0</v>
      </c>
      <c r="Q131" s="166" t="str">
        <f>IF('Chemical Info'!N132="NA","NA",IF('Res-Rec Calculations'!E131="NA",(('Res-Rec Equations'!$B$83*'Res-Rec Equations'!$B$79*'Res-Rec Calculations'!C131)/('Res-Rec Equations'!$B$85))/('Chemical Info'!N132),IF('Chemical Info'!E132="Yes",(('Res-Rec Equations'!$B$83*'Res-Rec Equations'!$B$79*'Res-Rec Calculations'!E131)/('Res-Rec Equations'!$B$85))/('Chemical Info'!N132),(('Res-Rec Equations'!$B$83*'Res-Rec Equations'!$B$79*('Res-Rec Calculations'!C131+'Res-Rec Calculations'!E131))/('Res-Rec Equations'!$B$85))/('Chemical Info'!N132))))</f>
        <v>NA</v>
      </c>
      <c r="R131" s="166" t="str">
        <f>IF('Chemical Info'!N132="NA","NA",IF('Res-Rec Calculations'!F131="NA",(('Res-Rec Equations'!$B$83*'Res-Rec Equations'!$B$79*'Res-Rec Calculations'!C131)/('Res-Rec Equations'!$B$85))/('Chemical Info'!N132),IF('Chemical Info'!E132="Yes",(('Res-Rec Equations'!$B$83*'Res-Rec Equations'!$B$79*'Res-Rec Calculations'!F131)/('Res-Rec Equations'!$B$85))/('Chemical Info'!N132),(('Res-Rec Equations'!$B$83*'Res-Rec Equations'!$B$79*('Res-Rec Calculations'!C131+'Res-Rec Calculations'!F131))/('Res-Rec Equations'!$B$85))/('Chemical Info'!N132))))</f>
        <v>NA</v>
      </c>
      <c r="S131" s="167">
        <f>IF(AND(O131="NA",P131="NA",Q131="NA"),"NA",IF(O131="NA",'Res-Rec Equations'!$B$75/Q131,IF(Q131="NA",'Res-Rec Equations'!$B$75/(O131+P131),'Res-Rec Equations'!$B$75/(O131+P131+Q131))))</f>
        <v>65.7</v>
      </c>
      <c r="T131" s="167">
        <f>IF(AND(O131="NA",P131="NA",R131="NA"),"NA",IF(O131="NA",'Res-Rec Equations'!$B$75/R131,IF(R131="NA",'Res-Rec Equations'!$B$75/(O131+P131),'Res-Rec Equations'!$B$75/(O131+P131+R131))))</f>
        <v>65.7</v>
      </c>
      <c r="U131" s="168">
        <f t="shared" si="123"/>
        <v>65.7</v>
      </c>
      <c r="V131" s="167" t="str">
        <f>IF('Chemical Info'!P132="NA","NA",(('Res-Rec Equations'!$B$185*'Res-Rec Equations'!$B$186)/('Res-Rec Equations'!$B$187*'Res-Rec Equations'!$B$188*(1/'Chemical Info'!P132))))</f>
        <v>NA</v>
      </c>
      <c r="W131" s="379" t="str">
        <f t="shared" si="124"/>
        <v>NA</v>
      </c>
      <c r="X131" s="372">
        <f t="shared" si="125"/>
        <v>65.7</v>
      </c>
      <c r="Y131" s="62">
        <f t="shared" si="126"/>
        <v>66</v>
      </c>
      <c r="Z131" s="100" t="str">
        <f t="shared" si="127"/>
        <v>Noncancer</v>
      </c>
      <c r="AA131" s="373"/>
    </row>
    <row r="132" spans="1:27" ht="12">
      <c r="A132" s="424" t="s">
        <v>1225</v>
      </c>
      <c r="B132" s="566" t="s">
        <v>23</v>
      </c>
      <c r="C132" s="367">
        <f>1/(('Res-Rec Equations'!$B$152*3600)/((0.036*(1-'Res-Rec Equations'!$B$153))*('Res-Rec Equations'!$B$154/'Res-Rec Equations'!$B$155)^3*'Res-Rec Equations'!$B$156))</f>
        <v>7.3567680901159717E-10</v>
      </c>
      <c r="D132" s="368">
        <f>(('Res-Rec Equations'!$B$132^(10/3)*'Chemical Info'!$AH133*'Chemical Info'!$AN133*41+'Res-Rec Equations'!$B$135^(10/3)*'Chemical Info'!$AJ133)/'Res-Rec Equations'!$B$137^2)/('Res-Rec Equations'!$B$139*'Chemical Info'!$AL133*'Res-Rec Equations'!$B$142+'Res-Rec Equations'!$B$135+'Res-Rec Equations'!$B$132*'Chemical Info'!$AN133*41)</f>
        <v>2.7551593974321768E-6</v>
      </c>
      <c r="E132" s="368">
        <f>IF(D132=0,"NA",1/(('Res-Rec Equations'!$B$103*(3.14*'Res-Rec Calculations'!$D132*'Res-Rec Equations'!$B$105)^(1/2)*0.0001)/(2*'Res-Rec Equations'!$B$106*'Res-Rec Calculations'!$D132)))</f>
        <v>9.7432074306038788E-6</v>
      </c>
      <c r="F132" s="368">
        <f>IF(D132=0,"NA",(1/('Res-Rec Equations'!$B$117*('Res-Rec Equations'!$B$118*(31500000))/('Res-Rec Equations'!$B$119*'Res-Rec Equations'!$B$120*1000000))))</f>
        <v>6.1914410640015851E-5</v>
      </c>
      <c r="G132" s="425"/>
      <c r="H132" s="112">
        <f>IF('Chemical Info'!H133="NA","NA",IF(AND('Chemical Info'!E133="Yes",'Chemical Info'!D133="Yes"),'Chemical Info'!H133*'Chemical Info'!AD133*'Res-Rec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Info'!E133="Yes",'Chemical Info'!D133=""),'Chemical Info'!H133*'Chemical Info'!AD133*'Res-Rec Equations'!$B$20*'Res-Rec Equations'!$B$23*((('Res-Rec Equations'!$B$26*'Res-Rec Equations'!$B$29)/'Res-Rec Equations'!$B$32)+(('Res-Rec Equations'!$B$27*'Res-Rec Equations'!$B$30)/'Res-Rec Equations'!$B$33)+(('Res-Rec Equations'!$B$28*'Res-Rec Equations'!$B$31)/'Res-Rec Equations'!$B$34)),IF(AND('Chemical Info'!E133="No",'Chemical Info'!D133="Yes"),'Chemical Info'!H133*'Chemical Info'!AD133*'Res-Rec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Info'!E133="No",'Chemical Info'!D133=""),'Chemical Info'!H133*'Chemical Info'!AD133*'Res-Rec Equations'!$B$19*'Res-Rec Equations'!$B$23*((('Res-Rec Equations'!$B$26*'Res-Rec Equations'!$B$29)/'Res-Rec Equations'!$B$32)+(('Res-Rec Equations'!$B$27*'Res-Rec Equations'!$B$30)/'Res-Rec Equations'!$B$33)+(('Res-Rec Equations'!$B$28*'Res-Rec Equations'!$B$31)/'Res-Rec Equations'!$B$34)))))))</f>
        <v>5.1533428165007111E-2</v>
      </c>
      <c r="I132" s="166">
        <f>IF('Chemical Info'!H133="NA","NA",IF('Chemical Info'!E133="Yes",0,IF('Chemical Info'!D133="Yes",'Chemical Info'!H133/'Chemical Info'!AF133*('Res-Rec Equations'!$B$21*'Chemical Info'!AB133*'Res-Rec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Info'!H133/'Chemical Info'!AF133*('Res-Rec Equations'!$B$21*'Chemical Info'!AB133*'Res-Rec Equations'!$B$23)*((('Res-Rec Equations'!$B$26*'Res-Rec Equations'!$B$37*'Res-Rec Equations'!$B$40)/'Res-Rec Equations'!$B$32)+(('Res-Rec Equations'!$B$27*'Res-Rec Equations'!$B$38*'Res-Rec Equations'!$B$41)/'Res-Rec Equations'!$B$33)+(('Res-Rec Equations'!$B$28*'Res-Rec Equations'!$B$39*'Res-Rec Equations'!$B$42)/'Res-Rec Equations'!$B$34)))))</f>
        <v>0</v>
      </c>
      <c r="J132" s="369">
        <f>IF('Chemical Info'!J133="NA","NA",IF(AND(E132="NA",'Chemical Info'!D133="Yes"),'Res-Rec Equations'!$B$22*1000*(('Res-Rec Equations'!$B$26*'Chemical Info'!J133*'Res-Rec Equations'!$B$59)+('Res-Rec Equations'!$B$27*'Chemical Info'!J133*'Res-Rec Equations'!$B$60)+('Res-Rec Equations'!$B$28*'Chemical Info'!J133*'Res-Rec Equations'!$B$61))*'Res-Rec Calculations'!C132,IF(AND(E132="NA",'Chemical Info'!D133=""),'Res-Rec Equations'!$B$22*1000*'Res-Rec Equations'!$B$25*'Chemical Info'!J133*'Res-Rec Calculations'!C132,IF(AND('Chemical Info'!E133="Yes",'Chemical Info'!D133="Yes"),'Res-Rec Equations'!$B$22*1000*(('Res-Rec Equations'!$B$26*'Chemical Info'!J133*'Res-Rec Equations'!$B$59)+('Res-Rec Equations'!$B$27*'Chemical Info'!J133*'Res-Rec Equations'!$B$60)+('Res-Rec Equations'!$B$28*'Chemical Info'!J133*'Res-Rec Equations'!$B$61))*'Res-Rec Calculations'!E132,IF(AND('Chemical Info'!E133="Yes",'Chemical Info'!D133=""),'Res-Rec Equations'!$B$22*1000*'Res-Rec Equations'!$B$25*'Chemical Info'!J133*'Res-Rec Calculations'!E132,IF('Chemical Info'!D133="Yes",'Res-Rec Equations'!$B$22*1000*(('Res-Rec Equations'!$B$26*'Chemical Info'!J133*'Res-Rec Equations'!$B$59)+('Res-Rec Equations'!$B$27*'Chemical Info'!J133*'Res-Rec Equations'!$B$60)+('Res-Rec Equations'!$B$28*'Chemical Info'!J133*'Res-Rec Equations'!$B$61))*('Res-Rec Calculations'!C132+'Res-Rec Calculations'!E132),IF('Chemical Info'!D133="",'Res-Rec Equations'!$B$22*1000*'Res-Rec Equations'!$B$25*'Chemical Info'!J133*('Res-Rec Calculations'!C132+'Res-Rec Calculations'!E132))))))))</f>
        <v>2.9132190217505599E-2</v>
      </c>
      <c r="K132" s="370">
        <f>IF('Chemical Info'!J133="NA","NA",IF(AND(F132="NA",'Chemical Info'!D133="Yes"),'Res-Rec Equations'!$B$22*1000*(('Res-Rec Equations'!$B$26*'Chemical Info'!J133*'Res-Rec Equations'!$B$59)+('Res-Rec Equations'!$B$27*'Chemical Info'!J133*'Res-Rec Equations'!$B$60)+('Res-Rec Equations'!$B$28*'Chemical Info'!J133*'Res-Rec Equations'!$B$61))*'Res-Rec Calculations'!C132,IF(AND(F132="NA",'Chemical Info'!D133=""),'Res-Rec Equations'!$B$22*1000*'Res-Rec Equations'!$B$25*'Chemical Info'!J133*'Res-Rec Calculations'!C132,IF(AND('Chemical Info'!F133="Yes",'Chemical Info'!D133="Yes"),'Res-Rec Equations'!$B$22*1000*(('Res-Rec Equations'!$B$26*'Chemical Info'!J133*'Res-Rec Equations'!$B$59)+('Res-Rec Equations'!$B$27*'Chemical Info'!J133*'Res-Rec Equations'!$B$60)+('Res-Rec Equations'!$B$28*'Chemical Info'!J133*'Res-Rec Equations'!$B$61))*'Res-Rec Calculations'!F132,IF(AND('Chemical Info'!F133="Yes",'Chemical Info'!D133=""),'Res-Rec Equations'!$B$22*1000*'Res-Rec Equations'!$B$25*'Chemical Info'!J133*'Res-Rec Calculations'!F132,IF('Chemical Info'!D133="Yes",'Res-Rec Equations'!$B$22*1000*(('Res-Rec Equations'!$B$26*'Chemical Info'!J133*'Res-Rec Equations'!$B$59)+('Res-Rec Equations'!$B$27*'Chemical Info'!J133*'Res-Rec Equations'!$B$60)+('Res-Rec Equations'!$B$28*'Chemical Info'!J133*'Res-Rec Equations'!$B$61))*('Res-Rec Calculations'!C132+'Res-Rec Calculations'!F132),IF('Chemical Info'!D133="",'Res-Rec Equations'!$B$22*1000*'Res-Rec Equations'!$B$25*'Chemical Info'!J133*('Res-Rec Calculations'!C132+'Res-Rec Calculations'!F132))))))))</f>
        <v>0.18512628748730633</v>
      </c>
      <c r="L132" s="167">
        <f>IF(AND(H132="NA",I132="NA",J132="NA"),"NA",IF(H132="NA",'Res-Rec Equations'!$B$15*'Res-Rec Equations'!$B$16/J132,IF(J132="NA",'Res-Rec Equations'!$B$15*'Res-Rec Equations'!$B$16/(H132+I132),'Res-Rec Equations'!$B$15*'Res-Rec Equations'!$B$16/(H132+I132+J132))))</f>
        <v>3.1673965330363001</v>
      </c>
      <c r="M132" s="167">
        <f>IF(AND(H132="NA",I132="NA",K132="NA"),"NA",IF(H132="NA",'Res-Rec Equations'!$B$15*'Res-Rec Equations'!$B$16/K132,IF(K132="NA",'Res-Rec Equations'!$B$15*'Res-Rec Equations'!$B$16/(H132+I132),'Res-Rec Equations'!$B$15*'Res-Rec Equations'!$B$16/(H132+I132+K132))))</f>
        <v>1.0796091734318045</v>
      </c>
      <c r="N132" s="167">
        <f t="shared" si="122"/>
        <v>3.1673965330363001</v>
      </c>
      <c r="O132" s="371">
        <f>IF('Chemical Info'!L133="NA","NA",IF('Chemical Info'!E133="Yes",(('Res-Rec Equations'!$B$76*'Chemical Info'!AD133*'Res-Rec Equations'!$B$78*'Res-Rec Equations'!$B$79*'Res-Rec Equations'!$B$81)/('Res-Rec Equations'!$B$84*'Res-Rec Equations'!$B$85))/'Chemical Info'!L133,(('Res-Rec Equations'!$B$76*'Chemical Info'!AD133*'Res-Rec Equations'!$B$78*'Res-Rec Equations'!$B$79*'Res-Rec Equations'!$B$80)/('Res-Rec Equations'!$B$84*'Res-Rec Equations'!$B$85))/'Chemical Info'!L133))</f>
        <v>0.91324200913242004</v>
      </c>
      <c r="P132" s="166">
        <f>IF('Chemical Info'!L133="NA","NA", IF('Chemical Info'!E133="Yes",0,((('Res-Rec Equations'!$B$87*'Res-Rec Equations'!$B$88*'Res-Rec Equations'!$B$78*'Res-Rec Equations'!$B$82*'Res-Rec Equations'!$B$79*'Chemical Info'!AB133)/('Res-Rec Equations'!$B$84*'Res-Rec Equations'!$B$85))/('Chemical Info'!L133*'Chemical Info'!AF133))))</f>
        <v>0</v>
      </c>
      <c r="Q132" s="166" t="str">
        <f>IF('Chemical Info'!N133="NA","NA",IF('Res-Rec Calculations'!E132="NA",(('Res-Rec Equations'!$B$83*'Res-Rec Equations'!$B$79*'Res-Rec Calculations'!C132)/('Res-Rec Equations'!$B$85))/('Chemical Info'!N133),IF('Chemical Info'!E133="Yes",(('Res-Rec Equations'!$B$83*'Res-Rec Equations'!$B$79*'Res-Rec Calculations'!E132)/('Res-Rec Equations'!$B$85))/('Chemical Info'!N133),(('Res-Rec Equations'!$B$83*'Res-Rec Equations'!$B$79*('Res-Rec Calculations'!C132+'Res-Rec Calculations'!E132))/('Res-Rec Equations'!$B$85))/('Chemical Info'!N133))))</f>
        <v>NA</v>
      </c>
      <c r="R132" s="166" t="str">
        <f>IF('Chemical Info'!N133="NA","NA",IF('Res-Rec Calculations'!F132="NA",(('Res-Rec Equations'!$B$83*'Res-Rec Equations'!$B$79*'Res-Rec Calculations'!C132)/('Res-Rec Equations'!$B$85))/('Chemical Info'!N133),IF('Chemical Info'!E133="Yes",(('Res-Rec Equations'!$B$83*'Res-Rec Equations'!$B$79*'Res-Rec Calculations'!F132)/('Res-Rec Equations'!$B$85))/('Chemical Info'!N133),(('Res-Rec Equations'!$B$83*'Res-Rec Equations'!$B$79*('Res-Rec Calculations'!C132+'Res-Rec Calculations'!F132))/('Res-Rec Equations'!$B$85))/('Chemical Info'!N133))))</f>
        <v>NA</v>
      </c>
      <c r="S132" s="167">
        <f>IF(AND(O132="NA",P132="NA",Q132="NA"),"NA",IF(O132="NA",'Res-Rec Equations'!$B$75/Q132,IF(Q132="NA",'Res-Rec Equations'!$B$75/(O132+P132),'Res-Rec Equations'!$B$75/(O132+P132+Q132))))</f>
        <v>0.21900000000000003</v>
      </c>
      <c r="T132" s="167">
        <f>IF(AND(O132="NA",P132="NA",R132="NA"),"NA",IF(O132="NA",'Res-Rec Equations'!$B$75/R132,IF(R132="NA",'Res-Rec Equations'!$B$75/(O132+P132),'Res-Rec Equations'!$B$75/(O132+P132+R132))))</f>
        <v>0.21900000000000003</v>
      </c>
      <c r="U132" s="168">
        <f t="shared" si="123"/>
        <v>0.21900000000000003</v>
      </c>
      <c r="V132" s="167" t="str">
        <f>IF('Chemical Info'!P133="NA","NA",(('Res-Rec Equations'!$B$185*'Res-Rec Equations'!$B$186)/('Res-Rec Equations'!$B$187*'Res-Rec Equations'!$B$188*(1/'Chemical Info'!P133))))</f>
        <v>NA</v>
      </c>
      <c r="W132" s="379" t="str">
        <f t="shared" si="124"/>
        <v>NA</v>
      </c>
      <c r="X132" s="372">
        <f t="shared" si="125"/>
        <v>0.21900000000000003</v>
      </c>
      <c r="Y132" s="62">
        <f t="shared" si="126"/>
        <v>0.22</v>
      </c>
      <c r="Z132" s="100" t="str">
        <f t="shared" si="127"/>
        <v>Noncancer</v>
      </c>
      <c r="AA132" s="373"/>
    </row>
    <row r="133" spans="1:27">
      <c r="A133" s="413" t="s">
        <v>70</v>
      </c>
      <c r="B133" s="566" t="s">
        <v>96</v>
      </c>
      <c r="C133" s="367">
        <f>1/(('Res-Rec Equations'!$B$152*3600)/((0.036*(1-'Res-Rec Equations'!$B$153))*('Res-Rec Equations'!$B$154/'Res-Rec Equations'!$B$155)^3*'Res-Rec Equations'!$B$156))</f>
        <v>7.3567680901159717E-10</v>
      </c>
      <c r="D133" s="368">
        <f>(('Res-Rec Equations'!$B$132^(10/3)*'Chemical Info'!$AH134*'Chemical Info'!$AN134*41+'Res-Rec Equations'!$B$135^(10/3)*'Chemical Info'!$AJ134)/'Res-Rec Equations'!$B$137^2)/('Res-Rec Equations'!$B$139*'Chemical Info'!$AL134*'Res-Rec Equations'!$B$142+'Res-Rec Equations'!$B$135+'Res-Rec Equations'!$B$132*'Chemical Info'!$AN134*41)</f>
        <v>1.0937695181658774E-4</v>
      </c>
      <c r="E133" s="368">
        <f>IF(D133=0,"NA",1/(('Res-Rec Equations'!$B$103*(3.14*'Res-Rec Calculations'!$D133*'Res-Rec Equations'!$B$105)^(1/2)*0.0001)/(2*'Res-Rec Equations'!$B$106*'Res-Rec Calculations'!$D133)))</f>
        <v>6.1389131867213348E-5</v>
      </c>
      <c r="F133" s="368">
        <f>IF(D133=0,"NA",(1/('Res-Rec Equations'!$B$117*('Res-Rec Equations'!$B$118*(31500000))/('Res-Rec Equations'!$B$119*'Res-Rec Equations'!$B$120*1000000))))</f>
        <v>6.1914410640015851E-5</v>
      </c>
      <c r="G133" s="167">
        <f>IF('Chemical Info'!E134="Yes",('Chemical Info'!AP134/'Res-Rec Equations'!$B$168)*((('Chemical Info'!AL134*'Res-Rec Equations'!$B$170)*'Res-Rec Equations'!$B$168)+'Res-Rec Equations'!$B$171+('Chemical Info'!AN134*41)*'Res-Rec Equations'!$B$173),"NA")</f>
        <v>16.800093866666668</v>
      </c>
      <c r="H133" s="112">
        <f>IF('Chemical Info'!H134="NA","NA",IF(AND('Chemical Info'!E134="Yes",'Chemical Info'!D134="Yes"),'Chemical Info'!H134*'Chemical Info'!AD134*'Res-Rec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Info'!E134="Yes",'Chemical Info'!D134=""),'Chemical Info'!H134*'Chemical Info'!AD134*'Res-Rec Equations'!$B$20*'Res-Rec Equations'!$B$23*((('Res-Rec Equations'!$B$26*'Res-Rec Equations'!$B$29)/'Res-Rec Equations'!$B$32)+(('Res-Rec Equations'!$B$27*'Res-Rec Equations'!$B$30)/'Res-Rec Equations'!$B$33)+(('Res-Rec Equations'!$B$28*'Res-Rec Equations'!$B$31)/'Res-Rec Equations'!$B$34)),IF(AND('Chemical Info'!E134="No",'Chemical Info'!D134="Yes"),'Chemical Info'!H134*'Chemical Info'!AD134*'Res-Rec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Info'!E134="No",'Chemical Info'!D134=""),'Chemical Info'!H134*'Chemical Info'!AD134*'Res-Rec Equations'!$B$19*'Res-Rec Equations'!$B$23*((('Res-Rec Equations'!$B$26*'Res-Rec Equations'!$B$29)/'Res-Rec Equations'!$B$32)+(('Res-Rec Equations'!$B$27*'Res-Rec Equations'!$B$30)/'Res-Rec Equations'!$B$33)+(('Res-Rec Equations'!$B$28*'Res-Rec Equations'!$B$31)/'Res-Rec Equations'!$B$34)))))))</f>
        <v>2.512254623044097E-3</v>
      </c>
      <c r="I133" s="166">
        <f>IF('Chemical Info'!H134="NA","NA",IF('Chemical Info'!E134="Yes",0,IF('Chemical Info'!D134="Yes",'Chemical Info'!H134/'Chemical Info'!AF134*('Res-Rec Equations'!$B$21*'Chemical Info'!AB134*'Res-Rec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Info'!H134/'Chemical Info'!AF134*('Res-Rec Equations'!$B$21*'Chemical Info'!AB134*'Res-Rec Equations'!$B$23)*((('Res-Rec Equations'!$B$26*'Res-Rec Equations'!$B$37*'Res-Rec Equations'!$B$40)/'Res-Rec Equations'!$B$32)+(('Res-Rec Equations'!$B$27*'Res-Rec Equations'!$B$38*'Res-Rec Equations'!$B$41)/'Res-Rec Equations'!$B$33)+(('Res-Rec Equations'!$B$28*'Res-Rec Equations'!$B$39*'Res-Rec Equations'!$B$42)/'Res-Rec Equations'!$B$34)))))</f>
        <v>0</v>
      </c>
      <c r="J133" s="369" t="str">
        <f>IF('Chemical Info'!J134="NA","NA",IF(AND(E133="NA",'Chemical Info'!D134="Yes"),'Res-Rec Equations'!$B$22*1000*(('Res-Rec Equations'!$B$26*'Chemical Info'!J134*'Res-Rec Equations'!$B$59)+('Res-Rec Equations'!$B$27*'Chemical Info'!J134*'Res-Rec Equations'!$B$60)+('Res-Rec Equations'!$B$28*'Chemical Info'!J134*'Res-Rec Equations'!$B$61))*'Res-Rec Calculations'!C133,IF(AND(E133="NA",'Chemical Info'!D134=""),'Res-Rec Equations'!$B$22*1000*'Res-Rec Equations'!$B$25*'Chemical Info'!J134*'Res-Rec Calculations'!C133,IF(AND('Chemical Info'!E134="Yes",'Chemical Info'!D134="Yes"),'Res-Rec Equations'!$B$22*1000*(('Res-Rec Equations'!$B$26*'Chemical Info'!J134*'Res-Rec Equations'!$B$59)+('Res-Rec Equations'!$B$27*'Chemical Info'!J134*'Res-Rec Equations'!$B$60)+('Res-Rec Equations'!$B$28*'Chemical Info'!J134*'Res-Rec Equations'!$B$61))*'Res-Rec Calculations'!E133,IF(AND('Chemical Info'!E134="Yes",'Chemical Info'!D134=""),'Res-Rec Equations'!$B$22*1000*'Res-Rec Equations'!$B$25*'Chemical Info'!J134*'Res-Rec Calculations'!E133,IF('Chemical Info'!D134="Yes",'Res-Rec Equations'!$B$22*1000*(('Res-Rec Equations'!$B$26*'Chemical Info'!J134*'Res-Rec Equations'!$B$59)+('Res-Rec Equations'!$B$27*'Chemical Info'!J134*'Res-Rec Equations'!$B$60)+('Res-Rec Equations'!$B$28*'Chemical Info'!J134*'Res-Rec Equations'!$B$61))*('Res-Rec Calculations'!C133+'Res-Rec Calculations'!E133),IF('Chemical Info'!D134="",'Res-Rec Equations'!$B$22*1000*'Res-Rec Equations'!$B$25*'Chemical Info'!J134*('Res-Rec Calculations'!C133+'Res-Rec Calculations'!E133))))))))</f>
        <v>NA</v>
      </c>
      <c r="K133" s="370" t="str">
        <f>IF('Chemical Info'!J134="NA","NA",IF(AND(F133="NA",'Chemical Info'!D134="Yes"),'Res-Rec Equations'!$B$22*1000*(('Res-Rec Equations'!$B$26*'Chemical Info'!J134*'Res-Rec Equations'!$B$59)+('Res-Rec Equations'!$B$27*'Chemical Info'!J134*'Res-Rec Equations'!$B$60)+('Res-Rec Equations'!$B$28*'Chemical Info'!J134*'Res-Rec Equations'!$B$61))*'Res-Rec Calculations'!C133,IF(AND(F133="NA",'Chemical Info'!D134=""),'Res-Rec Equations'!$B$22*1000*'Res-Rec Equations'!$B$25*'Chemical Info'!J134*'Res-Rec Calculations'!C133,IF(AND('Chemical Info'!F134="Yes",'Chemical Info'!D134="Yes"),'Res-Rec Equations'!$B$22*1000*(('Res-Rec Equations'!$B$26*'Chemical Info'!J134*'Res-Rec Equations'!$B$59)+('Res-Rec Equations'!$B$27*'Chemical Info'!J134*'Res-Rec Equations'!$B$60)+('Res-Rec Equations'!$B$28*'Chemical Info'!J134*'Res-Rec Equations'!$B$61))*'Res-Rec Calculations'!F133,IF(AND('Chemical Info'!F134="Yes",'Chemical Info'!D134=""),'Res-Rec Equations'!$B$22*1000*'Res-Rec Equations'!$B$25*'Chemical Info'!J134*'Res-Rec Calculations'!F133,IF('Chemical Info'!D134="Yes",'Res-Rec Equations'!$B$22*1000*(('Res-Rec Equations'!$B$26*'Chemical Info'!J134*'Res-Rec Equations'!$B$59)+('Res-Rec Equations'!$B$27*'Chemical Info'!J134*'Res-Rec Equations'!$B$60)+('Res-Rec Equations'!$B$28*'Chemical Info'!J134*'Res-Rec Equations'!$B$61))*('Res-Rec Calculations'!C133+'Res-Rec Calculations'!F133),IF('Chemical Info'!D134="",'Res-Rec Equations'!$B$22*1000*'Res-Rec Equations'!$B$25*'Chemical Info'!J134*('Res-Rec Calculations'!C133+'Res-Rec Calculations'!F133))))))))</f>
        <v>NA</v>
      </c>
      <c r="L133" s="167">
        <f>IF(AND(H133="NA",I133="NA",J133="NA"),"NA",IF(H133="NA",'Res-Rec Equations'!$B$15*'Res-Rec Equations'!$B$16/J133,IF(J133="NA",'Res-Rec Equations'!$B$15*'Res-Rec Equations'!$B$16/(H133+I133),'Res-Rec Equations'!$B$15*'Res-Rec Equations'!$B$16/(H133+I133+J133))))</f>
        <v>101.70147470578075</v>
      </c>
      <c r="M133" s="167">
        <f>IF(AND(H133="NA",I133="NA",K133="NA"),"NA",IF(H133="NA",'Res-Rec Equations'!$B$15*'Res-Rec Equations'!$B$16/K133,IF(K133="NA",'Res-Rec Equations'!$B$15*'Res-Rec Equations'!$B$16/(H133+I133),'Res-Rec Equations'!$B$15*'Res-Rec Equations'!$B$16/(H133+I133+K133))))</f>
        <v>101.70147470578075</v>
      </c>
      <c r="N133" s="167">
        <f t="shared" si="122"/>
        <v>101.70147470578075</v>
      </c>
      <c r="O133" s="371">
        <f>IF('Chemical Info'!L134="NA","NA",IF('Chemical Info'!E134="Yes",(('Res-Rec Equations'!$B$76*'Chemical Info'!AD134*'Res-Rec Equations'!$B$78*'Res-Rec Equations'!$B$79*'Res-Rec Equations'!$B$81)/('Res-Rec Equations'!$B$84*'Res-Rec Equations'!$B$85))/'Chemical Info'!L134,(('Res-Rec Equations'!$B$76*'Chemical Info'!AD134*'Res-Rec Equations'!$B$78*'Res-Rec Equations'!$B$79*'Res-Rec Equations'!$B$80)/('Res-Rec Equations'!$B$84*'Res-Rec Equations'!$B$85))/'Chemical Info'!L134))</f>
        <v>9.1324200913242004E-3</v>
      </c>
      <c r="P133" s="166">
        <f>IF('Chemical Info'!L134="NA","NA", IF('Chemical Info'!E134="Yes",0,((('Res-Rec Equations'!$B$87*'Res-Rec Equations'!$B$88*'Res-Rec Equations'!$B$78*'Res-Rec Equations'!$B$82*'Res-Rec Equations'!$B$79*'Chemical Info'!AB134)/('Res-Rec Equations'!$B$84*'Res-Rec Equations'!$B$85))/('Chemical Info'!L134*'Chemical Info'!AF134))))</f>
        <v>0</v>
      </c>
      <c r="Q133" s="166" t="str">
        <f>IF('Chemical Info'!N134="NA","NA",IF('Res-Rec Calculations'!E133="NA",(('Res-Rec Equations'!$B$83*'Res-Rec Equations'!$B$79*'Res-Rec Calculations'!C133)/('Res-Rec Equations'!$B$85))/('Chemical Info'!N134),IF('Chemical Info'!E134="Yes",(('Res-Rec Equations'!$B$83*'Res-Rec Equations'!$B$79*'Res-Rec Calculations'!E133)/('Res-Rec Equations'!$B$85))/('Chemical Info'!N134),(('Res-Rec Equations'!$B$83*'Res-Rec Equations'!$B$79*('Res-Rec Calculations'!C133+'Res-Rec Calculations'!E133))/('Res-Rec Equations'!$B$85))/('Chemical Info'!N134))))</f>
        <v>NA</v>
      </c>
      <c r="R133" s="166" t="str">
        <f>IF('Chemical Info'!N134="NA","NA",IF('Res-Rec Calculations'!F133="NA",(('Res-Rec Equations'!$B$83*'Res-Rec Equations'!$B$79*'Res-Rec Calculations'!C133)/('Res-Rec Equations'!$B$85))/('Chemical Info'!N134),IF('Chemical Info'!E134="Yes",(('Res-Rec Equations'!$B$83*'Res-Rec Equations'!$B$79*'Res-Rec Calculations'!F133)/('Res-Rec Equations'!$B$85))/('Chemical Info'!N134),(('Res-Rec Equations'!$B$83*'Res-Rec Equations'!$B$79*('Res-Rec Calculations'!C133+'Res-Rec Calculations'!F133))/('Res-Rec Equations'!$B$85))/('Chemical Info'!N134))))</f>
        <v>NA</v>
      </c>
      <c r="S133" s="167">
        <f>IF(AND(O133="NA",P133="NA",Q133="NA"),"NA",IF(O133="NA",'Res-Rec Equations'!$B$75/Q133,IF(Q133="NA",'Res-Rec Equations'!$B$75/(O133+P133),'Res-Rec Equations'!$B$75/(O133+P133+Q133))))</f>
        <v>21.900000000000002</v>
      </c>
      <c r="T133" s="167">
        <f>IF(AND(O133="NA",P133="NA",R133="NA"),"NA",IF(O133="NA",'Res-Rec Equations'!$B$75/R133,IF(R133="NA",'Res-Rec Equations'!$B$75/(O133+P133),'Res-Rec Equations'!$B$75/(O133+P133+R133))))</f>
        <v>21.900000000000002</v>
      </c>
      <c r="U133" s="168">
        <f t="shared" si="123"/>
        <v>21.900000000000002</v>
      </c>
      <c r="V133" s="167" t="str">
        <f>IF('Chemical Info'!P134="NA","NA",(('Res-Rec Equations'!$B$185*'Res-Rec Equations'!$B$186)/('Res-Rec Equations'!$B$187*'Res-Rec Equations'!$B$188*(1/'Chemical Info'!P134))))</f>
        <v>NA</v>
      </c>
      <c r="W133" s="379" t="str">
        <f t="shared" si="124"/>
        <v>NA</v>
      </c>
      <c r="X133" s="372">
        <f t="shared" si="125"/>
        <v>16.800093866666668</v>
      </c>
      <c r="Y133" s="62">
        <f t="shared" si="126"/>
        <v>17</v>
      </c>
      <c r="Z133" s="100" t="str">
        <f t="shared" si="127"/>
        <v>Csat</v>
      </c>
      <c r="AA133" s="373"/>
    </row>
    <row r="134" spans="1:27">
      <c r="A134" s="413" t="s">
        <v>24</v>
      </c>
      <c r="B134" s="566" t="s">
        <v>25</v>
      </c>
      <c r="C134" s="367">
        <f>1/(('Res-Rec Equations'!$B$152*3600)/((0.036*(1-'Res-Rec Equations'!$B$153))*('Res-Rec Equations'!$B$154/'Res-Rec Equations'!$B$155)^3*'Res-Rec Equations'!$B$156))</f>
        <v>7.3567680901159717E-10</v>
      </c>
      <c r="D134" s="368">
        <f>(('Res-Rec Equations'!$B$132^(10/3)*'Chemical Info'!$AH135*'Chemical Info'!$AN135*41+'Res-Rec Equations'!$B$135^(10/3)*'Chemical Info'!$AJ135)/'Res-Rec Equations'!$B$137^2)/('Res-Rec Equations'!$B$139*'Chemical Info'!$AL135*'Res-Rec Equations'!$B$142+'Res-Rec Equations'!$B$135+'Res-Rec Equations'!$B$132*'Chemical Info'!$AN135*41)</f>
        <v>1.7558651926954255E-4</v>
      </c>
      <c r="E134" s="368">
        <f>IF(D134=0,"NA",1/(('Res-Rec Equations'!$B$103*(3.14*'Res-Rec Calculations'!$D134*'Res-Rec Equations'!$B$105)^(1/2)*0.0001)/(2*'Res-Rec Equations'!$B$106*'Res-Rec Calculations'!$D134)))</f>
        <v>7.7781115750283279E-5</v>
      </c>
      <c r="F134" s="368">
        <f>IF(D134=0,"NA",(1/('Res-Rec Equations'!$B$117*('Res-Rec Equations'!$B$118*(31500000))/('Res-Rec Equations'!$B$119*'Res-Rec Equations'!$B$120*1000000))))</f>
        <v>6.1914410640015851E-5</v>
      </c>
      <c r="G134" s="167">
        <f>IF('Chemical Info'!E135="Yes",('Chemical Info'!AP135/'Res-Rec Equations'!$B$168)*((('Chemical Info'!AL135*'Res-Rec Equations'!$B$170)*'Res-Rec Equations'!$B$168)+'Res-Rec Equations'!$B$171+('Chemical Info'!AN135*41)*'Res-Rec Equations'!$B$173),"NA")</f>
        <v>15.715152</v>
      </c>
      <c r="H134" s="112" t="str">
        <f>IF('Chemical Info'!H135="NA","NA",IF(AND('Chemical Info'!E135="Yes",'Chemical Info'!D135="Yes"),'Chemical Info'!H135*'Chemical Info'!AD135*'Res-Rec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Info'!E135="Yes",'Chemical Info'!D135=""),'Chemical Info'!H135*'Chemical Info'!AD135*'Res-Rec Equations'!$B$20*'Res-Rec Equations'!$B$23*((('Res-Rec Equations'!$B$26*'Res-Rec Equations'!$B$29)/'Res-Rec Equations'!$B$32)+(('Res-Rec Equations'!$B$27*'Res-Rec Equations'!$B$30)/'Res-Rec Equations'!$B$33)+(('Res-Rec Equations'!$B$28*'Res-Rec Equations'!$B$31)/'Res-Rec Equations'!$B$34)),IF(AND('Chemical Info'!E135="No",'Chemical Info'!D135="Yes"),'Chemical Info'!H135*'Chemical Info'!AD135*'Res-Rec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Info'!E135="No",'Chemical Info'!D135=""),'Chemical Info'!H135*'Chemical Info'!AD135*'Res-Rec Equations'!$B$19*'Res-Rec Equations'!$B$23*((('Res-Rec Equations'!$B$26*'Res-Rec Equations'!$B$29)/'Res-Rec Equations'!$B$32)+(('Res-Rec Equations'!$B$27*'Res-Rec Equations'!$B$30)/'Res-Rec Equations'!$B$33)+(('Res-Rec Equations'!$B$28*'Res-Rec Equations'!$B$31)/'Res-Rec Equations'!$B$34)))))))</f>
        <v>NA</v>
      </c>
      <c r="I134" s="166" t="str">
        <f>IF('Chemical Info'!H135="NA","NA",IF('Chemical Info'!E135="Yes",0,IF('Chemical Info'!D135="Yes",'Chemical Info'!H135/'Chemical Info'!AF135*('Res-Rec Equations'!$B$21*'Chemical Info'!AB135*'Res-Rec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Info'!H135/'Chemical Info'!AF135*('Res-Rec Equations'!$B$21*'Chemical Info'!AB135*'Res-Rec Equations'!$B$23)*((('Res-Rec Equations'!$B$26*'Res-Rec Equations'!$B$37*'Res-Rec Equations'!$B$40)/'Res-Rec Equations'!$B$32)+(('Res-Rec Equations'!$B$27*'Res-Rec Equations'!$B$38*'Res-Rec Equations'!$B$41)/'Res-Rec Equations'!$B$33)+(('Res-Rec Equations'!$B$28*'Res-Rec Equations'!$B$39*'Res-Rec Equations'!$B$42)/'Res-Rec Equations'!$B$34)))))</f>
        <v>NA</v>
      </c>
      <c r="J134" s="369" t="str">
        <f>IF('Chemical Info'!J135="NA","NA",IF(AND(E134="NA",'Chemical Info'!D135="Yes"),'Res-Rec Equations'!$B$22*1000*(('Res-Rec Equations'!$B$26*'Chemical Info'!J135*'Res-Rec Equations'!$B$59)+('Res-Rec Equations'!$B$27*'Chemical Info'!J135*'Res-Rec Equations'!$B$60)+('Res-Rec Equations'!$B$28*'Chemical Info'!J135*'Res-Rec Equations'!$B$61))*'Res-Rec Calculations'!C134,IF(AND(E134="NA",'Chemical Info'!D135=""),'Res-Rec Equations'!$B$22*1000*'Res-Rec Equations'!$B$25*'Chemical Info'!J135*'Res-Rec Calculations'!C134,IF(AND('Chemical Info'!E135="Yes",'Chemical Info'!D135="Yes"),'Res-Rec Equations'!$B$22*1000*(('Res-Rec Equations'!$B$26*'Chemical Info'!J135*'Res-Rec Equations'!$B$59)+('Res-Rec Equations'!$B$27*'Chemical Info'!J135*'Res-Rec Equations'!$B$60)+('Res-Rec Equations'!$B$28*'Chemical Info'!J135*'Res-Rec Equations'!$B$61))*'Res-Rec Calculations'!E134,IF(AND('Chemical Info'!E135="Yes",'Chemical Info'!D135=""),'Res-Rec Equations'!$B$22*1000*'Res-Rec Equations'!$B$25*'Chemical Info'!J135*'Res-Rec Calculations'!E134,IF('Chemical Info'!D135="Yes",'Res-Rec Equations'!$B$22*1000*(('Res-Rec Equations'!$B$26*'Chemical Info'!J135*'Res-Rec Equations'!$B$59)+('Res-Rec Equations'!$B$27*'Chemical Info'!J135*'Res-Rec Equations'!$B$60)+('Res-Rec Equations'!$B$28*'Chemical Info'!J135*'Res-Rec Equations'!$B$61))*('Res-Rec Calculations'!C134+'Res-Rec Calculations'!E134),IF('Chemical Info'!D135="",'Res-Rec Equations'!$B$22*1000*'Res-Rec Equations'!$B$25*'Chemical Info'!J135*('Res-Rec Calculations'!C134+'Res-Rec Calculations'!E134))))))))</f>
        <v>NA</v>
      </c>
      <c r="K134" s="370" t="str">
        <f>IF('Chemical Info'!J135="NA","NA",IF(AND(F134="NA",'Chemical Info'!D135="Yes"),'Res-Rec Equations'!$B$22*1000*(('Res-Rec Equations'!$B$26*'Chemical Info'!J135*'Res-Rec Equations'!$B$59)+('Res-Rec Equations'!$B$27*'Chemical Info'!J135*'Res-Rec Equations'!$B$60)+('Res-Rec Equations'!$B$28*'Chemical Info'!J135*'Res-Rec Equations'!$B$61))*'Res-Rec Calculations'!C134,IF(AND(F134="NA",'Chemical Info'!D135=""),'Res-Rec Equations'!$B$22*1000*'Res-Rec Equations'!$B$25*'Chemical Info'!J135*'Res-Rec Calculations'!C134,IF(AND('Chemical Info'!F135="Yes",'Chemical Info'!D135="Yes"),'Res-Rec Equations'!$B$22*1000*(('Res-Rec Equations'!$B$26*'Chemical Info'!J135*'Res-Rec Equations'!$B$59)+('Res-Rec Equations'!$B$27*'Chemical Info'!J135*'Res-Rec Equations'!$B$60)+('Res-Rec Equations'!$B$28*'Chemical Info'!J135*'Res-Rec Equations'!$B$61))*'Res-Rec Calculations'!F134,IF(AND('Chemical Info'!F135="Yes",'Chemical Info'!D135=""),'Res-Rec Equations'!$B$22*1000*'Res-Rec Equations'!$B$25*'Chemical Info'!J135*'Res-Rec Calculations'!F134,IF('Chemical Info'!D135="Yes",'Res-Rec Equations'!$B$22*1000*(('Res-Rec Equations'!$B$26*'Chemical Info'!J135*'Res-Rec Equations'!$B$59)+('Res-Rec Equations'!$B$27*'Chemical Info'!J135*'Res-Rec Equations'!$B$60)+('Res-Rec Equations'!$B$28*'Chemical Info'!J135*'Res-Rec Equations'!$B$61))*('Res-Rec Calculations'!C134+'Res-Rec Calculations'!F134),IF('Chemical Info'!D135="",'Res-Rec Equations'!$B$22*1000*'Res-Rec Equations'!$B$25*'Chemical Info'!J135*('Res-Rec Calculations'!C134+'Res-Rec Calculations'!F134))))))))</f>
        <v>NA</v>
      </c>
      <c r="L134" s="167" t="str">
        <f>IF(AND(H134="NA",I134="NA",J134="NA"),"NA",IF(H134="NA",'Res-Rec Equations'!$B$15*'Res-Rec Equations'!$B$16/J134,IF(J134="NA",'Res-Rec Equations'!$B$15*'Res-Rec Equations'!$B$16/(H134+I134),'Res-Rec Equations'!$B$15*'Res-Rec Equations'!$B$16/(H134+I134+J134))))</f>
        <v>NA</v>
      </c>
      <c r="M134" s="167" t="str">
        <f>IF(AND(H134="NA",I134="NA",K134="NA"),"NA",IF(H134="NA",'Res-Rec Equations'!$B$15*'Res-Rec Equations'!$B$16/K134,IF(K134="NA",'Res-Rec Equations'!$B$15*'Res-Rec Equations'!$B$16/(H134+I134),'Res-Rec Equations'!$B$15*'Res-Rec Equations'!$B$16/(H134+I134+K134))))</f>
        <v>NA</v>
      </c>
      <c r="N134" s="167" t="str">
        <f t="shared" si="122"/>
        <v>NA</v>
      </c>
      <c r="O134" s="371">
        <f>IF('Chemical Info'!L135="NA","NA",IF('Chemical Info'!E135="Yes",(('Res-Rec Equations'!$B$76*'Chemical Info'!AD135*'Res-Rec Equations'!$B$78*'Res-Rec Equations'!$B$79*'Res-Rec Equations'!$B$81)/('Res-Rec Equations'!$B$84*'Res-Rec Equations'!$B$85))/'Chemical Info'!L135,(('Res-Rec Equations'!$B$76*'Chemical Info'!AD135*'Res-Rec Equations'!$B$78*'Res-Rec Equations'!$B$79*'Res-Rec Equations'!$B$80)/('Res-Rec Equations'!$B$84*'Res-Rec Equations'!$B$85))/'Chemical Info'!L135))</f>
        <v>1.5220700152207001E-3</v>
      </c>
      <c r="P134" s="166">
        <f>IF('Chemical Info'!L135="NA","NA", IF('Chemical Info'!E135="Yes",0,((('Res-Rec Equations'!$B$87*'Res-Rec Equations'!$B$88*'Res-Rec Equations'!$B$78*'Res-Rec Equations'!$B$82*'Res-Rec Equations'!$B$79*'Chemical Info'!AB135)/('Res-Rec Equations'!$B$84*'Res-Rec Equations'!$B$85))/('Chemical Info'!L135*'Chemical Info'!AF135))))</f>
        <v>0</v>
      </c>
      <c r="Q134" s="166">
        <f>IF('Chemical Info'!N135="NA","NA",IF('Res-Rec Calculations'!E134="NA",(('Res-Rec Equations'!$B$83*'Res-Rec Equations'!$B$79*'Res-Rec Calculations'!C134)/('Res-Rec Equations'!$B$85))/('Chemical Info'!N135),IF('Chemical Info'!E135="Yes",(('Res-Rec Equations'!$B$83*'Res-Rec Equations'!$B$79*'Res-Rec Calculations'!E134)/('Res-Rec Equations'!$B$85))/('Chemical Info'!N135),(('Res-Rec Equations'!$B$83*'Res-Rec Equations'!$B$79*('Res-Rec Calculations'!C134+'Res-Rec Calculations'!E134))/('Res-Rec Equations'!$B$85))/('Chemical Info'!N135))))</f>
        <v>0.26637368407631262</v>
      </c>
      <c r="R134" s="166">
        <f>IF('Chemical Info'!N135="NA","NA",IF('Res-Rec Calculations'!F134="NA",(('Res-Rec Equations'!$B$83*'Res-Rec Equations'!$B$79*'Res-Rec Calculations'!C134)/('Res-Rec Equations'!$B$85))/('Chemical Info'!N135),IF('Chemical Info'!E135="Yes",(('Res-Rec Equations'!$B$83*'Res-Rec Equations'!$B$79*'Res-Rec Calculations'!F134)/('Res-Rec Equations'!$B$85))/('Chemical Info'!N135),(('Res-Rec Equations'!$B$83*'Res-Rec Equations'!$B$79*('Res-Rec Calculations'!C134+'Res-Rec Calculations'!F134))/('Res-Rec Equations'!$B$85))/('Chemical Info'!N135))))</f>
        <v>0.21203565287676659</v>
      </c>
      <c r="S134" s="167">
        <f>IF(AND(O134="NA",P134="NA",Q134="NA"),"NA",IF(O134="NA",'Res-Rec Equations'!$B$75/Q134,IF(Q134="NA",'Res-Rec Equations'!$B$75/(O134+P134),'Res-Rec Equations'!$B$75/(O134+P134+Q134))))</f>
        <v>0.74655905121835187</v>
      </c>
      <c r="T134" s="167">
        <f>IF(AND(O134="NA",P134="NA",R134="NA"),"NA",IF(O134="NA",'Res-Rec Equations'!$B$75/R134,IF(R134="NA",'Res-Rec Equations'!$B$75/(O134+P134),'Res-Rec Equations'!$B$75/(O134+P134+R134))))</f>
        <v>0.93651494917444655</v>
      </c>
      <c r="U134" s="168">
        <f t="shared" si="123"/>
        <v>0.93651494917444655</v>
      </c>
      <c r="V134" s="167" t="str">
        <f>IF('Chemical Info'!P135="NA","NA",(('Res-Rec Equations'!$B$185*'Res-Rec Equations'!$B$186)/('Res-Rec Equations'!$B$187*'Res-Rec Equations'!$B$188*(1/'Chemical Info'!P135))))</f>
        <v>NA</v>
      </c>
      <c r="W134" s="379" t="str">
        <f t="shared" si="124"/>
        <v>NA</v>
      </c>
      <c r="X134" s="372">
        <f t="shared" si="125"/>
        <v>0.93651494917444655</v>
      </c>
      <c r="Y134" s="62">
        <f t="shared" si="126"/>
        <v>0.94</v>
      </c>
      <c r="Z134" s="100" t="str">
        <f t="shared" si="127"/>
        <v>Noncancer</v>
      </c>
      <c r="AA134" s="373"/>
    </row>
    <row r="135" spans="1:27" ht="12">
      <c r="A135" s="413" t="s">
        <v>1224</v>
      </c>
      <c r="B135" s="566" t="s">
        <v>1170</v>
      </c>
      <c r="C135" s="367">
        <f>1/(('Res-Rec Equations'!$B$152*3600)/((0.036*(1-'Res-Rec Equations'!$B$153))*('Res-Rec Equations'!$B$154/'Res-Rec Equations'!$B$155)^3*'Res-Rec Equations'!$B$156))</f>
        <v>7.3567680901159717E-10</v>
      </c>
      <c r="D135" s="368">
        <f>(('Res-Rec Equations'!$B$132^(10/3)*'Chemical Info'!$AH136*'Chemical Info'!$AN136*41+'Res-Rec Equations'!$B$135^(10/3)*'Chemical Info'!$AJ136)/'Res-Rec Equations'!$B$137^2)/('Res-Rec Equations'!$B$139*'Chemical Info'!$AL136*'Res-Rec Equations'!$B$142+'Res-Rec Equations'!$B$135+'Res-Rec Equations'!$B$132*'Chemical Info'!$AN136*41)</f>
        <v>1.9860309436120583E-4</v>
      </c>
      <c r="E135" s="368">
        <f>IF(D135=0,"NA",1/(('Res-Rec Equations'!$B$103*(3.14*'Res-Rec Calculations'!$D135*'Res-Rec Equations'!$B$105)^(1/2)*0.0001)/(2*'Res-Rec Equations'!$B$106*'Res-Rec Calculations'!$D135)))</f>
        <v>8.2722107288831246E-5</v>
      </c>
      <c r="F135" s="368">
        <f>IF(D135=0,"NA",(1/('Res-Rec Equations'!$B$117*('Res-Rec Equations'!$B$118*(31500000))/('Res-Rec Equations'!$B$119*'Res-Rec Equations'!$B$120*1000000))))</f>
        <v>6.1914410640015851E-5</v>
      </c>
      <c r="G135" s="425"/>
      <c r="H135" s="112">
        <f>IF('Chemical Info'!H136="NA","NA",IF(AND('Chemical Info'!E136="Yes",'Chemical Info'!D136="Yes"),'Chemical Info'!H136*'Chemical Info'!AD136*'Res-Rec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Info'!E136="Yes",'Chemical Info'!D136=""),'Chemical Info'!H136*'Chemical Info'!AD136*'Res-Rec Equations'!$B$20*'Res-Rec Equations'!$B$23*((('Res-Rec Equations'!$B$26*'Res-Rec Equations'!$B$29)/'Res-Rec Equations'!$B$32)+(('Res-Rec Equations'!$B$27*'Res-Rec Equations'!$B$30)/'Res-Rec Equations'!$B$33)+(('Res-Rec Equations'!$B$28*'Res-Rec Equations'!$B$31)/'Res-Rec Equations'!$B$34)),IF(AND('Chemical Info'!E136="No",'Chemical Info'!D136="Yes"),'Chemical Info'!H136*'Chemical Info'!AD136*'Res-Rec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Info'!E136="No",'Chemical Info'!D136=""),'Chemical Info'!H136*'Chemical Info'!AD136*'Res-Rec Equations'!$B$19*'Res-Rec Equations'!$B$23*((('Res-Rec Equations'!$B$26*'Res-Rec Equations'!$B$29)/'Res-Rec Equations'!$B$32)+(('Res-Rec Equations'!$B$27*'Res-Rec Equations'!$B$30)/'Res-Rec Equations'!$B$33)+(('Res-Rec Equations'!$B$28*'Res-Rec Equations'!$B$31)/'Res-Rec Equations'!$B$34)))))))</f>
        <v>1.2883357041251777E-3</v>
      </c>
      <c r="I135" s="166">
        <f>IF('Chemical Info'!H136="NA","NA",IF('Chemical Info'!E136="Yes",0,IF('Chemical Info'!D136="Yes",'Chemical Info'!H136/'Chemical Info'!AF136*('Res-Rec Equations'!$B$21*'Chemical Info'!AB136*'Res-Rec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Info'!H136/'Chemical Info'!AF136*('Res-Rec Equations'!$B$21*'Chemical Info'!AB136*'Res-Rec Equations'!$B$23)*((('Res-Rec Equations'!$B$26*'Res-Rec Equations'!$B$37*'Res-Rec Equations'!$B$40)/'Res-Rec Equations'!$B$32)+(('Res-Rec Equations'!$B$27*'Res-Rec Equations'!$B$38*'Res-Rec Equations'!$B$41)/'Res-Rec Equations'!$B$33)+(('Res-Rec Equations'!$B$28*'Res-Rec Equations'!$B$39*'Res-Rec Equations'!$B$42)/'Res-Rec Equations'!$B$34)))))</f>
        <v>0</v>
      </c>
      <c r="J135" s="369">
        <f>IF('Chemical Info'!J136="NA","NA",IF(AND(E135="NA",'Chemical Info'!D136="Yes"),'Res-Rec Equations'!$B$22*1000*(('Res-Rec Equations'!$B$26*'Chemical Info'!J136*'Res-Rec Equations'!$B$59)+('Res-Rec Equations'!$B$27*'Chemical Info'!J136*'Res-Rec Equations'!$B$60)+('Res-Rec Equations'!$B$28*'Chemical Info'!J136*'Res-Rec Equations'!$B$61))*'Res-Rec Calculations'!C135,IF(AND(E135="NA",'Chemical Info'!D136=""),'Res-Rec Equations'!$B$22*1000*'Res-Rec Equations'!$B$25*'Chemical Info'!J136*'Res-Rec Calculations'!C135,IF(AND('Chemical Info'!E136="Yes",'Chemical Info'!D136="Yes"),'Res-Rec Equations'!$B$22*1000*(('Res-Rec Equations'!$B$26*'Chemical Info'!J136*'Res-Rec Equations'!$B$59)+('Res-Rec Equations'!$B$27*'Chemical Info'!J136*'Res-Rec Equations'!$B$60)+('Res-Rec Equations'!$B$28*'Chemical Info'!J136*'Res-Rec Equations'!$B$61))*'Res-Rec Calculations'!E135,IF(AND('Chemical Info'!E136="Yes",'Chemical Info'!D136=""),'Res-Rec Equations'!$B$22*1000*'Res-Rec Equations'!$B$25*'Chemical Info'!J136*'Res-Rec Calculations'!E135,IF('Chemical Info'!D136="Yes",'Res-Rec Equations'!$B$22*1000*(('Res-Rec Equations'!$B$26*'Chemical Info'!J136*'Res-Rec Equations'!$B$59)+('Res-Rec Equations'!$B$27*'Chemical Info'!J136*'Res-Rec Equations'!$B$60)+('Res-Rec Equations'!$B$28*'Chemical Info'!J136*'Res-Rec Equations'!$B$61))*('Res-Rec Calculations'!C135+'Res-Rec Calculations'!E135),IF('Chemical Info'!D136="",'Res-Rec Equations'!$B$22*1000*'Res-Rec Equations'!$B$25*'Chemical Info'!J136*('Res-Rec Calculations'!C135+'Res-Rec Calculations'!E135))))))))</f>
        <v>5.9146306711514345E-3</v>
      </c>
      <c r="K135" s="370">
        <f>IF('Chemical Info'!J136="NA","NA",IF(AND(F135="NA",'Chemical Info'!D136="Yes"),'Res-Rec Equations'!$B$22*1000*(('Res-Rec Equations'!$B$26*'Chemical Info'!J136*'Res-Rec Equations'!$B$59)+('Res-Rec Equations'!$B$27*'Chemical Info'!J136*'Res-Rec Equations'!$B$60)+('Res-Rec Equations'!$B$28*'Chemical Info'!J136*'Res-Rec Equations'!$B$61))*'Res-Rec Calculations'!C135,IF(AND(F135="NA",'Chemical Info'!D136=""),'Res-Rec Equations'!$B$22*1000*'Res-Rec Equations'!$B$25*'Chemical Info'!J136*'Res-Rec Calculations'!C135,IF(AND('Chemical Info'!F136="Yes",'Chemical Info'!D136="Yes"),'Res-Rec Equations'!$B$22*1000*(('Res-Rec Equations'!$B$26*'Chemical Info'!J136*'Res-Rec Equations'!$B$59)+('Res-Rec Equations'!$B$27*'Chemical Info'!J136*'Res-Rec Equations'!$B$60)+('Res-Rec Equations'!$B$28*'Chemical Info'!J136*'Res-Rec Equations'!$B$61))*'Res-Rec Calculations'!F135,IF(AND('Chemical Info'!F136="Yes",'Chemical Info'!D136=""),'Res-Rec Equations'!$B$22*1000*'Res-Rec Equations'!$B$25*'Chemical Info'!J136*'Res-Rec Calculations'!F135,IF('Chemical Info'!D136="Yes",'Res-Rec Equations'!$B$22*1000*(('Res-Rec Equations'!$B$26*'Chemical Info'!J136*'Res-Rec Equations'!$B$59)+('Res-Rec Equations'!$B$27*'Chemical Info'!J136*'Res-Rec Equations'!$B$60)+('Res-Rec Equations'!$B$28*'Chemical Info'!J136*'Res-Rec Equations'!$B$61))*('Res-Rec Calculations'!C135+'Res-Rec Calculations'!F135),IF('Chemical Info'!D136="",'Res-Rec Equations'!$B$22*1000*'Res-Rec Equations'!$B$25*'Chemical Info'!J136*('Res-Rec Calculations'!C135+'Res-Rec Calculations'!F135))))))))</f>
        <v>4.4269329616529775E-3</v>
      </c>
      <c r="L135" s="167">
        <f>IF(AND(H135="NA",I135="NA",J135="NA"),"NA",IF(H135="NA",'Res-Rec Equations'!$B$15*'Res-Rec Equations'!$B$16/J135,IF(J135="NA",'Res-Rec Equations'!$B$15*'Res-Rec Equations'!$B$16/(H135+I135),'Res-Rec Equations'!$B$15*'Res-Rec Equations'!$B$16/(H135+I135+J135))))</f>
        <v>35.471496976159102</v>
      </c>
      <c r="M135" s="167">
        <f>IF(AND(H135="NA",I135="NA",K135="NA"),"NA",IF(H135="NA",'Res-Rec Equations'!$B$15*'Res-Rec Equations'!$B$16/K135,IF(K135="NA",'Res-Rec Equations'!$B$15*'Res-Rec Equations'!$B$16/(H135+I135),'Res-Rec Equations'!$B$15*'Res-Rec Equations'!$B$16/(H135+I135+K135))))</f>
        <v>44.704810034545019</v>
      </c>
      <c r="N135" s="167">
        <f t="shared" ref="N135" si="170">IF(AND(L135="NA",M135="NA"),"NA",MAX(L135,M135))</f>
        <v>44.704810034545019</v>
      </c>
      <c r="O135" s="371">
        <f>IF('Chemical Info'!L136="NA","NA",IF('Chemical Info'!E136="Yes",(('Res-Rec Equations'!$B$76*'Chemical Info'!AD136*'Res-Rec Equations'!$B$78*'Res-Rec Equations'!$B$79*'Res-Rec Equations'!$B$81)/('Res-Rec Equations'!$B$84*'Res-Rec Equations'!$B$85))/'Chemical Info'!L136,(('Res-Rec Equations'!$B$76*'Chemical Info'!AD136*'Res-Rec Equations'!$B$78*'Res-Rec Equations'!$B$79*'Res-Rec Equations'!$B$80)/('Res-Rec Equations'!$B$84*'Res-Rec Equations'!$B$85))/'Chemical Info'!L136))</f>
        <v>1.3046314416177431E-2</v>
      </c>
      <c r="P135" s="166">
        <f>IF('Chemical Info'!L136="NA","NA", IF('Chemical Info'!E136="Yes",0,((('Res-Rec Equations'!$B$87*'Res-Rec Equations'!$B$88*'Res-Rec Equations'!$B$78*'Res-Rec Equations'!$B$82*'Res-Rec Equations'!$B$79*'Chemical Info'!AB136)/('Res-Rec Equations'!$B$84*'Res-Rec Equations'!$B$85))/('Chemical Info'!L136*'Chemical Info'!AF136))))</f>
        <v>0</v>
      </c>
      <c r="Q135" s="166">
        <f>IF('Chemical Info'!N136="NA","NA",IF('Res-Rec Calculations'!E135="NA",(('Res-Rec Equations'!$B$83*'Res-Rec Equations'!$B$79*'Res-Rec Calculations'!C135)/('Res-Rec Equations'!$B$85))/('Chemical Info'!N136),IF('Chemical Info'!E136="Yes",(('Res-Rec Equations'!$B$83*'Res-Rec Equations'!$B$79*'Res-Rec Calculations'!E135)/('Res-Rec Equations'!$B$85))/('Chemical Info'!N136),(('Res-Rec Equations'!$B$83*'Res-Rec Equations'!$B$79*('Res-Rec Calculations'!C135+'Res-Rec Calculations'!E135))/('Res-Rec Equations'!$B$85))/('Chemical Info'!N136))))</f>
        <v>1.8886325865029965E-3</v>
      </c>
      <c r="R135" s="166">
        <f>IF('Chemical Info'!N136="NA","NA",IF('Res-Rec Calculations'!F135="NA",(('Res-Rec Equations'!$B$83*'Res-Rec Equations'!$B$79*'Res-Rec Calculations'!C135)/('Res-Rec Equations'!$B$85))/('Chemical Info'!N136),IF('Chemical Info'!E136="Yes",(('Res-Rec Equations'!$B$83*'Res-Rec Equations'!$B$79*'Res-Rec Calculations'!F135)/('Res-Rec Equations'!$B$85))/('Chemical Info'!N136),(('Res-Rec Equations'!$B$83*'Res-Rec Equations'!$B$79*('Res-Rec Calculations'!C135+'Res-Rec Calculations'!F135))/('Res-Rec Equations'!$B$85))/('Chemical Info'!N136))))</f>
        <v>1.4135710191784442E-3</v>
      </c>
      <c r="S135" s="167">
        <f>IF(AND(O135="NA",P135="NA",Q135="NA"),"NA",IF(O135="NA",'Res-Rec Equations'!$B$75/Q135,IF(Q135="NA",'Res-Rec Equations'!$B$75/(O135+P135),'Res-Rec Equations'!$B$75/(O135+P135+Q135))))</f>
        <v>13.391410090983603</v>
      </c>
      <c r="T135" s="167">
        <f>IF(AND(O135="NA",P135="NA",R135="NA"),"NA",IF(O135="NA",'Res-Rec Equations'!$B$75/R135,IF(R135="NA",'Res-Rec Equations'!$B$75/(O135+P135),'Res-Rec Equations'!$B$75/(O135+P135+R135))))</f>
        <v>13.831368228615414</v>
      </c>
      <c r="U135" s="168">
        <f t="shared" ref="U135" si="171">IF(AND(S135="NA",T135="NA"),"NA",MAX(S135,T135))</f>
        <v>13.831368228615414</v>
      </c>
      <c r="V135" s="167" t="str">
        <f>IF('Chemical Info'!P136="NA","NA",(('Res-Rec Equations'!$B$185*'Res-Rec Equations'!$B$186)/('Res-Rec Equations'!$B$187*'Res-Rec Equations'!$B$188*(1/'Chemical Info'!P136))))</f>
        <v>NA</v>
      </c>
      <c r="W135" s="379" t="str">
        <f t="shared" ref="W135" si="172">IF(V135="NA","NA",IF(V135&gt;100000,100000,IF(ISNUMBER(ROUND(V135*1000000,2-LEN(INT(V135*1000000)))/1000000),ROUND(V135*1000000,2-LEN(INT(V135*1000000)))/1000000,"NA")))</f>
        <v>NA</v>
      </c>
      <c r="X135" s="372">
        <f t="shared" ref="X135" si="173">IF(AND(N135="NA",U135="NA",G135="NA"),"NA",MIN(N135,U135,G135))</f>
        <v>13.831368228615414</v>
      </c>
      <c r="Y135" s="62">
        <f t="shared" ref="Y135" si="174">IF(X135&gt;100000,100000,IF(ISNUMBER(ROUND(X135*1000000,2-LEN(INT(X135*1000000)))/1000000),ROUND(X135*1000000,2-LEN(INT(X135*1000000)))/1000000,"NA"))</f>
        <v>14</v>
      </c>
      <c r="Z135" s="100" t="str">
        <f t="shared" ref="Z135" si="175">IF(Y135=100000,"Max Limit",IF(X135=G135,"Csat",IF(X135=N135,"Cancer",IF(X135=V135,"Acute",IF(X135=U135,"Noncancer","")))))</f>
        <v>Noncancer</v>
      </c>
      <c r="AA135" s="373"/>
    </row>
    <row r="136" spans="1:27">
      <c r="A136" s="413" t="s">
        <v>1189</v>
      </c>
      <c r="B136" s="566" t="s">
        <v>1190</v>
      </c>
      <c r="C136" s="367">
        <f>1/(('Res-Rec Equations'!$B$152*3600)/((0.036*(1-'Res-Rec Equations'!$B$153))*('Res-Rec Equations'!$B$154/'Res-Rec Equations'!$B$155)^3*'Res-Rec Equations'!$B$156))</f>
        <v>7.3567680901159717E-10</v>
      </c>
      <c r="D136" s="368">
        <f>(('Res-Rec Equations'!$B$132^(10/3)*'Chemical Info'!$AH137*'Chemical Info'!$AN137*41+'Res-Rec Equations'!$B$135^(10/3)*'Chemical Info'!$AJ137)/'Res-Rec Equations'!$B$137^2)/('Res-Rec Equations'!$B$139*'Chemical Info'!$AL137*'Res-Rec Equations'!$B$142+'Res-Rec Equations'!$B$135+'Res-Rec Equations'!$B$132*'Chemical Info'!$AN137*41)</f>
        <v>2.7258302967262944E-7</v>
      </c>
      <c r="E136" s="368">
        <f>IF(D136=0,"NA",1/(('Res-Rec Equations'!$B$103*(3.14*'Res-Rec Calculations'!$D136*'Res-Rec Equations'!$B$105)^(1/2)*0.0001)/(2*'Res-Rec Equations'!$B$106*'Res-Rec Calculations'!$D136)))</f>
        <v>3.0646295932475352E-6</v>
      </c>
      <c r="F136" s="368">
        <f>IF(D136=0,"NA",(1/('Res-Rec Equations'!$B$117*('Res-Rec Equations'!$B$118*(31500000))/('Res-Rec Equations'!$B$119*'Res-Rec Equations'!$B$120*1000000))))</f>
        <v>6.1914410640015851E-5</v>
      </c>
      <c r="G136" s="167" t="str">
        <f>IF('Chemical Info'!E137="Yes",('Chemical Info'!AP137/'Res-Rec Equations'!$B$168)*((('Chemical Info'!AL137*'Res-Rec Equations'!$B$170)*'Res-Rec Equations'!$B$168)+'Res-Rec Equations'!$B$171+('Chemical Info'!AN137*41)*'Res-Rec Equations'!$B$173),"NA")</f>
        <v>NA</v>
      </c>
      <c r="H136" s="112" t="str">
        <f>IF('Chemical Info'!H137="NA","NA",IF(AND('Chemical Info'!E137="Yes",'Chemical Info'!D137="Yes"),'Chemical Info'!H137*'Chemical Info'!AD137*'Res-Rec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Info'!E137="Yes",'Chemical Info'!D137=""),'Chemical Info'!H137*'Chemical Info'!AD137*'Res-Rec Equations'!$B$20*'Res-Rec Equations'!$B$23*((('Res-Rec Equations'!$B$26*'Res-Rec Equations'!$B$29)/'Res-Rec Equations'!$B$32)+(('Res-Rec Equations'!$B$27*'Res-Rec Equations'!$B$30)/'Res-Rec Equations'!$B$33)+(('Res-Rec Equations'!$B$28*'Res-Rec Equations'!$B$31)/'Res-Rec Equations'!$B$34)),IF(AND('Chemical Info'!E137="No",'Chemical Info'!D137="Yes"),'Chemical Info'!H137*'Chemical Info'!AD137*'Res-Rec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Info'!E137="No",'Chemical Info'!D137=""),'Chemical Info'!H137*'Chemical Info'!AD137*'Res-Rec Equations'!$B$19*'Res-Rec Equations'!$B$23*((('Res-Rec Equations'!$B$26*'Res-Rec Equations'!$B$29)/'Res-Rec Equations'!$B$32)+(('Res-Rec Equations'!$B$27*'Res-Rec Equations'!$B$30)/'Res-Rec Equations'!$B$33)+(('Res-Rec Equations'!$B$28*'Res-Rec Equations'!$B$31)/'Res-Rec Equations'!$B$34)))))))</f>
        <v>NA</v>
      </c>
      <c r="I136" s="166" t="str">
        <f>IF('Chemical Info'!H137="NA","NA",IF('Chemical Info'!E137="Yes",0,IF('Chemical Info'!D137="Yes",'Chemical Info'!H137/'Chemical Info'!AF137*('Res-Rec Equations'!$B$21*'Chemical Info'!AB137*'Res-Rec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Info'!H137/'Chemical Info'!AF137*('Res-Rec Equations'!$B$21*'Chemical Info'!AB137*'Res-Rec Equations'!$B$23)*((('Res-Rec Equations'!$B$26*'Res-Rec Equations'!$B$37*'Res-Rec Equations'!$B$40)/'Res-Rec Equations'!$B$32)+(('Res-Rec Equations'!$B$27*'Res-Rec Equations'!$B$38*'Res-Rec Equations'!$B$41)/'Res-Rec Equations'!$B$33)+(('Res-Rec Equations'!$B$28*'Res-Rec Equations'!$B$39*'Res-Rec Equations'!$B$42)/'Res-Rec Equations'!$B$34)))))</f>
        <v>NA</v>
      </c>
      <c r="J136" s="369" t="str">
        <f>IF('Chemical Info'!J137="NA","NA",IF(AND(E136="NA",'Chemical Info'!D137="Yes"),'Res-Rec Equations'!$B$22*1000*(('Res-Rec Equations'!$B$26*'Chemical Info'!J137*'Res-Rec Equations'!$B$59)+('Res-Rec Equations'!$B$27*'Chemical Info'!J137*'Res-Rec Equations'!$B$60)+('Res-Rec Equations'!$B$28*'Chemical Info'!J137*'Res-Rec Equations'!$B$61))*'Res-Rec Calculations'!C136,IF(AND(E136="NA",'Chemical Info'!D137=""),'Res-Rec Equations'!$B$22*1000*'Res-Rec Equations'!$B$25*'Chemical Info'!J137*'Res-Rec Calculations'!C136,IF(AND('Chemical Info'!E137="Yes",'Chemical Info'!D137="Yes"),'Res-Rec Equations'!$B$22*1000*(('Res-Rec Equations'!$B$26*'Chemical Info'!J137*'Res-Rec Equations'!$B$59)+('Res-Rec Equations'!$B$27*'Chemical Info'!J137*'Res-Rec Equations'!$B$60)+('Res-Rec Equations'!$B$28*'Chemical Info'!J137*'Res-Rec Equations'!$B$61))*'Res-Rec Calculations'!E136,IF(AND('Chemical Info'!E137="Yes",'Chemical Info'!D137=""),'Res-Rec Equations'!$B$22*1000*'Res-Rec Equations'!$B$25*'Chemical Info'!J137*'Res-Rec Calculations'!E136,IF('Chemical Info'!D137="Yes",'Res-Rec Equations'!$B$22*1000*(('Res-Rec Equations'!$B$26*'Chemical Info'!J137*'Res-Rec Equations'!$B$59)+('Res-Rec Equations'!$B$27*'Chemical Info'!J137*'Res-Rec Equations'!$B$60)+('Res-Rec Equations'!$B$28*'Chemical Info'!J137*'Res-Rec Equations'!$B$61))*('Res-Rec Calculations'!C136+'Res-Rec Calculations'!E136),IF('Chemical Info'!D137="",'Res-Rec Equations'!$B$22*1000*'Res-Rec Equations'!$B$25*'Chemical Info'!J137*('Res-Rec Calculations'!C136+'Res-Rec Calculations'!E136))))))))</f>
        <v>NA</v>
      </c>
      <c r="K136" s="370" t="str">
        <f>IF('Chemical Info'!J137="NA","NA",IF(AND(F136="NA",'Chemical Info'!D137="Yes"),'Res-Rec Equations'!$B$22*1000*(('Res-Rec Equations'!$B$26*'Chemical Info'!J137*'Res-Rec Equations'!$B$59)+('Res-Rec Equations'!$B$27*'Chemical Info'!J137*'Res-Rec Equations'!$B$60)+('Res-Rec Equations'!$B$28*'Chemical Info'!J137*'Res-Rec Equations'!$B$61))*'Res-Rec Calculations'!C136,IF(AND(F136="NA",'Chemical Info'!D137=""),'Res-Rec Equations'!$B$22*1000*'Res-Rec Equations'!$B$25*'Chemical Info'!J137*'Res-Rec Calculations'!C136,IF(AND('Chemical Info'!F137="Yes",'Chemical Info'!D137="Yes"),'Res-Rec Equations'!$B$22*1000*(('Res-Rec Equations'!$B$26*'Chemical Info'!J137*'Res-Rec Equations'!$B$59)+('Res-Rec Equations'!$B$27*'Chemical Info'!J137*'Res-Rec Equations'!$B$60)+('Res-Rec Equations'!$B$28*'Chemical Info'!J137*'Res-Rec Equations'!$B$61))*'Res-Rec Calculations'!F136,IF(AND('Chemical Info'!F137="Yes",'Chemical Info'!D137=""),'Res-Rec Equations'!$B$22*1000*'Res-Rec Equations'!$B$25*'Chemical Info'!J137*'Res-Rec Calculations'!F136,IF('Chemical Info'!D137="Yes",'Res-Rec Equations'!$B$22*1000*(('Res-Rec Equations'!$B$26*'Chemical Info'!J137*'Res-Rec Equations'!$B$59)+('Res-Rec Equations'!$B$27*'Chemical Info'!J137*'Res-Rec Equations'!$B$60)+('Res-Rec Equations'!$B$28*'Chemical Info'!J137*'Res-Rec Equations'!$B$61))*('Res-Rec Calculations'!C136+'Res-Rec Calculations'!F136),IF('Chemical Info'!D137="",'Res-Rec Equations'!$B$22*1000*'Res-Rec Equations'!$B$25*'Chemical Info'!J137*('Res-Rec Calculations'!C136+'Res-Rec Calculations'!F136))))))))</f>
        <v>NA</v>
      </c>
      <c r="L136" s="167" t="str">
        <f>IF(AND(H136="NA",I136="NA",J136="NA"),"NA",IF(H136="NA",'Res-Rec Equations'!$B$15*'Res-Rec Equations'!$B$16/J136,IF(J136="NA",'Res-Rec Equations'!$B$15*'Res-Rec Equations'!$B$16/(H136+I136),'Res-Rec Equations'!$B$15*'Res-Rec Equations'!$B$16/(H136+I136+J136))))</f>
        <v>NA</v>
      </c>
      <c r="M136" s="167" t="str">
        <f>IF(AND(H136="NA",I136="NA",K136="NA"),"NA",IF(H136="NA",'Res-Rec Equations'!$B$15*'Res-Rec Equations'!$B$16/K136,IF(K136="NA",'Res-Rec Equations'!$B$15*'Res-Rec Equations'!$B$16/(H136+I136),'Res-Rec Equations'!$B$15*'Res-Rec Equations'!$B$16/(H136+I136+K136))))</f>
        <v>NA</v>
      </c>
      <c r="N136" s="167" t="str">
        <f t="shared" ref="N136" si="176">IF(AND(L136="NA",M136="NA"),"NA",MAX(L136,M136))</f>
        <v>NA</v>
      </c>
      <c r="O136" s="371">
        <f>IF('Chemical Info'!L137="NA","NA",IF('Chemical Info'!E137="Yes",(('Res-Rec Equations'!$B$76*'Chemical Info'!AD137*'Res-Rec Equations'!$B$78*'Res-Rec Equations'!$B$79*'Res-Rec Equations'!$B$81)/('Res-Rec Equations'!$B$84*'Res-Rec Equations'!$B$85))/'Chemical Info'!L137,(('Res-Rec Equations'!$B$76*'Chemical Info'!AD137*'Res-Rec Equations'!$B$78*'Res-Rec Equations'!$B$79*'Res-Rec Equations'!$B$80)/('Res-Rec Equations'!$B$84*'Res-Rec Equations'!$B$85))/'Chemical Info'!L137))</f>
        <v>3.1963470319634701E-2</v>
      </c>
      <c r="P136" s="166">
        <f>IF('Chemical Info'!L137="NA","NA", IF('Chemical Info'!E137="Yes",0,((('Res-Rec Equations'!$B$87*'Res-Rec Equations'!$B$88*'Res-Rec Equations'!$B$78*'Res-Rec Equations'!$B$82*'Res-Rec Equations'!$B$79*'Chemical Info'!AB137)/('Res-Rec Equations'!$B$84*'Res-Rec Equations'!$B$85))/('Chemical Info'!L137*'Chemical Info'!AF137))))</f>
        <v>5.4178082191780816E-3</v>
      </c>
      <c r="Q136" s="166" t="str">
        <f>IF('Chemical Info'!N137="NA","NA",IF('Res-Rec Calculations'!E136="NA",(('Res-Rec Equations'!$B$83*'Res-Rec Equations'!$B$79*'Res-Rec Calculations'!C136)/('Res-Rec Equations'!$B$85))/('Chemical Info'!N137),IF('Chemical Info'!E137="Yes",(('Res-Rec Equations'!$B$83*'Res-Rec Equations'!$B$79*'Res-Rec Calculations'!E136)/('Res-Rec Equations'!$B$85))/('Chemical Info'!N137),(('Res-Rec Equations'!$B$83*'Res-Rec Equations'!$B$79*('Res-Rec Calculations'!C136+'Res-Rec Calculations'!E136))/('Res-Rec Equations'!$B$85))/('Chemical Info'!N137))))</f>
        <v>NA</v>
      </c>
      <c r="R136" s="166" t="str">
        <f>IF('Chemical Info'!N137="NA","NA",IF('Res-Rec Calculations'!F136="NA",(('Res-Rec Equations'!$B$83*'Res-Rec Equations'!$B$79*'Res-Rec Calculations'!C136)/('Res-Rec Equations'!$B$85))/('Chemical Info'!N137),IF('Chemical Info'!E137="Yes",(('Res-Rec Equations'!$B$83*'Res-Rec Equations'!$B$79*'Res-Rec Calculations'!F136)/('Res-Rec Equations'!$B$85))/('Chemical Info'!N137),(('Res-Rec Equations'!$B$83*'Res-Rec Equations'!$B$79*('Res-Rec Calculations'!C136+'Res-Rec Calculations'!F136))/('Res-Rec Equations'!$B$85))/('Chemical Info'!N137))))</f>
        <v>NA</v>
      </c>
      <c r="S136" s="167">
        <f>IF(AND(O136="NA",P136="NA",Q136="NA"),"NA",IF(O136="NA",'Res-Rec Equations'!$B$75/Q136,IF(Q136="NA",'Res-Rec Equations'!$B$75/(O136+P136),'Res-Rec Equations'!$B$75/(O136+P136+Q136))))</f>
        <v>5.3502717889207849</v>
      </c>
      <c r="T136" s="167">
        <f>IF(AND(O136="NA",P136="NA",R136="NA"),"NA",IF(O136="NA",'Res-Rec Equations'!$B$75/R136,IF(R136="NA",'Res-Rec Equations'!$B$75/(O136+P136),'Res-Rec Equations'!$B$75/(O136+P136+R136))))</f>
        <v>5.3502717889207849</v>
      </c>
      <c r="U136" s="168">
        <f t="shared" ref="U136" si="177">IF(AND(S136="NA",T136="NA"),"NA",MAX(S136,T136))</f>
        <v>5.3502717889207849</v>
      </c>
      <c r="V136" s="167" t="str">
        <f>IF('Chemical Info'!P137="NA","NA",(('Res-Rec Equations'!$B$185*'Res-Rec Equations'!$B$186)/('Res-Rec Equations'!$B$187*'Res-Rec Equations'!$B$188*(1/'Chemical Info'!P137))))</f>
        <v>NA</v>
      </c>
      <c r="W136" s="379" t="str">
        <f t="shared" ref="W136" si="178">IF(V136="NA","NA",IF(V136&gt;100000,100000,IF(ISNUMBER(ROUND(V136*1000000,2-LEN(INT(V136*1000000)))/1000000),ROUND(V136*1000000,2-LEN(INT(V136*1000000)))/1000000,"NA")))</f>
        <v>NA</v>
      </c>
      <c r="X136" s="372">
        <f t="shared" ref="X136" si="179">IF(AND(N136="NA",U136="NA",G136="NA"),"NA",MIN(N136,U136,G136))</f>
        <v>5.3502717889207849</v>
      </c>
      <c r="Y136" s="62">
        <f t="shared" ref="Y136" si="180">IF(X136&gt;100000,100000,IF(ISNUMBER(ROUND(X136*1000000,2-LEN(INT(X136*1000000)))/1000000),ROUND(X136*1000000,2-LEN(INT(X136*1000000)))/1000000,"NA"))</f>
        <v>5.4</v>
      </c>
      <c r="Z136" s="100" t="str">
        <f t="shared" ref="Z136" si="181">IF(Y136=100000,"Max Limit",IF(X136=G136,"Csat",IF(X136=N136,"Cancer",IF(X136=V136,"Acute",IF(X136=U136,"Noncancer","")))))</f>
        <v>Noncancer</v>
      </c>
      <c r="AA136" s="373"/>
    </row>
    <row r="137" spans="1:27">
      <c r="A137" s="413" t="s">
        <v>235</v>
      </c>
      <c r="B137" s="566" t="s">
        <v>236</v>
      </c>
      <c r="C137" s="367">
        <f>1/(('Res-Rec Equations'!$B$152*3600)/((0.036*(1-'Res-Rec Equations'!$B$153))*('Res-Rec Equations'!$B$154/'Res-Rec Equations'!$B$155)^3*'Res-Rec Equations'!$B$156))</f>
        <v>7.3567680901159717E-10</v>
      </c>
      <c r="D137" s="368">
        <f>(('Res-Rec Equations'!$B$132^(10/3)*'Chemical Info'!$AH138*'Chemical Info'!$AN138*41+'Res-Rec Equations'!$B$135^(10/3)*'Chemical Info'!$AJ138)/'Res-Rec Equations'!$B$137^2)/('Res-Rec Equations'!$B$139*'Chemical Info'!$AL138*'Res-Rec Equations'!$B$142+'Res-Rec Equations'!$B$135+'Res-Rec Equations'!$B$132*'Chemical Info'!$AN138*41)</f>
        <v>1.5775276867327726E-6</v>
      </c>
      <c r="E137" s="368">
        <f>IF(D137=0,"NA",1/(('Res-Rec Equations'!$B$103*(3.14*'Res-Rec Calculations'!$D137*'Res-Rec Equations'!$B$105)^(1/2)*0.0001)/(2*'Res-Rec Equations'!$B$106*'Res-Rec Calculations'!$D137)))</f>
        <v>7.3725390054816857E-6</v>
      </c>
      <c r="F137" s="368">
        <f>IF(D137=0,"NA",(1/('Res-Rec Equations'!$B$117*('Res-Rec Equations'!$B$118*(31500000))/('Res-Rec Equations'!$B$119*'Res-Rec Equations'!$B$120*1000000))))</f>
        <v>6.1914410640015851E-5</v>
      </c>
      <c r="G137" s="167" t="str">
        <f>IF('Chemical Info'!E138="Yes",('Chemical Info'!AP138/'Res-Rec Equations'!$B$168)*((('Chemical Info'!AL138*'Res-Rec Equations'!$B$170)*'Res-Rec Equations'!$B$168)+'Res-Rec Equations'!$B$171+('Chemical Info'!AN138*41)*'Res-Rec Equations'!$B$173),"NA")</f>
        <v>NA</v>
      </c>
      <c r="H137" s="112">
        <f>IF('Chemical Info'!H138="NA","NA",IF(AND('Chemical Info'!E138="Yes",'Chemical Info'!D138="Yes"),'Chemical Info'!H138*'Chemical Info'!AD138*'Res-Rec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Info'!E138="Yes",'Chemical Info'!D138=""),'Chemical Info'!H138*'Chemical Info'!AD138*'Res-Rec Equations'!$B$20*'Res-Rec Equations'!$B$23*((('Res-Rec Equations'!$B$26*'Res-Rec Equations'!$B$29)/'Res-Rec Equations'!$B$32)+(('Res-Rec Equations'!$B$27*'Res-Rec Equations'!$B$30)/'Res-Rec Equations'!$B$33)+(('Res-Rec Equations'!$B$28*'Res-Rec Equations'!$B$31)/'Res-Rec Equations'!$B$34)),IF(AND('Chemical Info'!E138="No",'Chemical Info'!D138="Yes"),'Chemical Info'!H138*'Chemical Info'!AD138*'Res-Rec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Info'!E138="No",'Chemical Info'!D138=""),'Chemical Info'!H138*'Chemical Info'!AD138*'Res-Rec Equations'!$B$19*'Res-Rec Equations'!$B$23*((('Res-Rec Equations'!$B$26*'Res-Rec Equations'!$B$29)/'Res-Rec Equations'!$B$32)+(('Res-Rec Equations'!$B$27*'Res-Rec Equations'!$B$30)/'Res-Rec Equations'!$B$33)+(('Res-Rec Equations'!$B$28*'Res-Rec Equations'!$B$31)/'Res-Rec Equations'!$B$34)))))))</f>
        <v>4.283716216216216E-5</v>
      </c>
      <c r="I137" s="166">
        <f>IF('Chemical Info'!H138="NA","NA",IF('Chemical Info'!E138="Yes",0,IF('Chemical Info'!D138="Yes",'Chemical Info'!H138/'Chemical Info'!AF138*('Res-Rec Equations'!$B$21*'Chemical Info'!AB138*'Res-Rec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Info'!H138/'Chemical Info'!AF138*('Res-Rec Equations'!$B$21*'Chemical Info'!AB138*'Res-Rec Equations'!$B$23)*((('Res-Rec Equations'!$B$26*'Res-Rec Equations'!$B$37*'Res-Rec Equations'!$B$40)/'Res-Rec Equations'!$B$32)+(('Res-Rec Equations'!$B$27*'Res-Rec Equations'!$B$38*'Res-Rec Equations'!$B$41)/'Res-Rec Equations'!$B$33)+(('Res-Rec Equations'!$B$28*'Res-Rec Equations'!$B$39*'Res-Rec Equations'!$B$42)/'Res-Rec Equations'!$B$34)))))</f>
        <v>1.0448214695945945E-5</v>
      </c>
      <c r="J137" s="369" t="str">
        <f>IF('Chemical Info'!J138="NA","NA",IF(AND(E137="NA",'Chemical Info'!D138="Yes"),'Res-Rec Equations'!$B$22*1000*(('Res-Rec Equations'!$B$26*'Chemical Info'!J138*'Res-Rec Equations'!$B$59)+('Res-Rec Equations'!$B$27*'Chemical Info'!J138*'Res-Rec Equations'!$B$60)+('Res-Rec Equations'!$B$28*'Chemical Info'!J138*'Res-Rec Equations'!$B$61))*'Res-Rec Calculations'!C137,IF(AND(E137="NA",'Chemical Info'!D138=""),'Res-Rec Equations'!$B$22*1000*'Res-Rec Equations'!$B$25*'Chemical Info'!J138*'Res-Rec Calculations'!C137,IF(AND('Chemical Info'!E138="Yes",'Chemical Info'!D138="Yes"),'Res-Rec Equations'!$B$22*1000*(('Res-Rec Equations'!$B$26*'Chemical Info'!J138*'Res-Rec Equations'!$B$59)+('Res-Rec Equations'!$B$27*'Chemical Info'!J138*'Res-Rec Equations'!$B$60)+('Res-Rec Equations'!$B$28*'Chemical Info'!J138*'Res-Rec Equations'!$B$61))*'Res-Rec Calculations'!E137,IF(AND('Chemical Info'!E138="Yes",'Chemical Info'!D138=""),'Res-Rec Equations'!$B$22*1000*'Res-Rec Equations'!$B$25*'Chemical Info'!J138*'Res-Rec Calculations'!E137,IF('Chemical Info'!D138="Yes",'Res-Rec Equations'!$B$22*1000*(('Res-Rec Equations'!$B$26*'Chemical Info'!J138*'Res-Rec Equations'!$B$59)+('Res-Rec Equations'!$B$27*'Chemical Info'!J138*'Res-Rec Equations'!$B$60)+('Res-Rec Equations'!$B$28*'Chemical Info'!J138*'Res-Rec Equations'!$B$61))*('Res-Rec Calculations'!C137+'Res-Rec Calculations'!E137),IF('Chemical Info'!D138="",'Res-Rec Equations'!$B$22*1000*'Res-Rec Equations'!$B$25*'Chemical Info'!J138*('Res-Rec Calculations'!C137+'Res-Rec Calculations'!E137))))))))</f>
        <v>NA</v>
      </c>
      <c r="K137" s="370" t="str">
        <f>IF('Chemical Info'!J138="NA","NA",IF(AND(F137="NA",'Chemical Info'!D138="Yes"),'Res-Rec Equations'!$B$22*1000*(('Res-Rec Equations'!$B$26*'Chemical Info'!J138*'Res-Rec Equations'!$B$59)+('Res-Rec Equations'!$B$27*'Chemical Info'!J138*'Res-Rec Equations'!$B$60)+('Res-Rec Equations'!$B$28*'Chemical Info'!J138*'Res-Rec Equations'!$B$61))*'Res-Rec Calculations'!C137,IF(AND(F137="NA",'Chemical Info'!D138=""),'Res-Rec Equations'!$B$22*1000*'Res-Rec Equations'!$B$25*'Chemical Info'!J138*'Res-Rec Calculations'!C137,IF(AND('Chemical Info'!F138="Yes",'Chemical Info'!D138="Yes"),'Res-Rec Equations'!$B$22*1000*(('Res-Rec Equations'!$B$26*'Chemical Info'!J138*'Res-Rec Equations'!$B$59)+('Res-Rec Equations'!$B$27*'Chemical Info'!J138*'Res-Rec Equations'!$B$60)+('Res-Rec Equations'!$B$28*'Chemical Info'!J138*'Res-Rec Equations'!$B$61))*'Res-Rec Calculations'!F137,IF(AND('Chemical Info'!F138="Yes",'Chemical Info'!D138=""),'Res-Rec Equations'!$B$22*1000*'Res-Rec Equations'!$B$25*'Chemical Info'!J138*'Res-Rec Calculations'!F137,IF('Chemical Info'!D138="Yes",'Res-Rec Equations'!$B$22*1000*(('Res-Rec Equations'!$B$26*'Chemical Info'!J138*'Res-Rec Equations'!$B$59)+('Res-Rec Equations'!$B$27*'Chemical Info'!J138*'Res-Rec Equations'!$B$60)+('Res-Rec Equations'!$B$28*'Chemical Info'!J138*'Res-Rec Equations'!$B$61))*('Res-Rec Calculations'!C137+'Res-Rec Calculations'!F137),IF('Chemical Info'!D138="",'Res-Rec Equations'!$B$22*1000*'Res-Rec Equations'!$B$25*'Chemical Info'!J138*('Res-Rec Calculations'!C137+'Res-Rec Calculations'!F137))))))))</f>
        <v>NA</v>
      </c>
      <c r="L137" s="167">
        <f>IF(AND(H137="NA",I137="NA",J137="NA"),"NA",IF(H137="NA",'Res-Rec Equations'!$B$15*'Res-Rec Equations'!$B$16/J137,IF(J137="NA",'Res-Rec Equations'!$B$15*'Res-Rec Equations'!$B$16/(H137+I137),'Res-Rec Equations'!$B$15*'Res-Rec Equations'!$B$16/(H137+I137+J137))))</f>
        <v>4794.9365297793174</v>
      </c>
      <c r="M137" s="167">
        <f>IF(AND(H137="NA",I137="NA",K137="NA"),"NA",IF(H137="NA",'Res-Rec Equations'!$B$15*'Res-Rec Equations'!$B$16/K137,IF(K137="NA",'Res-Rec Equations'!$B$15*'Res-Rec Equations'!$B$16/(H137+I137),'Res-Rec Equations'!$B$15*'Res-Rec Equations'!$B$16/(H137+I137+K137))))</f>
        <v>4794.9365297793174</v>
      </c>
      <c r="N137" s="167">
        <f t="shared" si="122"/>
        <v>4794.9365297793174</v>
      </c>
      <c r="O137" s="371">
        <f>IF('Chemical Info'!L138="NA","NA",IF('Chemical Info'!E138="Yes",(('Res-Rec Equations'!$B$76*'Chemical Info'!AD138*'Res-Rec Equations'!$B$78*'Res-Rec Equations'!$B$79*'Res-Rec Equations'!$B$81)/('Res-Rec Equations'!$B$84*'Res-Rec Equations'!$B$85))/'Chemical Info'!L138,(('Res-Rec Equations'!$B$76*'Chemical Info'!AD138*'Res-Rec Equations'!$B$78*'Res-Rec Equations'!$B$79*'Res-Rec Equations'!$B$80)/('Res-Rec Equations'!$B$84*'Res-Rec Equations'!$B$85))/'Chemical Info'!L138))</f>
        <v>6.3926940639269395E-5</v>
      </c>
      <c r="P137" s="166">
        <f>IF('Chemical Info'!L138="NA","NA", IF('Chemical Info'!E138="Yes",0,((('Res-Rec Equations'!$B$87*'Res-Rec Equations'!$B$88*'Res-Rec Equations'!$B$78*'Res-Rec Equations'!$B$82*'Res-Rec Equations'!$B$79*'Chemical Info'!AB138)/('Res-Rec Equations'!$B$84*'Res-Rec Equations'!$B$85))/('Chemical Info'!L138*'Chemical Info'!AF138))))</f>
        <v>1.0835616438356163E-5</v>
      </c>
      <c r="Q137" s="166">
        <f>IF('Chemical Info'!N138="NA","NA",IF('Res-Rec Calculations'!E137="NA",(('Res-Rec Equations'!$B$83*'Res-Rec Equations'!$B$79*'Res-Rec Calculations'!C137)/('Res-Rec Equations'!$B$85))/('Chemical Info'!N138),IF('Chemical Info'!E138="Yes",(('Res-Rec Equations'!$B$83*'Res-Rec Equations'!$B$79*'Res-Rec Calculations'!E137)/('Res-Rec Equations'!$B$85))/('Chemical Info'!N138),(('Res-Rec Equations'!$B$83*'Res-Rec Equations'!$B$79*('Res-Rec Calculations'!C137+'Res-Rec Calculations'!E137))/('Res-Rec Equations'!$B$85))/('Chemical Info'!N138))))</f>
        <v>2.525094069277636E-6</v>
      </c>
      <c r="R137" s="166">
        <f>IF('Chemical Info'!N138="NA","NA",IF('Res-Rec Calculations'!F137="NA",(('Res-Rec Equations'!$B$83*'Res-Rec Equations'!$B$79*'Res-Rec Calculations'!C137)/('Res-Rec Equations'!$B$85))/('Chemical Info'!N138),IF('Chemical Info'!E138="Yes",(('Res-Rec Equations'!$B$83*'Res-Rec Equations'!$B$79*'Res-Rec Calculations'!F137)/('Res-Rec Equations'!$B$85))/('Chemical Info'!N138),(('Res-Rec Equations'!$B$83*'Res-Rec Equations'!$B$79*('Res-Rec Calculations'!C137+'Res-Rec Calculations'!F137))/('Res-Rec Equations'!$B$85))/('Chemical Info'!N138))))</f>
        <v>2.1203817231789334E-5</v>
      </c>
      <c r="S137" s="167">
        <f>IF(AND(O137="NA",P137="NA",Q137="NA"),"NA",IF(O137="NA",'Res-Rec Equations'!$B$75/Q137,IF(Q137="NA",'Res-Rec Equations'!$B$75/(O137+P137),'Res-Rec Equations'!$B$75/(O137+P137+Q137))))</f>
        <v>2587.7355183152536</v>
      </c>
      <c r="T137" s="167">
        <f>IF(AND(O137="NA",P137="NA",R137="NA"),"NA",IF(O137="NA",'Res-Rec Equations'!$B$75/R137,IF(R137="NA",'Res-Rec Equations'!$B$75/(O137+P137),'Res-Rec Equations'!$B$75/(O137+P137+R137))))</f>
        <v>2084.0633132096855</v>
      </c>
      <c r="U137" s="168">
        <f t="shared" si="123"/>
        <v>2587.7355183152536</v>
      </c>
      <c r="V137" s="167" t="str">
        <f>IF('Chemical Info'!P138="NA","NA",(('Res-Rec Equations'!$B$185*'Res-Rec Equations'!$B$186)/('Res-Rec Equations'!$B$187*'Res-Rec Equations'!$B$188*(1/'Chemical Info'!P138))))</f>
        <v>NA</v>
      </c>
      <c r="W137" s="379" t="str">
        <f t="shared" si="124"/>
        <v>NA</v>
      </c>
      <c r="X137" s="372">
        <f t="shared" si="125"/>
        <v>2587.7355183152536</v>
      </c>
      <c r="Y137" s="62">
        <f t="shared" si="126"/>
        <v>2600</v>
      </c>
      <c r="Z137" s="100" t="str">
        <f t="shared" si="127"/>
        <v>Noncancer</v>
      </c>
      <c r="AA137" s="373"/>
    </row>
    <row r="138" spans="1:27">
      <c r="A138" s="413" t="s">
        <v>1171</v>
      </c>
      <c r="B138" s="566" t="s">
        <v>1172</v>
      </c>
      <c r="C138" s="367">
        <f>1/(('Res-Rec Equations'!$B$152*3600)/((0.036*(1-'Res-Rec Equations'!$B$153))*('Res-Rec Equations'!$B$154/'Res-Rec Equations'!$B$155)^3*'Res-Rec Equations'!$B$156))</f>
        <v>7.3567680901159717E-10</v>
      </c>
      <c r="D138" s="368">
        <f>(('Res-Rec Equations'!$B$132^(10/3)*'Chemical Info'!$AH139*'Chemical Info'!$AN139*41+'Res-Rec Equations'!$B$135^(10/3)*'Chemical Info'!$AJ139)/'Res-Rec Equations'!$B$137^2)/('Res-Rec Equations'!$B$139*'Chemical Info'!$AL139*'Res-Rec Equations'!$B$142+'Res-Rec Equations'!$B$135+'Res-Rec Equations'!$B$132*'Chemical Info'!$AN139*41)</f>
        <v>7.5128093052841792E-6</v>
      </c>
      <c r="E138" s="368">
        <f>IF(D138=0,"NA",1/(('Res-Rec Equations'!$B$103*(3.14*'Res-Rec Calculations'!$D138*'Res-Rec Equations'!$B$105)^(1/2)*0.0001)/(2*'Res-Rec Equations'!$B$106*'Res-Rec Calculations'!$D138)))</f>
        <v>1.6089026484070275E-5</v>
      </c>
      <c r="F138" s="368">
        <f>IF(D138=0,"NA",(1/('Res-Rec Equations'!$B$117*('Res-Rec Equations'!$B$118*(31500000))/('Res-Rec Equations'!$B$119*'Res-Rec Equations'!$B$120*1000000))))</f>
        <v>6.1914410640015851E-5</v>
      </c>
      <c r="G138" s="167" t="str">
        <f>IF('Chemical Info'!E139="Yes",('Chemical Info'!AP139/'Res-Rec Equations'!$B$168)*((('Chemical Info'!AL139*'Res-Rec Equations'!$B$170)*'Res-Rec Equations'!$B$168)+'Res-Rec Equations'!$B$171+('Chemical Info'!AN139*41)*'Res-Rec Equations'!$B$173),"NA")</f>
        <v>NA</v>
      </c>
      <c r="H138" s="112" t="str">
        <f>IF('Chemical Info'!H139="NA","NA",IF(AND('Chemical Info'!E139="Yes",'Chemical Info'!D139="Yes"),'Chemical Info'!H139*'Chemical Info'!AD139*'Res-Rec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Info'!E139="Yes",'Chemical Info'!D139=""),'Chemical Info'!H139*'Chemical Info'!AD139*'Res-Rec Equations'!$B$20*'Res-Rec Equations'!$B$23*((('Res-Rec Equations'!$B$26*'Res-Rec Equations'!$B$29)/'Res-Rec Equations'!$B$32)+(('Res-Rec Equations'!$B$27*'Res-Rec Equations'!$B$30)/'Res-Rec Equations'!$B$33)+(('Res-Rec Equations'!$B$28*'Res-Rec Equations'!$B$31)/'Res-Rec Equations'!$B$34)),IF(AND('Chemical Info'!E139="No",'Chemical Info'!D139="Yes"),'Chemical Info'!H139*'Chemical Info'!AD139*'Res-Rec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Info'!E139="No",'Chemical Info'!D139=""),'Chemical Info'!H139*'Chemical Info'!AD139*'Res-Rec Equations'!$B$19*'Res-Rec Equations'!$B$23*((('Res-Rec Equations'!$B$26*'Res-Rec Equations'!$B$29)/'Res-Rec Equations'!$B$32)+(('Res-Rec Equations'!$B$27*'Res-Rec Equations'!$B$30)/'Res-Rec Equations'!$B$33)+(('Res-Rec Equations'!$B$28*'Res-Rec Equations'!$B$31)/'Res-Rec Equations'!$B$34)))))))</f>
        <v>NA</v>
      </c>
      <c r="I138" s="166" t="str">
        <f>IF('Chemical Info'!H139="NA","NA",IF('Chemical Info'!E139="Yes",0,IF('Chemical Info'!D139="Yes",'Chemical Info'!H139/'Chemical Info'!AF139*('Res-Rec Equations'!$B$21*'Chemical Info'!AB139*'Res-Rec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Info'!H139/'Chemical Info'!AF139*('Res-Rec Equations'!$B$21*'Chemical Info'!AB139*'Res-Rec Equations'!$B$23)*((('Res-Rec Equations'!$B$26*'Res-Rec Equations'!$B$37*'Res-Rec Equations'!$B$40)/'Res-Rec Equations'!$B$32)+(('Res-Rec Equations'!$B$27*'Res-Rec Equations'!$B$38*'Res-Rec Equations'!$B$41)/'Res-Rec Equations'!$B$33)+(('Res-Rec Equations'!$B$28*'Res-Rec Equations'!$B$39*'Res-Rec Equations'!$B$42)/'Res-Rec Equations'!$B$34)))))</f>
        <v>NA</v>
      </c>
      <c r="J138" s="369" t="str">
        <f>IF('Chemical Info'!J139="NA","NA",IF(AND(E138="NA",'Chemical Info'!D139="Yes"),'Res-Rec Equations'!$B$22*1000*(('Res-Rec Equations'!$B$26*'Chemical Info'!J139*'Res-Rec Equations'!$B$59)+('Res-Rec Equations'!$B$27*'Chemical Info'!J139*'Res-Rec Equations'!$B$60)+('Res-Rec Equations'!$B$28*'Chemical Info'!J139*'Res-Rec Equations'!$B$61))*'Res-Rec Calculations'!C138,IF(AND(E138="NA",'Chemical Info'!D139=""),'Res-Rec Equations'!$B$22*1000*'Res-Rec Equations'!$B$25*'Chemical Info'!J139*'Res-Rec Calculations'!C138,IF(AND('Chemical Info'!E139="Yes",'Chemical Info'!D139="Yes"),'Res-Rec Equations'!$B$22*1000*(('Res-Rec Equations'!$B$26*'Chemical Info'!J139*'Res-Rec Equations'!$B$59)+('Res-Rec Equations'!$B$27*'Chemical Info'!J139*'Res-Rec Equations'!$B$60)+('Res-Rec Equations'!$B$28*'Chemical Info'!J139*'Res-Rec Equations'!$B$61))*'Res-Rec Calculations'!E138,IF(AND('Chemical Info'!E139="Yes",'Chemical Info'!D139=""),'Res-Rec Equations'!$B$22*1000*'Res-Rec Equations'!$B$25*'Chemical Info'!J139*'Res-Rec Calculations'!E138,IF('Chemical Info'!D139="Yes",'Res-Rec Equations'!$B$22*1000*(('Res-Rec Equations'!$B$26*'Chemical Info'!J139*'Res-Rec Equations'!$B$59)+('Res-Rec Equations'!$B$27*'Chemical Info'!J139*'Res-Rec Equations'!$B$60)+('Res-Rec Equations'!$B$28*'Chemical Info'!J139*'Res-Rec Equations'!$B$61))*('Res-Rec Calculations'!C138+'Res-Rec Calculations'!E138),IF('Chemical Info'!D139="",'Res-Rec Equations'!$B$22*1000*'Res-Rec Equations'!$B$25*'Chemical Info'!J139*('Res-Rec Calculations'!C138+'Res-Rec Calculations'!E138))))))))</f>
        <v>NA</v>
      </c>
      <c r="K138" s="370" t="str">
        <f>IF('Chemical Info'!J139="NA","NA",IF(AND(F138="NA",'Chemical Info'!D139="Yes"),'Res-Rec Equations'!$B$22*1000*(('Res-Rec Equations'!$B$26*'Chemical Info'!J139*'Res-Rec Equations'!$B$59)+('Res-Rec Equations'!$B$27*'Chemical Info'!J139*'Res-Rec Equations'!$B$60)+('Res-Rec Equations'!$B$28*'Chemical Info'!J139*'Res-Rec Equations'!$B$61))*'Res-Rec Calculations'!C138,IF(AND(F138="NA",'Chemical Info'!D139=""),'Res-Rec Equations'!$B$22*1000*'Res-Rec Equations'!$B$25*'Chemical Info'!J139*'Res-Rec Calculations'!C138,IF(AND('Chemical Info'!F139="Yes",'Chemical Info'!D139="Yes"),'Res-Rec Equations'!$B$22*1000*(('Res-Rec Equations'!$B$26*'Chemical Info'!J139*'Res-Rec Equations'!$B$59)+('Res-Rec Equations'!$B$27*'Chemical Info'!J139*'Res-Rec Equations'!$B$60)+('Res-Rec Equations'!$B$28*'Chemical Info'!J139*'Res-Rec Equations'!$B$61))*'Res-Rec Calculations'!F138,IF(AND('Chemical Info'!F139="Yes",'Chemical Info'!D139=""),'Res-Rec Equations'!$B$22*1000*'Res-Rec Equations'!$B$25*'Chemical Info'!J139*'Res-Rec Calculations'!F138,IF('Chemical Info'!D139="Yes",'Res-Rec Equations'!$B$22*1000*(('Res-Rec Equations'!$B$26*'Chemical Info'!J139*'Res-Rec Equations'!$B$59)+('Res-Rec Equations'!$B$27*'Chemical Info'!J139*'Res-Rec Equations'!$B$60)+('Res-Rec Equations'!$B$28*'Chemical Info'!J139*'Res-Rec Equations'!$B$61))*('Res-Rec Calculations'!C138+'Res-Rec Calculations'!F138),IF('Chemical Info'!D139="",'Res-Rec Equations'!$B$22*1000*'Res-Rec Equations'!$B$25*'Chemical Info'!J139*('Res-Rec Calculations'!C138+'Res-Rec Calculations'!F138))))))))</f>
        <v>NA</v>
      </c>
      <c r="L138" s="167" t="str">
        <f>IF(AND(H138="NA",I138="NA",J138="NA"),"NA",IF(H138="NA",'Res-Rec Equations'!$B$15*'Res-Rec Equations'!$B$16/J138,IF(J138="NA",'Res-Rec Equations'!$B$15*'Res-Rec Equations'!$B$16/(H138+I138),'Res-Rec Equations'!$B$15*'Res-Rec Equations'!$B$16/(H138+I138+J138))))</f>
        <v>NA</v>
      </c>
      <c r="M138" s="167" t="str">
        <f>IF(AND(H138="NA",I138="NA",K138="NA"),"NA",IF(H138="NA",'Res-Rec Equations'!$B$15*'Res-Rec Equations'!$B$16/K138,IF(K138="NA",'Res-Rec Equations'!$B$15*'Res-Rec Equations'!$B$16/(H138+I138),'Res-Rec Equations'!$B$15*'Res-Rec Equations'!$B$16/(H138+I138+K138))))</f>
        <v>NA</v>
      </c>
      <c r="N138" s="167" t="str">
        <f t="shared" ref="N138" si="182">IF(AND(L138="NA",M138="NA"),"NA",MAX(L138,M138))</f>
        <v>NA</v>
      </c>
      <c r="O138" s="371">
        <f>IF('Chemical Info'!L139="NA","NA",IF('Chemical Info'!E139="Yes",(('Res-Rec Equations'!$B$76*'Chemical Info'!AD139*'Res-Rec Equations'!$B$78*'Res-Rec Equations'!$B$79*'Res-Rec Equations'!$B$81)/('Res-Rec Equations'!$B$84*'Res-Rec Equations'!$B$85))/'Chemical Info'!L139,(('Res-Rec Equations'!$B$76*'Chemical Info'!AD139*'Res-Rec Equations'!$B$78*'Res-Rec Equations'!$B$79*'Res-Rec Equations'!$B$80)/('Res-Rec Equations'!$B$84*'Res-Rec Equations'!$B$85))/'Chemical Info'!L139))</f>
        <v>1.2785388127853879E-4</v>
      </c>
      <c r="P138" s="166">
        <f>IF('Chemical Info'!L139="NA","NA", IF('Chemical Info'!E139="Yes",0,((('Res-Rec Equations'!$B$87*'Res-Rec Equations'!$B$88*'Res-Rec Equations'!$B$78*'Res-Rec Equations'!$B$82*'Res-Rec Equations'!$B$79*'Chemical Info'!AB139)/('Res-Rec Equations'!$B$84*'Res-Rec Equations'!$B$85))/('Chemical Info'!L139*'Chemical Info'!AF139))))</f>
        <v>2.1671232876712325E-5</v>
      </c>
      <c r="Q138" s="166">
        <f>IF('Chemical Info'!N139="NA","NA",IF('Res-Rec Calculations'!E138="NA",(('Res-Rec Equations'!$B$83*'Res-Rec Equations'!$B$79*'Res-Rec Calculations'!C138)/('Res-Rec Equations'!$B$85))/('Chemical Info'!N139),IF('Chemical Info'!E139="Yes",(('Res-Rec Equations'!$B$83*'Res-Rec Equations'!$B$79*'Res-Rec Calculations'!E138)/('Res-Rec Equations'!$B$85))/('Chemical Info'!N139),(('Res-Rec Equations'!$B$83*'Res-Rec Equations'!$B$79*('Res-Rec Calculations'!C138+'Res-Rec Calculations'!E138))/('Res-Rec Equations'!$B$85))/('Chemical Info'!N139))))</f>
        <v>1.5743407202425917E-2</v>
      </c>
      <c r="R138" s="166">
        <f>IF('Chemical Info'!N139="NA","NA",IF('Res-Rec Calculations'!F138="NA",(('Res-Rec Equations'!$B$83*'Res-Rec Equations'!$B$79*'Res-Rec Calculations'!C138)/('Res-Rec Equations'!$B$85))/('Chemical Info'!N139),IF('Chemical Info'!E139="Yes",(('Res-Rec Equations'!$B$83*'Res-Rec Equations'!$B$79*'Res-Rec Calculations'!F138)/('Res-Rec Equations'!$B$85))/('Chemical Info'!N139),(('Res-Rec Equations'!$B$83*'Res-Rec Equations'!$B$79*('Res-Rec Calculations'!C138+'Res-Rec Calculations'!F138))/('Res-Rec Equations'!$B$85))/('Chemical Info'!N139))))</f>
        <v>6.0582334947969531E-2</v>
      </c>
      <c r="S138" s="167">
        <f>IF(AND(O138="NA",P138="NA",Q138="NA"),"NA",IF(O138="NA",'Res-Rec Equations'!$B$75/Q138,IF(Q138="NA",'Res-Rec Equations'!$B$75/(O138+P138),'Res-Rec Equations'!$B$75/(O138+P138+Q138))))</f>
        <v>12.584210139203769</v>
      </c>
      <c r="T138" s="167">
        <f>IF(AND(O138="NA",P138="NA",R138="NA"),"NA",IF(O138="NA",'Res-Rec Equations'!$B$75/R138,IF(R138="NA",'Res-Rec Equations'!$B$75/(O138+P138),'Res-Rec Equations'!$B$75/(O138+P138+R138))))</f>
        <v>3.2931644081938689</v>
      </c>
      <c r="U138" s="168">
        <f t="shared" ref="U138" si="183">IF(AND(S138="NA",T138="NA"),"NA",MAX(S138,T138))</f>
        <v>12.584210139203769</v>
      </c>
      <c r="V138" s="167" t="str">
        <f>IF('Chemical Info'!P139="NA","NA",(('Res-Rec Equations'!$B$185*'Res-Rec Equations'!$B$186)/('Res-Rec Equations'!$B$187*'Res-Rec Equations'!$B$188*(1/'Chemical Info'!P139))))</f>
        <v>NA</v>
      </c>
      <c r="W138" s="379" t="str">
        <f t="shared" ref="W138" si="184">IF(V138="NA","NA",IF(V138&gt;100000,100000,IF(ISNUMBER(ROUND(V138*1000000,2-LEN(INT(V138*1000000)))/1000000),ROUND(V138*1000000,2-LEN(INT(V138*1000000)))/1000000,"NA")))</f>
        <v>NA</v>
      </c>
      <c r="X138" s="372">
        <f t="shared" ref="X138" si="185">IF(AND(N138="NA",U138="NA",G138="NA"),"NA",MIN(N138,U138,G138))</f>
        <v>12.584210139203769</v>
      </c>
      <c r="Y138" s="62">
        <f t="shared" ref="Y138" si="186">IF(X138&gt;100000,100000,IF(ISNUMBER(ROUND(X138*1000000,2-LEN(INT(X138*1000000)))/1000000),ROUND(X138*1000000,2-LEN(INT(X138*1000000)))/1000000,"NA"))</f>
        <v>13</v>
      </c>
      <c r="Z138" s="100" t="str">
        <f t="shared" ref="Z138" si="187">IF(Y138=100000,"Max Limit",IF(X138=G138,"Csat",IF(X138=N138,"Cancer",IF(X138=V138,"Acute",IF(X138=U138,"Noncancer","")))))</f>
        <v>Noncancer</v>
      </c>
      <c r="AA138" s="373"/>
    </row>
    <row r="139" spans="1:27">
      <c r="A139" s="413" t="s">
        <v>1191</v>
      </c>
      <c r="B139" s="566" t="s">
        <v>1192</v>
      </c>
      <c r="C139" s="367">
        <f>1/(('Res-Rec Equations'!$B$152*3600)/((0.036*(1-'Res-Rec Equations'!$B$153))*('Res-Rec Equations'!$B$154/'Res-Rec Equations'!$B$155)^3*'Res-Rec Equations'!$B$156))</f>
        <v>7.3567680901159717E-10</v>
      </c>
      <c r="D139" s="368">
        <f>(('Res-Rec Equations'!$B$132^(10/3)*'Chemical Info'!$AH140*'Chemical Info'!$AN140*41+'Res-Rec Equations'!$B$135^(10/3)*'Chemical Info'!$AJ140)/'Res-Rec Equations'!$B$137^2)/('Res-Rec Equations'!$B$139*'Chemical Info'!$AL140*'Res-Rec Equations'!$B$142+'Res-Rec Equations'!$B$135+'Res-Rec Equations'!$B$132*'Chemical Info'!$AN140*41)</f>
        <v>7.4697274818433908E-7</v>
      </c>
      <c r="E139" s="368">
        <f>IF(D139=0,"NA",1/(('Res-Rec Equations'!$B$103*(3.14*'Res-Rec Calculations'!$D139*'Res-Rec Equations'!$B$105)^(1/2)*0.0001)/(2*'Res-Rec Equations'!$B$106*'Res-Rec Calculations'!$D139)))</f>
        <v>5.0731880724511178E-6</v>
      </c>
      <c r="F139" s="368">
        <f>IF(D139=0,"NA",(1/('Res-Rec Equations'!$B$117*('Res-Rec Equations'!$B$118*(31500000))/('Res-Rec Equations'!$B$119*'Res-Rec Equations'!$B$120*1000000))))</f>
        <v>6.1914410640015851E-5</v>
      </c>
      <c r="G139" s="167" t="str">
        <f>IF('Chemical Info'!E140="Yes",('Chemical Info'!AP140/'Res-Rec Equations'!$B$168)*((('Chemical Info'!AL140*'Res-Rec Equations'!$B$170)*'Res-Rec Equations'!$B$168)+'Res-Rec Equations'!$B$171+('Chemical Info'!AN140*41)*'Res-Rec Equations'!$B$173),"NA")</f>
        <v>NA</v>
      </c>
      <c r="H139" s="112" t="str">
        <f>IF('Chemical Info'!H140="NA","NA",IF(AND('Chemical Info'!E140="Yes",'Chemical Info'!D140="Yes"),'Chemical Info'!H140*'Chemical Info'!AD140*'Res-Rec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Info'!E140="Yes",'Chemical Info'!D140=""),'Chemical Info'!H140*'Chemical Info'!AD140*'Res-Rec Equations'!$B$20*'Res-Rec Equations'!$B$23*((('Res-Rec Equations'!$B$26*'Res-Rec Equations'!$B$29)/'Res-Rec Equations'!$B$32)+(('Res-Rec Equations'!$B$27*'Res-Rec Equations'!$B$30)/'Res-Rec Equations'!$B$33)+(('Res-Rec Equations'!$B$28*'Res-Rec Equations'!$B$31)/'Res-Rec Equations'!$B$34)),IF(AND('Chemical Info'!E140="No",'Chemical Info'!D140="Yes"),'Chemical Info'!H140*'Chemical Info'!AD140*'Res-Rec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Info'!E140="No",'Chemical Info'!D140=""),'Chemical Info'!H140*'Chemical Info'!AD140*'Res-Rec Equations'!$B$19*'Res-Rec Equations'!$B$23*((('Res-Rec Equations'!$B$26*'Res-Rec Equations'!$B$29)/'Res-Rec Equations'!$B$32)+(('Res-Rec Equations'!$B$27*'Res-Rec Equations'!$B$30)/'Res-Rec Equations'!$B$33)+(('Res-Rec Equations'!$B$28*'Res-Rec Equations'!$B$31)/'Res-Rec Equations'!$B$34)))))))</f>
        <v>NA</v>
      </c>
      <c r="I139" s="166" t="str">
        <f>IF('Chemical Info'!H140="NA","NA",IF('Chemical Info'!E140="Yes",0,IF('Chemical Info'!D140="Yes",'Chemical Info'!H140/'Chemical Info'!AF140*('Res-Rec Equations'!$B$21*'Chemical Info'!AB140*'Res-Rec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Info'!H140/'Chemical Info'!AF140*('Res-Rec Equations'!$B$21*'Chemical Info'!AB140*'Res-Rec Equations'!$B$23)*((('Res-Rec Equations'!$B$26*'Res-Rec Equations'!$B$37*'Res-Rec Equations'!$B$40)/'Res-Rec Equations'!$B$32)+(('Res-Rec Equations'!$B$27*'Res-Rec Equations'!$B$38*'Res-Rec Equations'!$B$41)/'Res-Rec Equations'!$B$33)+(('Res-Rec Equations'!$B$28*'Res-Rec Equations'!$B$39*'Res-Rec Equations'!$B$42)/'Res-Rec Equations'!$B$34)))))</f>
        <v>NA</v>
      </c>
      <c r="J139" s="369" t="str">
        <f>IF('Chemical Info'!J140="NA","NA",IF(AND(E139="NA",'Chemical Info'!D140="Yes"),'Res-Rec Equations'!$B$22*1000*(('Res-Rec Equations'!$B$26*'Chemical Info'!J140*'Res-Rec Equations'!$B$59)+('Res-Rec Equations'!$B$27*'Chemical Info'!J140*'Res-Rec Equations'!$B$60)+('Res-Rec Equations'!$B$28*'Chemical Info'!J140*'Res-Rec Equations'!$B$61))*'Res-Rec Calculations'!C139,IF(AND(E139="NA",'Chemical Info'!D140=""),'Res-Rec Equations'!$B$22*1000*'Res-Rec Equations'!$B$25*'Chemical Info'!J140*'Res-Rec Calculations'!C139,IF(AND('Chemical Info'!E140="Yes",'Chemical Info'!D140="Yes"),'Res-Rec Equations'!$B$22*1000*(('Res-Rec Equations'!$B$26*'Chemical Info'!J140*'Res-Rec Equations'!$B$59)+('Res-Rec Equations'!$B$27*'Chemical Info'!J140*'Res-Rec Equations'!$B$60)+('Res-Rec Equations'!$B$28*'Chemical Info'!J140*'Res-Rec Equations'!$B$61))*'Res-Rec Calculations'!E139,IF(AND('Chemical Info'!E140="Yes",'Chemical Info'!D140=""),'Res-Rec Equations'!$B$22*1000*'Res-Rec Equations'!$B$25*'Chemical Info'!J140*'Res-Rec Calculations'!E139,IF('Chemical Info'!D140="Yes",'Res-Rec Equations'!$B$22*1000*(('Res-Rec Equations'!$B$26*'Chemical Info'!J140*'Res-Rec Equations'!$B$59)+('Res-Rec Equations'!$B$27*'Chemical Info'!J140*'Res-Rec Equations'!$B$60)+('Res-Rec Equations'!$B$28*'Chemical Info'!J140*'Res-Rec Equations'!$B$61))*('Res-Rec Calculations'!C139+'Res-Rec Calculations'!E139),IF('Chemical Info'!D140="",'Res-Rec Equations'!$B$22*1000*'Res-Rec Equations'!$B$25*'Chemical Info'!J140*('Res-Rec Calculations'!C139+'Res-Rec Calculations'!E139))))))))</f>
        <v>NA</v>
      </c>
      <c r="K139" s="370" t="str">
        <f>IF('Chemical Info'!J140="NA","NA",IF(AND(F139="NA",'Chemical Info'!D140="Yes"),'Res-Rec Equations'!$B$22*1000*(('Res-Rec Equations'!$B$26*'Chemical Info'!J140*'Res-Rec Equations'!$B$59)+('Res-Rec Equations'!$B$27*'Chemical Info'!J140*'Res-Rec Equations'!$B$60)+('Res-Rec Equations'!$B$28*'Chemical Info'!J140*'Res-Rec Equations'!$B$61))*'Res-Rec Calculations'!C139,IF(AND(F139="NA",'Chemical Info'!D140=""),'Res-Rec Equations'!$B$22*1000*'Res-Rec Equations'!$B$25*'Chemical Info'!J140*'Res-Rec Calculations'!C139,IF(AND('Chemical Info'!F140="Yes",'Chemical Info'!D140="Yes"),'Res-Rec Equations'!$B$22*1000*(('Res-Rec Equations'!$B$26*'Chemical Info'!J140*'Res-Rec Equations'!$B$59)+('Res-Rec Equations'!$B$27*'Chemical Info'!J140*'Res-Rec Equations'!$B$60)+('Res-Rec Equations'!$B$28*'Chemical Info'!J140*'Res-Rec Equations'!$B$61))*'Res-Rec Calculations'!F139,IF(AND('Chemical Info'!F140="Yes",'Chemical Info'!D140=""),'Res-Rec Equations'!$B$22*1000*'Res-Rec Equations'!$B$25*'Chemical Info'!J140*'Res-Rec Calculations'!F139,IF('Chemical Info'!D140="Yes",'Res-Rec Equations'!$B$22*1000*(('Res-Rec Equations'!$B$26*'Chemical Info'!J140*'Res-Rec Equations'!$B$59)+('Res-Rec Equations'!$B$27*'Chemical Info'!J140*'Res-Rec Equations'!$B$60)+('Res-Rec Equations'!$B$28*'Chemical Info'!J140*'Res-Rec Equations'!$B$61))*('Res-Rec Calculations'!C139+'Res-Rec Calculations'!F139),IF('Chemical Info'!D140="",'Res-Rec Equations'!$B$22*1000*'Res-Rec Equations'!$B$25*'Chemical Info'!J140*('Res-Rec Calculations'!C139+'Res-Rec Calculations'!F139))))))))</f>
        <v>NA</v>
      </c>
      <c r="L139" s="167" t="str">
        <f>IF(AND(H139="NA",I139="NA",J139="NA"),"NA",IF(H139="NA",'Res-Rec Equations'!$B$15*'Res-Rec Equations'!$B$16/J139,IF(J139="NA",'Res-Rec Equations'!$B$15*'Res-Rec Equations'!$B$16/(H139+I139),'Res-Rec Equations'!$B$15*'Res-Rec Equations'!$B$16/(H139+I139+J139))))</f>
        <v>NA</v>
      </c>
      <c r="M139" s="167" t="str">
        <f>IF(AND(H139="NA",I139="NA",K139="NA"),"NA",IF(H139="NA",'Res-Rec Equations'!$B$15*'Res-Rec Equations'!$B$16/K139,IF(K139="NA",'Res-Rec Equations'!$B$15*'Res-Rec Equations'!$B$16/(H139+I139),'Res-Rec Equations'!$B$15*'Res-Rec Equations'!$B$16/(H139+I139+K139))))</f>
        <v>NA</v>
      </c>
      <c r="N139" s="167" t="str">
        <f t="shared" ref="N139" si="188">IF(AND(L139="NA",M139="NA"),"NA",MAX(L139,M139))</f>
        <v>NA</v>
      </c>
      <c r="O139" s="371">
        <f>IF('Chemical Info'!L140="NA","NA",IF('Chemical Info'!E140="Yes",(('Res-Rec Equations'!$B$76*'Chemical Info'!AD140*'Res-Rec Equations'!$B$78*'Res-Rec Equations'!$B$79*'Res-Rec Equations'!$B$81)/('Res-Rec Equations'!$B$84*'Res-Rec Equations'!$B$85))/'Chemical Info'!L140,(('Res-Rec Equations'!$B$76*'Chemical Info'!AD140*'Res-Rec Equations'!$B$78*'Res-Rec Equations'!$B$79*'Res-Rec Equations'!$B$80)/('Res-Rec Equations'!$B$84*'Res-Rec Equations'!$B$85))/'Chemical Info'!L140))</f>
        <v>0.12785388127853881</v>
      </c>
      <c r="P139" s="166">
        <f>IF('Chemical Info'!L140="NA","NA", IF('Chemical Info'!E140="Yes",0,((('Res-Rec Equations'!$B$87*'Res-Rec Equations'!$B$88*'Res-Rec Equations'!$B$78*'Res-Rec Equations'!$B$82*'Res-Rec Equations'!$B$79*'Chemical Info'!AB140)/('Res-Rec Equations'!$B$84*'Res-Rec Equations'!$B$85))/('Chemical Info'!L140*'Chemical Info'!AF140))))</f>
        <v>2.1671232876712326E-2</v>
      </c>
      <c r="Q139" s="166" t="str">
        <f>IF('Chemical Info'!N140="NA","NA",IF('Res-Rec Calculations'!E139="NA",(('Res-Rec Equations'!$B$83*'Res-Rec Equations'!$B$79*'Res-Rec Calculations'!C139)/('Res-Rec Equations'!$B$85))/('Chemical Info'!N140),IF('Chemical Info'!E140="Yes",(('Res-Rec Equations'!$B$83*'Res-Rec Equations'!$B$79*'Res-Rec Calculations'!E139)/('Res-Rec Equations'!$B$85))/('Chemical Info'!N140),(('Res-Rec Equations'!$B$83*'Res-Rec Equations'!$B$79*('Res-Rec Calculations'!C139+'Res-Rec Calculations'!E139))/('Res-Rec Equations'!$B$85))/('Chemical Info'!N140))))</f>
        <v>NA</v>
      </c>
      <c r="R139" s="166" t="str">
        <f>IF('Chemical Info'!N140="NA","NA",IF('Res-Rec Calculations'!F139="NA",(('Res-Rec Equations'!$B$83*'Res-Rec Equations'!$B$79*'Res-Rec Calculations'!C139)/('Res-Rec Equations'!$B$85))/('Chemical Info'!N140),IF('Chemical Info'!E140="Yes",(('Res-Rec Equations'!$B$83*'Res-Rec Equations'!$B$79*'Res-Rec Calculations'!F139)/('Res-Rec Equations'!$B$85))/('Chemical Info'!N140),(('Res-Rec Equations'!$B$83*'Res-Rec Equations'!$B$79*('Res-Rec Calculations'!C139+'Res-Rec Calculations'!F139))/('Res-Rec Equations'!$B$85))/('Chemical Info'!N140))))</f>
        <v>NA</v>
      </c>
      <c r="S139" s="167">
        <f>IF(AND(O139="NA",P139="NA",Q139="NA"),"NA",IF(O139="NA",'Res-Rec Equations'!$B$75/Q139,IF(Q139="NA",'Res-Rec Equations'!$B$75/(O139+P139),'Res-Rec Equations'!$B$75/(O139+P139+Q139))))</f>
        <v>1.3375679472301962</v>
      </c>
      <c r="T139" s="167">
        <f>IF(AND(O139="NA",P139="NA",R139="NA"),"NA",IF(O139="NA",'Res-Rec Equations'!$B$75/R139,IF(R139="NA",'Res-Rec Equations'!$B$75/(O139+P139),'Res-Rec Equations'!$B$75/(O139+P139+R139))))</f>
        <v>1.3375679472301962</v>
      </c>
      <c r="U139" s="168">
        <f t="shared" ref="U139" si="189">IF(AND(S139="NA",T139="NA"),"NA",MAX(S139,T139))</f>
        <v>1.3375679472301962</v>
      </c>
      <c r="V139" s="167" t="str">
        <f>IF('Chemical Info'!P140="NA","NA",(('Res-Rec Equations'!$B$185*'Res-Rec Equations'!$B$186)/('Res-Rec Equations'!$B$187*'Res-Rec Equations'!$B$188*(1/'Chemical Info'!P140))))</f>
        <v>NA</v>
      </c>
      <c r="W139" s="379" t="str">
        <f t="shared" ref="W139" si="190">IF(V139="NA","NA",IF(V139&gt;100000,100000,IF(ISNUMBER(ROUND(V139*1000000,2-LEN(INT(V139*1000000)))/1000000),ROUND(V139*1000000,2-LEN(INT(V139*1000000)))/1000000,"NA")))</f>
        <v>NA</v>
      </c>
      <c r="X139" s="372">
        <f t="shared" ref="X139" si="191">IF(AND(N139="NA",U139="NA",G139="NA"),"NA",MIN(N139,U139,G139))</f>
        <v>1.3375679472301962</v>
      </c>
      <c r="Y139" s="62">
        <f t="shared" ref="Y139" si="192">IF(X139&gt;100000,100000,IF(ISNUMBER(ROUND(X139*1000000,2-LEN(INT(X139*1000000)))/1000000),ROUND(X139*1000000,2-LEN(INT(X139*1000000)))/1000000,"NA"))</f>
        <v>1.3</v>
      </c>
      <c r="Z139" s="100" t="str">
        <f t="shared" ref="Z139" si="193">IF(Y139=100000,"Max Limit",IF(X139=G139,"Csat",IF(X139=N139,"Cancer",IF(X139=V139,"Acute",IF(X139=U139,"Noncancer","")))))</f>
        <v>Noncancer</v>
      </c>
      <c r="AA139" s="373"/>
    </row>
    <row r="140" spans="1:27">
      <c r="A140" s="413" t="s">
        <v>222</v>
      </c>
      <c r="B140" s="566" t="s">
        <v>223</v>
      </c>
      <c r="C140" s="367">
        <f>1/(('Res-Rec Equations'!$B$152*3600)/((0.036*(1-'Res-Rec Equations'!$B$153))*('Res-Rec Equations'!$B$154/'Res-Rec Equations'!$B$155)^3*'Res-Rec Equations'!$B$156))</f>
        <v>7.3567680901159717E-10</v>
      </c>
      <c r="D140" s="368">
        <f>(('Res-Rec Equations'!$B$132^(10/3)*'Chemical Info'!$AH141*'Chemical Info'!$AN141*41+'Res-Rec Equations'!$B$135^(10/3)*'Chemical Info'!$AJ141)/'Res-Rec Equations'!$B$137^2)/('Res-Rec Equations'!$B$139*'Chemical Info'!$AL141*'Res-Rec Equations'!$B$142+'Res-Rec Equations'!$B$135+'Res-Rec Equations'!$B$132*'Chemical Info'!$AN141*41)</f>
        <v>1.5144866857949862E-5</v>
      </c>
      <c r="E140" s="368">
        <f>IF(D140=0,"NA",1/(('Res-Rec Equations'!$B$103*(3.14*'Res-Rec Calculations'!$D140*'Res-Rec Equations'!$B$105)^(1/2)*0.0001)/(2*'Res-Rec Equations'!$B$106*'Res-Rec Calculations'!$D140)))</f>
        <v>2.2843429936379729E-5</v>
      </c>
      <c r="F140" s="368">
        <f>IF(D140=0,"NA",(1/('Res-Rec Equations'!$B$117*('Res-Rec Equations'!$B$118*(31500000))/('Res-Rec Equations'!$B$119*'Res-Rec Equations'!$B$120*1000000))))</f>
        <v>6.1914410640015851E-5</v>
      </c>
      <c r="G140" s="167">
        <f>IF('Chemical Info'!E141="Yes",('Chemical Info'!AP141/'Res-Rec Equations'!$B$168)*((('Chemical Info'!AL141*'Res-Rec Equations'!$B$170)*'Res-Rec Equations'!$B$168)+'Res-Rec Equations'!$B$171+('Chemical Info'!AN141*41)*'Res-Rec Equations'!$B$173),"NA")</f>
        <v>106034.82266666667</v>
      </c>
      <c r="H140" s="112" t="str">
        <f>IF('Chemical Info'!H141="NA","NA",IF(AND('Chemical Info'!E141="Yes",'Chemical Info'!D141="Yes"),'Chemical Info'!H141*'Chemical Info'!AD141*'Res-Rec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Info'!E141="Yes",'Chemical Info'!D141=""),'Chemical Info'!H141*'Chemical Info'!AD141*'Res-Rec Equations'!$B$20*'Res-Rec Equations'!$B$23*((('Res-Rec Equations'!$B$26*'Res-Rec Equations'!$B$29)/'Res-Rec Equations'!$B$32)+(('Res-Rec Equations'!$B$27*'Res-Rec Equations'!$B$30)/'Res-Rec Equations'!$B$33)+(('Res-Rec Equations'!$B$28*'Res-Rec Equations'!$B$31)/'Res-Rec Equations'!$B$34)),IF(AND('Chemical Info'!E141="No",'Chemical Info'!D141="Yes"),'Chemical Info'!H141*'Chemical Info'!AD141*'Res-Rec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Info'!E141="No",'Chemical Info'!D141=""),'Chemical Info'!H141*'Chemical Info'!AD141*'Res-Rec Equations'!$B$19*'Res-Rec Equations'!$B$23*((('Res-Rec Equations'!$B$26*'Res-Rec Equations'!$B$29)/'Res-Rec Equations'!$B$32)+(('Res-Rec Equations'!$B$27*'Res-Rec Equations'!$B$30)/'Res-Rec Equations'!$B$33)+(('Res-Rec Equations'!$B$28*'Res-Rec Equations'!$B$31)/'Res-Rec Equations'!$B$34)))))))</f>
        <v>NA</v>
      </c>
      <c r="I140" s="166" t="str">
        <f>IF('Chemical Info'!H141="NA","NA",IF('Chemical Info'!E141="Yes",0,IF('Chemical Info'!D141="Yes",'Chemical Info'!H141/'Chemical Info'!AF141*('Res-Rec Equations'!$B$21*'Chemical Info'!AB141*'Res-Rec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Info'!H141/'Chemical Info'!AF141*('Res-Rec Equations'!$B$21*'Chemical Info'!AB141*'Res-Rec Equations'!$B$23)*((('Res-Rec Equations'!$B$26*'Res-Rec Equations'!$B$37*'Res-Rec Equations'!$B$40)/'Res-Rec Equations'!$B$32)+(('Res-Rec Equations'!$B$27*'Res-Rec Equations'!$B$38*'Res-Rec Equations'!$B$41)/'Res-Rec Equations'!$B$33)+(('Res-Rec Equations'!$B$28*'Res-Rec Equations'!$B$39*'Res-Rec Equations'!$B$42)/'Res-Rec Equations'!$B$34)))))</f>
        <v>NA</v>
      </c>
      <c r="J140" s="369" t="str">
        <f>IF('Chemical Info'!J141="NA","NA",IF(AND(E140="NA",'Chemical Info'!D141="Yes"),'Res-Rec Equations'!$B$22*1000*(('Res-Rec Equations'!$B$26*'Chemical Info'!J141*'Res-Rec Equations'!$B$59)+('Res-Rec Equations'!$B$27*'Chemical Info'!J141*'Res-Rec Equations'!$B$60)+('Res-Rec Equations'!$B$28*'Chemical Info'!J141*'Res-Rec Equations'!$B$61))*'Res-Rec Calculations'!C140,IF(AND(E140="NA",'Chemical Info'!D141=""),'Res-Rec Equations'!$B$22*1000*'Res-Rec Equations'!$B$25*'Chemical Info'!J141*'Res-Rec Calculations'!C140,IF(AND('Chemical Info'!E141="Yes",'Chemical Info'!D141="Yes"),'Res-Rec Equations'!$B$22*1000*(('Res-Rec Equations'!$B$26*'Chemical Info'!J141*'Res-Rec Equations'!$B$59)+('Res-Rec Equations'!$B$27*'Chemical Info'!J141*'Res-Rec Equations'!$B$60)+('Res-Rec Equations'!$B$28*'Chemical Info'!J141*'Res-Rec Equations'!$B$61))*'Res-Rec Calculations'!E140,IF(AND('Chemical Info'!E141="Yes",'Chemical Info'!D141=""),'Res-Rec Equations'!$B$22*1000*'Res-Rec Equations'!$B$25*'Chemical Info'!J141*'Res-Rec Calculations'!E140,IF('Chemical Info'!D141="Yes",'Res-Rec Equations'!$B$22*1000*(('Res-Rec Equations'!$B$26*'Chemical Info'!J141*'Res-Rec Equations'!$B$59)+('Res-Rec Equations'!$B$27*'Chemical Info'!J141*'Res-Rec Equations'!$B$60)+('Res-Rec Equations'!$B$28*'Chemical Info'!J141*'Res-Rec Equations'!$B$61))*('Res-Rec Calculations'!C140+'Res-Rec Calculations'!E140),IF('Chemical Info'!D141="",'Res-Rec Equations'!$B$22*1000*'Res-Rec Equations'!$B$25*'Chemical Info'!J141*('Res-Rec Calculations'!C140+'Res-Rec Calculations'!E140))))))))</f>
        <v>NA</v>
      </c>
      <c r="K140" s="370" t="str">
        <f>IF('Chemical Info'!J141="NA","NA",IF(AND(F140="NA",'Chemical Info'!D141="Yes"),'Res-Rec Equations'!$B$22*1000*(('Res-Rec Equations'!$B$26*'Chemical Info'!J141*'Res-Rec Equations'!$B$59)+('Res-Rec Equations'!$B$27*'Chemical Info'!J141*'Res-Rec Equations'!$B$60)+('Res-Rec Equations'!$B$28*'Chemical Info'!J141*'Res-Rec Equations'!$B$61))*'Res-Rec Calculations'!C140,IF(AND(F140="NA",'Chemical Info'!D141=""),'Res-Rec Equations'!$B$22*1000*'Res-Rec Equations'!$B$25*'Chemical Info'!J141*'Res-Rec Calculations'!C140,IF(AND('Chemical Info'!F141="Yes",'Chemical Info'!D141="Yes"),'Res-Rec Equations'!$B$22*1000*(('Res-Rec Equations'!$B$26*'Chemical Info'!J141*'Res-Rec Equations'!$B$59)+('Res-Rec Equations'!$B$27*'Chemical Info'!J141*'Res-Rec Equations'!$B$60)+('Res-Rec Equations'!$B$28*'Chemical Info'!J141*'Res-Rec Equations'!$B$61))*'Res-Rec Calculations'!F140,IF(AND('Chemical Info'!F141="Yes",'Chemical Info'!D141=""),'Res-Rec Equations'!$B$22*1000*'Res-Rec Equations'!$B$25*'Chemical Info'!J141*'Res-Rec Calculations'!F140,IF('Chemical Info'!D141="Yes",'Res-Rec Equations'!$B$22*1000*(('Res-Rec Equations'!$B$26*'Chemical Info'!J141*'Res-Rec Equations'!$B$59)+('Res-Rec Equations'!$B$27*'Chemical Info'!J141*'Res-Rec Equations'!$B$60)+('Res-Rec Equations'!$B$28*'Chemical Info'!J141*'Res-Rec Equations'!$B$61))*('Res-Rec Calculations'!C140+'Res-Rec Calculations'!F140),IF('Chemical Info'!D141="",'Res-Rec Equations'!$B$22*1000*'Res-Rec Equations'!$B$25*'Chemical Info'!J141*('Res-Rec Calculations'!C140+'Res-Rec Calculations'!F140))))))))</f>
        <v>NA</v>
      </c>
      <c r="L140" s="167" t="str">
        <f>IF(AND(H140="NA",I140="NA",J140="NA"),"NA",IF(H140="NA",'Res-Rec Equations'!$B$15*'Res-Rec Equations'!$B$16/J140,IF(J140="NA",'Res-Rec Equations'!$B$15*'Res-Rec Equations'!$B$16/(H140+I140),'Res-Rec Equations'!$B$15*'Res-Rec Equations'!$B$16/(H140+I140+J140))))</f>
        <v>NA</v>
      </c>
      <c r="M140" s="167" t="str">
        <f>IF(AND(H140="NA",I140="NA",K140="NA"),"NA",IF(H140="NA",'Res-Rec Equations'!$B$15*'Res-Rec Equations'!$B$16/K140,IF(K140="NA",'Res-Rec Equations'!$B$15*'Res-Rec Equations'!$B$16/(H140+I140),'Res-Rec Equations'!$B$15*'Res-Rec Equations'!$B$16/(H140+I140+K140))))</f>
        <v>NA</v>
      </c>
      <c r="N140" s="167" t="str">
        <f t="shared" si="122"/>
        <v>NA</v>
      </c>
      <c r="O140" s="371">
        <f>IF('Chemical Info'!L141="NA","NA",IF('Chemical Info'!E141="Yes",(('Res-Rec Equations'!$B$76*'Chemical Info'!AD141*'Res-Rec Equations'!$B$78*'Res-Rec Equations'!$B$79*'Res-Rec Equations'!$B$81)/('Res-Rec Equations'!$B$84*'Res-Rec Equations'!$B$85))/'Chemical Info'!L141,(('Res-Rec Equations'!$B$76*'Chemical Info'!AD141*'Res-Rec Equations'!$B$78*'Res-Rec Equations'!$B$79*'Res-Rec Equations'!$B$80)/('Res-Rec Equations'!$B$84*'Res-Rec Equations'!$B$85))/'Chemical Info'!L141))</f>
        <v>4.5662100456621006E-6</v>
      </c>
      <c r="P140" s="166">
        <f>IF('Chemical Info'!L141="NA","NA", IF('Chemical Info'!E141="Yes",0,((('Res-Rec Equations'!$B$87*'Res-Rec Equations'!$B$88*'Res-Rec Equations'!$B$78*'Res-Rec Equations'!$B$82*'Res-Rec Equations'!$B$79*'Chemical Info'!AB141)/('Res-Rec Equations'!$B$84*'Res-Rec Equations'!$B$85))/('Chemical Info'!L141*'Chemical Info'!AF141))))</f>
        <v>0</v>
      </c>
      <c r="Q140" s="166">
        <f>IF('Chemical Info'!N141="NA","NA",IF('Res-Rec Calculations'!E140="NA",(('Res-Rec Equations'!$B$83*'Res-Rec Equations'!$B$79*'Res-Rec Calculations'!C140)/('Res-Rec Equations'!$B$85))/('Chemical Info'!N141),IF('Chemical Info'!E141="Yes",(('Res-Rec Equations'!$B$83*'Res-Rec Equations'!$B$79*'Res-Rec Calculations'!E140)/('Res-Rec Equations'!$B$85))/('Chemical Info'!N141),(('Res-Rec Equations'!$B$83*'Res-Rec Equations'!$B$79*('Res-Rec Calculations'!C140+'Res-Rec Calculations'!E140))/('Res-Rec Equations'!$B$85))/('Chemical Info'!N141))))</f>
        <v>7.8230924439656598E-7</v>
      </c>
      <c r="R140" s="166">
        <f>IF('Chemical Info'!N141="NA","NA",IF('Res-Rec Calculations'!F140="NA",(('Res-Rec Equations'!$B$83*'Res-Rec Equations'!$B$79*'Res-Rec Calculations'!C140)/('Res-Rec Equations'!$B$85))/('Chemical Info'!N141),IF('Chemical Info'!E141="Yes",(('Res-Rec Equations'!$B$83*'Res-Rec Equations'!$B$79*'Res-Rec Calculations'!F140)/('Res-Rec Equations'!$B$85))/('Chemical Info'!N141),(('Res-Rec Equations'!$B$83*'Res-Rec Equations'!$B$79*('Res-Rec Calculations'!C140+'Res-Rec Calculations'!F140))/('Res-Rec Equations'!$B$85))/('Chemical Info'!N141))))</f>
        <v>2.1203565287676659E-6</v>
      </c>
      <c r="S140" s="167">
        <f>IF(AND(O140="NA",P140="NA",Q140="NA"),"NA",IF(O140="NA",'Res-Rec Equations'!$B$75/Q140,IF(Q140="NA",'Res-Rec Equations'!$B$75/(O140+P140),'Res-Rec Equations'!$B$75/(O140+P140+Q140))))</f>
        <v>37393.526909726497</v>
      </c>
      <c r="T140" s="167">
        <f>IF(AND(O140="NA",P140="NA",R140="NA"),"NA",IF(O140="NA",'Res-Rec Equations'!$B$75/R140,IF(R140="NA",'Res-Rec Equations'!$B$75/(O140+P140),'Res-Rec Equations'!$B$75/(O140+P140+R140))))</f>
        <v>29910.71692381319</v>
      </c>
      <c r="U140" s="168">
        <f t="shared" si="123"/>
        <v>37393.526909726497</v>
      </c>
      <c r="V140" s="167" t="str">
        <f>IF('Chemical Info'!P141="NA","NA",(('Res-Rec Equations'!$B$185*'Res-Rec Equations'!$B$186)/('Res-Rec Equations'!$B$187*'Res-Rec Equations'!$B$188*(1/'Chemical Info'!P141))))</f>
        <v>NA</v>
      </c>
      <c r="W140" s="379" t="str">
        <f t="shared" si="124"/>
        <v>NA</v>
      </c>
      <c r="X140" s="372">
        <f t="shared" si="125"/>
        <v>37393.526909726497</v>
      </c>
      <c r="Y140" s="62">
        <f t="shared" si="126"/>
        <v>37000</v>
      </c>
      <c r="Z140" s="100" t="str">
        <f t="shared" si="127"/>
        <v>Noncancer</v>
      </c>
      <c r="AA140" s="373"/>
    </row>
    <row r="141" spans="1:27">
      <c r="A141" s="413" t="s">
        <v>1185</v>
      </c>
      <c r="B141" s="566" t="s">
        <v>1186</v>
      </c>
      <c r="C141" s="367">
        <f>1/(('Res-Rec Equations'!$B$152*3600)/((0.036*(1-'Res-Rec Equations'!$B$153))*('Res-Rec Equations'!$B$154/'Res-Rec Equations'!$B$155)^3*'Res-Rec Equations'!$B$156))</f>
        <v>7.3567680901159717E-10</v>
      </c>
      <c r="D141" s="368">
        <f>(('Res-Rec Equations'!$B$132^(10/3)*'Chemical Info'!$AH142*'Chemical Info'!$AN142*41+'Res-Rec Equations'!$B$135^(10/3)*'Chemical Info'!$AJ142)/'Res-Rec Equations'!$B$137^2)/('Res-Rec Equations'!$B$139*'Chemical Info'!$AL142*'Res-Rec Equations'!$B$142+'Res-Rec Equations'!$B$135+'Res-Rec Equations'!$B$132*'Chemical Info'!$AN142*41)</f>
        <v>9.909361846554815E-10</v>
      </c>
      <c r="E141" s="368">
        <f>IF(D141=0,"NA",1/(('Res-Rec Equations'!$B$103*(3.14*'Res-Rec Calculations'!$D141*'Res-Rec Equations'!$B$105)^(1/2)*0.0001)/(2*'Res-Rec Equations'!$B$106*'Res-Rec Calculations'!$D141)))</f>
        <v>1.8477849583276469E-7</v>
      </c>
      <c r="F141" s="368">
        <f>IF(D141=0,"NA",(1/('Res-Rec Equations'!$B$117*('Res-Rec Equations'!$B$118*(31500000))/('Res-Rec Equations'!$B$119*'Res-Rec Equations'!$B$120*1000000))))</f>
        <v>6.1914410640015851E-5</v>
      </c>
      <c r="G141" s="167" t="str">
        <f>IF('Chemical Info'!E142="Yes",('Chemical Info'!AP142/'Res-Rec Equations'!$B$168)*((('Chemical Info'!AL142*'Res-Rec Equations'!$B$170)*'Res-Rec Equations'!$B$168)+'Res-Rec Equations'!$B$171+('Chemical Info'!AN142*41)*'Res-Rec Equations'!$B$173),"NA")</f>
        <v>NA</v>
      </c>
      <c r="H141" s="112">
        <f>IF('Chemical Info'!H142="NA","NA",IF(AND('Chemical Info'!E142="Yes",'Chemical Info'!D142="Yes"),'Chemical Info'!H142*'Chemical Info'!AD142*'Res-Rec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Info'!E142="Yes",'Chemical Info'!D142=""),'Chemical Info'!H142*'Chemical Info'!AD142*'Res-Rec Equations'!$B$20*'Res-Rec Equations'!$B$23*((('Res-Rec Equations'!$B$26*'Res-Rec Equations'!$B$29)/'Res-Rec Equations'!$B$32)+(('Res-Rec Equations'!$B$27*'Res-Rec Equations'!$B$30)/'Res-Rec Equations'!$B$33)+(('Res-Rec Equations'!$B$28*'Res-Rec Equations'!$B$31)/'Res-Rec Equations'!$B$34)),IF(AND('Chemical Info'!E142="No",'Chemical Info'!D142="Yes"),'Chemical Info'!H142*'Chemical Info'!AD142*'Res-Rec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Info'!E142="No",'Chemical Info'!D142=""),'Chemical Info'!H142*'Chemical Info'!AD142*'Res-Rec Equations'!$B$19*'Res-Rec Equations'!$B$23*((('Res-Rec Equations'!$B$26*'Res-Rec Equations'!$B$29)/'Res-Rec Equations'!$B$32)+(('Res-Rec Equations'!$B$27*'Res-Rec Equations'!$B$30)/'Res-Rec Equations'!$B$33)+(('Res-Rec Equations'!$B$28*'Res-Rec Equations'!$B$31)/'Res-Rec Equations'!$B$34)))))))</f>
        <v>2.2406472261735418E-2</v>
      </c>
      <c r="I141" s="166">
        <f>IF('Chemical Info'!H142="NA","NA",IF('Chemical Info'!E142="Yes",0,IF('Chemical Info'!D142="Yes",'Chemical Info'!H142/'Chemical Info'!AF142*('Res-Rec Equations'!$B$21*'Chemical Info'!AB142*'Res-Rec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Info'!H142/'Chemical Info'!AF142*('Res-Rec Equations'!$B$21*'Chemical Info'!AB142*'Res-Rec Equations'!$B$23)*((('Res-Rec Equations'!$B$26*'Res-Rec Equations'!$B$37*'Res-Rec Equations'!$B$40)/'Res-Rec Equations'!$B$32)+(('Res-Rec Equations'!$B$27*'Res-Rec Equations'!$B$38*'Res-Rec Equations'!$B$41)/'Res-Rec Equations'!$B$33)+(('Res-Rec Equations'!$B$28*'Res-Rec Equations'!$B$39*'Res-Rec Equations'!$B$42)/'Res-Rec Equations'!$B$34)))))</f>
        <v>4.4129796408250354E-3</v>
      </c>
      <c r="J141" s="369">
        <f>IF('Chemical Info'!J142="NA","NA",IF(AND(E141="NA",'Chemical Info'!D142="Yes"),'Res-Rec Equations'!$B$22*1000*(('Res-Rec Equations'!$B$26*'Chemical Info'!J142*'Res-Rec Equations'!$B$59)+('Res-Rec Equations'!$B$27*'Chemical Info'!J142*'Res-Rec Equations'!$B$60)+('Res-Rec Equations'!$B$28*'Chemical Info'!J142*'Res-Rec Equations'!$B$61))*'Res-Rec Calculations'!C141,IF(AND(E141="NA",'Chemical Info'!D142=""),'Res-Rec Equations'!$B$22*1000*'Res-Rec Equations'!$B$25*'Chemical Info'!J142*'Res-Rec Calculations'!C141,IF(AND('Chemical Info'!E142="Yes",'Chemical Info'!D142="Yes"),'Res-Rec Equations'!$B$22*1000*(('Res-Rec Equations'!$B$26*'Chemical Info'!J142*'Res-Rec Equations'!$B$59)+('Res-Rec Equations'!$B$27*'Chemical Info'!J142*'Res-Rec Equations'!$B$60)+('Res-Rec Equations'!$B$28*'Chemical Info'!J142*'Res-Rec Equations'!$B$61))*'Res-Rec Calculations'!E141,IF(AND('Chemical Info'!E142="Yes",'Chemical Info'!D142=""),'Res-Rec Equations'!$B$22*1000*'Res-Rec Equations'!$B$25*'Chemical Info'!J142*'Res-Rec Calculations'!E141,IF('Chemical Info'!D142="Yes",'Res-Rec Equations'!$B$22*1000*(('Res-Rec Equations'!$B$26*'Chemical Info'!J142*'Res-Rec Equations'!$B$59)+('Res-Rec Equations'!$B$27*'Chemical Info'!J142*'Res-Rec Equations'!$B$60)+('Res-Rec Equations'!$B$28*'Chemical Info'!J142*'Res-Rec Equations'!$B$61))*('Res-Rec Calculations'!C141+'Res-Rec Calculations'!E141),IF('Chemical Info'!D142="",'Res-Rec Equations'!$B$22*1000*'Res-Rec Equations'!$B$25*'Chemical Info'!J142*('Res-Rec Calculations'!C141+'Res-Rec Calculations'!E141))))))))</f>
        <v>1.4358796962473486E-3</v>
      </c>
      <c r="K141" s="370">
        <f>IF('Chemical Info'!J142="NA","NA",IF(AND(F141="NA",'Chemical Info'!D142="Yes"),'Res-Rec Equations'!$B$22*1000*(('Res-Rec Equations'!$B$26*'Chemical Info'!J142*'Res-Rec Equations'!$B$59)+('Res-Rec Equations'!$B$27*'Chemical Info'!J142*'Res-Rec Equations'!$B$60)+('Res-Rec Equations'!$B$28*'Chemical Info'!J142*'Res-Rec Equations'!$B$61))*'Res-Rec Calculations'!C141,IF(AND(F141="NA",'Chemical Info'!D142=""),'Res-Rec Equations'!$B$22*1000*'Res-Rec Equations'!$B$25*'Chemical Info'!J142*'Res-Rec Calculations'!C141,IF(AND('Chemical Info'!F142="Yes",'Chemical Info'!D142="Yes"),'Res-Rec Equations'!$B$22*1000*(('Res-Rec Equations'!$B$26*'Chemical Info'!J142*'Res-Rec Equations'!$B$59)+('Res-Rec Equations'!$B$27*'Chemical Info'!J142*'Res-Rec Equations'!$B$60)+('Res-Rec Equations'!$B$28*'Chemical Info'!J142*'Res-Rec Equations'!$B$61))*'Res-Rec Calculations'!F141,IF(AND('Chemical Info'!F142="Yes",'Chemical Info'!D142=""),'Res-Rec Equations'!$B$22*1000*'Res-Rec Equations'!$B$25*'Chemical Info'!J142*'Res-Rec Calculations'!F141,IF('Chemical Info'!D142="Yes",'Res-Rec Equations'!$B$22*1000*(('Res-Rec Equations'!$B$26*'Chemical Info'!J142*'Res-Rec Equations'!$B$59)+('Res-Rec Equations'!$B$27*'Chemical Info'!J142*'Res-Rec Equations'!$B$60)+('Res-Rec Equations'!$B$28*'Chemical Info'!J142*'Res-Rec Equations'!$B$61))*('Res-Rec Calculations'!C141+'Res-Rec Calculations'!F141),IF('Chemical Info'!D142="",'Res-Rec Equations'!$B$22*1000*'Res-Rec Equations'!$B$25*'Chemical Info'!J142*('Res-Rec Calculations'!C141+'Res-Rec Calculations'!F141))))))))</f>
        <v>0.47922323249222443</v>
      </c>
      <c r="L141" s="167">
        <f>IF(AND(H141="NA",I141="NA",J141="NA"),"NA",IF(H141="NA",'Res-Rec Equations'!$B$15*'Res-Rec Equations'!$B$16/J141,IF(J141="NA",'Res-Rec Equations'!$B$15*'Res-Rec Equations'!$B$16/(H141+I141),'Res-Rec Equations'!$B$15*'Res-Rec Equations'!$B$16/(H141+I141+J141))))</f>
        <v>9.042541196394259</v>
      </c>
      <c r="M141" s="167">
        <f>IF(AND(H141="NA",I141="NA",K141="NA"),"NA",IF(H141="NA",'Res-Rec Equations'!$B$15*'Res-Rec Equations'!$B$16/K141,IF(K141="NA",'Res-Rec Equations'!$B$15*'Res-Rec Equations'!$B$16/(H141+I141),'Res-Rec Equations'!$B$15*'Res-Rec Equations'!$B$16/(H141+I141+K141))))</f>
        <v>0.50489812001841705</v>
      </c>
      <c r="N141" s="167">
        <f t="shared" ref="N141" si="194">IF(AND(L141="NA",M141="NA"),"NA",MAX(L141,M141))</f>
        <v>9.042541196394259</v>
      </c>
      <c r="O141" s="371">
        <f>IF('Chemical Info'!L142="NA","NA",IF('Chemical Info'!E142="Yes",(('Res-Rec Equations'!$B$76*'Chemical Info'!AD142*'Res-Rec Equations'!$B$78*'Res-Rec Equations'!$B$79*'Res-Rec Equations'!$B$81)/('Res-Rec Equations'!$B$84*'Res-Rec Equations'!$B$85))/'Chemical Info'!L142,(('Res-Rec Equations'!$B$76*'Chemical Info'!AD142*'Res-Rec Equations'!$B$78*'Res-Rec Equations'!$B$79*'Res-Rec Equations'!$B$80)/('Res-Rec Equations'!$B$84*'Res-Rec Equations'!$B$85))/'Chemical Info'!L142))</f>
        <v>6.3926940639269401E-3</v>
      </c>
      <c r="P141" s="166">
        <f>IF('Chemical Info'!L142="NA","NA", IF('Chemical Info'!E142="Yes",0,((('Res-Rec Equations'!$B$87*'Res-Rec Equations'!$B$88*'Res-Rec Equations'!$B$78*'Res-Rec Equations'!$B$82*'Res-Rec Equations'!$B$79*'Chemical Info'!AB142)/('Res-Rec Equations'!$B$84*'Res-Rec Equations'!$B$85))/('Chemical Info'!L142*'Chemical Info'!AF142))))</f>
        <v>1.0835616438356164E-3</v>
      </c>
      <c r="Q141" s="166" t="str">
        <f>IF('Chemical Info'!N142="NA","NA",IF('Res-Rec Calculations'!E141="NA",(('Res-Rec Equations'!$B$83*'Res-Rec Equations'!$B$79*'Res-Rec Calculations'!C141)/('Res-Rec Equations'!$B$85))/('Chemical Info'!N142),IF('Chemical Info'!E142="Yes",(('Res-Rec Equations'!$B$83*'Res-Rec Equations'!$B$79*'Res-Rec Calculations'!E141)/('Res-Rec Equations'!$B$85))/('Chemical Info'!N142),(('Res-Rec Equations'!$B$83*'Res-Rec Equations'!$B$79*('Res-Rec Calculations'!C141+'Res-Rec Calculations'!E141))/('Res-Rec Equations'!$B$85))/('Chemical Info'!N142))))</f>
        <v>NA</v>
      </c>
      <c r="R141" s="166" t="str">
        <f>IF('Chemical Info'!N142="NA","NA",IF('Res-Rec Calculations'!F141="NA",(('Res-Rec Equations'!$B$83*'Res-Rec Equations'!$B$79*'Res-Rec Calculations'!C141)/('Res-Rec Equations'!$B$85))/('Chemical Info'!N142),IF('Chemical Info'!E142="Yes",(('Res-Rec Equations'!$B$83*'Res-Rec Equations'!$B$79*'Res-Rec Calculations'!F141)/('Res-Rec Equations'!$B$85))/('Chemical Info'!N142),(('Res-Rec Equations'!$B$83*'Res-Rec Equations'!$B$79*('Res-Rec Calculations'!C141+'Res-Rec Calculations'!F141))/('Res-Rec Equations'!$B$85))/('Chemical Info'!N142))))</f>
        <v>NA</v>
      </c>
      <c r="S141" s="167">
        <f>IF(AND(O141="NA",P141="NA",Q141="NA"),"NA",IF(O141="NA",'Res-Rec Equations'!$B$75/Q141,IF(Q141="NA",'Res-Rec Equations'!$B$75/(O141+P141),'Res-Rec Equations'!$B$75/(O141+P141+Q141))))</f>
        <v>26.751358944603925</v>
      </c>
      <c r="T141" s="167">
        <f>IF(AND(O141="NA",P141="NA",R141="NA"),"NA",IF(O141="NA",'Res-Rec Equations'!$B$75/R141,IF(R141="NA",'Res-Rec Equations'!$B$75/(O141+P141),'Res-Rec Equations'!$B$75/(O141+P141+R141))))</f>
        <v>26.751358944603925</v>
      </c>
      <c r="U141" s="168">
        <f t="shared" ref="U141" si="195">IF(AND(S141="NA",T141="NA"),"NA",MAX(S141,T141))</f>
        <v>26.751358944603925</v>
      </c>
      <c r="V141" s="167" t="str">
        <f>IF('Chemical Info'!P142="NA","NA",(('Res-Rec Equations'!$B$185*'Res-Rec Equations'!$B$186)/('Res-Rec Equations'!$B$187*'Res-Rec Equations'!$B$188*(1/'Chemical Info'!P142))))</f>
        <v>NA</v>
      </c>
      <c r="W141" s="379" t="str">
        <f t="shared" ref="W141" si="196">IF(V141="NA","NA",IF(V141&gt;100000,100000,IF(ISNUMBER(ROUND(V141*1000000,2-LEN(INT(V141*1000000)))/1000000),ROUND(V141*1000000,2-LEN(INT(V141*1000000)))/1000000,"NA")))</f>
        <v>NA</v>
      </c>
      <c r="X141" s="372">
        <f t="shared" ref="X141" si="197">IF(AND(N141="NA",U141="NA",G141="NA"),"NA",MIN(N141,U141,G141))</f>
        <v>9.042541196394259</v>
      </c>
      <c r="Y141" s="62">
        <f t="shared" ref="Y141" si="198">IF(X141&gt;100000,100000,IF(ISNUMBER(ROUND(X141*1000000,2-LEN(INT(X141*1000000)))/1000000),ROUND(X141*1000000,2-LEN(INT(X141*1000000)))/1000000,"NA"))</f>
        <v>9</v>
      </c>
      <c r="Z141" s="100" t="str">
        <f t="shared" ref="Z141" si="199">IF(Y141=100000,"Max Limit",IF(X141=G141,"Csat",IF(X141=N141,"Cancer",IF(X141=V141,"Acute",IF(X141=U141,"Noncancer","")))))</f>
        <v>Cancer</v>
      </c>
      <c r="AA141" s="373"/>
    </row>
    <row r="142" spans="1:27">
      <c r="A142" s="373" t="s">
        <v>1092</v>
      </c>
      <c r="B142" s="566" t="s">
        <v>224</v>
      </c>
      <c r="C142" s="367">
        <f>1/(('Res-Rec Equations'!$B$152*3600)/((0.036*(1-'Res-Rec Equations'!$B$153))*('Res-Rec Equations'!$B$154/'Res-Rec Equations'!$B$155)^3*'Res-Rec Equations'!$B$156))</f>
        <v>7.3567680901159717E-10</v>
      </c>
      <c r="D142" s="368">
        <f>(('Res-Rec Equations'!$B$132^(10/3)*'Chemical Info'!$AH143*'Chemical Info'!$AN143*41+'Res-Rec Equations'!$B$135^(10/3)*'Chemical Info'!$AJ143)/'Res-Rec Equations'!$B$137^2)/('Res-Rec Equations'!$B$139*'Chemical Info'!$AL143*'Res-Rec Equations'!$B$142+'Res-Rec Equations'!$B$135+'Res-Rec Equations'!$B$132*'Chemical Info'!$AN143*41)</f>
        <v>1.2445786787322576E-7</v>
      </c>
      <c r="E142" s="368">
        <f>IF(D142=0,"NA",1/(('Res-Rec Equations'!$B$103*(3.14*'Res-Rec Calculations'!$D142*'Res-Rec Equations'!$B$105)^(1/2)*0.0001)/(2*'Res-Rec Equations'!$B$106*'Res-Rec Calculations'!$D142)))</f>
        <v>2.0708076571425796E-6</v>
      </c>
      <c r="F142" s="368">
        <f>IF(D142=0,"NA",(1/('Res-Rec Equations'!$B$117*('Res-Rec Equations'!$B$118*(31500000))/('Res-Rec Equations'!$B$119*'Res-Rec Equations'!$B$120*1000000))))</f>
        <v>6.1914410640015851E-5</v>
      </c>
      <c r="G142" s="167" t="str">
        <f>IF('Chemical Info'!E143="Yes",('Chemical Info'!AP143/'Res-Rec Equations'!$B$168)*((('Chemical Info'!AL143*'Res-Rec Equations'!$B$170)*'Res-Rec Equations'!$B$168)+'Res-Rec Equations'!$B$171+('Chemical Info'!AN143*41)*'Res-Rec Equations'!$B$173),"NA")</f>
        <v>NA</v>
      </c>
      <c r="H142" s="112" t="str">
        <f>IF('Chemical Info'!H143="NA","NA",IF(AND('Chemical Info'!E143="Yes",'Chemical Info'!D143="Yes"),'Chemical Info'!H143*'Chemical Info'!AD143*'Res-Rec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Info'!E143="Yes",'Chemical Info'!D143=""),'Chemical Info'!H143*'Chemical Info'!AD143*'Res-Rec Equations'!$B$20*'Res-Rec Equations'!$B$23*((('Res-Rec Equations'!$B$26*'Res-Rec Equations'!$B$29)/'Res-Rec Equations'!$B$32)+(('Res-Rec Equations'!$B$27*'Res-Rec Equations'!$B$30)/'Res-Rec Equations'!$B$33)+(('Res-Rec Equations'!$B$28*'Res-Rec Equations'!$B$31)/'Res-Rec Equations'!$B$34)),IF(AND('Chemical Info'!E143="No",'Chemical Info'!D143="Yes"),'Chemical Info'!H143*'Chemical Info'!AD143*'Res-Rec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Info'!E143="No",'Chemical Info'!D143=""),'Chemical Info'!H143*'Chemical Info'!AD143*'Res-Rec Equations'!$B$19*'Res-Rec Equations'!$B$23*((('Res-Rec Equations'!$B$26*'Res-Rec Equations'!$B$29)/'Res-Rec Equations'!$B$32)+(('Res-Rec Equations'!$B$27*'Res-Rec Equations'!$B$30)/'Res-Rec Equations'!$B$33)+(('Res-Rec Equations'!$B$28*'Res-Rec Equations'!$B$31)/'Res-Rec Equations'!$B$34)))))))</f>
        <v>NA</v>
      </c>
      <c r="I142" s="166" t="str">
        <f>IF('Chemical Info'!H143="NA","NA",IF('Chemical Info'!E143="Yes",0,IF('Chemical Info'!D143="Yes",'Chemical Info'!H143/'Chemical Info'!AF143*('Res-Rec Equations'!$B$21*'Chemical Info'!AB143*'Res-Rec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Info'!H143/'Chemical Info'!AF143*('Res-Rec Equations'!$B$21*'Chemical Info'!AB143*'Res-Rec Equations'!$B$23)*((('Res-Rec Equations'!$B$26*'Res-Rec Equations'!$B$37*'Res-Rec Equations'!$B$40)/'Res-Rec Equations'!$B$32)+(('Res-Rec Equations'!$B$27*'Res-Rec Equations'!$B$38*'Res-Rec Equations'!$B$41)/'Res-Rec Equations'!$B$33)+(('Res-Rec Equations'!$B$28*'Res-Rec Equations'!$B$39*'Res-Rec Equations'!$B$42)/'Res-Rec Equations'!$B$34)))))</f>
        <v>NA</v>
      </c>
      <c r="J142" s="369" t="str">
        <f>IF('Chemical Info'!J143="NA","NA",IF(AND(E142="NA",'Chemical Info'!D143="Yes"),'Res-Rec Equations'!$B$22*1000*(('Res-Rec Equations'!$B$26*'Chemical Info'!J143*'Res-Rec Equations'!$B$59)+('Res-Rec Equations'!$B$27*'Chemical Info'!J143*'Res-Rec Equations'!$B$60)+('Res-Rec Equations'!$B$28*'Chemical Info'!J143*'Res-Rec Equations'!$B$61))*'Res-Rec Calculations'!C142,IF(AND(E142="NA",'Chemical Info'!D143=""),'Res-Rec Equations'!$B$22*1000*'Res-Rec Equations'!$B$25*'Chemical Info'!J143*'Res-Rec Calculations'!C142,IF(AND('Chemical Info'!E143="Yes",'Chemical Info'!D143="Yes"),'Res-Rec Equations'!$B$22*1000*(('Res-Rec Equations'!$B$26*'Chemical Info'!J143*'Res-Rec Equations'!$B$59)+('Res-Rec Equations'!$B$27*'Chemical Info'!J143*'Res-Rec Equations'!$B$60)+('Res-Rec Equations'!$B$28*'Chemical Info'!J143*'Res-Rec Equations'!$B$61))*'Res-Rec Calculations'!E142,IF(AND('Chemical Info'!E143="Yes",'Chemical Info'!D143=""),'Res-Rec Equations'!$B$22*1000*'Res-Rec Equations'!$B$25*'Chemical Info'!J143*'Res-Rec Calculations'!E142,IF('Chemical Info'!D143="Yes",'Res-Rec Equations'!$B$22*1000*(('Res-Rec Equations'!$B$26*'Chemical Info'!J143*'Res-Rec Equations'!$B$59)+('Res-Rec Equations'!$B$27*'Chemical Info'!J143*'Res-Rec Equations'!$B$60)+('Res-Rec Equations'!$B$28*'Chemical Info'!J143*'Res-Rec Equations'!$B$61))*('Res-Rec Calculations'!C142+'Res-Rec Calculations'!E142),IF('Chemical Info'!D143="",'Res-Rec Equations'!$B$22*1000*'Res-Rec Equations'!$B$25*'Chemical Info'!J143*('Res-Rec Calculations'!C142+'Res-Rec Calculations'!E142))))))))</f>
        <v>NA</v>
      </c>
      <c r="K142" s="370" t="str">
        <f>IF('Chemical Info'!J143="NA","NA",IF(AND(F142="NA",'Chemical Info'!D143="Yes"),'Res-Rec Equations'!$B$22*1000*(('Res-Rec Equations'!$B$26*'Chemical Info'!J143*'Res-Rec Equations'!$B$59)+('Res-Rec Equations'!$B$27*'Chemical Info'!J143*'Res-Rec Equations'!$B$60)+('Res-Rec Equations'!$B$28*'Chemical Info'!J143*'Res-Rec Equations'!$B$61))*'Res-Rec Calculations'!C142,IF(AND(F142="NA",'Chemical Info'!D143=""),'Res-Rec Equations'!$B$22*1000*'Res-Rec Equations'!$B$25*'Chemical Info'!J143*'Res-Rec Calculations'!C142,IF(AND('Chemical Info'!F143="Yes",'Chemical Info'!D143="Yes"),'Res-Rec Equations'!$B$22*1000*(('Res-Rec Equations'!$B$26*'Chemical Info'!J143*'Res-Rec Equations'!$B$59)+('Res-Rec Equations'!$B$27*'Chemical Info'!J143*'Res-Rec Equations'!$B$60)+('Res-Rec Equations'!$B$28*'Chemical Info'!J143*'Res-Rec Equations'!$B$61))*'Res-Rec Calculations'!F142,IF(AND('Chemical Info'!F143="Yes",'Chemical Info'!D143=""),'Res-Rec Equations'!$B$22*1000*'Res-Rec Equations'!$B$25*'Chemical Info'!J143*'Res-Rec Calculations'!F142,IF('Chemical Info'!D143="Yes",'Res-Rec Equations'!$B$22*1000*(('Res-Rec Equations'!$B$26*'Chemical Info'!J143*'Res-Rec Equations'!$B$59)+('Res-Rec Equations'!$B$27*'Chemical Info'!J143*'Res-Rec Equations'!$B$60)+('Res-Rec Equations'!$B$28*'Chemical Info'!J143*'Res-Rec Equations'!$B$61))*('Res-Rec Calculations'!C142+'Res-Rec Calculations'!F142),IF('Chemical Info'!D143="",'Res-Rec Equations'!$B$22*1000*'Res-Rec Equations'!$B$25*'Chemical Info'!J143*('Res-Rec Calculations'!C142+'Res-Rec Calculations'!F142))))))))</f>
        <v>NA</v>
      </c>
      <c r="L142" s="167" t="str">
        <f>IF(AND(H142="NA",I142="NA",J142="NA"),"NA",IF(H142="NA",'Res-Rec Equations'!$B$15*'Res-Rec Equations'!$B$16/J142,IF(J142="NA",'Res-Rec Equations'!$B$15*'Res-Rec Equations'!$B$16/(H142+I142),'Res-Rec Equations'!$B$15*'Res-Rec Equations'!$B$16/(H142+I142+J142))))</f>
        <v>NA</v>
      </c>
      <c r="M142" s="167" t="str">
        <f>IF(AND(H142="NA",I142="NA",K142="NA"),"NA",IF(H142="NA",'Res-Rec Equations'!$B$15*'Res-Rec Equations'!$B$16/K142,IF(K142="NA",'Res-Rec Equations'!$B$15*'Res-Rec Equations'!$B$16/(H142+I142),'Res-Rec Equations'!$B$15*'Res-Rec Equations'!$B$16/(H142+I142+K142))))</f>
        <v>NA</v>
      </c>
      <c r="N142" s="167" t="str">
        <f t="shared" si="122"/>
        <v>NA</v>
      </c>
      <c r="O142" s="371">
        <f>IF('Chemical Info'!L143="NA","NA",IF('Chemical Info'!E143="Yes",(('Res-Rec Equations'!$B$76*'Chemical Info'!AD143*'Res-Rec Equations'!$B$78*'Res-Rec Equations'!$B$79*'Res-Rec Equations'!$B$81)/('Res-Rec Equations'!$B$84*'Res-Rec Equations'!$B$85))/'Chemical Info'!L143,(('Res-Rec Equations'!$B$76*'Chemical Info'!AD143*'Res-Rec Equations'!$B$78*'Res-Rec Equations'!$B$79*'Res-Rec Equations'!$B$80)/('Res-Rec Equations'!$B$84*'Res-Rec Equations'!$B$85))/'Chemical Info'!L143))</f>
        <v>2.5570776255707758E-4</v>
      </c>
      <c r="P142" s="166">
        <f>IF('Chemical Info'!L143="NA","NA", IF('Chemical Info'!E143="Yes",0,((('Res-Rec Equations'!$B$87*'Res-Rec Equations'!$B$88*'Res-Rec Equations'!$B$78*'Res-Rec Equations'!$B$82*'Res-Rec Equations'!$B$79*'Chemical Info'!AB143)/('Res-Rec Equations'!$B$84*'Res-Rec Equations'!$B$85))/('Chemical Info'!L143*'Chemical Info'!AF143))))</f>
        <v>4.3342465753424651E-5</v>
      </c>
      <c r="Q142" s="166">
        <f>IF('Chemical Info'!N143="NA","NA",IF('Res-Rec Calculations'!E142="NA",(('Res-Rec Equations'!$B$83*'Res-Rec Equations'!$B$79*'Res-Rec Calculations'!C142)/('Res-Rec Equations'!$B$85))/('Chemical Info'!N143),IF('Chemical Info'!E143="Yes",(('Res-Rec Equations'!$B$83*'Res-Rec Equations'!$B$79*'Res-Rec Calculations'!E142)/('Res-Rec Equations'!$B$85))/('Chemical Info'!N143),(('Res-Rec Equations'!$B$83*'Res-Rec Equations'!$B$79*('Res-Rec Calculations'!C142+'Res-Rec Calculations'!E142))/('Res-Rec Equations'!$B$85))/('Chemical Info'!N143))))</f>
        <v>2.3647754953785288E-6</v>
      </c>
      <c r="R142" s="166">
        <f>IF('Chemical Info'!N143="NA","NA",IF('Res-Rec Calculations'!F142="NA",(('Res-Rec Equations'!$B$83*'Res-Rec Equations'!$B$79*'Res-Rec Calculations'!C142)/('Res-Rec Equations'!$B$85))/('Chemical Info'!N143),IF('Chemical Info'!E143="Yes",(('Res-Rec Equations'!$B$83*'Res-Rec Equations'!$B$79*'Res-Rec Calculations'!F142)/('Res-Rec Equations'!$B$85))/('Chemical Info'!N143),(('Res-Rec Equations'!$B$83*'Res-Rec Equations'!$B$79*('Res-Rec Calculations'!C142+'Res-Rec Calculations'!F142))/('Res-Rec Equations'!$B$85))/('Chemical Info'!N143))))</f>
        <v>7.0679390772631124E-5</v>
      </c>
      <c r="S142" s="167">
        <f>IF(AND(O142="NA",P142="NA",Q142="NA"),"NA",IF(O142="NA",'Res-Rec Equations'!$B$75/Q142,IF(Q142="NA",'Res-Rec Equations'!$B$75/(O142+P142),'Res-Rec Equations'!$B$75/(O142+P142+Q142))))</f>
        <v>663.5369755143488</v>
      </c>
      <c r="T142" s="167">
        <f>IF(AND(O142="NA",P142="NA",R142="NA"),"NA",IF(O142="NA",'Res-Rec Equations'!$B$75/R142,IF(R142="NA",'Res-Rec Equations'!$B$75/(O142+P142),'Res-Rec Equations'!$B$75/(O142+P142+R142))))</f>
        <v>540.93583439694669</v>
      </c>
      <c r="U142" s="168">
        <f t="shared" si="123"/>
        <v>663.5369755143488</v>
      </c>
      <c r="V142" s="167" t="str">
        <f>IF('Chemical Info'!P143="NA","NA",(('Res-Rec Equations'!$B$185*'Res-Rec Equations'!$B$186)/('Res-Rec Equations'!$B$187*'Res-Rec Equations'!$B$188*(1/'Chemical Info'!P143))))</f>
        <v>NA</v>
      </c>
      <c r="W142" s="379" t="str">
        <f t="shared" si="124"/>
        <v>NA</v>
      </c>
      <c r="X142" s="372">
        <f t="shared" si="125"/>
        <v>663.5369755143488</v>
      </c>
      <c r="Y142" s="62">
        <f t="shared" si="126"/>
        <v>660</v>
      </c>
      <c r="Z142" s="100" t="str">
        <f t="shared" si="127"/>
        <v>Noncancer</v>
      </c>
      <c r="AA142" s="373"/>
    </row>
    <row r="143" spans="1:27">
      <c r="A143" s="373" t="s">
        <v>387</v>
      </c>
      <c r="B143" s="566" t="s">
        <v>138</v>
      </c>
      <c r="C143" s="367">
        <f>1/(('Res-Rec Equations'!$B$152*3600)/((0.036*(1-'Res-Rec Equations'!$B$153))*('Res-Rec Equations'!$B$154/'Res-Rec Equations'!$B$155)^3*'Res-Rec Equations'!$B$156))</f>
        <v>7.3567680901159717E-10</v>
      </c>
      <c r="D143" s="368">
        <f>(('Res-Rec Equations'!$B$132^(10/3)*'Chemical Info'!$AH144*'Chemical Info'!$AN144*41+'Res-Rec Equations'!$B$135^(10/3)*'Chemical Info'!$AJ144)/'Res-Rec Equations'!$B$137^2)/('Res-Rec Equations'!$B$139*'Chemical Info'!$AL144*'Res-Rec Equations'!$B$142+'Res-Rec Equations'!$B$135+'Res-Rec Equations'!$B$132*'Chemical Info'!$AN144*41)</f>
        <v>9.9456399061239363E-8</v>
      </c>
      <c r="E143" s="368">
        <f>IF(D143=0,"NA",1/(('Res-Rec Equations'!$B$103*(3.14*'Res-Rec Calculations'!$D143*'Res-Rec Equations'!$B$105)^(1/2)*0.0001)/(2*'Res-Rec Equations'!$B$106*'Res-Rec Calculations'!$D143)))</f>
        <v>1.8511642280097883E-6</v>
      </c>
      <c r="F143" s="368">
        <f>IF(D143=0,"NA",(1/('Res-Rec Equations'!$B$117*('Res-Rec Equations'!$B$118*(31500000))/('Res-Rec Equations'!$B$119*'Res-Rec Equations'!$B$120*1000000))))</f>
        <v>6.1914410640015851E-5</v>
      </c>
      <c r="G143" s="167" t="str">
        <f>IF('Chemical Info'!E144="Yes",('Chemical Info'!AP144/'Res-Rec Equations'!$B$168)*((('Chemical Info'!AL144*'Res-Rec Equations'!$B$170)*'Res-Rec Equations'!$B$168)+'Res-Rec Equations'!$B$171+('Chemical Info'!AN144*41)*'Res-Rec Equations'!$B$173),"NA")</f>
        <v>NA</v>
      </c>
      <c r="H143" s="112" t="str">
        <f>IF('Chemical Info'!H144="NA","NA",IF(AND('Chemical Info'!E144="Yes",'Chemical Info'!D144="Yes"),'Chemical Info'!H144*'Chemical Info'!AD144*'Res-Rec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Info'!E144="Yes",'Chemical Info'!D144=""),'Chemical Info'!H144*'Chemical Info'!AD144*'Res-Rec Equations'!$B$20*'Res-Rec Equations'!$B$23*((('Res-Rec Equations'!$B$26*'Res-Rec Equations'!$B$29)/'Res-Rec Equations'!$B$32)+(('Res-Rec Equations'!$B$27*'Res-Rec Equations'!$B$30)/'Res-Rec Equations'!$B$33)+(('Res-Rec Equations'!$B$28*'Res-Rec Equations'!$B$31)/'Res-Rec Equations'!$B$34)),IF(AND('Chemical Info'!E144="No",'Chemical Info'!D144="Yes"),'Chemical Info'!H144*'Chemical Info'!AD144*'Res-Rec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Info'!E144="No",'Chemical Info'!D144=""),'Chemical Info'!H144*'Chemical Info'!AD144*'Res-Rec Equations'!$B$19*'Res-Rec Equations'!$B$23*((('Res-Rec Equations'!$B$26*'Res-Rec Equations'!$B$29)/'Res-Rec Equations'!$B$32)+(('Res-Rec Equations'!$B$27*'Res-Rec Equations'!$B$30)/'Res-Rec Equations'!$B$33)+(('Res-Rec Equations'!$B$28*'Res-Rec Equations'!$B$31)/'Res-Rec Equations'!$B$34)))))))</f>
        <v>NA</v>
      </c>
      <c r="I143" s="166" t="str">
        <f>IF('Chemical Info'!H144="NA","NA",IF('Chemical Info'!E144="Yes",0,IF('Chemical Info'!D144="Yes",'Chemical Info'!H144/'Chemical Info'!AF144*('Res-Rec Equations'!$B$21*'Chemical Info'!AB144*'Res-Rec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Info'!H144/'Chemical Info'!AF144*('Res-Rec Equations'!$B$21*'Chemical Info'!AB144*'Res-Rec Equations'!$B$23)*((('Res-Rec Equations'!$B$26*'Res-Rec Equations'!$B$37*'Res-Rec Equations'!$B$40)/'Res-Rec Equations'!$B$32)+(('Res-Rec Equations'!$B$27*'Res-Rec Equations'!$B$38*'Res-Rec Equations'!$B$41)/'Res-Rec Equations'!$B$33)+(('Res-Rec Equations'!$B$28*'Res-Rec Equations'!$B$39*'Res-Rec Equations'!$B$42)/'Res-Rec Equations'!$B$34)))))</f>
        <v>NA</v>
      </c>
      <c r="J143" s="369" t="str">
        <f>IF('Chemical Info'!J144="NA","NA",IF(AND(E143="NA",'Chemical Info'!D144="Yes"),'Res-Rec Equations'!$B$22*1000*(('Res-Rec Equations'!$B$26*'Chemical Info'!J144*'Res-Rec Equations'!$B$59)+('Res-Rec Equations'!$B$27*'Chemical Info'!J144*'Res-Rec Equations'!$B$60)+('Res-Rec Equations'!$B$28*'Chemical Info'!J144*'Res-Rec Equations'!$B$61))*'Res-Rec Calculations'!C143,IF(AND(E143="NA",'Chemical Info'!D144=""),'Res-Rec Equations'!$B$22*1000*'Res-Rec Equations'!$B$25*'Chemical Info'!J144*'Res-Rec Calculations'!C143,IF(AND('Chemical Info'!E144="Yes",'Chemical Info'!D144="Yes"),'Res-Rec Equations'!$B$22*1000*(('Res-Rec Equations'!$B$26*'Chemical Info'!J144*'Res-Rec Equations'!$B$59)+('Res-Rec Equations'!$B$27*'Chemical Info'!J144*'Res-Rec Equations'!$B$60)+('Res-Rec Equations'!$B$28*'Chemical Info'!J144*'Res-Rec Equations'!$B$61))*'Res-Rec Calculations'!E143,IF(AND('Chemical Info'!E144="Yes",'Chemical Info'!D144=""),'Res-Rec Equations'!$B$22*1000*'Res-Rec Equations'!$B$25*'Chemical Info'!J144*'Res-Rec Calculations'!E143,IF('Chemical Info'!D144="Yes",'Res-Rec Equations'!$B$22*1000*(('Res-Rec Equations'!$B$26*'Chemical Info'!J144*'Res-Rec Equations'!$B$59)+('Res-Rec Equations'!$B$27*'Chemical Info'!J144*'Res-Rec Equations'!$B$60)+('Res-Rec Equations'!$B$28*'Chemical Info'!J144*'Res-Rec Equations'!$B$61))*('Res-Rec Calculations'!C143+'Res-Rec Calculations'!E143),IF('Chemical Info'!D144="",'Res-Rec Equations'!$B$22*1000*'Res-Rec Equations'!$B$25*'Chemical Info'!J144*('Res-Rec Calculations'!C143+'Res-Rec Calculations'!E143))))))))</f>
        <v>NA</v>
      </c>
      <c r="K143" s="370" t="str">
        <f>IF('Chemical Info'!J144="NA","NA",IF(AND(F143="NA",'Chemical Info'!D144="Yes"),'Res-Rec Equations'!$B$22*1000*(('Res-Rec Equations'!$B$26*'Chemical Info'!J144*'Res-Rec Equations'!$B$59)+('Res-Rec Equations'!$B$27*'Chemical Info'!J144*'Res-Rec Equations'!$B$60)+('Res-Rec Equations'!$B$28*'Chemical Info'!J144*'Res-Rec Equations'!$B$61))*'Res-Rec Calculations'!C143,IF(AND(F143="NA",'Chemical Info'!D144=""),'Res-Rec Equations'!$B$22*1000*'Res-Rec Equations'!$B$25*'Chemical Info'!J144*'Res-Rec Calculations'!C143,IF(AND('Chemical Info'!F144="Yes",'Chemical Info'!D144="Yes"),'Res-Rec Equations'!$B$22*1000*(('Res-Rec Equations'!$B$26*'Chemical Info'!J144*'Res-Rec Equations'!$B$59)+('Res-Rec Equations'!$B$27*'Chemical Info'!J144*'Res-Rec Equations'!$B$60)+('Res-Rec Equations'!$B$28*'Chemical Info'!J144*'Res-Rec Equations'!$B$61))*'Res-Rec Calculations'!F143,IF(AND('Chemical Info'!F144="Yes",'Chemical Info'!D144=""),'Res-Rec Equations'!$B$22*1000*'Res-Rec Equations'!$B$25*'Chemical Info'!J144*'Res-Rec Calculations'!F143,IF('Chemical Info'!D144="Yes",'Res-Rec Equations'!$B$22*1000*(('Res-Rec Equations'!$B$26*'Chemical Info'!J144*'Res-Rec Equations'!$B$59)+('Res-Rec Equations'!$B$27*'Chemical Info'!J144*'Res-Rec Equations'!$B$60)+('Res-Rec Equations'!$B$28*'Chemical Info'!J144*'Res-Rec Equations'!$B$61))*('Res-Rec Calculations'!C143+'Res-Rec Calculations'!F143),IF('Chemical Info'!D144="",'Res-Rec Equations'!$B$22*1000*'Res-Rec Equations'!$B$25*'Chemical Info'!J144*('Res-Rec Calculations'!C143+'Res-Rec Calculations'!F143))))))))</f>
        <v>NA</v>
      </c>
      <c r="L143" s="167" t="str">
        <f>IF(AND(H143="NA",I143="NA",J143="NA"),"NA",IF(H143="NA",'Res-Rec Equations'!$B$15*'Res-Rec Equations'!$B$16/J143,IF(J143="NA",'Res-Rec Equations'!$B$15*'Res-Rec Equations'!$B$16/(H143+I143),'Res-Rec Equations'!$B$15*'Res-Rec Equations'!$B$16/(H143+I143+J143))))</f>
        <v>NA</v>
      </c>
      <c r="M143" s="167" t="str">
        <f>IF(AND(H143="NA",I143="NA",K143="NA"),"NA",IF(H143="NA",'Res-Rec Equations'!$B$15*'Res-Rec Equations'!$B$16/K143,IF(K143="NA",'Res-Rec Equations'!$B$15*'Res-Rec Equations'!$B$16/(H143+I143),'Res-Rec Equations'!$B$15*'Res-Rec Equations'!$B$16/(H143+I143+K143))))</f>
        <v>NA</v>
      </c>
      <c r="N143" s="167" t="str">
        <f t="shared" si="122"/>
        <v>NA</v>
      </c>
      <c r="O143" s="371">
        <f>IF('Chemical Info'!L144="NA","NA",IF('Chemical Info'!E144="Yes",(('Res-Rec Equations'!$B$76*'Chemical Info'!AD144*'Res-Rec Equations'!$B$78*'Res-Rec Equations'!$B$79*'Res-Rec Equations'!$B$81)/('Res-Rec Equations'!$B$84*'Res-Rec Equations'!$B$85))/'Chemical Info'!L144,(('Res-Rec Equations'!$B$76*'Chemical Info'!AD144*'Res-Rec Equations'!$B$78*'Res-Rec Equations'!$B$79*'Res-Rec Equations'!$B$80)/('Res-Rec Equations'!$B$84*'Res-Rec Equations'!$B$85))/'Chemical Info'!L144))</f>
        <v>2.5570776255707758E-4</v>
      </c>
      <c r="P143" s="166">
        <f>IF('Chemical Info'!L144="NA","NA", IF('Chemical Info'!E144="Yes",0,((('Res-Rec Equations'!$B$87*'Res-Rec Equations'!$B$88*'Res-Rec Equations'!$B$78*'Res-Rec Equations'!$B$82*'Res-Rec Equations'!$B$79*'Chemical Info'!AB144)/('Res-Rec Equations'!$B$84*'Res-Rec Equations'!$B$85))/('Chemical Info'!L144*'Chemical Info'!AF144))))</f>
        <v>4.3342465753424651E-5</v>
      </c>
      <c r="Q143" s="166">
        <f>IF('Chemical Info'!N144="NA","NA",IF('Res-Rec Calculations'!E143="NA",(('Res-Rec Equations'!$B$83*'Res-Rec Equations'!$B$79*'Res-Rec Calculations'!C143)/('Res-Rec Equations'!$B$85))/('Chemical Info'!N144),IF('Chemical Info'!E144="Yes",(('Res-Rec Equations'!$B$83*'Res-Rec Equations'!$B$79*'Res-Rec Calculations'!E143)/('Res-Rec Equations'!$B$85))/('Chemical Info'!N144),(('Res-Rec Equations'!$B$83*'Res-Rec Equations'!$B$79*('Res-Rec Calculations'!C143+'Res-Rec Calculations'!E143))/('Res-Rec Equations'!$B$85))/('Chemical Info'!N144))))</f>
        <v>2.1140409872360733E-6</v>
      </c>
      <c r="R143" s="166">
        <f>IF('Chemical Info'!N144="NA","NA",IF('Res-Rec Calculations'!F143="NA",(('Res-Rec Equations'!$B$83*'Res-Rec Equations'!$B$79*'Res-Rec Calculations'!C143)/('Res-Rec Equations'!$B$85))/('Chemical Info'!N144),IF('Chemical Info'!E144="Yes",(('Res-Rec Equations'!$B$83*'Res-Rec Equations'!$B$79*'Res-Rec Calculations'!F143)/('Res-Rec Equations'!$B$85))/('Chemical Info'!N144),(('Res-Rec Equations'!$B$83*'Res-Rec Equations'!$B$79*('Res-Rec Calculations'!C143+'Res-Rec Calculations'!F143))/('Res-Rec Equations'!$B$85))/('Chemical Info'!N144))))</f>
        <v>7.0679390772631124E-5</v>
      </c>
      <c r="S143" s="167">
        <f>IF(AND(O143="NA",P143="NA",Q143="NA"),"NA",IF(O143="NA",'Res-Rec Equations'!$B$75/Q143,IF(Q143="NA",'Res-Rec Equations'!$B$75/(O143+P143),'Res-Rec Equations'!$B$75/(O143+P143+Q143))))</f>
        <v>664.08940365457227</v>
      </c>
      <c r="T143" s="167">
        <f>IF(AND(O143="NA",P143="NA",R143="NA"),"NA",IF(O143="NA",'Res-Rec Equations'!$B$75/R143,IF(R143="NA",'Res-Rec Equations'!$B$75/(O143+P143),'Res-Rec Equations'!$B$75/(O143+P143+R143))))</f>
        <v>540.93583439694669</v>
      </c>
      <c r="U143" s="168">
        <f t="shared" si="123"/>
        <v>664.08940365457227</v>
      </c>
      <c r="V143" s="167" t="str">
        <f>IF('Chemical Info'!P144="NA","NA",(('Res-Rec Equations'!$B$185*'Res-Rec Equations'!$B$186)/('Res-Rec Equations'!$B$187*'Res-Rec Equations'!$B$188*(1/'Chemical Info'!P144))))</f>
        <v>NA</v>
      </c>
      <c r="W143" s="379" t="str">
        <f t="shared" si="124"/>
        <v>NA</v>
      </c>
      <c r="X143" s="372">
        <f t="shared" si="125"/>
        <v>664.08940365457227</v>
      </c>
      <c r="Y143" s="62">
        <f t="shared" si="126"/>
        <v>660</v>
      </c>
      <c r="Z143" s="100" t="str">
        <f t="shared" si="127"/>
        <v>Noncancer</v>
      </c>
      <c r="AA143" s="373"/>
    </row>
    <row r="144" spans="1:27">
      <c r="A144" s="373" t="s">
        <v>388</v>
      </c>
      <c r="B144" s="566" t="s">
        <v>139</v>
      </c>
      <c r="C144" s="367">
        <f>1/(('Res-Rec Equations'!$B$152*3600)/((0.036*(1-'Res-Rec Equations'!$B$153))*('Res-Rec Equations'!$B$154/'Res-Rec Equations'!$B$155)^3*'Res-Rec Equations'!$B$156))</f>
        <v>7.3567680901159717E-10</v>
      </c>
      <c r="D144" s="368">
        <f>(('Res-Rec Equations'!$B$132^(10/3)*'Chemical Info'!$AH145*'Chemical Info'!$AN145*41+'Res-Rec Equations'!$B$135^(10/3)*'Chemical Info'!$AJ145)/'Res-Rec Equations'!$B$137^2)/('Res-Rec Equations'!$B$139*'Chemical Info'!$AL145*'Res-Rec Equations'!$B$142+'Res-Rec Equations'!$B$135+'Res-Rec Equations'!$B$132*'Chemical Info'!$AN145*41)</f>
        <v>1.1015112596508791E-7</v>
      </c>
      <c r="E144" s="368">
        <f>IF(D144=0,"NA",1/(('Res-Rec Equations'!$B$103*(3.14*'Res-Rec Calculations'!$D144*'Res-Rec Equations'!$B$105)^(1/2)*0.0001)/(2*'Res-Rec Equations'!$B$106*'Res-Rec Calculations'!$D144)))</f>
        <v>1.9481529671665711E-6</v>
      </c>
      <c r="F144" s="368">
        <f>IF(D144=0,"NA",(1/('Res-Rec Equations'!$B$117*('Res-Rec Equations'!$B$118*(31500000))/('Res-Rec Equations'!$B$119*'Res-Rec Equations'!$B$120*1000000))))</f>
        <v>6.1914410640015851E-5</v>
      </c>
      <c r="G144" s="167" t="str">
        <f>IF('Chemical Info'!E145="Yes",('Chemical Info'!AP145/'Res-Rec Equations'!$B$168)*((('Chemical Info'!AL145*'Res-Rec Equations'!$B$170)*'Res-Rec Equations'!$B$168)+'Res-Rec Equations'!$B$171+('Chemical Info'!AN145*41)*'Res-Rec Equations'!$B$173),"NA")</f>
        <v>NA</v>
      </c>
      <c r="H144" s="112" t="str">
        <f>IF('Chemical Info'!H145="NA","NA",IF(AND('Chemical Info'!E145="Yes",'Chemical Info'!D145="Yes"),'Chemical Info'!H145*'Chemical Info'!AD145*'Res-Rec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Info'!E145="Yes",'Chemical Info'!D145=""),'Chemical Info'!H145*'Chemical Info'!AD145*'Res-Rec Equations'!$B$20*'Res-Rec Equations'!$B$23*((('Res-Rec Equations'!$B$26*'Res-Rec Equations'!$B$29)/'Res-Rec Equations'!$B$32)+(('Res-Rec Equations'!$B$27*'Res-Rec Equations'!$B$30)/'Res-Rec Equations'!$B$33)+(('Res-Rec Equations'!$B$28*'Res-Rec Equations'!$B$31)/'Res-Rec Equations'!$B$34)),IF(AND('Chemical Info'!E145="No",'Chemical Info'!D145="Yes"),'Chemical Info'!H145*'Chemical Info'!AD145*'Res-Rec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Info'!E145="No",'Chemical Info'!D145=""),'Chemical Info'!H145*'Chemical Info'!AD145*'Res-Rec Equations'!$B$19*'Res-Rec Equations'!$B$23*((('Res-Rec Equations'!$B$26*'Res-Rec Equations'!$B$29)/'Res-Rec Equations'!$B$32)+(('Res-Rec Equations'!$B$27*'Res-Rec Equations'!$B$30)/'Res-Rec Equations'!$B$33)+(('Res-Rec Equations'!$B$28*'Res-Rec Equations'!$B$31)/'Res-Rec Equations'!$B$34)))))))</f>
        <v>NA</v>
      </c>
      <c r="I144" s="166" t="str">
        <f>IF('Chemical Info'!H145="NA","NA",IF('Chemical Info'!E145="Yes",0,IF('Chemical Info'!D145="Yes",'Chemical Info'!H145/'Chemical Info'!AF145*('Res-Rec Equations'!$B$21*'Chemical Info'!AB145*'Res-Rec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Info'!H145/'Chemical Info'!AF145*('Res-Rec Equations'!$B$21*'Chemical Info'!AB145*'Res-Rec Equations'!$B$23)*((('Res-Rec Equations'!$B$26*'Res-Rec Equations'!$B$37*'Res-Rec Equations'!$B$40)/'Res-Rec Equations'!$B$32)+(('Res-Rec Equations'!$B$27*'Res-Rec Equations'!$B$38*'Res-Rec Equations'!$B$41)/'Res-Rec Equations'!$B$33)+(('Res-Rec Equations'!$B$28*'Res-Rec Equations'!$B$39*'Res-Rec Equations'!$B$42)/'Res-Rec Equations'!$B$34)))))</f>
        <v>NA</v>
      </c>
      <c r="J144" s="369" t="str">
        <f>IF('Chemical Info'!J145="NA","NA",IF(AND(E144="NA",'Chemical Info'!D145="Yes"),'Res-Rec Equations'!$B$22*1000*(('Res-Rec Equations'!$B$26*'Chemical Info'!J145*'Res-Rec Equations'!$B$59)+('Res-Rec Equations'!$B$27*'Chemical Info'!J145*'Res-Rec Equations'!$B$60)+('Res-Rec Equations'!$B$28*'Chemical Info'!J145*'Res-Rec Equations'!$B$61))*'Res-Rec Calculations'!C144,IF(AND(E144="NA",'Chemical Info'!D145=""),'Res-Rec Equations'!$B$22*1000*'Res-Rec Equations'!$B$25*'Chemical Info'!J145*'Res-Rec Calculations'!C144,IF(AND('Chemical Info'!E145="Yes",'Chemical Info'!D145="Yes"),'Res-Rec Equations'!$B$22*1000*(('Res-Rec Equations'!$B$26*'Chemical Info'!J145*'Res-Rec Equations'!$B$59)+('Res-Rec Equations'!$B$27*'Chemical Info'!J145*'Res-Rec Equations'!$B$60)+('Res-Rec Equations'!$B$28*'Chemical Info'!J145*'Res-Rec Equations'!$B$61))*'Res-Rec Calculations'!E144,IF(AND('Chemical Info'!E145="Yes",'Chemical Info'!D145=""),'Res-Rec Equations'!$B$22*1000*'Res-Rec Equations'!$B$25*'Chemical Info'!J145*'Res-Rec Calculations'!E144,IF('Chemical Info'!D145="Yes",'Res-Rec Equations'!$B$22*1000*(('Res-Rec Equations'!$B$26*'Chemical Info'!J145*'Res-Rec Equations'!$B$59)+('Res-Rec Equations'!$B$27*'Chemical Info'!J145*'Res-Rec Equations'!$B$60)+('Res-Rec Equations'!$B$28*'Chemical Info'!J145*'Res-Rec Equations'!$B$61))*('Res-Rec Calculations'!C144+'Res-Rec Calculations'!E144),IF('Chemical Info'!D145="",'Res-Rec Equations'!$B$22*1000*'Res-Rec Equations'!$B$25*'Chemical Info'!J145*('Res-Rec Calculations'!C144+'Res-Rec Calculations'!E144))))))))</f>
        <v>NA</v>
      </c>
      <c r="K144" s="370" t="str">
        <f>IF('Chemical Info'!J145="NA","NA",IF(AND(F144="NA",'Chemical Info'!D145="Yes"),'Res-Rec Equations'!$B$22*1000*(('Res-Rec Equations'!$B$26*'Chemical Info'!J145*'Res-Rec Equations'!$B$59)+('Res-Rec Equations'!$B$27*'Chemical Info'!J145*'Res-Rec Equations'!$B$60)+('Res-Rec Equations'!$B$28*'Chemical Info'!J145*'Res-Rec Equations'!$B$61))*'Res-Rec Calculations'!C144,IF(AND(F144="NA",'Chemical Info'!D145=""),'Res-Rec Equations'!$B$22*1000*'Res-Rec Equations'!$B$25*'Chemical Info'!J145*'Res-Rec Calculations'!C144,IF(AND('Chemical Info'!F145="Yes",'Chemical Info'!D145="Yes"),'Res-Rec Equations'!$B$22*1000*(('Res-Rec Equations'!$B$26*'Chemical Info'!J145*'Res-Rec Equations'!$B$59)+('Res-Rec Equations'!$B$27*'Chemical Info'!J145*'Res-Rec Equations'!$B$60)+('Res-Rec Equations'!$B$28*'Chemical Info'!J145*'Res-Rec Equations'!$B$61))*'Res-Rec Calculations'!F144,IF(AND('Chemical Info'!F145="Yes",'Chemical Info'!D145=""),'Res-Rec Equations'!$B$22*1000*'Res-Rec Equations'!$B$25*'Chemical Info'!J145*'Res-Rec Calculations'!F144,IF('Chemical Info'!D145="Yes",'Res-Rec Equations'!$B$22*1000*(('Res-Rec Equations'!$B$26*'Chemical Info'!J145*'Res-Rec Equations'!$B$59)+('Res-Rec Equations'!$B$27*'Chemical Info'!J145*'Res-Rec Equations'!$B$60)+('Res-Rec Equations'!$B$28*'Chemical Info'!J145*'Res-Rec Equations'!$B$61))*('Res-Rec Calculations'!C144+'Res-Rec Calculations'!F144),IF('Chemical Info'!D145="",'Res-Rec Equations'!$B$22*1000*'Res-Rec Equations'!$B$25*'Chemical Info'!J145*('Res-Rec Calculations'!C144+'Res-Rec Calculations'!F144))))))))</f>
        <v>NA</v>
      </c>
      <c r="L144" s="167" t="str">
        <f>IF(AND(H144="NA",I144="NA",J144="NA"),"NA",IF(H144="NA",'Res-Rec Equations'!$B$15*'Res-Rec Equations'!$B$16/J144,IF(J144="NA",'Res-Rec Equations'!$B$15*'Res-Rec Equations'!$B$16/(H144+I144),'Res-Rec Equations'!$B$15*'Res-Rec Equations'!$B$16/(H144+I144+J144))))</f>
        <v>NA</v>
      </c>
      <c r="M144" s="167" t="str">
        <f>IF(AND(H144="NA",I144="NA",K144="NA"),"NA",IF(H144="NA",'Res-Rec Equations'!$B$15*'Res-Rec Equations'!$B$16/K144,IF(K144="NA",'Res-Rec Equations'!$B$15*'Res-Rec Equations'!$B$16/(H144+I144),'Res-Rec Equations'!$B$15*'Res-Rec Equations'!$B$16/(H144+I144+K144))))</f>
        <v>NA</v>
      </c>
      <c r="N144" s="167" t="str">
        <f t="shared" si="122"/>
        <v>NA</v>
      </c>
      <c r="O144" s="371">
        <f>IF('Chemical Info'!L145="NA","NA",IF('Chemical Info'!E145="Yes",(('Res-Rec Equations'!$B$76*'Chemical Info'!AD145*'Res-Rec Equations'!$B$78*'Res-Rec Equations'!$B$79*'Res-Rec Equations'!$B$81)/('Res-Rec Equations'!$B$84*'Res-Rec Equations'!$B$85))/'Chemical Info'!L145,(('Res-Rec Equations'!$B$76*'Chemical Info'!AD145*'Res-Rec Equations'!$B$78*'Res-Rec Equations'!$B$79*'Res-Rec Equations'!$B$80)/('Res-Rec Equations'!$B$84*'Res-Rec Equations'!$B$85))/'Chemical Info'!L145))</f>
        <v>6.3926940639269405E-4</v>
      </c>
      <c r="P144" s="166">
        <f>IF('Chemical Info'!L145="NA","NA", IF('Chemical Info'!E145="Yes",0,((('Res-Rec Equations'!$B$87*'Res-Rec Equations'!$B$88*'Res-Rec Equations'!$B$78*'Res-Rec Equations'!$B$82*'Res-Rec Equations'!$B$79*'Chemical Info'!AB145)/('Res-Rec Equations'!$B$84*'Res-Rec Equations'!$B$85))/('Chemical Info'!L145*'Chemical Info'!AF145))))</f>
        <v>1.0835616438356164E-4</v>
      </c>
      <c r="Q144" s="166">
        <f>IF('Chemical Info'!N145="NA","NA",IF('Res-Rec Calculations'!E144="NA",(('Res-Rec Equations'!$B$83*'Res-Rec Equations'!$B$79*'Res-Rec Calculations'!C144)/('Res-Rec Equations'!$B$85))/('Chemical Info'!N145),IF('Chemical Info'!E145="Yes",(('Res-Rec Equations'!$B$83*'Res-Rec Equations'!$B$79*'Res-Rec Calculations'!E144)/('Res-Rec Equations'!$B$85))/('Chemical Info'!N145),(('Res-Rec Equations'!$B$83*'Res-Rec Equations'!$B$79*('Res-Rec Calculations'!C144+'Res-Rec Calculations'!E144))/('Res-Rec Equations'!$B$85))/('Chemical Info'!N145))))</f>
        <v>2.2247587259995234E-6</v>
      </c>
      <c r="R144" s="166">
        <f>IF('Chemical Info'!N145="NA","NA",IF('Res-Rec Calculations'!F144="NA",(('Res-Rec Equations'!$B$83*'Res-Rec Equations'!$B$79*'Res-Rec Calculations'!C144)/('Res-Rec Equations'!$B$85))/('Chemical Info'!N145),IF('Chemical Info'!E145="Yes",(('Res-Rec Equations'!$B$83*'Res-Rec Equations'!$B$79*'Res-Rec Calculations'!F144)/('Res-Rec Equations'!$B$85))/('Chemical Info'!N145),(('Res-Rec Equations'!$B$83*'Res-Rec Equations'!$B$79*('Res-Rec Calculations'!C144+'Res-Rec Calculations'!F144))/('Res-Rec Equations'!$B$85))/('Chemical Info'!N145))))</f>
        <v>7.0679390772631124E-5</v>
      </c>
      <c r="S144" s="167">
        <f>IF(AND(O144="NA",P144="NA",Q144="NA"),"NA",IF(O144="NA",'Res-Rec Equations'!$B$75/Q144,IF(Q144="NA",'Res-Rec Equations'!$B$75/(O144+P144),'Res-Rec Equations'!$B$75/(O144+P144+Q144))))</f>
        <v>266.71989346561793</v>
      </c>
      <c r="T144" s="167">
        <f>IF(AND(O144="NA",P144="NA",R144="NA"),"NA",IF(O144="NA",'Res-Rec Equations'!$B$75/R144,IF(R144="NA",'Res-Rec Equations'!$B$75/(O144+P144),'Res-Rec Equations'!$B$75/(O144+P144+R144))))</f>
        <v>244.40765899969642</v>
      </c>
      <c r="U144" s="168">
        <f t="shared" si="123"/>
        <v>266.71989346561793</v>
      </c>
      <c r="V144" s="167" t="str">
        <f>IF('Chemical Info'!P145="NA","NA",(('Res-Rec Equations'!$B$185*'Res-Rec Equations'!$B$186)/('Res-Rec Equations'!$B$187*'Res-Rec Equations'!$B$188*(1/'Chemical Info'!P145))))</f>
        <v>NA</v>
      </c>
      <c r="W144" s="379" t="str">
        <f t="shared" si="124"/>
        <v>NA</v>
      </c>
      <c r="X144" s="372">
        <f t="shared" si="125"/>
        <v>266.71989346561793</v>
      </c>
      <c r="Y144" s="62">
        <f t="shared" si="126"/>
        <v>270</v>
      </c>
      <c r="Z144" s="100" t="str">
        <f t="shared" si="127"/>
        <v>Noncancer</v>
      </c>
      <c r="AA144" s="373"/>
    </row>
    <row r="145" spans="1:28">
      <c r="A145" s="373" t="s">
        <v>1107</v>
      </c>
      <c r="B145" s="566" t="s">
        <v>1108</v>
      </c>
      <c r="C145" s="367">
        <f>1/(('Res-Rec Equations'!$B$152*3600)/((0.036*(1-'Res-Rec Equations'!$B$153))*('Res-Rec Equations'!$B$154/'Res-Rec Equations'!$B$155)^3*'Res-Rec Equations'!$B$156))</f>
        <v>7.3567680901159717E-10</v>
      </c>
      <c r="D145" s="368">
        <f>(('Res-Rec Equations'!$B$132^(10/3)*'Chemical Info'!$AH146*'Chemical Info'!$AN146*41+'Res-Rec Equations'!$B$135^(10/3)*'Chemical Info'!$AJ146)/'Res-Rec Equations'!$B$137^2)/('Res-Rec Equations'!$B$139*'Chemical Info'!$AL146*'Res-Rec Equations'!$B$142+'Res-Rec Equations'!$B$135+'Res-Rec Equations'!$B$132*'Chemical Info'!$AN146*41)</f>
        <v>2.3752058500635601E-6</v>
      </c>
      <c r="E145" s="368">
        <f>IF(D145=0,"NA",1/(('Res-Rec Equations'!$B$103*(3.14*'Res-Rec Calculations'!$D145*'Res-Rec Equations'!$B$105)^(1/2)*0.0001)/(2*'Res-Rec Equations'!$B$106*'Res-Rec Calculations'!$D145)))</f>
        <v>9.0464713258991515E-6</v>
      </c>
      <c r="F145" s="368">
        <f>IF(D145=0,"NA",(1/('Res-Rec Equations'!$B$117*('Res-Rec Equations'!$B$118*(31500000))/('Res-Rec Equations'!$B$119*'Res-Rec Equations'!$B$120*1000000))))</f>
        <v>6.1914410640015851E-5</v>
      </c>
      <c r="G145" s="167">
        <f>IF('Chemical Info'!E146="Yes",('Chemical Info'!AP146/'Res-Rec Equations'!$B$168)*((('Chemical Info'!AL146*'Res-Rec Equations'!$B$170)*'Res-Rec Equations'!$B$168)+'Res-Rec Equations'!$B$171+('Chemical Info'!AN146*41)*'Res-Rec Equations'!$B$173),"NA")</f>
        <v>3048.4398912000006</v>
      </c>
      <c r="H145" s="112" t="str">
        <f>IF('Chemical Info'!H146="NA","NA",IF(AND('Chemical Info'!E146="Yes",'Chemical Info'!D146="Yes"),'Chemical Info'!H146*'Chemical Info'!AD146*'Res-Rec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Info'!E146="Yes",'Chemical Info'!D146=""),'Chemical Info'!H146*'Chemical Info'!AD146*'Res-Rec Equations'!$B$20*'Res-Rec Equations'!$B$23*((('Res-Rec Equations'!$B$26*'Res-Rec Equations'!$B$29)/'Res-Rec Equations'!$B$32)+(('Res-Rec Equations'!$B$27*'Res-Rec Equations'!$B$30)/'Res-Rec Equations'!$B$33)+(('Res-Rec Equations'!$B$28*'Res-Rec Equations'!$B$31)/'Res-Rec Equations'!$B$34)),IF(AND('Chemical Info'!E146="No",'Chemical Info'!D146="Yes"),'Chemical Info'!H146*'Chemical Info'!AD146*'Res-Rec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Info'!E146="No",'Chemical Info'!D146=""),'Chemical Info'!H146*'Chemical Info'!AD146*'Res-Rec Equations'!$B$19*'Res-Rec Equations'!$B$23*((('Res-Rec Equations'!$B$26*'Res-Rec Equations'!$B$29)/'Res-Rec Equations'!$B$32)+(('Res-Rec Equations'!$B$27*'Res-Rec Equations'!$B$30)/'Res-Rec Equations'!$B$33)+(('Res-Rec Equations'!$B$28*'Res-Rec Equations'!$B$31)/'Res-Rec Equations'!$B$34)))))))</f>
        <v>NA</v>
      </c>
      <c r="I145" s="166" t="str">
        <f>IF('Chemical Info'!H146="NA","NA",IF('Chemical Info'!E146="Yes",0,IF('Chemical Info'!D146="Yes",'Chemical Info'!H146/'Chemical Info'!AF146*('Res-Rec Equations'!$B$21*'Chemical Info'!AB146*'Res-Rec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Info'!H146/'Chemical Info'!AF146*('Res-Rec Equations'!$B$21*'Chemical Info'!AB146*'Res-Rec Equations'!$B$23)*((('Res-Rec Equations'!$B$26*'Res-Rec Equations'!$B$37*'Res-Rec Equations'!$B$40)/'Res-Rec Equations'!$B$32)+(('Res-Rec Equations'!$B$27*'Res-Rec Equations'!$B$38*'Res-Rec Equations'!$B$41)/'Res-Rec Equations'!$B$33)+(('Res-Rec Equations'!$B$28*'Res-Rec Equations'!$B$39*'Res-Rec Equations'!$B$42)/'Res-Rec Equations'!$B$34)))))</f>
        <v>NA</v>
      </c>
      <c r="J145" s="369">
        <f>IF('Chemical Info'!J146="NA","NA",IF(AND(E145="NA",'Chemical Info'!D146="Yes"),'Res-Rec Equations'!$B$22*1000*(('Res-Rec Equations'!$B$26*'Chemical Info'!J146*'Res-Rec Equations'!$B$59)+('Res-Rec Equations'!$B$27*'Chemical Info'!J146*'Res-Rec Equations'!$B$60)+('Res-Rec Equations'!$B$28*'Chemical Info'!J146*'Res-Rec Equations'!$B$61))*'Res-Rec Calculations'!C145,IF(AND(E145="NA",'Chemical Info'!D146=""),'Res-Rec Equations'!$B$22*1000*'Res-Rec Equations'!$B$25*'Chemical Info'!J146*'Res-Rec Calculations'!C145,IF(AND('Chemical Info'!E146="Yes",'Chemical Info'!D146="Yes"),'Res-Rec Equations'!$B$22*1000*(('Res-Rec Equations'!$B$26*'Chemical Info'!J146*'Res-Rec Equations'!$B$59)+('Res-Rec Equations'!$B$27*'Chemical Info'!J146*'Res-Rec Equations'!$B$60)+('Res-Rec Equations'!$B$28*'Chemical Info'!J146*'Res-Rec Equations'!$B$61))*'Res-Rec Calculations'!E145,IF(AND('Chemical Info'!E146="Yes",'Chemical Info'!D146=""),'Res-Rec Equations'!$B$22*1000*'Res-Rec Equations'!$B$25*'Chemical Info'!J146*'Res-Rec Calculations'!E145,IF('Chemical Info'!D146="Yes",'Res-Rec Equations'!$B$22*1000*(('Res-Rec Equations'!$B$26*'Chemical Info'!J146*'Res-Rec Equations'!$B$59)+('Res-Rec Equations'!$B$27*'Chemical Info'!J146*'Res-Rec Equations'!$B$60)+('Res-Rec Equations'!$B$28*'Chemical Info'!J146*'Res-Rec Equations'!$B$61))*('Res-Rec Calculations'!C145+'Res-Rec Calculations'!E145),IF('Chemical Info'!D146="",'Res-Rec Equations'!$B$22*1000*'Res-Rec Equations'!$B$25*'Chemical Info'!J146*('Res-Rec Calculations'!C145+'Res-Rec Calculations'!E145))))))))</f>
        <v>2.3520825447337795E-3</v>
      </c>
      <c r="K145" s="370">
        <f>IF('Chemical Info'!J146="NA","NA",IF(AND(F145="NA",'Chemical Info'!D146="Yes"),'Res-Rec Equations'!$B$22*1000*(('Res-Rec Equations'!$B$26*'Chemical Info'!J146*'Res-Rec Equations'!$B$59)+('Res-Rec Equations'!$B$27*'Chemical Info'!J146*'Res-Rec Equations'!$B$60)+('Res-Rec Equations'!$B$28*'Chemical Info'!J146*'Res-Rec Equations'!$B$61))*'Res-Rec Calculations'!C145,IF(AND(F145="NA",'Chemical Info'!D146=""),'Res-Rec Equations'!$B$22*1000*'Res-Rec Equations'!$B$25*'Chemical Info'!J146*'Res-Rec Calculations'!C145,IF(AND('Chemical Info'!F146="Yes",'Chemical Info'!D146="Yes"),'Res-Rec Equations'!$B$22*1000*(('Res-Rec Equations'!$B$26*'Chemical Info'!J146*'Res-Rec Equations'!$B$59)+('Res-Rec Equations'!$B$27*'Chemical Info'!J146*'Res-Rec Equations'!$B$60)+('Res-Rec Equations'!$B$28*'Chemical Info'!J146*'Res-Rec Equations'!$B$61))*'Res-Rec Calculations'!F145,IF(AND('Chemical Info'!F146="Yes",'Chemical Info'!D146=""),'Res-Rec Equations'!$B$22*1000*'Res-Rec Equations'!$B$25*'Chemical Info'!J146*'Res-Rec Calculations'!F145,IF('Chemical Info'!D146="Yes",'Res-Rec Equations'!$B$22*1000*(('Res-Rec Equations'!$B$26*'Chemical Info'!J146*'Res-Rec Equations'!$B$59)+('Res-Rec Equations'!$B$27*'Chemical Info'!J146*'Res-Rec Equations'!$B$60)+('Res-Rec Equations'!$B$28*'Chemical Info'!J146*'Res-Rec Equations'!$B$61))*('Res-Rec Calculations'!C145+'Res-Rec Calculations'!F145),IF('Chemical Info'!D146="",'Res-Rec Equations'!$B$22*1000*'Res-Rec Equations'!$B$25*'Chemical Info'!J146*('Res-Rec Calculations'!C145+'Res-Rec Calculations'!F145))))))))</f>
        <v>1.6097938042374464E-2</v>
      </c>
      <c r="L145" s="167">
        <f>IF(AND(H145="NA",I145="NA",J145="NA"),"NA",IF(H145="NA",'Res-Rec Equations'!$B$15*'Res-Rec Equations'!$B$16/J145,IF(J145="NA",'Res-Rec Equations'!$B$15*'Res-Rec Equations'!$B$16/(H145+I145),'Res-Rec Equations'!$B$15*'Res-Rec Equations'!$B$16/(H145+I145+J145))))</f>
        <v>108.62714005171905</v>
      </c>
      <c r="M145" s="167">
        <f>IF(AND(H145="NA",I145="NA",K145="NA"),"NA",IF(H145="NA",'Res-Rec Equations'!$B$15*'Res-Rec Equations'!$B$16/K145,IF(K145="NA",'Res-Rec Equations'!$B$15*'Res-Rec Equations'!$B$16/(H145+I145),'Res-Rec Equations'!$B$15*'Res-Rec Equations'!$B$16/(H145+I145+K145))))</f>
        <v>15.871597923128387</v>
      </c>
      <c r="N145" s="167">
        <f t="shared" ref="N145" si="200">IF(AND(L145="NA",M145="NA"),"NA",MAX(L145,M145))</f>
        <v>108.62714005171905</v>
      </c>
      <c r="O145" s="371">
        <f>IF('Chemical Info'!L146="NA","NA",IF('Chemical Info'!E146="Yes",(('Res-Rec Equations'!$B$76*'Chemical Info'!AD146*'Res-Rec Equations'!$B$78*'Res-Rec Equations'!$B$79*'Res-Rec Equations'!$B$81)/('Res-Rec Equations'!$B$84*'Res-Rec Equations'!$B$85))/'Chemical Info'!L146,(('Res-Rec Equations'!$B$76*'Chemical Info'!AD146*'Res-Rec Equations'!$B$78*'Res-Rec Equations'!$B$79*'Res-Rec Equations'!$B$80)/('Res-Rec Equations'!$B$84*'Res-Rec Equations'!$B$85))/'Chemical Info'!L146))</f>
        <v>4.5662100456621002E-3</v>
      </c>
      <c r="P145" s="166">
        <f>IF('Chemical Info'!L146="NA","NA", IF('Chemical Info'!E146="Yes",0,((('Res-Rec Equations'!$B$87*'Res-Rec Equations'!$B$88*'Res-Rec Equations'!$B$78*'Res-Rec Equations'!$B$82*'Res-Rec Equations'!$B$79*'Chemical Info'!AB146)/('Res-Rec Equations'!$B$84*'Res-Rec Equations'!$B$85))/('Chemical Info'!L146*'Chemical Info'!AF146))))</f>
        <v>0</v>
      </c>
      <c r="Q145" s="166">
        <f>IF('Chemical Info'!N146="NA","NA",IF('Res-Rec Calculations'!E145="NA",(('Res-Rec Equations'!$B$83*'Res-Rec Equations'!$B$79*'Res-Rec Calculations'!C145)/('Res-Rec Equations'!$B$85))/('Chemical Info'!N146),IF('Chemical Info'!E146="Yes",(('Res-Rec Equations'!$B$83*'Res-Rec Equations'!$B$79*'Res-Rec Calculations'!E145)/('Res-Rec Equations'!$B$85))/('Chemical Info'!N146),(('Res-Rec Equations'!$B$83*'Res-Rec Equations'!$B$79*('Res-Rec Calculations'!C145+'Res-Rec Calculations'!E145))/('Res-Rec Equations'!$B$85))/('Chemical Info'!N146))))</f>
        <v>6.8846813743524756E-4</v>
      </c>
      <c r="R145" s="166">
        <f>IF('Chemical Info'!N146="NA","NA",IF('Res-Rec Calculations'!F145="NA",(('Res-Rec Equations'!$B$83*'Res-Rec Equations'!$B$79*'Res-Rec Calculations'!C145)/('Res-Rec Equations'!$B$85))/('Chemical Info'!N146),IF('Chemical Info'!E146="Yes",(('Res-Rec Equations'!$B$83*'Res-Rec Equations'!$B$79*'Res-Rec Calculations'!F145)/('Res-Rec Equations'!$B$85))/('Chemical Info'!N146),(('Res-Rec Equations'!$B$83*'Res-Rec Equations'!$B$79*('Res-Rec Calculations'!C145+'Res-Rec Calculations'!F145))/('Res-Rec Equations'!$B$85))/('Chemical Info'!N146))))</f>
        <v>4.7119033972614806E-3</v>
      </c>
      <c r="S145" s="167">
        <f>IF(AND(O145="NA",P145="NA",Q145="NA"),"NA",IF(O145="NA",'Res-Rec Equations'!$B$75/Q145,IF(Q145="NA",'Res-Rec Equations'!$B$75/(O145+P145),'Res-Rec Equations'!$B$75/(O145+P145+Q145))))</f>
        <v>38.061322317194858</v>
      </c>
      <c r="T145" s="167">
        <f>IF(AND(O145="NA",P145="NA",R145="NA"),"NA",IF(O145="NA",'Res-Rec Equations'!$B$75/R145,IF(R145="NA",'Res-Rec Equations'!$B$75/(O145+P145),'Res-Rec Equations'!$B$75/(O145+P145+R145))))</f>
        <v>21.556106338895873</v>
      </c>
      <c r="U145" s="168">
        <f t="shared" ref="U145" si="201">IF(AND(S145="NA",T145="NA"),"NA",MAX(S145,T145))</f>
        <v>38.061322317194858</v>
      </c>
      <c r="V145" s="167" t="str">
        <f>IF('Chemical Info'!P146="NA","NA",(('Res-Rec Equations'!$B$185*'Res-Rec Equations'!$B$186)/('Res-Rec Equations'!$B$187*'Res-Rec Equations'!$B$188*(1/'Chemical Info'!P146))))</f>
        <v>NA</v>
      </c>
      <c r="W145" s="379" t="str">
        <f t="shared" ref="W145" si="202">IF(V145="NA","NA",IF(V145&gt;100000,100000,IF(ISNUMBER(ROUND(V145*1000000,2-LEN(INT(V145*1000000)))/1000000),ROUND(V145*1000000,2-LEN(INT(V145*1000000)))/1000000,"NA")))</f>
        <v>NA</v>
      </c>
      <c r="X145" s="372">
        <f t="shared" ref="X145" si="203">IF(AND(N145="NA",U145="NA",G145="NA"),"NA",MIN(N145,U145,G145))</f>
        <v>38.061322317194858</v>
      </c>
      <c r="Y145" s="62">
        <f t="shared" ref="Y145" si="204">IF(X145&gt;100000,100000,IF(ISNUMBER(ROUND(X145*1000000,2-LEN(INT(X145*1000000)))/1000000),ROUND(X145*1000000,2-LEN(INT(X145*1000000)))/1000000,"NA"))</f>
        <v>38</v>
      </c>
      <c r="Z145" s="100" t="str">
        <f t="shared" ref="Z145" si="205">IF(Y145=100000,"Max Limit",IF(X145=G145,"Csat",IF(X145=N145,"Cancer",IF(X145=V145,"Acute",IF(X145=U145,"Noncancer","")))))</f>
        <v>Noncancer</v>
      </c>
      <c r="AA145" s="373"/>
    </row>
    <row r="146" spans="1:28">
      <c r="A146" s="373" t="s">
        <v>396</v>
      </c>
      <c r="B146" s="566" t="s">
        <v>140</v>
      </c>
      <c r="C146" s="367">
        <f>1/(('Res-Rec Equations'!$B$152*3600)/((0.036*(1-'Res-Rec Equations'!$B$153))*('Res-Rec Equations'!$B$154/'Res-Rec Equations'!$B$155)^3*'Res-Rec Equations'!$B$156))</f>
        <v>7.3567680901159717E-10</v>
      </c>
      <c r="D146" s="368">
        <f>(('Res-Rec Equations'!$B$132^(10/3)*'Chemical Info'!$AH147*'Chemical Info'!$AN147*41+'Res-Rec Equations'!$B$135^(10/3)*'Chemical Info'!$AJ147)/'Res-Rec Equations'!$B$137^2)/('Res-Rec Equations'!$B$139*'Chemical Info'!$AL147*'Res-Rec Equations'!$B$142+'Res-Rec Equations'!$B$135+'Res-Rec Equations'!$B$132*'Chemical Info'!$AN147*41)</f>
        <v>0</v>
      </c>
      <c r="E146" s="368" t="str">
        <f>IF(D146=0,"NA",1/(('Res-Rec Equations'!$B$103*(3.14*'Res-Rec Calculations'!$D146*'Res-Rec Equations'!$B$105)^(1/2)*0.0001)/(2*'Res-Rec Equations'!$B$106*'Res-Rec Calculations'!$D146)))</f>
        <v>NA</v>
      </c>
      <c r="F146" s="368" t="str">
        <f>IF(D146=0,"NA",(1/('Res-Rec Equations'!$B$117*('Res-Rec Equations'!$B$118*(31500000))/('Res-Rec Equations'!$B$119*'Res-Rec Equations'!$B$120*1000000))))</f>
        <v>NA</v>
      </c>
      <c r="G146" s="167" t="str">
        <f>IF('Chemical Info'!E147="Yes",('Chemical Info'!AP147/'Res-Rec Equations'!$B$168)*((('Chemical Info'!AL147*'Res-Rec Equations'!$B$170)*'Res-Rec Equations'!$B$168)+'Res-Rec Equations'!$B$171+('Chemical Info'!AN147*41)*'Res-Rec Equations'!$B$173),"NA")</f>
        <v>NA</v>
      </c>
      <c r="H146" s="112" t="str">
        <f>IF('Chemical Info'!H147="NA","NA",IF(AND('Chemical Info'!E147="Yes",'Chemical Info'!D147="Yes"),'Chemical Info'!H147*'Chemical Info'!AD147*'Res-Rec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Info'!E147="Yes",'Chemical Info'!D147=""),'Chemical Info'!H147*'Chemical Info'!AD147*'Res-Rec Equations'!$B$20*'Res-Rec Equations'!$B$23*((('Res-Rec Equations'!$B$26*'Res-Rec Equations'!$B$29)/'Res-Rec Equations'!$B$32)+(('Res-Rec Equations'!$B$27*'Res-Rec Equations'!$B$30)/'Res-Rec Equations'!$B$33)+(('Res-Rec Equations'!$B$28*'Res-Rec Equations'!$B$31)/'Res-Rec Equations'!$B$34)),IF(AND('Chemical Info'!E147="No",'Chemical Info'!D147="Yes"),'Chemical Info'!H147*'Chemical Info'!AD147*'Res-Rec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Info'!E147="No",'Chemical Info'!D147=""),'Chemical Info'!H147*'Chemical Info'!AD147*'Res-Rec Equations'!$B$19*'Res-Rec Equations'!$B$23*((('Res-Rec Equations'!$B$26*'Res-Rec Equations'!$B$29)/'Res-Rec Equations'!$B$32)+(('Res-Rec Equations'!$B$27*'Res-Rec Equations'!$B$30)/'Res-Rec Equations'!$B$33)+(('Res-Rec Equations'!$B$28*'Res-Rec Equations'!$B$31)/'Res-Rec Equations'!$B$34)))))))</f>
        <v>NA</v>
      </c>
      <c r="I146" s="166" t="str">
        <f>IF('Chemical Info'!H147="NA","NA",IF('Chemical Info'!E147="Yes",0,IF('Chemical Info'!D147="Yes",'Chemical Info'!H147/'Chemical Info'!AF147*('Res-Rec Equations'!$B$21*'Chemical Info'!AB147*'Res-Rec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Info'!H147/'Chemical Info'!AF147*('Res-Rec Equations'!$B$21*'Chemical Info'!AB147*'Res-Rec Equations'!$B$23)*((('Res-Rec Equations'!$B$26*'Res-Rec Equations'!$B$37*'Res-Rec Equations'!$B$40)/'Res-Rec Equations'!$B$32)+(('Res-Rec Equations'!$B$27*'Res-Rec Equations'!$B$38*'Res-Rec Equations'!$B$41)/'Res-Rec Equations'!$B$33)+(('Res-Rec Equations'!$B$28*'Res-Rec Equations'!$B$39*'Res-Rec Equations'!$B$42)/'Res-Rec Equations'!$B$34)))))</f>
        <v>NA</v>
      </c>
      <c r="J146" s="369" t="str">
        <f>IF('Chemical Info'!J147="NA","NA",IF(AND(E146="NA",'Chemical Info'!D147="Yes"),'Res-Rec Equations'!$B$22*1000*(('Res-Rec Equations'!$B$26*'Chemical Info'!J147*'Res-Rec Equations'!$B$59)+('Res-Rec Equations'!$B$27*'Chemical Info'!J147*'Res-Rec Equations'!$B$60)+('Res-Rec Equations'!$B$28*'Chemical Info'!J147*'Res-Rec Equations'!$B$61))*'Res-Rec Calculations'!C146,IF(AND(E146="NA",'Chemical Info'!D147=""),'Res-Rec Equations'!$B$22*1000*'Res-Rec Equations'!$B$25*'Chemical Info'!J147*'Res-Rec Calculations'!C146,IF(AND('Chemical Info'!E147="Yes",'Chemical Info'!D147="Yes"),'Res-Rec Equations'!$B$22*1000*(('Res-Rec Equations'!$B$26*'Chemical Info'!J147*'Res-Rec Equations'!$B$59)+('Res-Rec Equations'!$B$27*'Chemical Info'!J147*'Res-Rec Equations'!$B$60)+('Res-Rec Equations'!$B$28*'Chemical Info'!J147*'Res-Rec Equations'!$B$61))*'Res-Rec Calculations'!E146,IF(AND('Chemical Info'!E147="Yes",'Chemical Info'!D147=""),'Res-Rec Equations'!$B$22*1000*'Res-Rec Equations'!$B$25*'Chemical Info'!J147*'Res-Rec Calculations'!E146,IF('Chemical Info'!D147="Yes",'Res-Rec Equations'!$B$22*1000*(('Res-Rec Equations'!$B$26*'Chemical Info'!J147*'Res-Rec Equations'!$B$59)+('Res-Rec Equations'!$B$27*'Chemical Info'!J147*'Res-Rec Equations'!$B$60)+('Res-Rec Equations'!$B$28*'Chemical Info'!J147*'Res-Rec Equations'!$B$61))*('Res-Rec Calculations'!C146+'Res-Rec Calculations'!E146),IF('Chemical Info'!D147="",'Res-Rec Equations'!$B$22*1000*'Res-Rec Equations'!$B$25*'Chemical Info'!J147*('Res-Rec Calculations'!C146+'Res-Rec Calculations'!E146))))))))</f>
        <v>NA</v>
      </c>
      <c r="K146" s="370" t="str">
        <f>IF('Chemical Info'!J147="NA","NA",IF(AND(F146="NA",'Chemical Info'!D147="Yes"),'Res-Rec Equations'!$B$22*1000*(('Res-Rec Equations'!$B$26*'Chemical Info'!J147*'Res-Rec Equations'!$B$59)+('Res-Rec Equations'!$B$27*'Chemical Info'!J147*'Res-Rec Equations'!$B$60)+('Res-Rec Equations'!$B$28*'Chemical Info'!J147*'Res-Rec Equations'!$B$61))*'Res-Rec Calculations'!C146,IF(AND(F146="NA",'Chemical Info'!D147=""),'Res-Rec Equations'!$B$22*1000*'Res-Rec Equations'!$B$25*'Chemical Info'!J147*'Res-Rec Calculations'!C146,IF(AND('Chemical Info'!F147="Yes",'Chemical Info'!D147="Yes"),'Res-Rec Equations'!$B$22*1000*(('Res-Rec Equations'!$B$26*'Chemical Info'!J147*'Res-Rec Equations'!$B$59)+('Res-Rec Equations'!$B$27*'Chemical Info'!J147*'Res-Rec Equations'!$B$60)+('Res-Rec Equations'!$B$28*'Chemical Info'!J147*'Res-Rec Equations'!$B$61))*'Res-Rec Calculations'!F146,IF(AND('Chemical Info'!F147="Yes",'Chemical Info'!D147=""),'Res-Rec Equations'!$B$22*1000*'Res-Rec Equations'!$B$25*'Chemical Info'!J147*'Res-Rec Calculations'!F146,IF('Chemical Info'!D147="Yes",'Res-Rec Equations'!$B$22*1000*(('Res-Rec Equations'!$B$26*'Chemical Info'!J147*'Res-Rec Equations'!$B$59)+('Res-Rec Equations'!$B$27*'Chemical Info'!J147*'Res-Rec Equations'!$B$60)+('Res-Rec Equations'!$B$28*'Chemical Info'!J147*'Res-Rec Equations'!$B$61))*('Res-Rec Calculations'!C146+'Res-Rec Calculations'!F146),IF('Chemical Info'!D147="",'Res-Rec Equations'!$B$22*1000*'Res-Rec Equations'!$B$25*'Chemical Info'!J147*('Res-Rec Calculations'!C146+'Res-Rec Calculations'!F146))))))))</f>
        <v>NA</v>
      </c>
      <c r="L146" s="167" t="str">
        <f>IF(AND(H146="NA",I146="NA",J146="NA"),"NA",IF(H146="NA",'Res-Rec Equations'!$B$15*'Res-Rec Equations'!$B$16/J146,IF(J146="NA",'Res-Rec Equations'!$B$15*'Res-Rec Equations'!$B$16/(H146+I146),'Res-Rec Equations'!$B$15*'Res-Rec Equations'!$B$16/(H146+I146+J146))))</f>
        <v>NA</v>
      </c>
      <c r="M146" s="167" t="str">
        <f>IF(AND(H146="NA",I146="NA",K146="NA"),"NA",IF(H146="NA",'Res-Rec Equations'!$B$15*'Res-Rec Equations'!$B$16/K146,IF(K146="NA",'Res-Rec Equations'!$B$15*'Res-Rec Equations'!$B$16/(H146+I146),'Res-Rec Equations'!$B$15*'Res-Rec Equations'!$B$16/(H146+I146+K146))))</f>
        <v>NA</v>
      </c>
      <c r="N146" s="167" t="str">
        <f>IF(AND(L146="NA",M146="NA"),"NA",MAX(L146,M146))</f>
        <v>NA</v>
      </c>
      <c r="O146" s="371">
        <f>IF('Chemical Info'!L147="NA","NA",IF('Chemical Info'!E147="Yes",(('Res-Rec Equations'!$B$76*'Chemical Info'!AD147*'Res-Rec Equations'!$B$78*'Res-Rec Equations'!$B$79*'Res-Rec Equations'!$B$81)/('Res-Rec Equations'!$B$84*'Res-Rec Equations'!$B$85))/'Chemical Info'!L147,(('Res-Rec Equations'!$B$76*'Chemical Info'!AD147*'Res-Rec Equations'!$B$78*'Res-Rec Equations'!$B$79*'Res-Rec Equations'!$B$80)/('Res-Rec Equations'!$B$84*'Res-Rec Equations'!$B$85))/'Chemical Info'!L147))</f>
        <v>1.598173515981735E-3</v>
      </c>
      <c r="P146" s="166">
        <f>IF('Chemical Info'!L147="NA","NA", IF('Chemical Info'!E147="Yes",0,((('Res-Rec Equations'!$B$87*'Res-Rec Equations'!$B$88*'Res-Rec Equations'!$B$78*'Res-Rec Equations'!$B$82*'Res-Rec Equations'!$B$79*'Chemical Info'!AB147)/('Res-Rec Equations'!$B$84*'Res-Rec Equations'!$B$85))/('Chemical Info'!L147*'Chemical Info'!AF147))))</f>
        <v>2.7089041095890409E-4</v>
      </c>
      <c r="Q146" s="166" t="str">
        <f>IF('Chemical Info'!N147="NA","NA",IF('Res-Rec Calculations'!E146="NA",(('Res-Rec Equations'!$B$83*'Res-Rec Equations'!$B$79*'Res-Rec Calculations'!C146)/('Res-Rec Equations'!$B$85))/('Chemical Info'!N147),IF('Chemical Info'!E147="Yes",(('Res-Rec Equations'!$B$83*'Res-Rec Equations'!$B$79*'Res-Rec Calculations'!E146)/('Res-Rec Equations'!$B$85))/('Chemical Info'!N147),(('Res-Rec Equations'!$B$83*'Res-Rec Equations'!$B$79*('Res-Rec Calculations'!C146+'Res-Rec Calculations'!E146))/('Res-Rec Equations'!$B$85))/('Chemical Info'!N147))))</f>
        <v>NA</v>
      </c>
      <c r="R146" s="166" t="str">
        <f>IF('Chemical Info'!N147="NA","NA",IF('Res-Rec Calculations'!F146="NA",(('Res-Rec Equations'!$B$83*'Res-Rec Equations'!$B$79*'Res-Rec Calculations'!C146)/('Res-Rec Equations'!$B$85))/('Chemical Info'!N147),IF('Chemical Info'!E147="Yes",(('Res-Rec Equations'!$B$83*'Res-Rec Equations'!$B$79*'Res-Rec Calculations'!F146)/('Res-Rec Equations'!$B$85))/('Chemical Info'!N147),(('Res-Rec Equations'!$B$83*'Res-Rec Equations'!$B$79*('Res-Rec Calculations'!C146+'Res-Rec Calculations'!F146))/('Res-Rec Equations'!$B$85))/('Chemical Info'!N147))))</f>
        <v>NA</v>
      </c>
      <c r="S146" s="167">
        <f>IF(AND(O146="NA",P146="NA",Q146="NA"),"NA",IF(O146="NA",'Res-Rec Equations'!$B$75/Q146,IF(Q146="NA",'Res-Rec Equations'!$B$75/(O146+P146),'Res-Rec Equations'!$B$75/(O146+P146+Q146))))</f>
        <v>107.0054357784157</v>
      </c>
      <c r="T146" s="167">
        <f>IF(AND(O146="NA",P146="NA",R146="NA"),"NA",IF(O146="NA",'Res-Rec Equations'!$B$75/R146,IF(R146="NA",'Res-Rec Equations'!$B$75/(O146+P146),'Res-Rec Equations'!$B$75/(O146+P146+R146))))</f>
        <v>107.0054357784157</v>
      </c>
      <c r="U146" s="168">
        <f>IF(AND(S146="NA",T146="NA"),"NA",MAX(S146,T146))</f>
        <v>107.0054357784157</v>
      </c>
      <c r="V146" s="167" t="str">
        <f>IF('Chemical Info'!P147="NA","NA",(('Res-Rec Equations'!$B$185*'Res-Rec Equations'!$B$186)/('Res-Rec Equations'!$B$187*'Res-Rec Equations'!$B$188*(1/'Chemical Info'!P147))))</f>
        <v>NA</v>
      </c>
      <c r="W146" s="379" t="str">
        <f t="shared" si="124"/>
        <v>NA</v>
      </c>
      <c r="X146" s="372">
        <f t="shared" si="125"/>
        <v>107.0054357784157</v>
      </c>
      <c r="Y146" s="62">
        <f t="shared" si="126"/>
        <v>110</v>
      </c>
      <c r="Z146" s="100" t="str">
        <f t="shared" si="127"/>
        <v>Noncancer</v>
      </c>
      <c r="AA146" s="373"/>
    </row>
    <row r="147" spans="1:28">
      <c r="A147" s="413" t="s">
        <v>143</v>
      </c>
      <c r="B147" s="566" t="s">
        <v>60</v>
      </c>
      <c r="C147" s="367">
        <f>1/(('Res-Rec Equations'!$B$152*3600)/((0.036*(1-'Res-Rec Equations'!$B$153))*('Res-Rec Equations'!$B$154/'Res-Rec Equations'!$B$155)^3*'Res-Rec Equations'!$B$156))</f>
        <v>7.3567680901159717E-10</v>
      </c>
      <c r="D147" s="368">
        <f>(('Res-Rec Equations'!$B$132^(10/3)*'Chemical Info'!$AH148*'Chemical Info'!$AN148*41+'Res-Rec Equations'!$B$135^(10/3)*'Chemical Info'!$AJ148)/'Res-Rec Equations'!$B$137^2)/('Res-Rec Equations'!$B$139*'Chemical Info'!$AL148*'Res-Rec Equations'!$B$142+'Res-Rec Equations'!$B$135+'Res-Rec Equations'!$B$132*'Chemical Info'!$AN148*41)</f>
        <v>3.8926899436967005E-7</v>
      </c>
      <c r="E147" s="368">
        <f>IF(D147=0,"NA",1/(('Res-Rec Equations'!$B$103*(3.14*'Res-Rec Calculations'!$D147*'Res-Rec Equations'!$B$105)^(1/2)*0.0001)/(2*'Res-Rec Equations'!$B$106*'Res-Rec Calculations'!$D147)))</f>
        <v>3.6622964029640886E-6</v>
      </c>
      <c r="F147" s="368">
        <f>IF(D147=0,"NA",(1/('Res-Rec Equations'!$B$117*('Res-Rec Equations'!$B$118*(31500000))/('Res-Rec Equations'!$B$119*'Res-Rec Equations'!$B$120*1000000))))</f>
        <v>6.1914410640015851E-5</v>
      </c>
      <c r="G147" s="167" t="str">
        <f>IF('Chemical Info'!E148="Yes",('Chemical Info'!AP148/'Res-Rec Equations'!$B$168)*((('Chemical Info'!AL148*'Res-Rec Equations'!$B$170)*'Res-Rec Equations'!$B$168)+'Res-Rec Equations'!$B$171+('Chemical Info'!AN148*41)*'Res-Rec Equations'!$B$173),"NA")</f>
        <v>NA</v>
      </c>
      <c r="H147" s="112">
        <f>IF('Chemical Info'!H148="NA","NA",IF(AND('Chemical Info'!E148="Yes",'Chemical Info'!D148="Yes"),'Chemical Info'!H148*'Chemical Info'!AD148*'Res-Rec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Info'!E148="Yes",'Chemical Info'!D148=""),'Chemical Info'!H148*'Chemical Info'!AD148*'Res-Rec Equations'!$B$20*'Res-Rec Equations'!$B$23*((('Res-Rec Equations'!$B$26*'Res-Rec Equations'!$B$29)/'Res-Rec Equations'!$B$32)+(('Res-Rec Equations'!$B$27*'Res-Rec Equations'!$B$30)/'Res-Rec Equations'!$B$33)+(('Res-Rec Equations'!$B$28*'Res-Rec Equations'!$B$31)/'Res-Rec Equations'!$B$34)),IF(AND('Chemical Info'!E148="No",'Chemical Info'!D148="Yes"),'Chemical Info'!H148*'Chemical Info'!AD148*'Res-Rec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Info'!E148="No",'Chemical Info'!D148=""),'Chemical Info'!H148*'Chemical Info'!AD148*'Res-Rec Equations'!$B$19*'Res-Rec Equations'!$B$23*((('Res-Rec Equations'!$B$26*'Res-Rec Equations'!$B$29)/'Res-Rec Equations'!$B$32)+(('Res-Rec Equations'!$B$27*'Res-Rec Equations'!$B$30)/'Res-Rec Equations'!$B$33)+(('Res-Rec Equations'!$B$28*'Res-Rec Equations'!$B$31)/'Res-Rec Equations'!$B$34)))))))</f>
        <v>0.31564224751066855</v>
      </c>
      <c r="I147" s="166">
        <f>IF('Chemical Info'!H148="NA","NA",IF('Chemical Info'!E148="Yes",0,IF('Chemical Info'!D148="Yes",'Chemical Info'!H148/'Chemical Info'!AF148*('Res-Rec Equations'!$B$21*'Chemical Info'!AB148*'Res-Rec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Info'!H148/'Chemical Info'!AF148*('Res-Rec Equations'!$B$21*'Chemical Info'!AB148*'Res-Rec Equations'!$B$23)*((('Res-Rec Equations'!$B$26*'Res-Rec Equations'!$B$37*'Res-Rec Equations'!$B$40)/'Res-Rec Equations'!$B$32)+(('Res-Rec Equations'!$B$27*'Res-Rec Equations'!$B$38*'Res-Rec Equations'!$B$41)/'Res-Rec Equations'!$B$33)+(('Res-Rec Equations'!$B$28*'Res-Rec Equations'!$B$39*'Res-Rec Equations'!$B$42)/'Res-Rec Equations'!$B$34)))))</f>
        <v>7.6986845128022757E-2</v>
      </c>
      <c r="J147" s="369">
        <f>IF('Chemical Info'!J148="NA","NA",IF(AND(E147="NA",'Chemical Info'!D148="Yes"),'Res-Rec Equations'!$B$22*1000*(('Res-Rec Equations'!$B$26*'Chemical Info'!J148*'Res-Rec Equations'!$B$59)+('Res-Rec Equations'!$B$27*'Chemical Info'!J148*'Res-Rec Equations'!$B$60)+('Res-Rec Equations'!$B$28*'Chemical Info'!J148*'Res-Rec Equations'!$B$61))*'Res-Rec Calculations'!C147,IF(AND(E147="NA",'Chemical Info'!D148=""),'Res-Rec Equations'!$B$22*1000*'Res-Rec Equations'!$B$25*'Chemical Info'!J148*'Res-Rec Calculations'!C147,IF(AND('Chemical Info'!E148="Yes",'Chemical Info'!D148="Yes"),'Res-Rec Equations'!$B$22*1000*(('Res-Rec Equations'!$B$26*'Chemical Info'!J148*'Res-Rec Equations'!$B$59)+('Res-Rec Equations'!$B$27*'Chemical Info'!J148*'Res-Rec Equations'!$B$60)+('Res-Rec Equations'!$B$28*'Chemical Info'!J148*'Res-Rec Equations'!$B$61))*'Res-Rec Calculations'!E147,IF(AND('Chemical Info'!E148="Yes",'Chemical Info'!D148=""),'Res-Rec Equations'!$B$22*1000*'Res-Rec Equations'!$B$25*'Chemical Info'!J148*'Res-Rec Calculations'!E147,IF('Chemical Info'!D148="Yes",'Res-Rec Equations'!$B$22*1000*(('Res-Rec Equations'!$B$26*'Chemical Info'!J148*'Res-Rec Equations'!$B$59)+('Res-Rec Equations'!$B$27*'Chemical Info'!J148*'Res-Rec Equations'!$B$60)+('Res-Rec Equations'!$B$28*'Chemical Info'!J148*'Res-Rec Equations'!$B$61))*('Res-Rec Calculations'!C147+'Res-Rec Calculations'!E147),IF('Chemical Info'!D148="",'Res-Rec Equations'!$B$22*1000*'Res-Rec Equations'!$B$25*'Chemical Info'!J148*('Res-Rec Calculations'!C147+'Res-Rec Calculations'!E147))))))))</f>
        <v>4.7619417037050298E-2</v>
      </c>
      <c r="K147" s="370">
        <f>IF('Chemical Info'!J148="NA","NA",IF(AND(F147="NA",'Chemical Info'!D148="Yes"),'Res-Rec Equations'!$B$22*1000*(('Res-Rec Equations'!$B$26*'Chemical Info'!J148*'Res-Rec Equations'!$B$59)+('Res-Rec Equations'!$B$27*'Chemical Info'!J148*'Res-Rec Equations'!$B$60)+('Res-Rec Equations'!$B$28*'Chemical Info'!J148*'Res-Rec Equations'!$B$61))*'Res-Rec Calculations'!C147,IF(AND(F147="NA",'Chemical Info'!D148=""),'Res-Rec Equations'!$B$22*1000*'Res-Rec Equations'!$B$25*'Chemical Info'!J148*'Res-Rec Calculations'!C147,IF(AND('Chemical Info'!F148="Yes",'Chemical Info'!D148="Yes"),'Res-Rec Equations'!$B$22*1000*(('Res-Rec Equations'!$B$26*'Chemical Info'!J148*'Res-Rec Equations'!$B$59)+('Res-Rec Equations'!$B$27*'Chemical Info'!J148*'Res-Rec Equations'!$B$60)+('Res-Rec Equations'!$B$28*'Chemical Info'!J148*'Res-Rec Equations'!$B$61))*'Res-Rec Calculations'!F147,IF(AND('Chemical Info'!F148="Yes",'Chemical Info'!D148=""),'Res-Rec Equations'!$B$22*1000*'Res-Rec Equations'!$B$25*'Chemical Info'!J148*'Res-Rec Calculations'!F147,IF('Chemical Info'!D148="Yes",'Res-Rec Equations'!$B$22*1000*(('Res-Rec Equations'!$B$26*'Chemical Info'!J148*'Res-Rec Equations'!$B$59)+('Res-Rec Equations'!$B$27*'Chemical Info'!J148*'Res-Rec Equations'!$B$60)+('Res-Rec Equations'!$B$28*'Chemical Info'!J148*'Res-Rec Equations'!$B$61))*('Res-Rec Calculations'!C147+'Res-Rec Calculations'!F147),IF('Chemical Info'!D148="",'Res-Rec Equations'!$B$22*1000*'Res-Rec Equations'!$B$25*'Chemical Info'!J148*('Res-Rec Calculations'!C147+'Res-Rec Calculations'!F147))))))))</f>
        <v>0.80489690211872322</v>
      </c>
      <c r="L147" s="167">
        <f>IF(AND(H147="NA",I147="NA",J147="NA"),"NA",IF(H147="NA",'Res-Rec Equations'!$B$15*'Res-Rec Equations'!$B$16/J147,IF(J147="NA",'Res-Rec Equations'!$B$15*'Res-Rec Equations'!$B$16/(H147+I147),'Res-Rec Equations'!$B$15*'Res-Rec Equations'!$B$16/(H147+I147+J147))))</f>
        <v>0.58035403728722368</v>
      </c>
      <c r="M147" s="167">
        <f>IF(AND(H147="NA",I147="NA",K147="NA"),"NA",IF(H147="NA",'Res-Rec Equations'!$B$15*'Res-Rec Equations'!$B$16/K147,IF(K147="NA",'Res-Rec Equations'!$B$15*'Res-Rec Equations'!$B$16/(H147+I147),'Res-Rec Equations'!$B$15*'Res-Rec Equations'!$B$16/(H147+I147+K147))))</f>
        <v>0.21335653766059351</v>
      </c>
      <c r="N147" s="167">
        <f t="shared" si="122"/>
        <v>0.58035403728722368</v>
      </c>
      <c r="O147" s="371" t="str">
        <f>IF('Chemical Info'!L148="NA","NA",IF('Chemical Info'!E148="Yes",(('Res-Rec Equations'!$B$76*'Chemical Info'!AD148*'Res-Rec Equations'!$B$78*'Res-Rec Equations'!$B$79*'Res-Rec Equations'!$B$81)/('Res-Rec Equations'!$B$84*'Res-Rec Equations'!$B$85))/'Chemical Info'!L148,(('Res-Rec Equations'!$B$76*'Chemical Info'!AD148*'Res-Rec Equations'!$B$78*'Res-Rec Equations'!$B$79*'Res-Rec Equations'!$B$80)/('Res-Rec Equations'!$B$84*'Res-Rec Equations'!$B$85))/'Chemical Info'!L148))</f>
        <v>NA</v>
      </c>
      <c r="P147" s="166" t="str">
        <f>IF('Chemical Info'!L148="NA","NA", IF('Chemical Info'!E148="Yes",0,((('Res-Rec Equations'!$B$87*'Res-Rec Equations'!$B$88*'Res-Rec Equations'!$B$78*'Res-Rec Equations'!$B$82*'Res-Rec Equations'!$B$79*'Chemical Info'!AB148)/('Res-Rec Equations'!$B$84*'Res-Rec Equations'!$B$85))/('Chemical Info'!L148*'Chemical Info'!AF148))))</f>
        <v>NA</v>
      </c>
      <c r="Q147" s="166" t="str">
        <f>IF('Chemical Info'!N148="NA","NA",IF('Res-Rec Calculations'!E147="NA",(('Res-Rec Equations'!$B$83*'Res-Rec Equations'!$B$79*'Res-Rec Calculations'!C147)/('Res-Rec Equations'!$B$85))/('Chemical Info'!N148),IF('Chemical Info'!E148="Yes",(('Res-Rec Equations'!$B$83*'Res-Rec Equations'!$B$79*'Res-Rec Calculations'!E147)/('Res-Rec Equations'!$B$85))/('Chemical Info'!N148),(('Res-Rec Equations'!$B$83*'Res-Rec Equations'!$B$79*('Res-Rec Calculations'!C147+'Res-Rec Calculations'!E147))/('Res-Rec Equations'!$B$85))/('Chemical Info'!N148))))</f>
        <v>NA</v>
      </c>
      <c r="R147" s="166" t="str">
        <f>IF('Chemical Info'!N148="NA","NA",IF('Res-Rec Calculations'!F147="NA",(('Res-Rec Equations'!$B$83*'Res-Rec Equations'!$B$79*'Res-Rec Calculations'!C147)/('Res-Rec Equations'!$B$85))/('Chemical Info'!N148),IF('Chemical Info'!E148="Yes",(('Res-Rec Equations'!$B$83*'Res-Rec Equations'!$B$79*'Res-Rec Calculations'!F147)/('Res-Rec Equations'!$B$85))/('Chemical Info'!N148),(('Res-Rec Equations'!$B$83*'Res-Rec Equations'!$B$79*('Res-Rec Calculations'!C147+'Res-Rec Calculations'!F147))/('Res-Rec Equations'!$B$85))/('Chemical Info'!N148))))</f>
        <v>NA</v>
      </c>
      <c r="S147" s="167" t="str">
        <f>IF(AND(O147="NA",P147="NA",Q147="NA"),"NA",IF(O147="NA",'Res-Rec Equations'!$B$75/Q147,IF(Q147="NA",'Res-Rec Equations'!$B$75/(O147+P147),'Res-Rec Equations'!$B$75/(O147+P147+Q147))))</f>
        <v>NA</v>
      </c>
      <c r="T147" s="167" t="str">
        <f>IF(AND(O147="NA",P147="NA",R147="NA"),"NA",IF(O147="NA",'Res-Rec Equations'!$B$75/R147,IF(R147="NA",'Res-Rec Equations'!$B$75/(O147+P147),'Res-Rec Equations'!$B$75/(O147+P147+R147))))</f>
        <v>NA</v>
      </c>
      <c r="U147" s="168" t="str">
        <f t="shared" si="123"/>
        <v>NA</v>
      </c>
      <c r="V147" s="167" t="str">
        <f>IF('Chemical Info'!P148="NA","NA",(('Res-Rec Equations'!$B$185*'Res-Rec Equations'!$B$186)/('Res-Rec Equations'!$B$187*'Res-Rec Equations'!$B$188*(1/'Chemical Info'!P148))))</f>
        <v>NA</v>
      </c>
      <c r="W147" s="379" t="str">
        <f t="shared" si="124"/>
        <v>NA</v>
      </c>
      <c r="X147" s="372">
        <f t="shared" si="125"/>
        <v>0.58035403728722368</v>
      </c>
      <c r="Y147" s="62">
        <f t="shared" si="126"/>
        <v>0.57999999999999996</v>
      </c>
      <c r="Z147" s="100" t="str">
        <f t="shared" si="127"/>
        <v>Cancer</v>
      </c>
      <c r="AA147" s="373"/>
    </row>
    <row r="148" spans="1:28">
      <c r="A148" s="413" t="s">
        <v>1137</v>
      </c>
      <c r="B148" s="566" t="s">
        <v>1138</v>
      </c>
      <c r="C148" s="367">
        <f>1/(('Res-Rec Equations'!$B$152*3600)/((0.036*(1-'Res-Rec Equations'!$B$153))*('Res-Rec Equations'!$B$154/'Res-Rec Equations'!$B$155)^3*'Res-Rec Equations'!$B$156))</f>
        <v>7.3567680901159717E-10</v>
      </c>
      <c r="D148" s="368">
        <f>(('Res-Rec Equations'!$B$132^(10/3)*'Chemical Info'!$AH149*'Chemical Info'!$AN149*41+'Res-Rec Equations'!$B$135^(10/3)*'Chemical Info'!$AJ149)/'Res-Rec Equations'!$B$137^2)/('Res-Rec Equations'!$B$139*'Chemical Info'!$AL149*'Res-Rec Equations'!$B$142+'Res-Rec Equations'!$B$135+'Res-Rec Equations'!$B$132*'Chemical Info'!$AN149*41)</f>
        <v>1.0319461980777535E-6</v>
      </c>
      <c r="E148" s="368">
        <f>IF(D148=0,"NA",1/(('Res-Rec Equations'!$B$103*(3.14*'Res-Rec Calculations'!$D148*'Res-Rec Equations'!$B$105)^(1/2)*0.0001)/(2*'Res-Rec Equations'!$B$106*'Res-Rec Calculations'!$D148)))</f>
        <v>5.9628943073749187E-6</v>
      </c>
      <c r="F148" s="368">
        <f>IF(D148=0,"NA",(1/('Res-Rec Equations'!$B$117*('Res-Rec Equations'!$B$118*(31500000))/('Res-Rec Equations'!$B$119*'Res-Rec Equations'!$B$120*1000000))))</f>
        <v>6.1914410640015851E-5</v>
      </c>
      <c r="G148" s="167" t="str">
        <f>IF('Chemical Info'!E149="Yes",('Chemical Info'!AP149/'Res-Rec Equations'!$B$168)*((('Chemical Info'!AL149*'Res-Rec Equations'!$B$170)*'Res-Rec Equations'!$B$168)+'Res-Rec Equations'!$B$171+('Chemical Info'!AN149*41)*'Res-Rec Equations'!$B$173),"NA")</f>
        <v>NA</v>
      </c>
      <c r="H148" s="112">
        <f>IF('Chemical Info'!H149="NA","NA",IF(AND('Chemical Info'!E149="Yes",'Chemical Info'!D149="Yes"),'Chemical Info'!H149*'Chemical Info'!AD149*'Res-Rec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Info'!E149="Yes",'Chemical Info'!D149=""),'Chemical Info'!H149*'Chemical Info'!AD149*'Res-Rec Equations'!$B$20*'Res-Rec Equations'!$B$23*((('Res-Rec Equations'!$B$26*'Res-Rec Equations'!$B$29)/'Res-Rec Equations'!$B$32)+(('Res-Rec Equations'!$B$27*'Res-Rec Equations'!$B$30)/'Res-Rec Equations'!$B$33)+(('Res-Rec Equations'!$B$28*'Res-Rec Equations'!$B$31)/'Res-Rec Equations'!$B$34)),IF(AND('Chemical Info'!E149="No",'Chemical Info'!D149="Yes"),'Chemical Info'!H149*'Chemical Info'!AD149*'Res-Rec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Info'!E149="No",'Chemical Info'!D149=""),'Chemical Info'!H149*'Chemical Info'!AD149*'Res-Rec Equations'!$B$19*'Res-Rec Equations'!$B$23*((('Res-Rec Equations'!$B$26*'Res-Rec Equations'!$B$29)/'Res-Rec Equations'!$B$32)+(('Res-Rec Equations'!$B$27*'Res-Rec Equations'!$B$30)/'Res-Rec Equations'!$B$33)+(('Res-Rec Equations'!$B$28*'Res-Rec Equations'!$B$31)/'Res-Rec Equations'!$B$34)))))))</f>
        <v>33.609708392603132</v>
      </c>
      <c r="I148" s="166">
        <f>IF('Chemical Info'!H149="NA","NA",IF('Chemical Info'!E149="Yes",0,IF('Chemical Info'!D149="Yes",'Chemical Info'!H149/'Chemical Info'!AF149*('Res-Rec Equations'!$B$21*'Chemical Info'!AB149*'Res-Rec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Info'!H149/'Chemical Info'!AF149*('Res-Rec Equations'!$B$21*'Chemical Info'!AB149*'Res-Rec Equations'!$B$23)*((('Res-Rec Equations'!$B$26*'Res-Rec Equations'!$B$37*'Res-Rec Equations'!$B$40)/'Res-Rec Equations'!$B$32)+(('Res-Rec Equations'!$B$27*'Res-Rec Equations'!$B$38*'Res-Rec Equations'!$B$41)/'Res-Rec Equations'!$B$33)+(('Res-Rec Equations'!$B$28*'Res-Rec Equations'!$B$39*'Res-Rec Equations'!$B$42)/'Res-Rec Equations'!$B$34)))))</f>
        <v>6.6194694612375535</v>
      </c>
      <c r="J148" s="369">
        <f>IF('Chemical Info'!J149="NA","NA",IF(AND(E148="NA",'Chemical Info'!D149="Yes"),'Res-Rec Equations'!$B$22*1000*(('Res-Rec Equations'!$B$26*'Chemical Info'!J149*'Res-Rec Equations'!$B$59)+('Res-Rec Equations'!$B$27*'Chemical Info'!J149*'Res-Rec Equations'!$B$60)+('Res-Rec Equations'!$B$28*'Chemical Info'!J149*'Res-Rec Equations'!$B$61))*'Res-Rec Calculations'!C148,IF(AND(E148="NA",'Chemical Info'!D149=""),'Res-Rec Equations'!$B$22*1000*'Res-Rec Equations'!$B$25*'Chemical Info'!J149*'Res-Rec Calculations'!C148,IF(AND('Chemical Info'!E149="Yes",'Chemical Info'!D149="Yes"),'Res-Rec Equations'!$B$22*1000*(('Res-Rec Equations'!$B$26*'Chemical Info'!J149*'Res-Rec Equations'!$B$59)+('Res-Rec Equations'!$B$27*'Chemical Info'!J149*'Res-Rec Equations'!$B$60)+('Res-Rec Equations'!$B$28*'Chemical Info'!J149*'Res-Rec Equations'!$B$61))*'Res-Rec Calculations'!E148,IF(AND('Chemical Info'!E149="Yes",'Chemical Info'!D149=""),'Res-Rec Equations'!$B$22*1000*'Res-Rec Equations'!$B$25*'Chemical Info'!J149*'Res-Rec Calculations'!E148,IF('Chemical Info'!D149="Yes",'Res-Rec Equations'!$B$22*1000*(('Res-Rec Equations'!$B$26*'Chemical Info'!J149*'Res-Rec Equations'!$B$59)+('Res-Rec Equations'!$B$27*'Chemical Info'!J149*'Res-Rec Equations'!$B$60)+('Res-Rec Equations'!$B$28*'Chemical Info'!J149*'Res-Rec Equations'!$B$61))*('Res-Rec Calculations'!C148+'Res-Rec Calculations'!E148),IF('Chemical Info'!D149="",'Res-Rec Equations'!$B$22*1000*'Res-Rec Equations'!$B$25*'Chemical Info'!J149*('Res-Rec Calculations'!C148+'Res-Rec Calculations'!E148))))))))</f>
        <v>4.6158496077583617</v>
      </c>
      <c r="K148" s="370">
        <f>IF('Chemical Info'!J149="NA","NA",IF(AND(F148="NA",'Chemical Info'!D149="Yes"),'Res-Rec Equations'!$B$22*1000*(('Res-Rec Equations'!$B$26*'Chemical Info'!J149*'Res-Rec Equations'!$B$59)+('Res-Rec Equations'!$B$27*'Chemical Info'!J149*'Res-Rec Equations'!$B$60)+('Res-Rec Equations'!$B$28*'Chemical Info'!J149*'Res-Rec Equations'!$B$61))*'Res-Rec Calculations'!C148,IF(AND(F148="NA",'Chemical Info'!D149=""),'Res-Rec Equations'!$B$22*1000*'Res-Rec Equations'!$B$25*'Chemical Info'!J149*'Res-Rec Calculations'!C148,IF(AND('Chemical Info'!F149="Yes",'Chemical Info'!D149="Yes"),'Res-Rec Equations'!$B$22*1000*(('Res-Rec Equations'!$B$26*'Chemical Info'!J149*'Res-Rec Equations'!$B$59)+('Res-Rec Equations'!$B$27*'Chemical Info'!J149*'Res-Rec Equations'!$B$60)+('Res-Rec Equations'!$B$28*'Chemical Info'!J149*'Res-Rec Equations'!$B$61))*'Res-Rec Calculations'!F148,IF(AND('Chemical Info'!F149="Yes",'Chemical Info'!D149=""),'Res-Rec Equations'!$B$22*1000*'Res-Rec Equations'!$B$25*'Chemical Info'!J149*'Res-Rec Calculations'!F148,IF('Chemical Info'!D149="Yes",'Res-Rec Equations'!$B$22*1000*(('Res-Rec Equations'!$B$26*'Chemical Info'!J149*'Res-Rec Equations'!$B$59)+('Res-Rec Equations'!$B$27*'Chemical Info'!J149*'Res-Rec Equations'!$B$60)+('Res-Rec Equations'!$B$28*'Chemical Info'!J149*'Res-Rec Equations'!$B$61))*('Res-Rec Calculations'!C148+'Res-Rec Calculations'!F148),IF('Chemical Info'!D149="",'Res-Rec Equations'!$B$22*1000*'Res-Rec Equations'!$B$25*'Chemical Info'!J149*('Res-Rec Calculations'!C148+'Res-Rec Calculations'!F148))))))))</f>
        <v>47.922323249222444</v>
      </c>
      <c r="L148" s="167">
        <f>IF(AND(H148="NA",I148="NA",J148="NA"),"NA",IF(H148="NA",'Res-Rec Equations'!$B$15*'Res-Rec Equations'!$B$16/J148,IF(J148="NA",'Res-Rec Equations'!$B$15*'Res-Rec Equations'!$B$16/(H148+I148),'Res-Rec Equations'!$B$15*'Res-Rec Equations'!$B$16/(H148+I148+J148))))</f>
        <v>5.6973986741068574E-3</v>
      </c>
      <c r="M148" s="167">
        <f>IF(AND(H148="NA",I148="NA",K148="NA"),"NA",IF(H148="NA",'Res-Rec Equations'!$B$15*'Res-Rec Equations'!$B$16/K148,IF(K148="NA",'Res-Rec Equations'!$B$15*'Res-Rec Equations'!$B$16/(H148+I148),'Res-Rec Equations'!$B$15*'Res-Rec Equations'!$B$16/(H148+I148+K148))))</f>
        <v>2.8984191624970728E-3</v>
      </c>
      <c r="N148" s="167">
        <f t="shared" ref="N148" si="206">IF(AND(L148="NA",M148="NA"),"NA",MAX(L148,M148))</f>
        <v>5.6973986741068574E-3</v>
      </c>
      <c r="O148" s="371" t="str">
        <f>IF('Chemical Info'!L149="NA","NA",IF('Chemical Info'!E149="Yes",(('Res-Rec Equations'!$B$76*'Chemical Info'!AD149*'Res-Rec Equations'!$B$78*'Res-Rec Equations'!$B$79*'Res-Rec Equations'!$B$81)/('Res-Rec Equations'!$B$84*'Res-Rec Equations'!$B$85))/'Chemical Info'!L149,(('Res-Rec Equations'!$B$76*'Chemical Info'!AD149*'Res-Rec Equations'!$B$78*'Res-Rec Equations'!$B$79*'Res-Rec Equations'!$B$80)/('Res-Rec Equations'!$B$84*'Res-Rec Equations'!$B$85))/'Chemical Info'!L149))</f>
        <v>NA</v>
      </c>
      <c r="P148" s="166" t="str">
        <f>IF('Chemical Info'!L149="NA","NA", IF('Chemical Info'!E149="Yes",0,((('Res-Rec Equations'!$B$87*'Res-Rec Equations'!$B$88*'Res-Rec Equations'!$B$78*'Res-Rec Equations'!$B$82*'Res-Rec Equations'!$B$79*'Chemical Info'!AB149)/('Res-Rec Equations'!$B$84*'Res-Rec Equations'!$B$85))/('Chemical Info'!L149*'Chemical Info'!AF149))))</f>
        <v>NA</v>
      </c>
      <c r="Q148" s="166" t="str">
        <f>IF('Chemical Info'!N149="NA","NA",IF('Res-Rec Calculations'!E148="NA",(('Res-Rec Equations'!$B$83*'Res-Rec Equations'!$B$79*'Res-Rec Calculations'!C148)/('Res-Rec Equations'!$B$85))/('Chemical Info'!N149),IF('Chemical Info'!E149="Yes",(('Res-Rec Equations'!$B$83*'Res-Rec Equations'!$B$79*'Res-Rec Calculations'!E148)/('Res-Rec Equations'!$B$85))/('Chemical Info'!N149),(('Res-Rec Equations'!$B$83*'Res-Rec Equations'!$B$79*('Res-Rec Calculations'!C148+'Res-Rec Calculations'!E148))/('Res-Rec Equations'!$B$85))/('Chemical Info'!N149))))</f>
        <v>NA</v>
      </c>
      <c r="R148" s="166" t="str">
        <f>IF('Chemical Info'!N149="NA","NA",IF('Res-Rec Calculations'!F148="NA",(('Res-Rec Equations'!$B$83*'Res-Rec Equations'!$B$79*'Res-Rec Calculations'!C148)/('Res-Rec Equations'!$B$85))/('Chemical Info'!N149),IF('Chemical Info'!E149="Yes",(('Res-Rec Equations'!$B$83*'Res-Rec Equations'!$B$79*'Res-Rec Calculations'!F148)/('Res-Rec Equations'!$B$85))/('Chemical Info'!N149),(('Res-Rec Equations'!$B$83*'Res-Rec Equations'!$B$79*('Res-Rec Calculations'!C148+'Res-Rec Calculations'!F148))/('Res-Rec Equations'!$B$85))/('Chemical Info'!N149))))</f>
        <v>NA</v>
      </c>
      <c r="S148" s="167" t="str">
        <f>IF(AND(O148="NA",P148="NA",Q148="NA"),"NA",IF(O148="NA",'Res-Rec Equations'!$B$75/Q148,IF(Q148="NA",'Res-Rec Equations'!$B$75/(O148+P148),'Res-Rec Equations'!$B$75/(O148+P148+Q148))))</f>
        <v>NA</v>
      </c>
      <c r="T148" s="167" t="str">
        <f>IF(AND(O148="NA",P148="NA",R148="NA"),"NA",IF(O148="NA",'Res-Rec Equations'!$B$75/R148,IF(R148="NA",'Res-Rec Equations'!$B$75/(O148+P148),'Res-Rec Equations'!$B$75/(O148+P148+R148))))</f>
        <v>NA</v>
      </c>
      <c r="U148" s="168" t="str">
        <f t="shared" ref="U148" si="207">IF(AND(S148="NA",T148="NA"),"NA",MAX(S148,T148))</f>
        <v>NA</v>
      </c>
      <c r="V148" s="167" t="str">
        <f>IF('Chemical Info'!P149="NA","NA",(('Res-Rec Equations'!$B$185*'Res-Rec Equations'!$B$186)/('Res-Rec Equations'!$B$187*'Res-Rec Equations'!$B$188*(1/'Chemical Info'!P149))))</f>
        <v>NA</v>
      </c>
      <c r="W148" s="379" t="str">
        <f t="shared" ref="W148" si="208">IF(V148="NA","NA",IF(V148&gt;100000,100000,IF(ISNUMBER(ROUND(V148*1000000,2-LEN(INT(V148*1000000)))/1000000),ROUND(V148*1000000,2-LEN(INT(V148*1000000)))/1000000,"NA")))</f>
        <v>NA</v>
      </c>
      <c r="X148" s="372">
        <f t="shared" ref="X148" si="209">IF(AND(N148="NA",U148="NA",G148="NA"),"NA",MIN(N148,U148,G148))</f>
        <v>5.6973986741068574E-3</v>
      </c>
      <c r="Y148" s="62">
        <f t="shared" ref="Y148" si="210">IF(X148&gt;100000,100000,IF(ISNUMBER(ROUND(X148*1000000,2-LEN(INT(X148*1000000)))/1000000),ROUND(X148*1000000,2-LEN(INT(X148*1000000)))/1000000,"NA"))</f>
        <v>5.7000000000000002E-3</v>
      </c>
      <c r="Z148" s="100" t="str">
        <f t="shared" ref="Z148" si="211">IF(Y148=100000,"Max Limit",IF(X148=G148,"Csat",IF(X148=N148,"Cancer",IF(X148=V148,"Acute",IF(X148=U148,"Noncancer","")))))</f>
        <v>Cancer</v>
      </c>
      <c r="AA148" s="373"/>
    </row>
    <row r="149" spans="1:28">
      <c r="A149" s="413" t="s">
        <v>1157</v>
      </c>
      <c r="B149" s="566" t="s">
        <v>1158</v>
      </c>
      <c r="C149" s="367">
        <f>1/(('Res-Rec Equations'!$B$152*3600)/((0.036*(1-'Res-Rec Equations'!$B$153))*('Res-Rec Equations'!$B$154/'Res-Rec Equations'!$B$155)^3*'Res-Rec Equations'!$B$156))</f>
        <v>7.3567680901159717E-10</v>
      </c>
      <c r="D149" s="368">
        <f>(('Res-Rec Equations'!$B$132^(10/3)*'Chemical Info'!$AH150*'Chemical Info'!$AN150*41+'Res-Rec Equations'!$B$135^(10/3)*'Chemical Info'!$AJ150)/'Res-Rec Equations'!$B$137^2)/('Res-Rec Equations'!$B$139*'Chemical Info'!$AL150*'Res-Rec Equations'!$B$142+'Res-Rec Equations'!$B$135+'Res-Rec Equations'!$B$132*'Chemical Info'!$AN150*41)</f>
        <v>1.2474952968284772E-6</v>
      </c>
      <c r="E149" s="368">
        <f>IF(D149=0,"NA",1/(('Res-Rec Equations'!$B$103*(3.14*'Res-Rec Calculations'!$D149*'Res-Rec Equations'!$B$105)^(1/2)*0.0001)/(2*'Res-Rec Equations'!$B$106*'Res-Rec Calculations'!$D149)))</f>
        <v>6.5561373339981678E-6</v>
      </c>
      <c r="F149" s="368">
        <f>IF(D149=0,"NA",(1/('Res-Rec Equations'!$B$117*('Res-Rec Equations'!$B$118*(31500000))/('Res-Rec Equations'!$B$119*'Res-Rec Equations'!$B$120*1000000))))</f>
        <v>6.1914410640015851E-5</v>
      </c>
      <c r="G149" s="167">
        <f>IF('Chemical Info'!E150="Yes",('Chemical Info'!AP150/'Res-Rec Equations'!$B$168)*((('Chemical Info'!AL150*'Res-Rec Equations'!$B$170)*'Res-Rec Equations'!$B$168)+'Res-Rec Equations'!$B$171+('Chemical Info'!AN150*41)*'Res-Rec Equations'!$B$173),"NA")</f>
        <v>236748.26560000001</v>
      </c>
      <c r="H149" s="112">
        <f>IF('Chemical Info'!H150="NA","NA",IF(AND('Chemical Info'!E150="Yes",'Chemical Info'!D150="Yes"),'Chemical Info'!H150*'Chemical Info'!AD150*'Res-Rec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Info'!E150="Yes",'Chemical Info'!D150=""),'Chemical Info'!H150*'Chemical Info'!AD150*'Res-Rec Equations'!$B$20*'Res-Rec Equations'!$B$23*((('Res-Rec Equations'!$B$26*'Res-Rec Equations'!$B$29)/'Res-Rec Equations'!$B$32)+(('Res-Rec Equations'!$B$27*'Res-Rec Equations'!$B$30)/'Res-Rec Equations'!$B$33)+(('Res-Rec Equations'!$B$28*'Res-Rec Equations'!$B$31)/'Res-Rec Equations'!$B$34)),IF(AND('Chemical Info'!E150="No",'Chemical Info'!D150="Yes"),'Chemical Info'!H150*'Chemical Info'!AD150*'Res-Rec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Info'!E150="No",'Chemical Info'!D150=""),'Chemical Info'!H150*'Chemical Info'!AD150*'Res-Rec Equations'!$B$19*'Res-Rec Equations'!$B$23*((('Res-Rec Equations'!$B$26*'Res-Rec Equations'!$B$29)/'Res-Rec Equations'!$B$32)+(('Res-Rec Equations'!$B$27*'Res-Rec Equations'!$B$30)/'Res-Rec Equations'!$B$33)+(('Res-Rec Equations'!$B$28*'Res-Rec Equations'!$B$31)/'Res-Rec Equations'!$B$34)))))))</f>
        <v>3.3609708392603128</v>
      </c>
      <c r="I149" s="166">
        <f>IF('Chemical Info'!H150="NA","NA",IF('Chemical Info'!E150="Yes",0,IF('Chemical Info'!D150="Yes",'Chemical Info'!H150/'Chemical Info'!AF150*('Res-Rec Equations'!$B$21*'Chemical Info'!AB150*'Res-Rec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Info'!H150/'Chemical Info'!AF150*('Res-Rec Equations'!$B$21*'Chemical Info'!AB150*'Res-Rec Equations'!$B$23)*((('Res-Rec Equations'!$B$26*'Res-Rec Equations'!$B$37*'Res-Rec Equations'!$B$40)/'Res-Rec Equations'!$B$32)+(('Res-Rec Equations'!$B$27*'Res-Rec Equations'!$B$38*'Res-Rec Equations'!$B$41)/'Res-Rec Equations'!$B$33)+(('Res-Rec Equations'!$B$28*'Res-Rec Equations'!$B$39*'Res-Rec Equations'!$B$42)/'Res-Rec Equations'!$B$34)))))</f>
        <v>0</v>
      </c>
      <c r="J149" s="369">
        <f>IF('Chemical Info'!J150="NA","NA",IF(AND(E149="NA",'Chemical Info'!D150="Yes"),'Res-Rec Equations'!$B$22*1000*(('Res-Rec Equations'!$B$26*'Chemical Info'!J150*'Res-Rec Equations'!$B$59)+('Res-Rec Equations'!$B$27*'Chemical Info'!J150*'Res-Rec Equations'!$B$60)+('Res-Rec Equations'!$B$28*'Chemical Info'!J150*'Res-Rec Equations'!$B$61))*'Res-Rec Calculations'!C149,IF(AND(E149="NA",'Chemical Info'!D150=""),'Res-Rec Equations'!$B$22*1000*'Res-Rec Equations'!$B$25*'Chemical Info'!J150*'Res-Rec Calculations'!C149,IF(AND('Chemical Info'!E150="Yes",'Chemical Info'!D150="Yes"),'Res-Rec Equations'!$B$22*1000*(('Res-Rec Equations'!$B$26*'Chemical Info'!J150*'Res-Rec Equations'!$B$59)+('Res-Rec Equations'!$B$27*'Chemical Info'!J150*'Res-Rec Equations'!$B$60)+('Res-Rec Equations'!$B$28*'Chemical Info'!J150*'Res-Rec Equations'!$B$61))*'Res-Rec Calculations'!E149,IF(AND('Chemical Info'!E150="Yes",'Chemical Info'!D150=""),'Res-Rec Equations'!$B$22*1000*'Res-Rec Equations'!$B$25*'Chemical Info'!J150*'Res-Rec Calculations'!E149,IF('Chemical Info'!D150="Yes",'Res-Rec Equations'!$B$22*1000*(('Res-Rec Equations'!$B$26*'Chemical Info'!J150*'Res-Rec Equations'!$B$59)+('Res-Rec Equations'!$B$27*'Chemical Info'!J150*'Res-Rec Equations'!$B$60)+('Res-Rec Equations'!$B$28*'Chemical Info'!J150*'Res-Rec Equations'!$B$61))*('Res-Rec Calculations'!C149+'Res-Rec Calculations'!E149),IF('Chemical Info'!D150="",'Res-Rec Equations'!$B$22*1000*'Res-Rec Equations'!$B$25*'Chemical Info'!J150*('Res-Rec Calculations'!C149+'Res-Rec Calculations'!E149))))))))</f>
        <v>1.6521466081675382</v>
      </c>
      <c r="K149" s="370">
        <f>IF('Chemical Info'!J150="NA","NA",IF(AND(F149="NA",'Chemical Info'!D150="Yes"),'Res-Rec Equations'!$B$22*1000*(('Res-Rec Equations'!$B$26*'Chemical Info'!J150*'Res-Rec Equations'!$B$59)+('Res-Rec Equations'!$B$27*'Chemical Info'!J150*'Res-Rec Equations'!$B$60)+('Res-Rec Equations'!$B$28*'Chemical Info'!J150*'Res-Rec Equations'!$B$61))*'Res-Rec Calculations'!C149,IF(AND(F149="NA",'Chemical Info'!D150=""),'Res-Rec Equations'!$B$22*1000*'Res-Rec Equations'!$B$25*'Chemical Info'!J150*'Res-Rec Calculations'!C149,IF(AND('Chemical Info'!F150="Yes",'Chemical Info'!D150="Yes"),'Res-Rec Equations'!$B$22*1000*(('Res-Rec Equations'!$B$26*'Chemical Info'!J150*'Res-Rec Equations'!$B$59)+('Res-Rec Equations'!$B$27*'Chemical Info'!J150*'Res-Rec Equations'!$B$60)+('Res-Rec Equations'!$B$28*'Chemical Info'!J150*'Res-Rec Equations'!$B$61))*'Res-Rec Calculations'!F149,IF(AND('Chemical Info'!F150="Yes",'Chemical Info'!D150=""),'Res-Rec Equations'!$B$22*1000*'Res-Rec Equations'!$B$25*'Chemical Info'!J150*'Res-Rec Calculations'!F149,IF('Chemical Info'!D150="Yes",'Res-Rec Equations'!$B$22*1000*(('Res-Rec Equations'!$B$26*'Chemical Info'!J150*'Res-Rec Equations'!$B$59)+('Res-Rec Equations'!$B$27*'Chemical Info'!J150*'Res-Rec Equations'!$B$60)+('Res-Rec Equations'!$B$28*'Chemical Info'!J150*'Res-Rec Equations'!$B$61))*('Res-Rec Calculations'!C149+'Res-Rec Calculations'!F149),IF('Chemical Info'!D150="",'Res-Rec Equations'!$B$22*1000*'Res-Rec Equations'!$B$25*'Chemical Info'!J150*('Res-Rec Calculations'!C149+'Res-Rec Calculations'!F149))))))))</f>
        <v>15.602616871839865</v>
      </c>
      <c r="L149" s="167">
        <f>IF(AND(H149="NA",I149="NA",J149="NA"),"NA",IF(H149="NA",'Res-Rec Equations'!$B$15*'Res-Rec Equations'!$B$16/J149,IF(J149="NA",'Res-Rec Equations'!$B$15*'Res-Rec Equations'!$B$16/(H149+I149),'Res-Rec Equations'!$B$15*'Res-Rec Equations'!$B$16/(H149+I149+J149))))</f>
        <v>5.0966290472826033E-2</v>
      </c>
      <c r="M149" s="167">
        <f>IF(AND(H149="NA",I149="NA",K149="NA"),"NA",IF(H149="NA",'Res-Rec Equations'!$B$15*'Res-Rec Equations'!$B$16/K149,IF(K149="NA",'Res-Rec Equations'!$B$15*'Res-Rec Equations'!$B$16/(H149+I149),'Res-Rec Equations'!$B$15*'Res-Rec Equations'!$B$16/(H149+I149+K149))))</f>
        <v>1.3473188928825172E-2</v>
      </c>
      <c r="N149" s="167">
        <f t="shared" ref="N149" si="212">IF(AND(L149="NA",M149="NA"),"NA",MAX(L149,M149))</f>
        <v>5.0966290472826033E-2</v>
      </c>
      <c r="O149" s="371">
        <f>IF('Chemical Info'!L150="NA","NA",IF('Chemical Info'!E150="Yes",(('Res-Rec Equations'!$B$76*'Chemical Info'!AD150*'Res-Rec Equations'!$B$78*'Res-Rec Equations'!$B$79*'Res-Rec Equations'!$B$81)/('Res-Rec Equations'!$B$84*'Res-Rec Equations'!$B$85))/'Chemical Info'!L150,(('Res-Rec Equations'!$B$76*'Chemical Info'!AD150*'Res-Rec Equations'!$B$78*'Res-Rec Equations'!$B$79*'Res-Rec Equations'!$B$80)/('Res-Rec Equations'!$B$84*'Res-Rec Equations'!$B$85))/'Chemical Info'!L150))</f>
        <v>1.1415525114155252</v>
      </c>
      <c r="P149" s="166">
        <f>IF('Chemical Info'!L150="NA","NA", IF('Chemical Info'!E150="Yes",0,((('Res-Rec Equations'!$B$87*'Res-Rec Equations'!$B$88*'Res-Rec Equations'!$B$78*'Res-Rec Equations'!$B$82*'Res-Rec Equations'!$B$79*'Chemical Info'!AB150)/('Res-Rec Equations'!$B$84*'Res-Rec Equations'!$B$85))/('Chemical Info'!L150*'Chemical Info'!AF150))))</f>
        <v>0</v>
      </c>
      <c r="Q149" s="166">
        <f>IF('Chemical Info'!N150="NA","NA",IF('Res-Rec Calculations'!E149="NA",(('Res-Rec Equations'!$B$83*'Res-Rec Equations'!$B$79*'Res-Rec Calculations'!C149)/('Res-Rec Equations'!$B$85))/('Chemical Info'!N150),IF('Chemical Info'!E150="Yes",(('Res-Rec Equations'!$B$83*'Res-Rec Equations'!$B$79*'Res-Rec Calculations'!E149)/('Res-Rec Equations'!$B$85))/('Chemical Info'!N150),(('Res-Rec Equations'!$B$83*'Res-Rec Equations'!$B$79*('Res-Rec Calculations'!C149+'Res-Rec Calculations'!E149))/('Res-Rec Equations'!$B$85))/('Chemical Info'!N150))))</f>
        <v>0.11226262558216039</v>
      </c>
      <c r="R149" s="166">
        <f>IF('Chemical Info'!N150="NA","NA",IF('Res-Rec Calculations'!F149="NA",(('Res-Rec Equations'!$B$83*'Res-Rec Equations'!$B$79*'Res-Rec Calculations'!C149)/('Res-Rec Equations'!$B$85))/('Chemical Info'!N150),IF('Chemical Info'!E150="Yes",(('Res-Rec Equations'!$B$83*'Res-Rec Equations'!$B$79*'Res-Rec Calculations'!F149)/('Res-Rec Equations'!$B$85))/('Chemical Info'!N150),(('Res-Rec Equations'!$B$83*'Res-Rec Equations'!$B$79*('Res-Rec Calculations'!C149+'Res-Rec Calculations'!F149))/('Res-Rec Equations'!$B$85))/('Chemical Info'!N150))))</f>
        <v>1.0601782643838329</v>
      </c>
      <c r="S149" s="167">
        <f>IF(AND(O149="NA",P149="NA",Q149="NA"),"NA",IF(O149="NA",'Res-Rec Equations'!$B$75/Q149,IF(Q149="NA",'Res-Rec Equations'!$B$75/(O149+P149),'Res-Rec Equations'!$B$75/(O149+P149+Q149))))</f>
        <v>0.15951314838877176</v>
      </c>
      <c r="T149" s="167">
        <f>IF(AND(O149="NA",P149="NA",R149="NA"),"NA",IF(O149="NA",'Res-Rec Equations'!$B$75/R149,IF(R149="NA",'Res-Rec Equations'!$B$75/(O149+P149),'Res-Rec Equations'!$B$75/(O149+P149+R149))))</f>
        <v>9.0837627469411292E-2</v>
      </c>
      <c r="U149" s="168">
        <f t="shared" ref="U149" si="213">IF(AND(S149="NA",T149="NA"),"NA",MAX(S149,T149))</f>
        <v>0.15951314838877176</v>
      </c>
      <c r="V149" s="167" t="str">
        <f>IF('Chemical Info'!P150="NA","NA",(('Res-Rec Equations'!$B$185*'Res-Rec Equations'!$B$186)/('Res-Rec Equations'!$B$187*'Res-Rec Equations'!$B$188*(1/'Chemical Info'!P150))))</f>
        <v>NA</v>
      </c>
      <c r="W149" s="379" t="str">
        <f t="shared" ref="W149" si="214">IF(V149="NA","NA",IF(V149&gt;100000,100000,IF(ISNUMBER(ROUND(V149*1000000,2-LEN(INT(V149*1000000)))/1000000),ROUND(V149*1000000,2-LEN(INT(V149*1000000)))/1000000,"NA")))</f>
        <v>NA</v>
      </c>
      <c r="X149" s="372">
        <f t="shared" ref="X149" si="215">IF(AND(N149="NA",U149="NA",G149="NA"),"NA",MIN(N149,U149,G149))</f>
        <v>5.0966290472826033E-2</v>
      </c>
      <c r="Y149" s="62">
        <f t="shared" ref="Y149" si="216">IF(X149&gt;100000,100000,IF(ISNUMBER(ROUND(X149*1000000,2-LEN(INT(X149*1000000)))/1000000),ROUND(X149*1000000,2-LEN(INT(X149*1000000)))/1000000,"NA"))</f>
        <v>5.0999999999999997E-2</v>
      </c>
      <c r="Z149" s="100" t="str">
        <f t="shared" ref="Z149" si="217">IF(Y149=100000,"Max Limit",IF(X149=G149,"Csat",IF(X149=N149,"Cancer",IF(X149=V149,"Acute",IF(X149=U149,"Noncancer","")))))</f>
        <v>Cancer</v>
      </c>
      <c r="AA149" s="373"/>
    </row>
    <row r="150" spans="1:28">
      <c r="A150" s="413" t="s">
        <v>1148</v>
      </c>
      <c r="B150" s="566" t="s">
        <v>142</v>
      </c>
      <c r="C150" s="367">
        <f>1/(('Res-Rec Equations'!$B$152*3600)/((0.036*(1-'Res-Rec Equations'!$B$153))*('Res-Rec Equations'!$B$154/'Res-Rec Equations'!$B$155)^3*'Res-Rec Equations'!$B$156))</f>
        <v>7.3567680901159717E-10</v>
      </c>
      <c r="D150" s="368">
        <f>(('Res-Rec Equations'!$B$132^(10/3)*'Chemical Info'!$AH151*'Chemical Info'!$AN151*41+'Res-Rec Equations'!$B$135^(10/3)*'Chemical Info'!$AJ151)/'Res-Rec Equations'!$B$137^2)/('Res-Rec Equations'!$B$139*'Chemical Info'!$AL151*'Res-Rec Equations'!$B$142+'Res-Rec Equations'!$B$135+'Res-Rec Equations'!$B$132*'Chemical Info'!$AN151*41)</f>
        <v>1.1477818293883367E-8</v>
      </c>
      <c r="E150" s="368">
        <f>IF(D150=0,"NA",1/(('Res-Rec Equations'!$B$103*(3.14*'Res-Rec Calculations'!$D150*'Res-Rec Equations'!$B$105)^(1/2)*0.0001)/(2*'Res-Rec Equations'!$B$106*'Res-Rec Calculations'!$D150)))</f>
        <v>6.2886620478427579E-7</v>
      </c>
      <c r="F150" s="368">
        <f>IF(D150=0,"NA",(1/('Res-Rec Equations'!$B$117*('Res-Rec Equations'!$B$118*(31500000))/('Res-Rec Equations'!$B$119*'Res-Rec Equations'!$B$120*1000000))))</f>
        <v>6.1914410640015851E-5</v>
      </c>
      <c r="G150" s="167" t="str">
        <f>IF('Chemical Info'!E151="Yes",('Chemical Info'!AP151/'Res-Rec Equations'!$B$168)*((('Chemical Info'!AL151*'Res-Rec Equations'!$B$170)*'Res-Rec Equations'!$B$168)+'Res-Rec Equations'!$B$171+('Chemical Info'!AN151*41)*'Res-Rec Equations'!$B$173),"NA")</f>
        <v>NA</v>
      </c>
      <c r="H150" s="112">
        <f>IF('Chemical Info'!H151="NA","NA",IF(AND('Chemical Info'!E151="Yes",'Chemical Info'!D151="Yes"),'Chemical Info'!H151*'Chemical Info'!AD151*'Res-Rec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Info'!E151="Yes",'Chemical Info'!D151=""),'Chemical Info'!H151*'Chemical Info'!AD151*'Res-Rec Equations'!$B$20*'Res-Rec Equations'!$B$23*((('Res-Rec Equations'!$B$26*'Res-Rec Equations'!$B$29)/'Res-Rec Equations'!$B$32)+(('Res-Rec Equations'!$B$27*'Res-Rec Equations'!$B$30)/'Res-Rec Equations'!$B$33)+(('Res-Rec Equations'!$B$28*'Res-Rec Equations'!$B$31)/'Res-Rec Equations'!$B$34)),IF(AND('Chemical Info'!E151="No",'Chemical Info'!D151="Yes"),'Chemical Info'!H151*'Chemical Info'!AD151*'Res-Rec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Info'!E151="No",'Chemical Info'!D151=""),'Chemical Info'!H151*'Chemical Info'!AD151*'Res-Rec Equations'!$B$19*'Res-Rec Equations'!$B$23*((('Res-Rec Equations'!$B$26*'Res-Rec Equations'!$B$29)/'Res-Rec Equations'!$B$32)+(('Res-Rec Equations'!$B$27*'Res-Rec Equations'!$B$30)/'Res-Rec Equations'!$B$33)+(('Res-Rec Equations'!$B$28*'Res-Rec Equations'!$B$31)/'Res-Rec Equations'!$B$34)))))))</f>
        <v>2.2094957325746799E-4</v>
      </c>
      <c r="I150" s="166">
        <f>IF('Chemical Info'!H151="NA","NA",IF('Chemical Info'!E151="Yes",0,IF('Chemical Info'!D151="Yes",'Chemical Info'!H151/'Chemical Info'!AF151*('Res-Rec Equations'!$B$21*'Chemical Info'!AB151*'Res-Rec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Info'!H151/'Chemical Info'!AF151*('Res-Rec Equations'!$B$21*'Chemical Info'!AB151*'Res-Rec Equations'!$B$23)*((('Res-Rec Equations'!$B$26*'Res-Rec Equations'!$B$37*'Res-Rec Equations'!$B$40)/'Res-Rec Equations'!$B$32)+(('Res-Rec Equations'!$B$27*'Res-Rec Equations'!$B$38*'Res-Rec Equations'!$B$41)/'Res-Rec Equations'!$B$33)+(('Res-Rec Equations'!$B$28*'Res-Rec Equations'!$B$39*'Res-Rec Equations'!$B$42)/'Res-Rec Equations'!$B$34)))))</f>
        <v>5.3890791589615933E-5</v>
      </c>
      <c r="J150" s="369">
        <f>IF('Chemical Info'!J151="NA","NA",IF(AND(E150="NA",'Chemical Info'!D151="Yes"),'Res-Rec Equations'!$B$22*1000*(('Res-Rec Equations'!$B$26*'Chemical Info'!J151*'Res-Rec Equations'!$B$59)+('Res-Rec Equations'!$B$27*'Chemical Info'!J151*'Res-Rec Equations'!$B$60)+('Res-Rec Equations'!$B$28*'Chemical Info'!J151*'Res-Rec Equations'!$B$61))*'Res-Rec Calculations'!C150,IF(AND(E150="NA",'Chemical Info'!D151=""),'Res-Rec Equations'!$B$22*1000*'Res-Rec Equations'!$B$25*'Chemical Info'!J151*'Res-Rec Calculations'!C150,IF(AND('Chemical Info'!E151="Yes",'Chemical Info'!D151="Yes"),'Res-Rec Equations'!$B$22*1000*(('Res-Rec Equations'!$B$26*'Chemical Info'!J151*'Res-Rec Equations'!$B$59)+('Res-Rec Equations'!$B$27*'Chemical Info'!J151*'Res-Rec Equations'!$B$60)+('Res-Rec Equations'!$B$28*'Chemical Info'!J151*'Res-Rec Equations'!$B$61))*'Res-Rec Calculations'!E150,IF(AND('Chemical Info'!E151="Yes",'Chemical Info'!D151=""),'Res-Rec Equations'!$B$22*1000*'Res-Rec Equations'!$B$25*'Chemical Info'!J151*'Res-Rec Calculations'!E150,IF('Chemical Info'!D151="Yes",'Res-Rec Equations'!$B$22*1000*(('Res-Rec Equations'!$B$26*'Chemical Info'!J151*'Res-Rec Equations'!$B$59)+('Res-Rec Equations'!$B$27*'Chemical Info'!J151*'Res-Rec Equations'!$B$60)+('Res-Rec Equations'!$B$28*'Chemical Info'!J151*'Res-Rec Equations'!$B$61))*('Res-Rec Calculations'!C150+'Res-Rec Calculations'!E150),IF('Chemical Info'!D151="",'Res-Rec Equations'!$B$22*1000*'Res-Rec Equations'!$B$25*'Chemical Info'!J151*('Res-Rec Calculations'!C150+'Res-Rec Calculations'!E150))))))))</f>
        <v>1.0640271798926559E-5</v>
      </c>
      <c r="K150" s="370">
        <f>IF('Chemical Info'!J151="NA","NA",IF(AND(F150="NA",'Chemical Info'!D151="Yes"),'Res-Rec Equations'!$B$22*1000*(('Res-Rec Equations'!$B$26*'Chemical Info'!J151*'Res-Rec Equations'!$B$59)+('Res-Rec Equations'!$B$27*'Chemical Info'!J151*'Res-Rec Equations'!$B$60)+('Res-Rec Equations'!$B$28*'Chemical Info'!J151*'Res-Rec Equations'!$B$61))*'Res-Rec Calculations'!C150,IF(AND(F150="NA",'Chemical Info'!D151=""),'Res-Rec Equations'!$B$22*1000*'Res-Rec Equations'!$B$25*'Chemical Info'!J151*'Res-Rec Calculations'!C150,IF(AND('Chemical Info'!F151="Yes",'Chemical Info'!D151="Yes"),'Res-Rec Equations'!$B$22*1000*(('Res-Rec Equations'!$B$26*'Chemical Info'!J151*'Res-Rec Equations'!$B$59)+('Res-Rec Equations'!$B$27*'Chemical Info'!J151*'Res-Rec Equations'!$B$60)+('Res-Rec Equations'!$B$28*'Chemical Info'!J151*'Res-Rec Equations'!$B$61))*'Res-Rec Calculations'!F150,IF(AND('Chemical Info'!F151="Yes",'Chemical Info'!D151=""),'Res-Rec Equations'!$B$22*1000*'Res-Rec Equations'!$B$25*'Chemical Info'!J151*'Res-Rec Calculations'!F150,IF('Chemical Info'!D151="Yes",'Res-Rec Equations'!$B$22*1000*(('Res-Rec Equations'!$B$26*'Chemical Info'!J151*'Res-Rec Equations'!$B$59)+('Res-Rec Equations'!$B$27*'Chemical Info'!J151*'Res-Rec Equations'!$B$60)+('Res-Rec Equations'!$B$28*'Chemical Info'!J151*'Res-Rec Equations'!$B$61))*('Res-Rec Calculations'!C150+'Res-Rec Calculations'!F150),IF('Chemical Info'!D151="",'Res-Rec Equations'!$B$22*1000*'Res-Rec Equations'!$B$25*'Chemical Info'!J151*('Res-Rec Calculations'!C150+'Res-Rec Calculations'!F150))))))))</f>
        <v>1.0463659727543402E-3</v>
      </c>
      <c r="L150" s="167">
        <f>IF(AND(H150="NA",I150="NA",J150="NA"),"NA",IF(H150="NA",'Res-Rec Equations'!$B$15*'Res-Rec Equations'!$B$16/J150,IF(J150="NA",'Res-Rec Equations'!$B$15*'Res-Rec Equations'!$B$16/(H150+I150),'Res-Rec Equations'!$B$15*'Res-Rec Equations'!$B$16/(H150+I150+J150))))</f>
        <v>894.98189089725986</v>
      </c>
      <c r="M150" s="167">
        <f>IF(AND(H150="NA",I150="NA",K150="NA"),"NA",IF(H150="NA",'Res-Rec Equations'!$B$15*'Res-Rec Equations'!$B$16/K150,IF(K150="NA",'Res-Rec Equations'!$B$15*'Res-Rec Equations'!$B$16/(H150+I150),'Res-Rec Equations'!$B$15*'Res-Rec Equations'!$B$16/(H150+I150+K150))))</f>
        <v>193.38387406152313</v>
      </c>
      <c r="N150" s="167">
        <f t="shared" si="122"/>
        <v>894.98189089725986</v>
      </c>
      <c r="O150" s="371" t="str">
        <f>IF('Chemical Info'!L151="NA","NA",IF('Chemical Info'!E151="Yes",(('Res-Rec Equations'!$B$76*'Chemical Info'!AD151*'Res-Rec Equations'!$B$78*'Res-Rec Equations'!$B$79*'Res-Rec Equations'!$B$81)/('Res-Rec Equations'!$B$84*'Res-Rec Equations'!$B$85))/'Chemical Info'!L151,(('Res-Rec Equations'!$B$76*'Chemical Info'!AD151*'Res-Rec Equations'!$B$78*'Res-Rec Equations'!$B$79*'Res-Rec Equations'!$B$80)/('Res-Rec Equations'!$B$84*'Res-Rec Equations'!$B$85))/'Chemical Info'!L151))</f>
        <v>NA</v>
      </c>
      <c r="P150" s="166" t="str">
        <f>IF('Chemical Info'!L151="NA","NA", IF('Chemical Info'!E151="Yes",0,((('Res-Rec Equations'!$B$87*'Res-Rec Equations'!$B$88*'Res-Rec Equations'!$B$78*'Res-Rec Equations'!$B$82*'Res-Rec Equations'!$B$79*'Chemical Info'!AB151)/('Res-Rec Equations'!$B$84*'Res-Rec Equations'!$B$85))/('Chemical Info'!L151*'Chemical Info'!AF151))))</f>
        <v>NA</v>
      </c>
      <c r="Q150" s="166" t="str">
        <f>IF('Chemical Info'!N151="NA","NA",IF('Res-Rec Calculations'!E150="NA",(('Res-Rec Equations'!$B$83*'Res-Rec Equations'!$B$79*'Res-Rec Calculations'!C150)/('Res-Rec Equations'!$B$85))/('Chemical Info'!N151),IF('Chemical Info'!E151="Yes",(('Res-Rec Equations'!$B$83*'Res-Rec Equations'!$B$79*'Res-Rec Calculations'!E150)/('Res-Rec Equations'!$B$85))/('Chemical Info'!N151),(('Res-Rec Equations'!$B$83*'Res-Rec Equations'!$B$79*('Res-Rec Calculations'!C150+'Res-Rec Calculations'!E150))/('Res-Rec Equations'!$B$85))/('Chemical Info'!N151))))</f>
        <v>NA</v>
      </c>
      <c r="R150" s="166" t="str">
        <f>IF('Chemical Info'!N151="NA","NA",IF('Res-Rec Calculations'!F150="NA",(('Res-Rec Equations'!$B$83*'Res-Rec Equations'!$B$79*'Res-Rec Calculations'!C150)/('Res-Rec Equations'!$B$85))/('Chemical Info'!N151),IF('Chemical Info'!E151="Yes",(('Res-Rec Equations'!$B$83*'Res-Rec Equations'!$B$79*'Res-Rec Calculations'!F150)/('Res-Rec Equations'!$B$85))/('Chemical Info'!N151),(('Res-Rec Equations'!$B$83*'Res-Rec Equations'!$B$79*('Res-Rec Calculations'!C150+'Res-Rec Calculations'!F150))/('Res-Rec Equations'!$B$85))/('Chemical Info'!N151))))</f>
        <v>NA</v>
      </c>
      <c r="S150" s="167" t="str">
        <f>IF(AND(O150="NA",P150="NA",Q150="NA"),"NA",IF(O150="NA",'Res-Rec Equations'!$B$75/Q150,IF(Q150="NA",'Res-Rec Equations'!$B$75/(O150+P150),'Res-Rec Equations'!$B$75/(O150+P150+Q150))))</f>
        <v>NA</v>
      </c>
      <c r="T150" s="167" t="str">
        <f>IF(AND(O150="NA",P150="NA",R150="NA"),"NA",IF(O150="NA",'Res-Rec Equations'!$B$75/R150,IF(R150="NA",'Res-Rec Equations'!$B$75/(O150+P150),'Res-Rec Equations'!$B$75/(O150+P150+R150))))</f>
        <v>NA</v>
      </c>
      <c r="U150" s="168" t="str">
        <f t="shared" si="123"/>
        <v>NA</v>
      </c>
      <c r="V150" s="167" t="str">
        <f>IF('Chemical Info'!P151="NA","NA",(('Res-Rec Equations'!$B$185*'Res-Rec Equations'!$B$186)/('Res-Rec Equations'!$B$187*'Res-Rec Equations'!$B$188*(1/'Chemical Info'!P151))))</f>
        <v>NA</v>
      </c>
      <c r="W150" s="379" t="str">
        <f t="shared" si="124"/>
        <v>NA</v>
      </c>
      <c r="X150" s="372">
        <f t="shared" si="125"/>
        <v>894.98189089725986</v>
      </c>
      <c r="Y150" s="62">
        <f t="shared" si="126"/>
        <v>890</v>
      </c>
      <c r="Z150" s="100" t="str">
        <f t="shared" si="127"/>
        <v>Cancer</v>
      </c>
      <c r="AA150" s="373"/>
    </row>
    <row r="151" spans="1:28" ht="12">
      <c r="A151" s="413" t="s">
        <v>1226</v>
      </c>
      <c r="B151" s="596" t="s">
        <v>1178</v>
      </c>
      <c r="C151" s="367">
        <f>1/(('Res-Rec Equations'!$B$152*3600)/((0.036*(1-'Res-Rec Equations'!$B$153))*('Res-Rec Equations'!$B$154/'Res-Rec Equations'!$B$155)^3*'Res-Rec Equations'!$B$156))</f>
        <v>7.3567680901159717E-10</v>
      </c>
      <c r="D151" s="368">
        <f>(('Res-Rec Equations'!$B$132^(10/3)*'Chemical Info'!$AH152*'Chemical Info'!$AN152*41+'Res-Rec Equations'!$B$135^(10/3)*'Chemical Info'!$AJ152)/'Res-Rec Equations'!$B$137^2)/('Res-Rec Equations'!$B$139*'Chemical Info'!$AL152*'Res-Rec Equations'!$B$142+'Res-Rec Equations'!$B$135+'Res-Rec Equations'!$B$132*'Chemical Info'!$AN152*41)</f>
        <v>1.9316999636897513E-6</v>
      </c>
      <c r="E151" s="368">
        <f>IF(D151=0,"NA",1/(('Res-Rec Equations'!$B$103*(3.14*'Res-Rec Calculations'!$D151*'Res-Rec Equations'!$B$105)^(1/2)*0.0001)/(2*'Res-Rec Equations'!$B$106*'Res-Rec Calculations'!$D151)))</f>
        <v>8.1582764877698168E-6</v>
      </c>
      <c r="F151" s="368">
        <f>IF(D151=0,"NA",(1/('Res-Rec Equations'!$B$117*('Res-Rec Equations'!$B$118*(31500000))/('Res-Rec Equations'!$B$119*'Res-Rec Equations'!$B$120*1000000))))</f>
        <v>6.1914410640015851E-5</v>
      </c>
      <c r="G151" s="425"/>
      <c r="H151" s="112" t="str">
        <f>IF('Chemical Info'!H152="NA","NA",IF(AND('Chemical Info'!E152="Yes",'Chemical Info'!D152="Yes"),'Chemical Info'!H152*'Chemical Info'!AD152*'Res-Rec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Info'!E152="Yes",'Chemical Info'!D152=""),'Chemical Info'!H152*'Chemical Info'!AD152*'Res-Rec Equations'!$B$20*'Res-Rec Equations'!$B$23*((('Res-Rec Equations'!$B$26*'Res-Rec Equations'!$B$29)/'Res-Rec Equations'!$B$32)+(('Res-Rec Equations'!$B$27*'Res-Rec Equations'!$B$30)/'Res-Rec Equations'!$B$33)+(('Res-Rec Equations'!$B$28*'Res-Rec Equations'!$B$31)/'Res-Rec Equations'!$B$34)),IF(AND('Chemical Info'!E152="No",'Chemical Info'!D152="Yes"),'Chemical Info'!H152*'Chemical Info'!AD152*'Res-Rec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Info'!E152="No",'Chemical Info'!D152=""),'Chemical Info'!H152*'Chemical Info'!AD152*'Res-Rec Equations'!$B$19*'Res-Rec Equations'!$B$23*((('Res-Rec Equations'!$B$26*'Res-Rec Equations'!$B$29)/'Res-Rec Equations'!$B$32)+(('Res-Rec Equations'!$B$27*'Res-Rec Equations'!$B$30)/'Res-Rec Equations'!$B$33)+(('Res-Rec Equations'!$B$28*'Res-Rec Equations'!$B$31)/'Res-Rec Equations'!$B$34)))))))</f>
        <v>NA</v>
      </c>
      <c r="I151" s="166" t="str">
        <f>IF('Chemical Info'!H152="NA","NA",IF('Chemical Info'!E152="Yes",0,IF('Chemical Info'!D152="Yes",'Chemical Info'!H152/'Chemical Info'!AF152*('Res-Rec Equations'!$B$21*'Chemical Info'!AB152*'Res-Rec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Info'!H152/'Chemical Info'!AF152*('Res-Rec Equations'!$B$21*'Chemical Info'!AB152*'Res-Rec Equations'!$B$23)*((('Res-Rec Equations'!$B$26*'Res-Rec Equations'!$B$37*'Res-Rec Equations'!$B$40)/'Res-Rec Equations'!$B$32)+(('Res-Rec Equations'!$B$27*'Res-Rec Equations'!$B$38*'Res-Rec Equations'!$B$41)/'Res-Rec Equations'!$B$33)+(('Res-Rec Equations'!$B$28*'Res-Rec Equations'!$B$39*'Res-Rec Equations'!$B$42)/'Res-Rec Equations'!$B$34)))))</f>
        <v>NA</v>
      </c>
      <c r="J151" s="369" t="str">
        <f>IF('Chemical Info'!J152="NA","NA",IF(AND(E151="NA",'Chemical Info'!D152="Yes"),'Res-Rec Equations'!$B$22*1000*(('Res-Rec Equations'!$B$26*'Chemical Info'!J152*'Res-Rec Equations'!$B$59)+('Res-Rec Equations'!$B$27*'Chemical Info'!J152*'Res-Rec Equations'!$B$60)+('Res-Rec Equations'!$B$28*'Chemical Info'!J152*'Res-Rec Equations'!$B$61))*'Res-Rec Calculations'!C151,IF(AND(E151="NA",'Chemical Info'!D152=""),'Res-Rec Equations'!$B$22*1000*'Res-Rec Equations'!$B$25*'Chemical Info'!J152*'Res-Rec Calculations'!C151,IF(AND('Chemical Info'!E152="Yes",'Chemical Info'!D152="Yes"),'Res-Rec Equations'!$B$22*1000*(('Res-Rec Equations'!$B$26*'Chemical Info'!J152*'Res-Rec Equations'!$B$59)+('Res-Rec Equations'!$B$27*'Chemical Info'!J152*'Res-Rec Equations'!$B$60)+('Res-Rec Equations'!$B$28*'Chemical Info'!J152*'Res-Rec Equations'!$B$61))*'Res-Rec Calculations'!E151,IF(AND('Chemical Info'!E152="Yes",'Chemical Info'!D152=""),'Res-Rec Equations'!$B$22*1000*'Res-Rec Equations'!$B$25*'Chemical Info'!J152*'Res-Rec Calculations'!E151,IF('Chemical Info'!D152="Yes",'Res-Rec Equations'!$B$22*1000*(('Res-Rec Equations'!$B$26*'Chemical Info'!J152*'Res-Rec Equations'!$B$59)+('Res-Rec Equations'!$B$27*'Chemical Info'!J152*'Res-Rec Equations'!$B$60)+('Res-Rec Equations'!$B$28*'Chemical Info'!J152*'Res-Rec Equations'!$B$61))*('Res-Rec Calculations'!C151+'Res-Rec Calculations'!E151),IF('Chemical Info'!D152="",'Res-Rec Equations'!$B$22*1000*'Res-Rec Equations'!$B$25*'Chemical Info'!J152*('Res-Rec Calculations'!C151+'Res-Rec Calculations'!E151))))))))</f>
        <v>NA</v>
      </c>
      <c r="K151" s="370" t="str">
        <f>IF('Chemical Info'!J152="NA","NA",IF(AND(F151="NA",'Chemical Info'!D152="Yes"),'Res-Rec Equations'!$B$22*1000*(('Res-Rec Equations'!$B$26*'Chemical Info'!J152*'Res-Rec Equations'!$B$59)+('Res-Rec Equations'!$B$27*'Chemical Info'!J152*'Res-Rec Equations'!$B$60)+('Res-Rec Equations'!$B$28*'Chemical Info'!J152*'Res-Rec Equations'!$B$61))*'Res-Rec Calculations'!C151,IF(AND(F151="NA",'Chemical Info'!D152=""),'Res-Rec Equations'!$B$22*1000*'Res-Rec Equations'!$B$25*'Chemical Info'!J152*'Res-Rec Calculations'!C151,IF(AND('Chemical Info'!F152="Yes",'Chemical Info'!D152="Yes"),'Res-Rec Equations'!$B$22*1000*(('Res-Rec Equations'!$B$26*'Chemical Info'!J152*'Res-Rec Equations'!$B$59)+('Res-Rec Equations'!$B$27*'Chemical Info'!J152*'Res-Rec Equations'!$B$60)+('Res-Rec Equations'!$B$28*'Chemical Info'!J152*'Res-Rec Equations'!$B$61))*'Res-Rec Calculations'!F151,IF(AND('Chemical Info'!F152="Yes",'Chemical Info'!D152=""),'Res-Rec Equations'!$B$22*1000*'Res-Rec Equations'!$B$25*'Chemical Info'!J152*'Res-Rec Calculations'!F151,IF('Chemical Info'!D152="Yes",'Res-Rec Equations'!$B$22*1000*(('Res-Rec Equations'!$B$26*'Chemical Info'!J152*'Res-Rec Equations'!$B$59)+('Res-Rec Equations'!$B$27*'Chemical Info'!J152*'Res-Rec Equations'!$B$60)+('Res-Rec Equations'!$B$28*'Chemical Info'!J152*'Res-Rec Equations'!$B$61))*('Res-Rec Calculations'!C151+'Res-Rec Calculations'!F151),IF('Chemical Info'!D152="",'Res-Rec Equations'!$B$22*1000*'Res-Rec Equations'!$B$25*'Chemical Info'!J152*('Res-Rec Calculations'!C151+'Res-Rec Calculations'!F151))))))))</f>
        <v>NA</v>
      </c>
      <c r="L151" s="167" t="str">
        <f>IF(AND(H151="NA",I151="NA",J151="NA"),"NA",IF(H151="NA",'Res-Rec Equations'!$B$15*'Res-Rec Equations'!$B$16/J151,IF(J151="NA",'Res-Rec Equations'!$B$15*'Res-Rec Equations'!$B$16/(H151+I151),'Res-Rec Equations'!$B$15*'Res-Rec Equations'!$B$16/(H151+I151+J151))))</f>
        <v>NA</v>
      </c>
      <c r="M151" s="167" t="str">
        <f>IF(AND(H151="NA",I151="NA",K151="NA"),"NA",IF(H151="NA",'Res-Rec Equations'!$B$15*'Res-Rec Equations'!$B$16/K151,IF(K151="NA",'Res-Rec Equations'!$B$15*'Res-Rec Equations'!$B$16/(H151+I151),'Res-Rec Equations'!$B$15*'Res-Rec Equations'!$B$16/(H151+I151+K151))))</f>
        <v>NA</v>
      </c>
      <c r="N151" s="167" t="str">
        <f t="shared" ref="N151" si="218">IF(AND(L151="NA",M151="NA"),"NA",MAX(L151,M151))</f>
        <v>NA</v>
      </c>
      <c r="O151" s="371">
        <f>IF('Chemical Info'!L152="NA","NA",IF('Chemical Info'!E152="Yes",(('Res-Rec Equations'!$B$76*'Chemical Info'!AD152*'Res-Rec Equations'!$B$78*'Res-Rec Equations'!$B$79*'Res-Rec Equations'!$B$81)/('Res-Rec Equations'!$B$84*'Res-Rec Equations'!$B$85))/'Chemical Info'!L152,(('Res-Rec Equations'!$B$76*'Chemical Info'!AD152*'Res-Rec Equations'!$B$78*'Res-Rec Equations'!$B$79*'Res-Rec Equations'!$B$80)/('Res-Rec Equations'!$B$84*'Res-Rec Equations'!$B$85))/'Chemical Info'!L152))</f>
        <v>1.1415525114155251E-2</v>
      </c>
      <c r="P151" s="166">
        <f>IF('Chemical Info'!L152="NA","NA", IF('Chemical Info'!E152="Yes",0,((('Res-Rec Equations'!$B$87*'Res-Rec Equations'!$B$88*'Res-Rec Equations'!$B$78*'Res-Rec Equations'!$B$82*'Res-Rec Equations'!$B$79*'Chemical Info'!AB152)/('Res-Rec Equations'!$B$84*'Res-Rec Equations'!$B$85))/('Chemical Info'!L152*'Chemical Info'!AF152))))</f>
        <v>0</v>
      </c>
      <c r="Q151" s="166" t="str">
        <f>IF('Chemical Info'!N152="NA","NA",IF('Res-Rec Calculations'!E151="NA",(('Res-Rec Equations'!$B$83*'Res-Rec Equations'!$B$79*'Res-Rec Calculations'!C151)/('Res-Rec Equations'!$B$85))/('Chemical Info'!N152),IF('Chemical Info'!E152="Yes",(('Res-Rec Equations'!$B$83*'Res-Rec Equations'!$B$79*'Res-Rec Calculations'!E151)/('Res-Rec Equations'!$B$85))/('Chemical Info'!N152),(('Res-Rec Equations'!$B$83*'Res-Rec Equations'!$B$79*('Res-Rec Calculations'!C151+'Res-Rec Calculations'!E151))/('Res-Rec Equations'!$B$85))/('Chemical Info'!N152))))</f>
        <v>NA</v>
      </c>
      <c r="R151" s="166" t="str">
        <f>IF('Chemical Info'!N152="NA","NA",IF('Res-Rec Calculations'!F151="NA",(('Res-Rec Equations'!$B$83*'Res-Rec Equations'!$B$79*'Res-Rec Calculations'!C151)/('Res-Rec Equations'!$B$85))/('Chemical Info'!N152),IF('Chemical Info'!E152="Yes",(('Res-Rec Equations'!$B$83*'Res-Rec Equations'!$B$79*'Res-Rec Calculations'!F151)/('Res-Rec Equations'!$B$85))/('Chemical Info'!N152),(('Res-Rec Equations'!$B$83*'Res-Rec Equations'!$B$79*('Res-Rec Calculations'!C151+'Res-Rec Calculations'!F151))/('Res-Rec Equations'!$B$85))/('Chemical Info'!N152))))</f>
        <v>NA</v>
      </c>
      <c r="S151" s="167">
        <f>IF(AND(O151="NA",P151="NA",Q151="NA"),"NA",IF(O151="NA",'Res-Rec Equations'!$B$75/Q151,IF(Q151="NA",'Res-Rec Equations'!$B$75/(O151+P151),'Res-Rec Equations'!$B$75/(O151+P151+Q151))))</f>
        <v>17.520000000000003</v>
      </c>
      <c r="T151" s="167">
        <f>IF(AND(O151="NA",P151="NA",R151="NA"),"NA",IF(O151="NA",'Res-Rec Equations'!$B$75/R151,IF(R151="NA",'Res-Rec Equations'!$B$75/(O151+P151),'Res-Rec Equations'!$B$75/(O151+P151+R151))))</f>
        <v>17.520000000000003</v>
      </c>
      <c r="U151" s="168">
        <f t="shared" ref="U151" si="219">IF(AND(S151="NA",T151="NA"),"NA",MAX(S151,T151))</f>
        <v>17.520000000000003</v>
      </c>
      <c r="V151" s="167" t="str">
        <f>IF('Chemical Info'!P152="NA","NA",(('Res-Rec Equations'!$B$185*'Res-Rec Equations'!$B$186)/('Res-Rec Equations'!$B$187*'Res-Rec Equations'!$B$188*(1/'Chemical Info'!P152))))</f>
        <v>NA</v>
      </c>
      <c r="W151" s="379" t="str">
        <f t="shared" ref="W151" si="220">IF(V151="NA","NA",IF(V151&gt;100000,100000,IF(ISNUMBER(ROUND(V151*1000000,2-LEN(INT(V151*1000000)))/1000000),ROUND(V151*1000000,2-LEN(INT(V151*1000000)))/1000000,"NA")))</f>
        <v>NA</v>
      </c>
      <c r="X151" s="372">
        <f t="shared" ref="X151" si="221">IF(AND(N151="NA",U151="NA",G151="NA"),"NA",MIN(N151,U151,G151))</f>
        <v>17.520000000000003</v>
      </c>
      <c r="Y151" s="62">
        <f t="shared" ref="Y151" si="222">IF(X151&gt;100000,100000,IF(ISNUMBER(ROUND(X151*1000000,2-LEN(INT(X151*1000000)))/1000000),ROUND(X151*1000000,2-LEN(INT(X151*1000000)))/1000000,"NA"))</f>
        <v>18</v>
      </c>
      <c r="Z151" s="100" t="str">
        <f t="shared" ref="Z151" si="223">IF(Y151=100000,"Max Limit",IF(X151=G151,"Csat",IF(X151=N151,"Cancer",IF(X151=V151,"Acute",IF(X151=U151,"Noncancer","")))))</f>
        <v>Noncancer</v>
      </c>
      <c r="AA151" s="373"/>
    </row>
    <row r="152" spans="1:28">
      <c r="A152" s="413" t="s">
        <v>686</v>
      </c>
      <c r="B152" s="596" t="s">
        <v>238</v>
      </c>
      <c r="C152" s="367">
        <f>1/(('Res-Rec Equations'!$B$152*3600)/((0.036*(1-'Res-Rec Equations'!$B$153))*('Res-Rec Equations'!$B$154/'Res-Rec Equations'!$B$155)^3*'Res-Rec Equations'!$B$156))</f>
        <v>7.3567680901159717E-10</v>
      </c>
      <c r="D152" s="368">
        <f>(('Res-Rec Equations'!$B$132^(10/3)*'Chemical Info'!$AH153*'Chemical Info'!$AN153*41+'Res-Rec Equations'!$B$135^(10/3)*'Chemical Info'!$AJ153)/'Res-Rec Equations'!$B$137^2)/('Res-Rec Equations'!$B$139*'Chemical Info'!$AL153*'Res-Rec Equations'!$B$142+'Res-Rec Equations'!$B$135+'Res-Rec Equations'!$B$132*'Chemical Info'!$AN153*41)</f>
        <v>1.7541687875246731E-9</v>
      </c>
      <c r="E152" s="368">
        <f>IF(D152=0,"NA",1/(('Res-Rec Equations'!$B$103*(3.14*'Res-Rec Calculations'!$D152*'Res-Rec Equations'!$B$105)^(1/2)*0.0001)/(2*'Res-Rec Equations'!$B$106*'Res-Rec Calculations'!$D152)))</f>
        <v>2.4584663791101636E-7</v>
      </c>
      <c r="F152" s="368">
        <f>IF(D152=0,"NA",(1/('Res-Rec Equations'!$B$117*('Res-Rec Equations'!$B$118*(31500000))/('Res-Rec Equations'!$B$119*'Res-Rec Equations'!$B$120*1000000))))</f>
        <v>6.1914410640015851E-5</v>
      </c>
      <c r="G152" s="167" t="str">
        <f>IF('Chemical Info'!E153="Yes",('Chemical Info'!AP153/'Res-Rec Equations'!$B$168)*((('Chemical Info'!AL153*'Res-Rec Equations'!$B$170)*'Res-Rec Equations'!$B$168)+'Res-Rec Equations'!$B$171+('Chemical Info'!AN153*41)*'Res-Rec Equations'!$B$173),"NA")</f>
        <v>NA</v>
      </c>
      <c r="H152" s="112">
        <f>IF('Chemical Info'!H153="NA","NA",IF(AND('Chemical Info'!E153="Yes",'Chemical Info'!D153="Yes"),'Chemical Info'!H153*'Chemical Info'!AD153*'Res-Rec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Info'!E153="Yes",'Chemical Info'!D153=""),'Chemical Info'!H153*'Chemical Info'!AD153*'Res-Rec Equations'!$B$20*'Res-Rec Equations'!$B$23*((('Res-Rec Equations'!$B$26*'Res-Rec Equations'!$B$29)/'Res-Rec Equations'!$B$32)+(('Res-Rec Equations'!$B$27*'Res-Rec Equations'!$B$30)/'Res-Rec Equations'!$B$33)+(('Res-Rec Equations'!$B$28*'Res-Rec Equations'!$B$31)/'Res-Rec Equations'!$B$34)),IF(AND('Chemical Info'!E153="No",'Chemical Info'!D153="Yes"),'Chemical Info'!H153*'Chemical Info'!AD153*'Res-Rec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Info'!E153="No",'Chemical Info'!D153=""),'Chemical Info'!H153*'Chemical Info'!AD153*'Res-Rec Equations'!$B$19*'Res-Rec Equations'!$B$23*((('Res-Rec Equations'!$B$26*'Res-Rec Equations'!$B$29)/'Res-Rec Equations'!$B$32)+(('Res-Rec Equations'!$B$27*'Res-Rec Equations'!$B$30)/'Res-Rec Equations'!$B$33)+(('Res-Rec Equations'!$B$28*'Res-Rec Equations'!$B$31)/'Res-Rec Equations'!$B$34)))))))</f>
        <v>1.8036699857752487E-2</v>
      </c>
      <c r="I152" s="166">
        <f>IF('Chemical Info'!H153="NA","NA",IF('Chemical Info'!E153="Yes",0,IF('Chemical Info'!D153="Yes",'Chemical Info'!H153/'Chemical Info'!AF153*('Res-Rec Equations'!$B$21*'Chemical Info'!AB153*'Res-Rec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Info'!H153/'Chemical Info'!AF153*('Res-Rec Equations'!$B$21*'Chemical Info'!AB153*'Res-Rec Equations'!$B$23)*((('Res-Rec Equations'!$B$26*'Res-Rec Equations'!$B$37*'Res-Rec Equations'!$B$40)/'Res-Rec Equations'!$B$32)+(('Res-Rec Equations'!$B$27*'Res-Rec Equations'!$B$38*'Res-Rec Equations'!$B$41)/'Res-Rec Equations'!$B$33)+(('Res-Rec Equations'!$B$28*'Res-Rec Equations'!$B$39*'Res-Rec Equations'!$B$42)/'Res-Rec Equations'!$B$34)))))</f>
        <v>1.0998120732574682E-2</v>
      </c>
      <c r="J152" s="369">
        <f>IF('Chemical Info'!J153="NA","NA",IF(AND(E152="NA",'Chemical Info'!D153="Yes"),'Res-Rec Equations'!$B$22*1000*(('Res-Rec Equations'!$B$26*'Chemical Info'!J153*'Res-Rec Equations'!$B$59)+('Res-Rec Equations'!$B$27*'Chemical Info'!J153*'Res-Rec Equations'!$B$60)+('Res-Rec Equations'!$B$28*'Chemical Info'!J153*'Res-Rec Equations'!$B$61))*'Res-Rec Calculations'!C152,IF(AND(E152="NA",'Chemical Info'!D153=""),'Res-Rec Equations'!$B$22*1000*'Res-Rec Equations'!$B$25*'Chemical Info'!J153*'Res-Rec Calculations'!C152,IF(AND('Chemical Info'!E153="Yes",'Chemical Info'!D153="Yes"),'Res-Rec Equations'!$B$22*1000*(('Res-Rec Equations'!$B$26*'Chemical Info'!J153*'Res-Rec Equations'!$B$59)+('Res-Rec Equations'!$B$27*'Chemical Info'!J153*'Res-Rec Equations'!$B$60)+('Res-Rec Equations'!$B$28*'Chemical Info'!J153*'Res-Rec Equations'!$B$61))*'Res-Rec Calculations'!E152,IF(AND('Chemical Info'!E153="Yes",'Chemical Info'!D153=""),'Res-Rec Equations'!$B$22*1000*'Res-Rec Equations'!$B$25*'Chemical Info'!J153*'Res-Rec Calculations'!E152,IF('Chemical Info'!D153="Yes",'Res-Rec Equations'!$B$22*1000*(('Res-Rec Equations'!$B$26*'Chemical Info'!J153*'Res-Rec Equations'!$B$59)+('Res-Rec Equations'!$B$27*'Chemical Info'!J153*'Res-Rec Equations'!$B$60)+('Res-Rec Equations'!$B$28*'Chemical Info'!J153*'Res-Rec Equations'!$B$61))*('Res-Rec Calculations'!C152+'Res-Rec Calculations'!E152),IF('Chemical Info'!D153="",'Res-Rec Equations'!$B$22*1000*'Res-Rec Equations'!$B$25*'Chemical Info'!J153*('Res-Rec Calculations'!C152+'Res-Rec Calculations'!E152))))))))</f>
        <v>8.1742037329689261E-6</v>
      </c>
      <c r="K152" s="370">
        <f>IF('Chemical Info'!J153="NA","NA",IF(AND(F152="NA",'Chemical Info'!D153="Yes"),'Res-Rec Equations'!$B$22*1000*(('Res-Rec Equations'!$B$26*'Chemical Info'!J153*'Res-Rec Equations'!$B$59)+('Res-Rec Equations'!$B$27*'Chemical Info'!J153*'Res-Rec Equations'!$B$60)+('Res-Rec Equations'!$B$28*'Chemical Info'!J153*'Res-Rec Equations'!$B$61))*'Res-Rec Calculations'!C152,IF(AND(F152="NA",'Chemical Info'!D153=""),'Res-Rec Equations'!$B$22*1000*'Res-Rec Equations'!$B$25*'Chemical Info'!J153*'Res-Rec Calculations'!C152,IF(AND('Chemical Info'!F153="Yes",'Chemical Info'!D153="Yes"),'Res-Rec Equations'!$B$22*1000*(('Res-Rec Equations'!$B$26*'Chemical Info'!J153*'Res-Rec Equations'!$B$59)+('Res-Rec Equations'!$B$27*'Chemical Info'!J153*'Res-Rec Equations'!$B$60)+('Res-Rec Equations'!$B$28*'Chemical Info'!J153*'Res-Rec Equations'!$B$61))*'Res-Rec Calculations'!F152,IF(AND('Chemical Info'!F153="Yes",'Chemical Info'!D153=""),'Res-Rec Equations'!$B$22*1000*'Res-Rec Equations'!$B$25*'Chemical Info'!J153*'Res-Rec Calculations'!F152,IF('Chemical Info'!D153="Yes",'Res-Rec Equations'!$B$22*1000*(('Res-Rec Equations'!$B$26*'Chemical Info'!J153*'Res-Rec Equations'!$B$59)+('Res-Rec Equations'!$B$27*'Chemical Info'!J153*'Res-Rec Equations'!$B$60)+('Res-Rec Equations'!$B$28*'Chemical Info'!J153*'Res-Rec Equations'!$B$61))*('Res-Rec Calculations'!C152+'Res-Rec Calculations'!F152),IF('Chemical Info'!D153="",'Res-Rec Equations'!$B$22*1000*'Res-Rec Equations'!$B$25*'Chemical Info'!J153*('Res-Rec Calculations'!C152+'Res-Rec Calculations'!F152))))))))</f>
        <v>2.0524871004027438E-3</v>
      </c>
      <c r="L152" s="167">
        <f>IF(AND(H152="NA",I152="NA",J152="NA"),"NA",IF(H152="NA",'Res-Rec Equations'!$B$15*'Res-Rec Equations'!$B$16/J152,IF(J152="NA",'Res-Rec Equations'!$B$15*'Res-Rec Equations'!$B$16/(H152+I152),'Res-Rec Equations'!$B$15*'Res-Rec Equations'!$B$16/(H152+I152+J152))))</f>
        <v>8.7973021312614357</v>
      </c>
      <c r="M152" s="167">
        <f>IF(AND(H152="NA",I152="NA",K152="NA"),"NA",IF(H152="NA",'Res-Rec Equations'!$B$15*'Res-Rec Equations'!$B$16/K152,IF(K152="NA",'Res-Rec Equations'!$B$15*'Res-Rec Equations'!$B$16/(H152+I152),'Res-Rec Equations'!$B$15*'Res-Rec Equations'!$B$16/(H152+I152+K152))))</f>
        <v>8.2187882766119653</v>
      </c>
      <c r="N152" s="167">
        <f t="shared" si="122"/>
        <v>8.7973021312614357</v>
      </c>
      <c r="O152" s="371">
        <f>IF('Chemical Info'!L153="NA","NA",IF('Chemical Info'!E153="Yes",(('Res-Rec Equations'!$B$76*'Chemical Info'!AD153*'Res-Rec Equations'!$B$78*'Res-Rec Equations'!$B$79*'Res-Rec Equations'!$B$81)/('Res-Rec Equations'!$B$84*'Res-Rec Equations'!$B$85))/'Chemical Info'!L153,(('Res-Rec Equations'!$B$76*'Chemical Info'!AD153*'Res-Rec Equations'!$B$78*'Res-Rec Equations'!$B$79*'Res-Rec Equations'!$B$80)/('Res-Rec Equations'!$B$84*'Res-Rec Equations'!$B$85))/'Chemical Info'!L153))</f>
        <v>4.124318750920607E-3</v>
      </c>
      <c r="P152" s="166">
        <f>IF('Chemical Info'!L153="NA","NA", IF('Chemical Info'!E153="Yes",0,((('Res-Rec Equations'!$B$87*'Res-Rec Equations'!$B$88*'Res-Rec Equations'!$B$78*'Res-Rec Equations'!$B$82*'Res-Rec Equations'!$B$79*'Chemical Info'!AB153)/('Res-Rec Equations'!$B$84*'Res-Rec Equations'!$B$85))/('Chemical Info'!L153*'Chemical Info'!AF153))))</f>
        <v>1.7476800707026073E-3</v>
      </c>
      <c r="Q152" s="166" t="str">
        <f>IF('Chemical Info'!N153="NA","NA",IF('Res-Rec Calculations'!E152="NA",(('Res-Rec Equations'!$B$83*'Res-Rec Equations'!$B$79*'Res-Rec Calculations'!C152)/('Res-Rec Equations'!$B$85))/('Chemical Info'!N153),IF('Chemical Info'!E153="Yes",(('Res-Rec Equations'!$B$83*'Res-Rec Equations'!$B$79*'Res-Rec Calculations'!E152)/('Res-Rec Equations'!$B$85))/('Chemical Info'!N153),(('Res-Rec Equations'!$B$83*'Res-Rec Equations'!$B$79*('Res-Rec Calculations'!C152+'Res-Rec Calculations'!E152))/('Res-Rec Equations'!$B$85))/('Chemical Info'!N153))))</f>
        <v>NA</v>
      </c>
      <c r="R152" s="166" t="str">
        <f>IF('Chemical Info'!N153="NA","NA",IF('Res-Rec Calculations'!F152="NA",(('Res-Rec Equations'!$B$83*'Res-Rec Equations'!$B$79*'Res-Rec Calculations'!C152)/('Res-Rec Equations'!$B$85))/('Chemical Info'!N153),IF('Chemical Info'!E153="Yes",(('Res-Rec Equations'!$B$83*'Res-Rec Equations'!$B$79*'Res-Rec Calculations'!F152)/('Res-Rec Equations'!$B$85))/('Chemical Info'!N153),(('Res-Rec Equations'!$B$83*'Res-Rec Equations'!$B$79*('Res-Rec Calculations'!C152+'Res-Rec Calculations'!F152))/('Res-Rec Equations'!$B$85))/('Chemical Info'!N153))))</f>
        <v>NA</v>
      </c>
      <c r="S152" s="167">
        <f>IF(AND(O152="NA",P152="NA",Q152="NA"),"NA",IF(O152="NA",'Res-Rec Equations'!$B$75/Q152,IF(Q152="NA",'Res-Rec Equations'!$B$75/(O152+P152),'Res-Rec Equations'!$B$75/(O152+P152+Q152))))</f>
        <v>34.059952339144608</v>
      </c>
      <c r="T152" s="167">
        <f>IF(AND(O152="NA",P152="NA",R152="NA"),"NA",IF(O152="NA",'Res-Rec Equations'!$B$75/R152,IF(R152="NA",'Res-Rec Equations'!$B$75/(O152+P152),'Res-Rec Equations'!$B$75/(O152+P152+R152))))</f>
        <v>34.059952339144608</v>
      </c>
      <c r="U152" s="168">
        <f t="shared" si="123"/>
        <v>34.059952339144608</v>
      </c>
      <c r="V152" s="167">
        <f>IF('Chemical Info'!P153="NA","NA",(('Res-Rec Equations'!$B$185*'Res-Rec Equations'!$B$186)/('Res-Rec Equations'!$B$187*'Res-Rec Equations'!$B$188*(1/'Chemical Info'!P153))))</f>
        <v>5.2</v>
      </c>
      <c r="W152" s="379">
        <f t="shared" si="124"/>
        <v>5.2</v>
      </c>
      <c r="X152" s="372">
        <f t="shared" si="125"/>
        <v>8.7973021312614357</v>
      </c>
      <c r="Y152" s="62">
        <f t="shared" si="126"/>
        <v>8.8000000000000007</v>
      </c>
      <c r="Z152" s="100" t="str">
        <f t="shared" si="127"/>
        <v>Cancer</v>
      </c>
      <c r="AA152" s="373"/>
    </row>
    <row r="153" spans="1:28">
      <c r="A153" s="676" t="s">
        <v>1263</v>
      </c>
      <c r="B153" s="566" t="s">
        <v>242</v>
      </c>
      <c r="C153" s="367">
        <f>1/(('Res-Rec Equations'!$B$152*3600)/((0.036*(1-'Res-Rec Equations'!$B$153))*('Res-Rec Equations'!$B$154/'Res-Rec Equations'!$B$155)^3*'Res-Rec Equations'!$B$156))</f>
        <v>7.3567680901159717E-10</v>
      </c>
      <c r="D153" s="368">
        <f>(('Res-Rec Equations'!$B$132^(10/3)*'Chemical Info'!$AH154*'Chemical Info'!$AN154*41+'Res-Rec Equations'!$B$135^(10/3)*'Chemical Info'!$AJ154)/'Res-Rec Equations'!$B$137^2)/('Res-Rec Equations'!$B$139*'Chemical Info'!$AL154*'Res-Rec Equations'!$B$142+'Res-Rec Equations'!$B$135+'Res-Rec Equations'!$B$132*'Chemical Info'!$AN154*41)</f>
        <v>9.6754934617000604E-8</v>
      </c>
      <c r="E153" s="368">
        <f>IF(D153=0,"NA",1/(('Res-Rec Equations'!$B$103*(3.14*'Res-Rec Calculations'!$D153*'Res-Rec Equations'!$B$105)^(1/2)*0.0001)/(2*'Res-Rec Equations'!$B$106*'Res-Rec Calculations'!$D153)))</f>
        <v>1.82585020978463E-6</v>
      </c>
      <c r="F153" s="368">
        <f>IF(D153=0,"NA",(1/('Res-Rec Equations'!$B$117*('Res-Rec Equations'!$B$118*(31500000))/('Res-Rec Equations'!$B$119*'Res-Rec Equations'!$B$120*1000000))))</f>
        <v>6.1914410640015851E-5</v>
      </c>
      <c r="G153" s="167" t="str">
        <f>IF('Chemical Info'!E154="Yes",('Chemical Info'!AP154/'Res-Rec Equations'!$B$168)*((('Chemical Info'!AL154*'Res-Rec Equations'!$B$170)*'Res-Rec Equations'!$B$168)+'Res-Rec Equations'!$B$171+('Chemical Info'!AN154*41)*'Res-Rec Equations'!$B$173),"NA")</f>
        <v>NA</v>
      </c>
      <c r="H153" s="112" t="str">
        <f>IF('Chemical Info'!H154="NA","NA",IF(AND('Chemical Info'!E154="Yes",'Chemical Info'!D154="Yes"),'Chemical Info'!H154*'Chemical Info'!AD154*'Res-Rec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Info'!E154="Yes",'Chemical Info'!D154=""),'Chemical Info'!H154*'Chemical Info'!AD154*'Res-Rec Equations'!$B$20*'Res-Rec Equations'!$B$23*((('Res-Rec Equations'!$B$26*'Res-Rec Equations'!$B$29)/'Res-Rec Equations'!$B$32)+(('Res-Rec Equations'!$B$27*'Res-Rec Equations'!$B$30)/'Res-Rec Equations'!$B$33)+(('Res-Rec Equations'!$B$28*'Res-Rec Equations'!$B$31)/'Res-Rec Equations'!$B$34)),IF(AND('Chemical Info'!E154="No",'Chemical Info'!D154="Yes"),'Chemical Info'!H154*'Chemical Info'!AD154*'Res-Rec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Info'!E154="No",'Chemical Info'!D154=""),'Chemical Info'!H154*'Chemical Info'!AD154*'Res-Rec Equations'!$B$19*'Res-Rec Equations'!$B$23*((('Res-Rec Equations'!$B$26*'Res-Rec Equations'!$B$29)/'Res-Rec Equations'!$B$32)+(('Res-Rec Equations'!$B$27*'Res-Rec Equations'!$B$30)/'Res-Rec Equations'!$B$33)+(('Res-Rec Equations'!$B$28*'Res-Rec Equations'!$B$31)/'Res-Rec Equations'!$B$34)))))))</f>
        <v>NA</v>
      </c>
      <c r="I153" s="166" t="str">
        <f>IF('Chemical Info'!H154="NA","NA",IF('Chemical Info'!E154="Yes",0,IF('Chemical Info'!D154="Yes",'Chemical Info'!H154/'Chemical Info'!AF154*('Res-Rec Equations'!$B$21*'Chemical Info'!AB154*'Res-Rec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Info'!H154/'Chemical Info'!AF154*('Res-Rec Equations'!$B$21*'Chemical Info'!AB154*'Res-Rec Equations'!$B$23)*((('Res-Rec Equations'!$B$26*'Res-Rec Equations'!$B$37*'Res-Rec Equations'!$B$40)/'Res-Rec Equations'!$B$32)+(('Res-Rec Equations'!$B$27*'Res-Rec Equations'!$B$38*'Res-Rec Equations'!$B$41)/'Res-Rec Equations'!$B$33)+(('Res-Rec Equations'!$B$28*'Res-Rec Equations'!$B$39*'Res-Rec Equations'!$B$42)/'Res-Rec Equations'!$B$34)))))</f>
        <v>NA</v>
      </c>
      <c r="J153" s="369" t="str">
        <f>IF('Chemical Info'!J154="NA","NA",IF(AND(E153="NA",'Chemical Info'!D154="Yes"),'Res-Rec Equations'!$B$22*1000*(('Res-Rec Equations'!$B$26*'Chemical Info'!J154*'Res-Rec Equations'!$B$59)+('Res-Rec Equations'!$B$27*'Chemical Info'!J154*'Res-Rec Equations'!$B$60)+('Res-Rec Equations'!$B$28*'Chemical Info'!J154*'Res-Rec Equations'!$B$61))*'Res-Rec Calculations'!C153,IF(AND(E153="NA",'Chemical Info'!D154=""),'Res-Rec Equations'!$B$22*1000*'Res-Rec Equations'!$B$25*'Chemical Info'!J154*'Res-Rec Calculations'!C153,IF(AND('Chemical Info'!E154="Yes",'Chemical Info'!D154="Yes"),'Res-Rec Equations'!$B$22*1000*(('Res-Rec Equations'!$B$26*'Chemical Info'!J154*'Res-Rec Equations'!$B$59)+('Res-Rec Equations'!$B$27*'Chemical Info'!J154*'Res-Rec Equations'!$B$60)+('Res-Rec Equations'!$B$28*'Chemical Info'!J154*'Res-Rec Equations'!$B$61))*'Res-Rec Calculations'!E153,IF(AND('Chemical Info'!E154="Yes",'Chemical Info'!D154=""),'Res-Rec Equations'!$B$22*1000*'Res-Rec Equations'!$B$25*'Chemical Info'!J154*'Res-Rec Calculations'!E153,IF('Chemical Info'!D154="Yes",'Res-Rec Equations'!$B$22*1000*(('Res-Rec Equations'!$B$26*'Chemical Info'!J154*'Res-Rec Equations'!$B$59)+('Res-Rec Equations'!$B$27*'Chemical Info'!J154*'Res-Rec Equations'!$B$60)+('Res-Rec Equations'!$B$28*'Chemical Info'!J154*'Res-Rec Equations'!$B$61))*('Res-Rec Calculations'!C153+'Res-Rec Calculations'!E153),IF('Chemical Info'!D154="",'Res-Rec Equations'!$B$22*1000*'Res-Rec Equations'!$B$25*'Chemical Info'!J154*('Res-Rec Calculations'!C153+'Res-Rec Calculations'!E153))))))))</f>
        <v>NA</v>
      </c>
      <c r="K153" s="370" t="str">
        <f>IF('Chemical Info'!J154="NA","NA",IF(AND(F153="NA",'Chemical Info'!D154="Yes"),'Res-Rec Equations'!$B$22*1000*(('Res-Rec Equations'!$B$26*'Chemical Info'!J154*'Res-Rec Equations'!$B$59)+('Res-Rec Equations'!$B$27*'Chemical Info'!J154*'Res-Rec Equations'!$B$60)+('Res-Rec Equations'!$B$28*'Chemical Info'!J154*'Res-Rec Equations'!$B$61))*'Res-Rec Calculations'!C153,IF(AND(F153="NA",'Chemical Info'!D154=""),'Res-Rec Equations'!$B$22*1000*'Res-Rec Equations'!$B$25*'Chemical Info'!J154*'Res-Rec Calculations'!C153,IF(AND('Chemical Info'!F154="Yes",'Chemical Info'!D154="Yes"),'Res-Rec Equations'!$B$22*1000*(('Res-Rec Equations'!$B$26*'Chemical Info'!J154*'Res-Rec Equations'!$B$59)+('Res-Rec Equations'!$B$27*'Chemical Info'!J154*'Res-Rec Equations'!$B$60)+('Res-Rec Equations'!$B$28*'Chemical Info'!J154*'Res-Rec Equations'!$B$61))*'Res-Rec Calculations'!F153,IF(AND('Chemical Info'!F154="Yes",'Chemical Info'!D154=""),'Res-Rec Equations'!$B$22*1000*'Res-Rec Equations'!$B$25*'Chemical Info'!J154*'Res-Rec Calculations'!F153,IF('Chemical Info'!D154="Yes",'Res-Rec Equations'!$B$22*1000*(('Res-Rec Equations'!$B$26*'Chemical Info'!J154*'Res-Rec Equations'!$B$59)+('Res-Rec Equations'!$B$27*'Chemical Info'!J154*'Res-Rec Equations'!$B$60)+('Res-Rec Equations'!$B$28*'Chemical Info'!J154*'Res-Rec Equations'!$B$61))*('Res-Rec Calculations'!C153+'Res-Rec Calculations'!F153),IF('Chemical Info'!D154="",'Res-Rec Equations'!$B$22*1000*'Res-Rec Equations'!$B$25*'Chemical Info'!J154*('Res-Rec Calculations'!C153+'Res-Rec Calculations'!F153))))))))</f>
        <v>NA</v>
      </c>
      <c r="L153" s="167" t="str">
        <f>IF(AND(H153="NA",I153="NA",J153="NA"),"NA",IF(H153="NA",'Res-Rec Equations'!$B$15*'Res-Rec Equations'!$B$16/J153,IF(J153="NA",'Res-Rec Equations'!$B$15*'Res-Rec Equations'!$B$16/(H153+I153),'Res-Rec Equations'!$B$15*'Res-Rec Equations'!$B$16/(H153+I153+J153))))</f>
        <v>NA</v>
      </c>
      <c r="M153" s="167" t="str">
        <f>IF(AND(H153="NA",I153="NA",K153="NA"),"NA",IF(H153="NA",'Res-Rec Equations'!$B$15*'Res-Rec Equations'!$B$16/K153,IF(K153="NA",'Res-Rec Equations'!$B$15*'Res-Rec Equations'!$B$16/(H153+I153),'Res-Rec Equations'!$B$15*'Res-Rec Equations'!$B$16/(H153+I153+K153))))</f>
        <v>NA</v>
      </c>
      <c r="N153" s="167" t="str">
        <f t="shared" si="122"/>
        <v>NA</v>
      </c>
      <c r="O153" s="371">
        <f>IF('Chemical Info'!L154="NA","NA",IF('Chemical Info'!E154="Yes",(('Res-Rec Equations'!$B$76*'Chemical Info'!AD154*'Res-Rec Equations'!$B$78*'Res-Rec Equations'!$B$79*'Res-Rec Equations'!$B$81)/('Res-Rec Equations'!$B$84*'Res-Rec Equations'!$B$85))/'Chemical Info'!L154,(('Res-Rec Equations'!$B$76*'Chemical Info'!AD154*'Res-Rec Equations'!$B$78*'Res-Rec Equations'!$B$79*'Res-Rec Equations'!$B$80)/('Res-Rec Equations'!$B$84*'Res-Rec Equations'!$B$85))/'Chemical Info'!L154))</f>
        <v>0.15220700152207001</v>
      </c>
      <c r="P153" s="166">
        <f>IF('Chemical Info'!L154="NA","NA", IF('Chemical Info'!E154="Yes",0,((('Res-Rec Equations'!$B$87*'Res-Rec Equations'!$B$88*'Res-Rec Equations'!$B$78*'Res-Rec Equations'!$B$82*'Res-Rec Equations'!$B$79*'Chemical Info'!AB154)/('Res-Rec Equations'!$B$84*'Res-Rec Equations'!$B$85))/('Chemical Info'!L154*'Chemical Info'!AF154))))</f>
        <v>2.5799086757990867E-2</v>
      </c>
      <c r="Q153" s="166">
        <f>IF('Chemical Info'!N154="NA","NA",IF('Res-Rec Calculations'!E153="NA",(('Res-Rec Equations'!$B$83*'Res-Rec Equations'!$B$79*'Res-Rec Calculations'!C153)/('Res-Rec Equations'!$B$85))/('Chemical Info'!N154),IF('Chemical Info'!E154="Yes",(('Res-Rec Equations'!$B$83*'Res-Rec Equations'!$B$79*'Res-Rec Calculations'!E153)/('Res-Rec Equations'!$B$85))/('Chemical Info'!N154),(('Res-Rec Equations'!$B$83*'Res-Rec Equations'!$B$79*('Res-Rec Calculations'!C153+'Res-Rec Calculations'!E153))/('Res-Rec Equations'!$B$85))/('Chemical Info'!N154))))</f>
        <v>4.1702874123142504E-3</v>
      </c>
      <c r="R153" s="166">
        <f>IF('Chemical Info'!N154="NA","NA",IF('Res-Rec Calculations'!F153="NA",(('Res-Rec Equations'!$B$83*'Res-Rec Equations'!$B$79*'Res-Rec Calculations'!C153)/('Res-Rec Equations'!$B$85))/('Chemical Info'!N154),IF('Chemical Info'!E154="Yes",(('Res-Rec Equations'!$B$83*'Res-Rec Equations'!$B$79*'Res-Rec Calculations'!F153)/('Res-Rec Equations'!$B$85))/('Chemical Info'!N154),(('Res-Rec Equations'!$B$83*'Res-Rec Equations'!$B$79*('Res-Rec Calculations'!C153+'Res-Rec Calculations'!F153))/('Res-Rec Equations'!$B$85))/('Chemical Info'!N154))))</f>
        <v>0.14135878154526224</v>
      </c>
      <c r="S153" s="167">
        <f>IF(AND(O153="NA",P153="NA",Q153="NA"),"NA",IF(O153="NA",'Res-Rec Equations'!$B$75/Q153,IF(Q153="NA",'Res-Rec Equations'!$B$75/(O153+P153),'Res-Rec Equations'!$B$75/(O153+P153+Q153))))</f>
        <v>1.0978371879442921</v>
      </c>
      <c r="T153" s="167">
        <f>IF(AND(O153="NA",P153="NA",R153="NA"),"NA",IF(O153="NA",'Res-Rec Equations'!$B$75/R153,IF(R153="NA",'Res-Rec Equations'!$B$75/(O153+P153),'Res-Rec Equations'!$B$75/(O153+P153+R153))))</f>
        <v>0.62624295561809973</v>
      </c>
      <c r="U153" s="168">
        <f t="shared" si="123"/>
        <v>1.0978371879442921</v>
      </c>
      <c r="V153" s="167" t="str">
        <f>IF('Chemical Info'!P154="NA","NA",(('Res-Rec Equations'!$B$185*'Res-Rec Equations'!$B$186)/('Res-Rec Equations'!$B$187*'Res-Rec Equations'!$B$188*(1/'Chemical Info'!P154))))</f>
        <v>NA</v>
      </c>
      <c r="W153" s="379" t="str">
        <f t="shared" si="124"/>
        <v>NA</v>
      </c>
      <c r="X153" s="372">
        <f t="shared" si="125"/>
        <v>1.0978371879442921</v>
      </c>
      <c r="Y153" s="62">
        <f t="shared" si="126"/>
        <v>1.1000000000000001</v>
      </c>
      <c r="Z153" s="100" t="str">
        <f t="shared" si="127"/>
        <v>Noncancer</v>
      </c>
      <c r="AA153" s="373"/>
    </row>
    <row r="154" spans="1:28">
      <c r="A154" s="413" t="s">
        <v>1264</v>
      </c>
      <c r="B154" s="566" t="s">
        <v>234</v>
      </c>
      <c r="C154" s="367">
        <f>1/(('Res-Rec Equations'!$B$152*3600)/((0.036*(1-'Res-Rec Equations'!$B$153))*('Res-Rec Equations'!$B$154/'Res-Rec Equations'!$B$155)^3*'Res-Rec Equations'!$B$156))</f>
        <v>7.3567680901159717E-10</v>
      </c>
      <c r="D154" s="368">
        <f>(('Res-Rec Equations'!$B$132^(10/3)*'Chemical Info'!$AH155*'Chemical Info'!$AN155*41+'Res-Rec Equations'!$B$135^(10/3)*'Chemical Info'!$AJ155)/'Res-Rec Equations'!$B$137^2)/('Res-Rec Equations'!$B$139*'Chemical Info'!$AL155*'Res-Rec Equations'!$B$142+'Res-Rec Equations'!$B$135+'Res-Rec Equations'!$B$132*'Chemical Info'!$AN155*41)</f>
        <v>5.6605861256991749E-6</v>
      </c>
      <c r="E154" s="368">
        <f>IF(D154=0,"NA",1/(('Res-Rec Equations'!$B$103*(3.14*'Res-Rec Calculations'!$D154*'Res-Rec Equations'!$B$105)^(1/2)*0.0001)/(2*'Res-Rec Equations'!$B$106*'Res-Rec Calculations'!$D154)))</f>
        <v>1.3965589909904927E-5</v>
      </c>
      <c r="F154" s="368">
        <f>IF(D154=0,"NA",(1/('Res-Rec Equations'!$B$117*('Res-Rec Equations'!$B$118*(31500000))/('Res-Rec Equations'!$B$119*'Res-Rec Equations'!$B$120*1000000))))</f>
        <v>6.1914410640015851E-5</v>
      </c>
      <c r="G154" s="167">
        <f>IF('Chemical Info'!E155="Yes",('Chemical Info'!AP155/'Res-Rec Equations'!$B$168)*((('Chemical Info'!AL155*'Res-Rec Equations'!$B$170)*'Res-Rec Equations'!$B$168)+'Res-Rec Equations'!$B$171+('Chemical Info'!AN155*41)*'Res-Rec Equations'!$B$173),"NA")</f>
        <v>248.49457713360002</v>
      </c>
      <c r="H154" s="112" t="str">
        <f>IF('Chemical Info'!H155="NA","NA",IF(AND('Chemical Info'!E155="Yes",'Chemical Info'!D155="Yes"),'Chemical Info'!H155*'Chemical Info'!AD155*'Res-Rec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Info'!E155="Yes",'Chemical Info'!D155=""),'Chemical Info'!H155*'Chemical Info'!AD155*'Res-Rec Equations'!$B$20*'Res-Rec Equations'!$B$23*((('Res-Rec Equations'!$B$26*'Res-Rec Equations'!$B$29)/'Res-Rec Equations'!$B$32)+(('Res-Rec Equations'!$B$27*'Res-Rec Equations'!$B$30)/'Res-Rec Equations'!$B$33)+(('Res-Rec Equations'!$B$28*'Res-Rec Equations'!$B$31)/'Res-Rec Equations'!$B$34)),IF(AND('Chemical Info'!E155="No",'Chemical Info'!D155="Yes"),'Chemical Info'!H155*'Chemical Info'!AD155*'Res-Rec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Info'!E155="No",'Chemical Info'!D155=""),'Chemical Info'!H155*'Chemical Info'!AD155*'Res-Rec Equations'!$B$19*'Res-Rec Equations'!$B$23*((('Res-Rec Equations'!$B$26*'Res-Rec Equations'!$B$29)/'Res-Rec Equations'!$B$32)+(('Res-Rec Equations'!$B$27*'Res-Rec Equations'!$B$30)/'Res-Rec Equations'!$B$33)+(('Res-Rec Equations'!$B$28*'Res-Rec Equations'!$B$31)/'Res-Rec Equations'!$B$34)))))))</f>
        <v>NA</v>
      </c>
      <c r="I154" s="166" t="str">
        <f>IF('Chemical Info'!H155="NA","NA",IF('Chemical Info'!E155="Yes",0,IF('Chemical Info'!D155="Yes",'Chemical Info'!H155/'Chemical Info'!AF155*('Res-Rec Equations'!$B$21*'Chemical Info'!AB155*'Res-Rec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Info'!H155/'Chemical Info'!AF155*('Res-Rec Equations'!$B$21*'Chemical Info'!AB155*'Res-Rec Equations'!$B$23)*((('Res-Rec Equations'!$B$26*'Res-Rec Equations'!$B$37*'Res-Rec Equations'!$B$40)/'Res-Rec Equations'!$B$32)+(('Res-Rec Equations'!$B$27*'Res-Rec Equations'!$B$38*'Res-Rec Equations'!$B$41)/'Res-Rec Equations'!$B$33)+(('Res-Rec Equations'!$B$28*'Res-Rec Equations'!$B$39*'Res-Rec Equations'!$B$42)/'Res-Rec Equations'!$B$34)))))</f>
        <v>NA</v>
      </c>
      <c r="J154" s="369" t="str">
        <f>IF('Chemical Info'!J155="NA","NA",IF(AND(E154="NA",'Chemical Info'!D155="Yes"),'Res-Rec Equations'!$B$22*1000*(('Res-Rec Equations'!$B$26*'Chemical Info'!J155*'Res-Rec Equations'!$B$59)+('Res-Rec Equations'!$B$27*'Chemical Info'!J155*'Res-Rec Equations'!$B$60)+('Res-Rec Equations'!$B$28*'Chemical Info'!J155*'Res-Rec Equations'!$B$61))*'Res-Rec Calculations'!C154,IF(AND(E154="NA",'Chemical Info'!D155=""),'Res-Rec Equations'!$B$22*1000*'Res-Rec Equations'!$B$25*'Chemical Info'!J155*'Res-Rec Calculations'!C154,IF(AND('Chemical Info'!E155="Yes",'Chemical Info'!D155="Yes"),'Res-Rec Equations'!$B$22*1000*(('Res-Rec Equations'!$B$26*'Chemical Info'!J155*'Res-Rec Equations'!$B$59)+('Res-Rec Equations'!$B$27*'Chemical Info'!J155*'Res-Rec Equations'!$B$60)+('Res-Rec Equations'!$B$28*'Chemical Info'!J155*'Res-Rec Equations'!$B$61))*'Res-Rec Calculations'!E154,IF(AND('Chemical Info'!E155="Yes",'Chemical Info'!D155=""),'Res-Rec Equations'!$B$22*1000*'Res-Rec Equations'!$B$25*'Chemical Info'!J155*'Res-Rec Calculations'!E154,IF('Chemical Info'!D155="Yes",'Res-Rec Equations'!$B$22*1000*(('Res-Rec Equations'!$B$26*'Chemical Info'!J155*'Res-Rec Equations'!$B$59)+('Res-Rec Equations'!$B$27*'Chemical Info'!J155*'Res-Rec Equations'!$B$60)+('Res-Rec Equations'!$B$28*'Chemical Info'!J155*'Res-Rec Equations'!$B$61))*('Res-Rec Calculations'!C154+'Res-Rec Calculations'!E154),IF('Chemical Info'!D155="",'Res-Rec Equations'!$B$22*1000*'Res-Rec Equations'!$B$25*'Chemical Info'!J155*('Res-Rec Calculations'!C154+'Res-Rec Calculations'!E154))))))))</f>
        <v>NA</v>
      </c>
      <c r="K154" s="370" t="str">
        <f>IF('Chemical Info'!J155="NA","NA",IF(AND(F154="NA",'Chemical Info'!D155="Yes"),'Res-Rec Equations'!$B$22*1000*(('Res-Rec Equations'!$B$26*'Chemical Info'!J155*'Res-Rec Equations'!$B$59)+('Res-Rec Equations'!$B$27*'Chemical Info'!J155*'Res-Rec Equations'!$B$60)+('Res-Rec Equations'!$B$28*'Chemical Info'!J155*'Res-Rec Equations'!$B$61))*'Res-Rec Calculations'!C154,IF(AND(F154="NA",'Chemical Info'!D155=""),'Res-Rec Equations'!$B$22*1000*'Res-Rec Equations'!$B$25*'Chemical Info'!J155*'Res-Rec Calculations'!C154,IF(AND('Chemical Info'!F155="Yes",'Chemical Info'!D155="Yes"),'Res-Rec Equations'!$B$22*1000*(('Res-Rec Equations'!$B$26*'Chemical Info'!J155*'Res-Rec Equations'!$B$59)+('Res-Rec Equations'!$B$27*'Chemical Info'!J155*'Res-Rec Equations'!$B$60)+('Res-Rec Equations'!$B$28*'Chemical Info'!J155*'Res-Rec Equations'!$B$61))*'Res-Rec Calculations'!F154,IF(AND('Chemical Info'!F155="Yes",'Chemical Info'!D155=""),'Res-Rec Equations'!$B$22*1000*'Res-Rec Equations'!$B$25*'Chemical Info'!J155*'Res-Rec Calculations'!F154,IF('Chemical Info'!D155="Yes",'Res-Rec Equations'!$B$22*1000*(('Res-Rec Equations'!$B$26*'Chemical Info'!J155*'Res-Rec Equations'!$B$59)+('Res-Rec Equations'!$B$27*'Chemical Info'!J155*'Res-Rec Equations'!$B$60)+('Res-Rec Equations'!$B$28*'Chemical Info'!J155*'Res-Rec Equations'!$B$61))*('Res-Rec Calculations'!C154+'Res-Rec Calculations'!F154),IF('Chemical Info'!D155="",'Res-Rec Equations'!$B$22*1000*'Res-Rec Equations'!$B$25*'Chemical Info'!J155*('Res-Rec Calculations'!C154+'Res-Rec Calculations'!F154))))))))</f>
        <v>NA</v>
      </c>
      <c r="L154" s="167" t="str">
        <f>IF(AND(H154="NA",I154="NA",J154="NA"),"NA",IF(H154="NA",'Res-Rec Equations'!$B$15*'Res-Rec Equations'!$B$16/J154,IF(J154="NA",'Res-Rec Equations'!$B$15*'Res-Rec Equations'!$B$16/(H154+I154),'Res-Rec Equations'!$B$15*'Res-Rec Equations'!$B$16/(H154+I154+J154))))</f>
        <v>NA</v>
      </c>
      <c r="M154" s="167" t="str">
        <f>IF(AND(H154="NA",I154="NA",K154="NA"),"NA",IF(H154="NA",'Res-Rec Equations'!$B$15*'Res-Rec Equations'!$B$16/K154,IF(K154="NA",'Res-Rec Equations'!$B$15*'Res-Rec Equations'!$B$16/(H154+I154),'Res-Rec Equations'!$B$15*'Res-Rec Equations'!$B$16/(H154+I154+K154))))</f>
        <v>NA</v>
      </c>
      <c r="N154" s="167" t="str">
        <f t="shared" si="122"/>
        <v>NA</v>
      </c>
      <c r="O154" s="371">
        <f>IF('Chemical Info'!L155="NA","NA",IF('Chemical Info'!E155="Yes",(('Res-Rec Equations'!$B$76*'Chemical Info'!AD155*'Res-Rec Equations'!$B$78*'Res-Rec Equations'!$B$79*'Res-Rec Equations'!$B$81)/('Res-Rec Equations'!$B$84*'Res-Rec Equations'!$B$85))/'Chemical Info'!L155,(('Res-Rec Equations'!$B$76*'Chemical Info'!AD155*'Res-Rec Equations'!$B$78*'Res-Rec Equations'!$B$79*'Res-Rec Equations'!$B$80)/('Res-Rec Equations'!$B$84*'Res-Rec Equations'!$B$85))/'Chemical Info'!L155))</f>
        <v>3.1491103763186903E-3</v>
      </c>
      <c r="P154" s="166">
        <f>IF('Chemical Info'!L155="NA","NA", IF('Chemical Info'!E155="Yes",0,((('Res-Rec Equations'!$B$87*'Res-Rec Equations'!$B$88*'Res-Rec Equations'!$B$78*'Res-Rec Equations'!$B$82*'Res-Rec Equations'!$B$79*'Chemical Info'!AB155)/('Res-Rec Equations'!$B$84*'Res-Rec Equations'!$B$85))/('Chemical Info'!L155*'Chemical Info'!AF155))))</f>
        <v>0</v>
      </c>
      <c r="Q154" s="166">
        <f>IF('Chemical Info'!N155="NA","NA",IF('Res-Rec Calculations'!E154="NA",(('Res-Rec Equations'!$B$83*'Res-Rec Equations'!$B$79*'Res-Rec Calculations'!C154)/('Res-Rec Equations'!$B$85))/('Chemical Info'!N155),IF('Chemical Info'!E155="Yes",(('Res-Rec Equations'!$B$83*'Res-Rec Equations'!$B$79*'Res-Rec Calculations'!E154)/('Res-Rec Equations'!$B$85))/('Chemical Info'!N155),(('Res-Rec Equations'!$B$83*'Res-Rec Equations'!$B$79*('Res-Rec Calculations'!C154+'Res-Rec Calculations'!E154))/('Res-Rec Equations'!$B$85))/('Chemical Info'!N155))))</f>
        <v>9.565472541030772E-4</v>
      </c>
      <c r="R154" s="166">
        <f>IF('Chemical Info'!N155="NA","NA",IF('Res-Rec Calculations'!F154="NA",(('Res-Rec Equations'!$B$83*'Res-Rec Equations'!$B$79*'Res-Rec Calculations'!C154)/('Res-Rec Equations'!$B$85))/('Chemical Info'!N155),IF('Chemical Info'!E155="Yes",(('Res-Rec Equations'!$B$83*'Res-Rec Equations'!$B$79*'Res-Rec Calculations'!F154)/('Res-Rec Equations'!$B$85))/('Chemical Info'!N155),(('Res-Rec Equations'!$B$83*'Res-Rec Equations'!$B$79*('Res-Rec Calculations'!C154+'Res-Rec Calculations'!F154))/('Res-Rec Equations'!$B$85))/('Chemical Info'!N155))))</f>
        <v>4.2407130575353317E-3</v>
      </c>
      <c r="S154" s="167">
        <f>IF(AND(O154="NA",P154="NA",Q154="NA"),"NA",IF(O154="NA",'Res-Rec Equations'!$B$75/Q154,IF(Q154="NA",'Res-Rec Equations'!$B$75/(O154+P154),'Res-Rec Equations'!$B$75/(O154+P154+Q154))))</f>
        <v>48.713267886259274</v>
      </c>
      <c r="T154" s="167">
        <f>IF(AND(O154="NA",P154="NA",R154="NA"),"NA",IF(O154="NA",'Res-Rec Equations'!$B$75/R154,IF(R154="NA",'Res-Rec Equations'!$B$75/(O154+P154),'Res-Rec Equations'!$B$75/(O154+P154+R154))))</f>
        <v>27.064246093318875</v>
      </c>
      <c r="U154" s="168">
        <f t="shared" si="123"/>
        <v>48.713267886259274</v>
      </c>
      <c r="V154" s="167" t="str">
        <f>IF('Chemical Info'!P155="NA","NA",(('Res-Rec Equations'!$B$185*'Res-Rec Equations'!$B$186)/('Res-Rec Equations'!$B$187*'Res-Rec Equations'!$B$188*(1/'Chemical Info'!P155))))</f>
        <v>NA</v>
      </c>
      <c r="W154" s="379" t="str">
        <f t="shared" si="124"/>
        <v>NA</v>
      </c>
      <c r="X154" s="372">
        <f t="shared" si="125"/>
        <v>48.713267886259274</v>
      </c>
      <c r="Y154" s="62">
        <f t="shared" si="126"/>
        <v>49</v>
      </c>
      <c r="Z154" s="100" t="str">
        <f t="shared" si="127"/>
        <v>Noncancer</v>
      </c>
      <c r="AA154" s="373"/>
      <c r="AB154" s="631"/>
    </row>
    <row r="155" spans="1:28">
      <c r="A155" s="413" t="s">
        <v>1265</v>
      </c>
      <c r="B155" s="566" t="s">
        <v>58</v>
      </c>
      <c r="C155" s="367">
        <f>1/(('Res-Rec Equations'!$B$152*3600)/((0.036*(1-'Res-Rec Equations'!$B$153))*('Res-Rec Equations'!$B$154/'Res-Rec Equations'!$B$155)^3*'Res-Rec Equations'!$B$156))</f>
        <v>7.3567680901159717E-10</v>
      </c>
      <c r="D155" s="368">
        <f>(('Res-Rec Equations'!$B$132^(10/3)*'Chemical Info'!$AH156*'Chemical Info'!$AN156*41+'Res-Rec Equations'!$B$135^(10/3)*'Chemical Info'!$AJ156)/'Res-Rec Equations'!$B$137^2)/('Res-Rec Equations'!$B$139*'Chemical Info'!$AL156*'Res-Rec Equations'!$B$142+'Res-Rec Equations'!$B$135+'Res-Rec Equations'!$B$132*'Chemical Info'!$AN156*41)</f>
        <v>1.3420497169460671E-8</v>
      </c>
      <c r="E155" s="368">
        <f>IF(D155=0,"NA",1/(('Res-Rec Equations'!$B$103*(3.14*'Res-Rec Calculations'!$D155*'Res-Rec Equations'!$B$105)^(1/2)*0.0001)/(2*'Res-Rec Equations'!$B$106*'Res-Rec Calculations'!$D155)))</f>
        <v>6.8000622163292458E-7</v>
      </c>
      <c r="F155" s="368">
        <f>IF(D155=0,"NA",(1/('Res-Rec Equations'!$B$117*('Res-Rec Equations'!$B$118*(31500000))/('Res-Rec Equations'!$B$119*'Res-Rec Equations'!$B$120*1000000))))</f>
        <v>6.1914410640015851E-5</v>
      </c>
      <c r="G155" s="167" t="str">
        <f>IF('Chemical Info'!E156="Yes",('Chemical Info'!AP156/'Res-Rec Equations'!$B$168)*((('Chemical Info'!AL156*'Res-Rec Equations'!$B$170)*'Res-Rec Equations'!$B$168)+'Res-Rec Equations'!$B$171+('Chemical Info'!AN156*41)*'Res-Rec Equations'!$B$173),"NA")</f>
        <v>NA</v>
      </c>
      <c r="H155" s="112">
        <f>IF('Chemical Info'!H156="NA","NA",IF(AND('Chemical Info'!E156="Yes",'Chemical Info'!D156="Yes"),'Chemical Info'!H156*'Chemical Info'!AD156*'Res-Rec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Info'!E156="Yes",'Chemical Info'!D156=""),'Chemical Info'!H156*'Chemical Info'!AD156*'Res-Rec Equations'!$B$20*'Res-Rec Equations'!$B$23*((('Res-Rec Equations'!$B$26*'Res-Rec Equations'!$B$29)/'Res-Rec Equations'!$B$32)+(('Res-Rec Equations'!$B$27*'Res-Rec Equations'!$B$30)/'Res-Rec Equations'!$B$33)+(('Res-Rec Equations'!$B$28*'Res-Rec Equations'!$B$31)/'Res-Rec Equations'!$B$34)),IF(AND('Chemical Info'!E156="No",'Chemical Info'!D156="Yes"),'Chemical Info'!H156*'Chemical Info'!AD156*'Res-Rec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Info'!E156="No",'Chemical Info'!D156=""),'Chemical Info'!H156*'Chemical Info'!AD156*'Res-Rec Equations'!$B$19*'Res-Rec Equations'!$B$23*((('Res-Rec Equations'!$B$26*'Res-Rec Equations'!$B$29)/'Res-Rec Equations'!$B$32)+(('Res-Rec Equations'!$B$27*'Res-Rec Equations'!$B$30)/'Res-Rec Equations'!$B$33)+(('Res-Rec Equations'!$B$28*'Res-Rec Equations'!$B$31)/'Res-Rec Equations'!$B$34)))))))</f>
        <v>0.58619274537695598</v>
      </c>
      <c r="I155" s="166">
        <f>IF('Chemical Info'!H156="NA","NA",IF('Chemical Info'!E156="Yes",0,IF('Chemical Info'!D156="Yes",'Chemical Info'!H156/'Chemical Info'!AF156*('Res-Rec Equations'!$B$21*'Chemical Info'!AB156*'Res-Rec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Info'!H156/'Chemical Info'!AF156*('Res-Rec Equations'!$B$21*'Chemical Info'!AB156*'Res-Rec Equations'!$B$23)*((('Res-Rec Equations'!$B$26*'Res-Rec Equations'!$B$37*'Res-Rec Equations'!$B$40)/'Res-Rec Equations'!$B$32)+(('Res-Rec Equations'!$B$27*'Res-Rec Equations'!$B$38*'Res-Rec Equations'!$B$41)/'Res-Rec Equations'!$B$33)+(('Res-Rec Equations'!$B$28*'Res-Rec Equations'!$B$39*'Res-Rec Equations'!$B$42)/'Res-Rec Equations'!$B$34)))))</f>
        <v>0.14297556952347085</v>
      </c>
      <c r="J155" s="369" t="str">
        <f>IF('Chemical Info'!J156="NA","NA",IF(AND(E155="NA",'Chemical Info'!D156="Yes"),'Res-Rec Equations'!$B$22*1000*(('Res-Rec Equations'!$B$26*'Chemical Info'!J156*'Res-Rec Equations'!$B$59)+('Res-Rec Equations'!$B$27*'Chemical Info'!J156*'Res-Rec Equations'!$B$60)+('Res-Rec Equations'!$B$28*'Chemical Info'!J156*'Res-Rec Equations'!$B$61))*'Res-Rec Calculations'!C155,IF(AND(E155="NA",'Chemical Info'!D156=""),'Res-Rec Equations'!$B$22*1000*'Res-Rec Equations'!$B$25*'Chemical Info'!J156*'Res-Rec Calculations'!C155,IF(AND('Chemical Info'!E156="Yes",'Chemical Info'!D156="Yes"),'Res-Rec Equations'!$B$22*1000*(('Res-Rec Equations'!$B$26*'Chemical Info'!J156*'Res-Rec Equations'!$B$59)+('Res-Rec Equations'!$B$27*'Chemical Info'!J156*'Res-Rec Equations'!$B$60)+('Res-Rec Equations'!$B$28*'Chemical Info'!J156*'Res-Rec Equations'!$B$61))*'Res-Rec Calculations'!E155,IF(AND('Chemical Info'!E156="Yes",'Chemical Info'!D156=""),'Res-Rec Equations'!$B$22*1000*'Res-Rec Equations'!$B$25*'Chemical Info'!J156*'Res-Rec Calculations'!E155,IF('Chemical Info'!D156="Yes",'Res-Rec Equations'!$B$22*1000*(('Res-Rec Equations'!$B$26*'Chemical Info'!J156*'Res-Rec Equations'!$B$59)+('Res-Rec Equations'!$B$27*'Chemical Info'!J156*'Res-Rec Equations'!$B$60)+('Res-Rec Equations'!$B$28*'Chemical Info'!J156*'Res-Rec Equations'!$B$61))*('Res-Rec Calculations'!C155+'Res-Rec Calculations'!E155),IF('Chemical Info'!D156="",'Res-Rec Equations'!$B$22*1000*'Res-Rec Equations'!$B$25*'Chemical Info'!J156*('Res-Rec Calculations'!C155+'Res-Rec Calculations'!E155))))))))</f>
        <v>NA</v>
      </c>
      <c r="K155" s="370" t="str">
        <f>IF('Chemical Info'!J156="NA","NA",IF(AND(F155="NA",'Chemical Info'!D156="Yes"),'Res-Rec Equations'!$B$22*1000*(('Res-Rec Equations'!$B$26*'Chemical Info'!J156*'Res-Rec Equations'!$B$59)+('Res-Rec Equations'!$B$27*'Chemical Info'!J156*'Res-Rec Equations'!$B$60)+('Res-Rec Equations'!$B$28*'Chemical Info'!J156*'Res-Rec Equations'!$B$61))*'Res-Rec Calculations'!C155,IF(AND(F155="NA",'Chemical Info'!D156=""),'Res-Rec Equations'!$B$22*1000*'Res-Rec Equations'!$B$25*'Chemical Info'!J156*'Res-Rec Calculations'!C155,IF(AND('Chemical Info'!F156="Yes",'Chemical Info'!D156="Yes"),'Res-Rec Equations'!$B$22*1000*(('Res-Rec Equations'!$B$26*'Chemical Info'!J156*'Res-Rec Equations'!$B$59)+('Res-Rec Equations'!$B$27*'Chemical Info'!J156*'Res-Rec Equations'!$B$60)+('Res-Rec Equations'!$B$28*'Chemical Info'!J156*'Res-Rec Equations'!$B$61))*'Res-Rec Calculations'!F155,IF(AND('Chemical Info'!F156="Yes",'Chemical Info'!D156=""),'Res-Rec Equations'!$B$22*1000*'Res-Rec Equations'!$B$25*'Chemical Info'!J156*'Res-Rec Calculations'!F155,IF('Chemical Info'!D156="Yes",'Res-Rec Equations'!$B$22*1000*(('Res-Rec Equations'!$B$26*'Chemical Info'!J156*'Res-Rec Equations'!$B$59)+('Res-Rec Equations'!$B$27*'Chemical Info'!J156*'Res-Rec Equations'!$B$60)+('Res-Rec Equations'!$B$28*'Chemical Info'!J156*'Res-Rec Equations'!$B$61))*('Res-Rec Calculations'!C155+'Res-Rec Calculations'!F155),IF('Chemical Info'!D156="",'Res-Rec Equations'!$B$22*1000*'Res-Rec Equations'!$B$25*'Chemical Info'!J156*('Res-Rec Calculations'!C155+'Res-Rec Calculations'!F155))))))))</f>
        <v>NA</v>
      </c>
      <c r="L155" s="167">
        <f>IF(AND(H155="NA",I155="NA",J155="NA"),"NA",IF(H155="NA",'Res-Rec Equations'!$B$15*'Res-Rec Equations'!$B$16/J155,IF(J155="NA",'Res-Rec Equations'!$B$15*'Res-Rec Equations'!$B$16/(H155+I155),'Res-Rec Equations'!$B$15*'Res-Rec Equations'!$B$16/(H155+I155+J155))))</f>
        <v>0.35039920794541152</v>
      </c>
      <c r="M155" s="167">
        <f>IF(AND(H155="NA",I155="NA",K155="NA"),"NA",IF(H155="NA",'Res-Rec Equations'!$B$15*'Res-Rec Equations'!$B$16/K155,IF(K155="NA",'Res-Rec Equations'!$B$15*'Res-Rec Equations'!$B$16/(H155+I155),'Res-Rec Equations'!$B$15*'Res-Rec Equations'!$B$16/(H155+I155+K155))))</f>
        <v>0.35039920794541152</v>
      </c>
      <c r="N155" s="167">
        <f t="shared" si="122"/>
        <v>0.35039920794541152</v>
      </c>
      <c r="O155" s="371">
        <f>IF('Chemical Info'!L156="NA","NA",IF('Chemical Info'!E156="Yes",(('Res-Rec Equations'!$B$76*'Chemical Info'!AD156*'Res-Rec Equations'!$B$78*'Res-Rec Equations'!$B$79*'Res-Rec Equations'!$B$81)/('Res-Rec Equations'!$B$84*'Res-Rec Equations'!$B$85))/'Chemical Info'!L156,(('Res-Rec Equations'!$B$76*'Chemical Info'!AD156*'Res-Rec Equations'!$B$78*'Res-Rec Equations'!$B$79*'Res-Rec Equations'!$B$80)/('Res-Rec Equations'!$B$84*'Res-Rec Equations'!$B$85))/'Chemical Info'!L156))</f>
        <v>12.785388127853881</v>
      </c>
      <c r="P155" s="166">
        <f>IF('Chemical Info'!L156="NA","NA", IF('Chemical Info'!E156="Yes",0,((('Res-Rec Equations'!$B$87*'Res-Rec Equations'!$B$88*'Res-Rec Equations'!$B$78*'Res-Rec Equations'!$B$82*'Res-Rec Equations'!$B$79*'Chemical Info'!AB156)/('Res-Rec Equations'!$B$84*'Res-Rec Equations'!$B$85))/('Chemical Info'!L156*'Chemical Info'!AF156))))</f>
        <v>2.1671232876712327</v>
      </c>
      <c r="Q155" s="166">
        <f>IF('Chemical Info'!N156="NA","NA",IF('Res-Rec Calculations'!E155="NA",(('Res-Rec Equations'!$B$83*'Res-Rec Equations'!$B$79*'Res-Rec Calculations'!C155)/('Res-Rec Equations'!$B$85))/('Chemical Info'!N156),IF('Chemical Info'!E156="Yes",(('Res-Rec Equations'!$B$83*'Res-Rec Equations'!$B$79*'Res-Rec Calculations'!E155)/('Res-Rec Equations'!$B$85))/('Chemical Info'!N156),(('Res-Rec Equations'!$B$83*'Res-Rec Equations'!$B$79*('Res-Rec Calculations'!C155+'Res-Rec Calculations'!E155))/('Res-Rec Equations'!$B$85))/('Chemical Info'!N156))))</f>
        <v>4.238741584320898E-2</v>
      </c>
      <c r="R155" s="166">
        <f>IF('Chemical Info'!N156="NA","NA",IF('Res-Rec Calculations'!F155="NA",(('Res-Rec Equations'!$B$83*'Res-Rec Equations'!$B$79*'Res-Rec Calculations'!C155)/('Res-Rec Equations'!$B$85))/('Chemical Info'!N156),IF('Chemical Info'!E156="Yes",(('Res-Rec Equations'!$B$83*'Res-Rec Equations'!$B$79*'Res-Rec Calculations'!F155)/('Res-Rec Equations'!$B$85))/('Chemical Info'!N156),(('Res-Rec Equations'!$B$83*'Res-Rec Equations'!$B$79*('Res-Rec Calculations'!C155+'Res-Rec Calculations'!F155))/('Res-Rec Equations'!$B$85))/('Chemical Info'!N156))))</f>
        <v>3.85523949668897</v>
      </c>
      <c r="S155" s="167">
        <f>IF(AND(O155="NA",P155="NA",Q155="NA"),"NA",IF(O155="NA",'Res-Rec Equations'!$B$75/Q155,IF(Q155="NA",'Res-Rec Equations'!$B$75/(O155+P155),'Res-Rec Equations'!$B$75/(O155+P155+Q155))))</f>
        <v>1.333786924801476E-2</v>
      </c>
      <c r="T155" s="167">
        <f>IF(AND(O155="NA",P155="NA",R155="NA"),"NA",IF(O155="NA",'Res-Rec Equations'!$B$75/R155,IF(R155="NA",'Res-Rec Equations'!$B$75/(O155+P155),'Res-Rec Equations'!$B$75/(O155+P155+R155))))</f>
        <v>1.0633913695130687E-2</v>
      </c>
      <c r="U155" s="168">
        <f t="shared" si="123"/>
        <v>1.333786924801476E-2</v>
      </c>
      <c r="V155" s="167" t="str">
        <f>IF('Chemical Info'!P156="NA","NA",(('Res-Rec Equations'!$B$185*'Res-Rec Equations'!$B$186)/('Res-Rec Equations'!$B$187*'Res-Rec Equations'!$B$188*(1/'Chemical Info'!P156))))</f>
        <v>NA</v>
      </c>
      <c r="W155" s="379" t="str">
        <f t="shared" si="124"/>
        <v>NA</v>
      </c>
      <c r="X155" s="669">
        <f t="shared" si="125"/>
        <v>1.333786924801476E-2</v>
      </c>
      <c r="Y155" s="62">
        <f t="shared" si="126"/>
        <v>1.2999999999999999E-2</v>
      </c>
      <c r="Z155" s="100" t="str">
        <f t="shared" si="127"/>
        <v>Noncancer</v>
      </c>
      <c r="AA155" s="373"/>
      <c r="AB155" s="632"/>
    </row>
    <row r="156" spans="1:28" ht="13.5" customHeight="1">
      <c r="A156" s="413" t="s">
        <v>57</v>
      </c>
      <c r="B156" s="566" t="s">
        <v>59</v>
      </c>
      <c r="C156" s="367">
        <f>1/(('Res-Rec Equations'!$B$152*3600)/((0.036*(1-'Res-Rec Equations'!$B$153))*('Res-Rec Equations'!$B$154/'Res-Rec Equations'!$B$155)^3*'Res-Rec Equations'!$B$156))</f>
        <v>7.3567680901159717E-10</v>
      </c>
      <c r="D156" s="368">
        <f>(('Res-Rec Equations'!$B$132^(10/3)*'Chemical Info'!$AH157*'Chemical Info'!$AN157*41+'Res-Rec Equations'!$B$135^(10/3)*'Chemical Info'!$AJ157)/'Res-Rec Equations'!$B$137^2)/('Res-Rec Equations'!$B$139*'Chemical Info'!$AL157*'Res-Rec Equations'!$B$142+'Res-Rec Equations'!$B$135+'Res-Rec Equations'!$B$132*'Chemical Info'!$AN157*41)</f>
        <v>6.5213231285429398E-8</v>
      </c>
      <c r="E156" s="368">
        <f>IF(D156=0,"NA",1/(('Res-Rec Equations'!$B$103*(3.14*'Res-Rec Calculations'!$D156*'Res-Rec Equations'!$B$105)^(1/2)*0.0001)/(2*'Res-Rec Equations'!$B$106*'Res-Rec Calculations'!$D156)))</f>
        <v>1.4989820895900888E-6</v>
      </c>
      <c r="F156" s="368">
        <f>IF(D156=0,"NA",(1/('Res-Rec Equations'!$B$117*('Res-Rec Equations'!$B$118*(31500000))/('Res-Rec Equations'!$B$119*'Res-Rec Equations'!$B$120*1000000))))</f>
        <v>6.1914410640015851E-5</v>
      </c>
      <c r="G156" s="167" t="str">
        <f>IF('Chemical Info'!E157="Yes",('Chemical Info'!AP157/'Res-Rec Equations'!$B$168)*((('Chemical Info'!AL157*'Res-Rec Equations'!$B$170)*'Res-Rec Equations'!$B$168)+'Res-Rec Equations'!$B$171+('Chemical Info'!AN157*41)*'Res-Rec Equations'!$B$173),"NA")</f>
        <v>NA</v>
      </c>
      <c r="H156" s="112">
        <f>IF('Chemical Info'!H157="NA","NA",IF(AND('Chemical Info'!E157="Yes",'Chemical Info'!D157="Yes"),'Chemical Info'!H157*'Chemical Info'!AD157*'Res-Rec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Info'!E157="Yes",'Chemical Info'!D157=""),'Chemical Info'!H157*'Chemical Info'!AD157*'Res-Rec Equations'!$B$20*'Res-Rec Equations'!$B$23*((('Res-Rec Equations'!$B$26*'Res-Rec Equations'!$B$29)/'Res-Rec Equations'!$B$32)+(('Res-Rec Equations'!$B$27*'Res-Rec Equations'!$B$30)/'Res-Rec Equations'!$B$33)+(('Res-Rec Equations'!$B$28*'Res-Rec Equations'!$B$31)/'Res-Rec Equations'!$B$34)),IF(AND('Chemical Info'!E157="No",'Chemical Info'!D157="Yes"),'Chemical Info'!H157*'Chemical Info'!AD157*'Res-Rec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Info'!E157="No",'Chemical Info'!D157=""),'Chemical Info'!H157*'Chemical Info'!AD157*'Res-Rec Equations'!$B$19*'Res-Rec Equations'!$B$23*((('Res-Rec Equations'!$B$26*'Res-Rec Equations'!$B$29)/'Res-Rec Equations'!$B$32)+(('Res-Rec Equations'!$B$27*'Res-Rec Equations'!$B$30)/'Res-Rec Equations'!$B$33)+(('Res-Rec Equations'!$B$28*'Res-Rec Equations'!$B$31)/'Res-Rec Equations'!$B$34)))))))</f>
        <v>568.15604551920342</v>
      </c>
      <c r="I156" s="166">
        <f>IF('Chemical Info'!H157="NA","NA",IF('Chemical Info'!E157="Yes",0,IF('Chemical Info'!D157="Yes",'Chemical Info'!H157/'Chemical Info'!AF157*('Res-Rec Equations'!$B$21*'Chemical Info'!AB157*'Res-Rec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Info'!H157/'Chemical Info'!AF157*('Res-Rec Equations'!$B$21*'Chemical Info'!AB157*'Res-Rec Equations'!$B$23)*((('Res-Rec Equations'!$B$26*'Res-Rec Equations'!$B$37*'Res-Rec Equations'!$B$40)/'Res-Rec Equations'!$B$32)+(('Res-Rec Equations'!$B$27*'Res-Rec Equations'!$B$38*'Res-Rec Equations'!$B$41)/'Res-Rec Equations'!$B$33)+(('Res-Rec Equations'!$B$28*'Res-Rec Equations'!$B$39*'Res-Rec Equations'!$B$42)/'Res-Rec Equations'!$B$34)))))</f>
        <v>138.57632123044095</v>
      </c>
      <c r="J156" s="369" t="str">
        <f>IF('Chemical Info'!J157="NA","NA",IF(AND(E156="NA",'Chemical Info'!D157="Yes"),'Res-Rec Equations'!$B$22*1000*(('Res-Rec Equations'!$B$26*'Chemical Info'!J157*'Res-Rec Equations'!$B$59)+('Res-Rec Equations'!$B$27*'Chemical Info'!J157*'Res-Rec Equations'!$B$60)+('Res-Rec Equations'!$B$28*'Chemical Info'!J157*'Res-Rec Equations'!$B$61))*'Res-Rec Calculations'!C156,IF(AND(E156="NA",'Chemical Info'!D157=""),'Res-Rec Equations'!$B$22*1000*'Res-Rec Equations'!$B$25*'Chemical Info'!J157*'Res-Rec Calculations'!C156,IF(AND('Chemical Info'!E157="Yes",'Chemical Info'!D157="Yes"),'Res-Rec Equations'!$B$22*1000*(('Res-Rec Equations'!$B$26*'Chemical Info'!J157*'Res-Rec Equations'!$B$59)+('Res-Rec Equations'!$B$27*'Chemical Info'!J157*'Res-Rec Equations'!$B$60)+('Res-Rec Equations'!$B$28*'Chemical Info'!J157*'Res-Rec Equations'!$B$61))*'Res-Rec Calculations'!E156,IF(AND('Chemical Info'!E157="Yes",'Chemical Info'!D157=""),'Res-Rec Equations'!$B$22*1000*'Res-Rec Equations'!$B$25*'Chemical Info'!J157*'Res-Rec Calculations'!E156,IF('Chemical Info'!D157="Yes",'Res-Rec Equations'!$B$22*1000*(('Res-Rec Equations'!$B$26*'Chemical Info'!J157*'Res-Rec Equations'!$B$59)+('Res-Rec Equations'!$B$27*'Chemical Info'!J157*'Res-Rec Equations'!$B$60)+('Res-Rec Equations'!$B$28*'Chemical Info'!J157*'Res-Rec Equations'!$B$61))*('Res-Rec Calculations'!C156+'Res-Rec Calculations'!E156),IF('Chemical Info'!D157="",'Res-Rec Equations'!$B$22*1000*'Res-Rec Equations'!$B$25*'Chemical Info'!J157*('Res-Rec Calculations'!C156+'Res-Rec Calculations'!E156))))))))</f>
        <v>NA</v>
      </c>
      <c r="K156" s="370" t="str">
        <f>IF('Chemical Info'!J157="NA","NA",IF(AND(F156="NA",'Chemical Info'!D157="Yes"),'Res-Rec Equations'!$B$22*1000*(('Res-Rec Equations'!$B$26*'Chemical Info'!J157*'Res-Rec Equations'!$B$59)+('Res-Rec Equations'!$B$27*'Chemical Info'!J157*'Res-Rec Equations'!$B$60)+('Res-Rec Equations'!$B$28*'Chemical Info'!J157*'Res-Rec Equations'!$B$61))*'Res-Rec Calculations'!C156,IF(AND(F156="NA",'Chemical Info'!D157=""),'Res-Rec Equations'!$B$22*1000*'Res-Rec Equations'!$B$25*'Chemical Info'!J157*'Res-Rec Calculations'!C156,IF(AND('Chemical Info'!F157="Yes",'Chemical Info'!D157="Yes"),'Res-Rec Equations'!$B$22*1000*(('Res-Rec Equations'!$B$26*'Chemical Info'!J157*'Res-Rec Equations'!$B$59)+('Res-Rec Equations'!$B$27*'Chemical Info'!J157*'Res-Rec Equations'!$B$60)+('Res-Rec Equations'!$B$28*'Chemical Info'!J157*'Res-Rec Equations'!$B$61))*'Res-Rec Calculations'!F156,IF(AND('Chemical Info'!F157="Yes",'Chemical Info'!D157=""),'Res-Rec Equations'!$B$22*1000*'Res-Rec Equations'!$B$25*'Chemical Info'!J157*'Res-Rec Calculations'!F156,IF('Chemical Info'!D157="Yes",'Res-Rec Equations'!$B$22*1000*(('Res-Rec Equations'!$B$26*'Chemical Info'!J157*'Res-Rec Equations'!$B$59)+('Res-Rec Equations'!$B$27*'Chemical Info'!J157*'Res-Rec Equations'!$B$60)+('Res-Rec Equations'!$B$28*'Chemical Info'!J157*'Res-Rec Equations'!$B$61))*('Res-Rec Calculations'!C156+'Res-Rec Calculations'!F156),IF('Chemical Info'!D157="",'Res-Rec Equations'!$B$22*1000*'Res-Rec Equations'!$B$25*'Chemical Info'!J157*('Res-Rec Calculations'!C156+'Res-Rec Calculations'!F156))))))))</f>
        <v>NA</v>
      </c>
      <c r="L156" s="167">
        <f>IF(AND(H156="NA",I156="NA",J156="NA"),"NA",IF(H156="NA",'Res-Rec Equations'!$B$15*'Res-Rec Equations'!$B$16/J156,IF(J156="NA",'Res-Rec Equations'!$B$15*'Res-Rec Equations'!$B$16/(H156+I156),'Res-Rec Equations'!$B$15*'Res-Rec Equations'!$B$16/(H156+I156+J156))))</f>
        <v>3.6152299232463102E-4</v>
      </c>
      <c r="M156" s="167">
        <f>IF(AND(H156="NA",I156="NA",K156="NA"),"NA",IF(H156="NA",'Res-Rec Equations'!$B$15*'Res-Rec Equations'!$B$16/K156,IF(K156="NA",'Res-Rec Equations'!$B$15*'Res-Rec Equations'!$B$16/(H156+I156),'Res-Rec Equations'!$B$15*'Res-Rec Equations'!$B$16/(H156+I156+K156))))</f>
        <v>3.6152299232463102E-4</v>
      </c>
      <c r="N156" s="167">
        <f t="shared" si="122"/>
        <v>3.6152299232463102E-4</v>
      </c>
      <c r="O156" s="371">
        <f>IF('Chemical Info'!L157="NA","NA",IF('Chemical Info'!E157="Yes",(('Res-Rec Equations'!$B$76*'Chemical Info'!AD157*'Res-Rec Equations'!$B$78*'Res-Rec Equations'!$B$79*'Res-Rec Equations'!$B$81)/('Res-Rec Equations'!$B$84*'Res-Rec Equations'!$B$85))/'Chemical Info'!L157,(('Res-Rec Equations'!$B$76*'Chemical Info'!AD157*'Res-Rec Equations'!$B$78*'Res-Rec Equations'!$B$79*'Res-Rec Equations'!$B$80)/('Res-Rec Equations'!$B$84*'Res-Rec Equations'!$B$85))/'Chemical Info'!L157))</f>
        <v>49.174569722514924</v>
      </c>
      <c r="P156" s="166">
        <f>IF('Chemical Info'!L157="NA","NA", IF('Chemical Info'!E157="Yes",0,((('Res-Rec Equations'!$B$87*'Res-Rec Equations'!$B$88*'Res-Rec Equations'!$B$78*'Res-Rec Equations'!$B$82*'Res-Rec Equations'!$B$79*'Chemical Info'!AB157)/('Res-Rec Equations'!$B$84*'Res-Rec Equations'!$B$85))/('Chemical Info'!L157*'Chemical Info'!AF157))))</f>
        <v>8.3350895679662802</v>
      </c>
      <c r="Q156" s="166">
        <f>IF('Chemical Info'!N157="NA","NA",IF('Res-Rec Calculations'!E156="NA",(('Res-Rec Equations'!$B$83*'Res-Rec Equations'!$B$79*'Res-Rec Calculations'!C156)/('Res-Rec Equations'!$B$85))/('Chemical Info'!N157),IF('Chemical Info'!E157="Yes",(('Res-Rec Equations'!$B$83*'Res-Rec Equations'!$B$79*'Res-Rec Calculations'!E156)/('Res-Rec Equations'!$B$85))/('Chemical Info'!N157),(('Res-Rec Equations'!$B$83*'Res-Rec Equations'!$B$79*('Res-Rec Calculations'!C156+'Res-Rec Calculations'!E156))/('Res-Rec Equations'!$B$85))/('Chemical Info'!N157))))</f>
        <v>1.6304824596641666E-2</v>
      </c>
      <c r="R156" s="166">
        <f>IF('Chemical Info'!N157="NA","NA",IF('Res-Rec Calculations'!F156="NA",(('Res-Rec Equations'!$B$83*'Res-Rec Equations'!$B$79*'Res-Rec Calculations'!C156)/('Res-Rec Equations'!$B$85))/('Chemical Info'!N157),IF('Chemical Info'!E157="Yes",(('Res-Rec Equations'!$B$83*'Res-Rec Equations'!$B$79*'Res-Rec Calculations'!F156)/('Res-Rec Equations'!$B$85))/('Chemical Info'!N157),(('Res-Rec Equations'!$B$83*'Res-Rec Equations'!$B$79*('Res-Rec Calculations'!C156+'Res-Rec Calculations'!F156))/('Res-Rec Equations'!$B$85))/('Chemical Info'!N157))))</f>
        <v>0.67313705497743914</v>
      </c>
      <c r="S156" s="167">
        <f>IF(AND(O156="NA",P156="NA",Q156="NA"),"NA",IF(O156="NA",'Res-Rec Equations'!$B$75/Q156,IF(Q156="NA",'Res-Rec Equations'!$B$75/(O156+P156),'Res-Rec Equations'!$B$75/(O156+P156+Q156))))</f>
        <v>3.4766909703574877E-3</v>
      </c>
      <c r="T156" s="167">
        <f>IF(AND(O156="NA",P156="NA",R156="NA"),"NA",IF(O156="NA",'Res-Rec Equations'!$B$75/R156,IF(R156="NA",'Res-Rec Equations'!$B$75/(O156+P156),'Res-Rec Equations'!$B$75/(O156+P156+R156))))</f>
        <v>3.437442209076819E-3</v>
      </c>
      <c r="U156" s="168">
        <f t="shared" si="123"/>
        <v>3.4766909703574877E-3</v>
      </c>
      <c r="V156" s="167" t="str">
        <f>IF('Chemical Info'!P157="NA","NA",(('Res-Rec Equations'!$B$185*'Res-Rec Equations'!$B$186)/('Res-Rec Equations'!$B$187*'Res-Rec Equations'!$B$188*(1/'Chemical Info'!P157))))</f>
        <v>NA</v>
      </c>
      <c r="W156" s="379" t="str">
        <f t="shared" si="124"/>
        <v>NA</v>
      </c>
      <c r="X156" s="371">
        <f t="shared" si="125"/>
        <v>3.6152299232463102E-4</v>
      </c>
      <c r="Y156" s="369">
        <f t="shared" si="126"/>
        <v>3.6000000000000002E-4</v>
      </c>
      <c r="Z156" s="100" t="str">
        <f t="shared" si="127"/>
        <v>Cancer</v>
      </c>
      <c r="AA156" s="373"/>
    </row>
    <row r="157" spans="1:28" ht="13.5" customHeight="1">
      <c r="A157" s="413" t="s">
        <v>1266</v>
      </c>
      <c r="B157" s="566" t="s">
        <v>998</v>
      </c>
      <c r="C157" s="367">
        <f>1/(('Res-Rec Equations'!$B$152*3600)/((0.036*(1-'Res-Rec Equations'!$B$153))*('Res-Rec Equations'!$B$154/'Res-Rec Equations'!$B$155)^3*'Res-Rec Equations'!$B$156))</f>
        <v>7.3567680901159717E-10</v>
      </c>
      <c r="D157" s="368">
        <f>(('Res-Rec Equations'!$B$132^(10/3)*'Chemical Info'!$AH158*'Chemical Info'!$AN158*41+'Res-Rec Equations'!$B$135^(10/3)*'Chemical Info'!$AJ158)/'Res-Rec Equations'!$B$137^2)/('Res-Rec Equations'!$B$139*'Chemical Info'!$AL158*'Res-Rec Equations'!$B$142+'Res-Rec Equations'!$B$135+'Res-Rec Equations'!$B$132*'Chemical Info'!$AN158*41)</f>
        <v>4.935286402129486E-8</v>
      </c>
      <c r="E157" s="368">
        <f>IF(D157=0,"NA",1/(('Res-Rec Equations'!$B$103*(3.14*'Res-Rec Calculations'!$D157*'Res-Rec Equations'!$B$105)^(1/2)*0.0001)/(2*'Res-Rec Equations'!$B$106*'Res-Rec Calculations'!$D157)))</f>
        <v>1.3040215367266942E-6</v>
      </c>
      <c r="F157" s="368">
        <f>IF(D157=0,"NA",(1/('Res-Rec Equations'!$B$117*('Res-Rec Equations'!$B$118*(31500000))/('Res-Rec Equations'!$B$119*'Res-Rec Equations'!$B$120*1000000))))</f>
        <v>6.1914410640015851E-5</v>
      </c>
      <c r="G157" s="167" t="str">
        <f>IF('Chemical Info'!E158="Yes",('Chemical Info'!AP158/'Res-Rec Equations'!$B$168)*((('Chemical Info'!AL158*'Res-Rec Equations'!$B$170)*'Res-Rec Equations'!$B$168)+'Res-Rec Equations'!$B$171+('Chemical Info'!AN158*41)*'Res-Rec Equations'!$B$173),"NA")</f>
        <v>NA</v>
      </c>
      <c r="H157" s="112" t="str">
        <f>IF('Chemical Info'!H158="NA","NA",IF(AND('Chemical Info'!E158="Yes",'Chemical Info'!D158="Yes"),'Chemical Info'!H158*'Chemical Info'!AD158*'Res-Rec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Info'!E158="Yes",'Chemical Info'!D158=""),'Chemical Info'!H158*'Chemical Info'!AD158*'Res-Rec Equations'!$B$20*'Res-Rec Equations'!$B$23*((('Res-Rec Equations'!$B$26*'Res-Rec Equations'!$B$29)/'Res-Rec Equations'!$B$32)+(('Res-Rec Equations'!$B$27*'Res-Rec Equations'!$B$30)/'Res-Rec Equations'!$B$33)+(('Res-Rec Equations'!$B$28*'Res-Rec Equations'!$B$31)/'Res-Rec Equations'!$B$34)),IF(AND('Chemical Info'!E158="No",'Chemical Info'!D158="Yes"),'Chemical Info'!H158*'Chemical Info'!AD158*'Res-Rec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Info'!E158="No",'Chemical Info'!D158=""),'Chemical Info'!H158*'Chemical Info'!AD158*'Res-Rec Equations'!$B$19*'Res-Rec Equations'!$B$23*((('Res-Rec Equations'!$B$26*'Res-Rec Equations'!$B$29)/'Res-Rec Equations'!$B$32)+(('Res-Rec Equations'!$B$27*'Res-Rec Equations'!$B$30)/'Res-Rec Equations'!$B$33)+(('Res-Rec Equations'!$B$28*'Res-Rec Equations'!$B$31)/'Res-Rec Equations'!$B$34)))))))</f>
        <v>NA</v>
      </c>
      <c r="I157" s="166" t="str">
        <f>IF('Chemical Info'!H158="NA","NA",IF('Chemical Info'!E158="Yes",0,IF('Chemical Info'!D158="Yes",'Chemical Info'!H158/'Chemical Info'!AF158*('Res-Rec Equations'!$B$21*'Chemical Info'!AB158*'Res-Rec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Info'!H158/'Chemical Info'!AF158*('Res-Rec Equations'!$B$21*'Chemical Info'!AB158*'Res-Rec Equations'!$B$23)*((('Res-Rec Equations'!$B$26*'Res-Rec Equations'!$B$37*'Res-Rec Equations'!$B$40)/'Res-Rec Equations'!$B$32)+(('Res-Rec Equations'!$B$27*'Res-Rec Equations'!$B$38*'Res-Rec Equations'!$B$41)/'Res-Rec Equations'!$B$33)+(('Res-Rec Equations'!$B$28*'Res-Rec Equations'!$B$39*'Res-Rec Equations'!$B$42)/'Res-Rec Equations'!$B$34)))))</f>
        <v>NA</v>
      </c>
      <c r="J157" s="369" t="str">
        <f>IF('Chemical Info'!J158="NA","NA",IF(AND(E157="NA",'Chemical Info'!D158="Yes"),'Res-Rec Equations'!$B$22*1000*(('Res-Rec Equations'!$B$26*'Chemical Info'!J158*'Res-Rec Equations'!$B$59)+('Res-Rec Equations'!$B$27*'Chemical Info'!J158*'Res-Rec Equations'!$B$60)+('Res-Rec Equations'!$B$28*'Chemical Info'!J158*'Res-Rec Equations'!$B$61))*'Res-Rec Calculations'!C157,IF(AND(E157="NA",'Chemical Info'!D158=""),'Res-Rec Equations'!$B$22*1000*'Res-Rec Equations'!$B$25*'Chemical Info'!J158*'Res-Rec Calculations'!C157,IF(AND('Chemical Info'!E158="Yes",'Chemical Info'!D158="Yes"),'Res-Rec Equations'!$B$22*1000*(('Res-Rec Equations'!$B$26*'Chemical Info'!J158*'Res-Rec Equations'!$B$59)+('Res-Rec Equations'!$B$27*'Chemical Info'!J158*'Res-Rec Equations'!$B$60)+('Res-Rec Equations'!$B$28*'Chemical Info'!J158*'Res-Rec Equations'!$B$61))*'Res-Rec Calculations'!E157,IF(AND('Chemical Info'!E158="Yes",'Chemical Info'!D158=""),'Res-Rec Equations'!$B$22*1000*'Res-Rec Equations'!$B$25*'Chemical Info'!J158*'Res-Rec Calculations'!E157,IF('Chemical Info'!D158="Yes",'Res-Rec Equations'!$B$22*1000*(('Res-Rec Equations'!$B$26*'Chemical Info'!J158*'Res-Rec Equations'!$B$59)+('Res-Rec Equations'!$B$27*'Chemical Info'!J158*'Res-Rec Equations'!$B$60)+('Res-Rec Equations'!$B$28*'Chemical Info'!J158*'Res-Rec Equations'!$B$61))*('Res-Rec Calculations'!C157+'Res-Rec Calculations'!E157),IF('Chemical Info'!D158="",'Res-Rec Equations'!$B$22*1000*'Res-Rec Equations'!$B$25*'Chemical Info'!J158*('Res-Rec Calculations'!C157+'Res-Rec Calculations'!E157))))))))</f>
        <v>NA</v>
      </c>
      <c r="K157" s="370" t="str">
        <f>IF('Chemical Info'!J158="NA","NA",IF(AND(F157="NA",'Chemical Info'!D158="Yes"),'Res-Rec Equations'!$B$22*1000*(('Res-Rec Equations'!$B$26*'Chemical Info'!J158*'Res-Rec Equations'!$B$59)+('Res-Rec Equations'!$B$27*'Chemical Info'!J158*'Res-Rec Equations'!$B$60)+('Res-Rec Equations'!$B$28*'Chemical Info'!J158*'Res-Rec Equations'!$B$61))*'Res-Rec Calculations'!C157,IF(AND(F157="NA",'Chemical Info'!D158=""),'Res-Rec Equations'!$B$22*1000*'Res-Rec Equations'!$B$25*'Chemical Info'!J158*'Res-Rec Calculations'!C157,IF(AND('Chemical Info'!F158="Yes",'Chemical Info'!D158="Yes"),'Res-Rec Equations'!$B$22*1000*(('Res-Rec Equations'!$B$26*'Chemical Info'!J158*'Res-Rec Equations'!$B$59)+('Res-Rec Equations'!$B$27*'Chemical Info'!J158*'Res-Rec Equations'!$B$60)+('Res-Rec Equations'!$B$28*'Chemical Info'!J158*'Res-Rec Equations'!$B$61))*'Res-Rec Calculations'!F157,IF(AND('Chemical Info'!F158="Yes",'Chemical Info'!D158=""),'Res-Rec Equations'!$B$22*1000*'Res-Rec Equations'!$B$25*'Chemical Info'!J158*'Res-Rec Calculations'!F157,IF('Chemical Info'!D158="Yes",'Res-Rec Equations'!$B$22*1000*(('Res-Rec Equations'!$B$26*'Chemical Info'!J158*'Res-Rec Equations'!$B$59)+('Res-Rec Equations'!$B$27*'Chemical Info'!J158*'Res-Rec Equations'!$B$60)+('Res-Rec Equations'!$B$28*'Chemical Info'!J158*'Res-Rec Equations'!$B$61))*('Res-Rec Calculations'!C157+'Res-Rec Calculations'!F157),IF('Chemical Info'!D158="",'Res-Rec Equations'!$B$22*1000*'Res-Rec Equations'!$B$25*'Chemical Info'!J158*('Res-Rec Calculations'!C157+'Res-Rec Calculations'!F157))))))))</f>
        <v>NA</v>
      </c>
      <c r="L157" s="167" t="str">
        <f>IF(AND(H157="NA",I157="NA",J157="NA"),"NA",IF(H157="NA",'Res-Rec Equations'!$B$15*'Res-Rec Equations'!$B$16/J157,IF(J157="NA",'Res-Rec Equations'!$B$15*'Res-Rec Equations'!$B$16/(H157+I157),'Res-Rec Equations'!$B$15*'Res-Rec Equations'!$B$16/(H157+I157+J157))))</f>
        <v>NA</v>
      </c>
      <c r="M157" s="167" t="str">
        <f>IF(AND(H157="NA",I157="NA",K157="NA"),"NA",IF(H157="NA",'Res-Rec Equations'!$B$15*'Res-Rec Equations'!$B$16/K157,IF(K157="NA",'Res-Rec Equations'!$B$15*'Res-Rec Equations'!$B$16/(H157+I157),'Res-Rec Equations'!$B$15*'Res-Rec Equations'!$B$16/(H157+I157+K157))))</f>
        <v>NA</v>
      </c>
      <c r="N157" s="167" t="str">
        <f>IF(AND(L157="NA",M157="NA"),"NA",MAX(L157,M157))</f>
        <v>NA</v>
      </c>
      <c r="O157" s="371">
        <f>IF('Chemical Info'!L158="NA","NA",IF('Chemical Info'!E158="Yes",(('Res-Rec Equations'!$B$76*'Chemical Info'!AD158*'Res-Rec Equations'!$B$78*'Res-Rec Equations'!$B$79*'Res-Rec Equations'!$B$81)/('Res-Rec Equations'!$B$84*'Res-Rec Equations'!$B$85))/'Chemical Info'!L158,(('Res-Rec Equations'!$B$76*'Chemical Info'!AD158*'Res-Rec Equations'!$B$78*'Res-Rec Equations'!$B$79*'Res-Rec Equations'!$B$80)/('Res-Rec Equations'!$B$84*'Res-Rec Equations'!$B$85))/'Chemical Info'!L158))</f>
        <v>1.3180812502942145</v>
      </c>
      <c r="P157" s="166">
        <f>IF('Chemical Info'!L158="NA","NA", IF('Chemical Info'!E158="Yes",0,((('Res-Rec Equations'!$B$87*'Res-Rec Equations'!$B$88*'Res-Rec Equations'!$B$78*'Res-Rec Equations'!$B$82*'Res-Rec Equations'!$B$79*'Chemical Info'!AB158)/('Res-Rec Equations'!$B$84*'Res-Rec Equations'!$B$85))/('Chemical Info'!L158*'Chemical Info'!AF158))))</f>
        <v>0.22341477192486936</v>
      </c>
      <c r="Q157" s="166">
        <f>IF('Chemical Info'!N158="NA","NA",IF('Res-Rec Calculations'!E157="NA",(('Res-Rec Equations'!$B$83*'Res-Rec Equations'!$B$79*'Res-Rec Calculations'!C157)/('Res-Rec Equations'!$B$85))/('Chemical Info'!N158),IF('Chemical Info'!E158="Yes",(('Res-Rec Equations'!$B$83*'Res-Rec Equations'!$B$79*'Res-Rec Calculations'!E157)/('Res-Rec Equations'!$B$85))/('Chemical Info'!N158),(('Res-Rec Equations'!$B$83*'Res-Rec Equations'!$B$79*('Res-Rec Calculations'!C157+'Res-Rec Calculations'!E157))/('Res-Rec Equations'!$B$85))/('Chemical Info'!N158))))</f>
        <v>2.6284391892338957E-2</v>
      </c>
      <c r="R157" s="166">
        <f>IF('Chemical Info'!N158="NA","NA",IF('Res-Rec Calculations'!F157="NA",(('Res-Rec Equations'!$B$83*'Res-Rec Equations'!$B$79*'Res-Rec Calculations'!C157)/('Res-Rec Equations'!$B$85))/('Chemical Info'!N158),IF('Chemical Info'!E158="Yes",(('Res-Rec Equations'!$B$83*'Res-Rec Equations'!$B$79*'Res-Rec Calculations'!F157)/('Res-Rec Equations'!$B$85))/('Chemical Info'!N158),(('Res-Rec Equations'!$B$83*'Res-Rec Equations'!$B$79*('Res-Rec Calculations'!C157+'Res-Rec Calculations'!F157))/('Res-Rec Equations'!$B$85))/('Chemical Info'!N158))))</f>
        <v>1.2472833665758432</v>
      </c>
      <c r="S157" s="167">
        <f>IF(AND(O157="NA",P157="NA",Q157="NA"),"NA",IF(O157="NA",'Res-Rec Equations'!$B$75/Q157,IF(Q157="NA",'Res-Rec Equations'!$B$75/(O157+P157),'Res-Rec Equations'!$B$75/(O157+P157+Q157))))</f>
        <v>0.12756888541266465</v>
      </c>
      <c r="T157" s="167">
        <f>IF(AND(O157="NA",P157="NA",R157="NA"),"NA",IF(O157="NA",'Res-Rec Equations'!$B$75/R157,IF(R157="NA",'Res-Rec Equations'!$B$75/(O157+P157),'Res-Rec Equations'!$B$75/(O157+P157+R157))))</f>
        <v>7.1715963192923268E-2</v>
      </c>
      <c r="U157" s="168">
        <f>IF(AND(S157="NA",T157="NA"),"NA",MAX(S157,T157))</f>
        <v>0.12756888541266465</v>
      </c>
      <c r="V157" s="167" t="str">
        <f>IF('Chemical Info'!P158="NA","NA",(('Res-Rec Equations'!$B$185*'Res-Rec Equations'!$B$186)/('Res-Rec Equations'!$B$187*'Res-Rec Equations'!$B$188*(1/'Chemical Info'!P158))))</f>
        <v>NA</v>
      </c>
      <c r="W157" s="379" t="str">
        <f>IF(V157="NA","NA",IF(V157&gt;100000,100000,IF(ISNUMBER(ROUND(V157*1000000,2-LEN(INT(V157*1000000)))/1000000),ROUND(V157*1000000,2-LEN(INT(V157*1000000)))/1000000,"NA")))</f>
        <v>NA</v>
      </c>
      <c r="X157" s="372">
        <f>IF(AND(N157="NA",U157="NA",G157="NA"),"NA",MIN(N157,U157,G157))</f>
        <v>0.12756888541266465</v>
      </c>
      <c r="Y157" s="62">
        <f>IF(X157&gt;100000,100000,IF(ISNUMBER(ROUND(X157*1000000,2-LEN(INT(X157*1000000)))/1000000),ROUND(X157*1000000,2-LEN(INT(X157*1000000)))/1000000,"NA"))</f>
        <v>0.13</v>
      </c>
      <c r="Z157" s="100" t="str">
        <f>IF(Y157=100000,"Max Limit",IF(X157=G157,"Csat",IF(X157=N157,"Cancer",IF(X157=V157,"Acute",IF(X157=U157,"Noncancer","")))))</f>
        <v>Noncancer</v>
      </c>
      <c r="AA157" s="373"/>
    </row>
    <row r="158" spans="1:28" ht="13.5" customHeight="1">
      <c r="A158" s="413" t="s">
        <v>1267</v>
      </c>
      <c r="B158" s="566" t="s">
        <v>1209</v>
      </c>
      <c r="C158" s="367">
        <f>1/(('Res-Rec Equations'!$B$152*3600)/((0.036*(1-'Res-Rec Equations'!$B$153))*('Res-Rec Equations'!$B$154/'Res-Rec Equations'!$B$155)^3*'Res-Rec Equations'!$B$156))</f>
        <v>7.3567680901159717E-10</v>
      </c>
      <c r="D158" s="368">
        <f>(('Res-Rec Equations'!$B$132^(10/3)*'Chemical Info'!$AH159*'Chemical Info'!$AN159*41+'Res-Rec Equations'!$B$135^(10/3)*'Chemical Info'!$AJ159)/'Res-Rec Equations'!$B$137^2)/('Res-Rec Equations'!$B$139*'Chemical Info'!$AL159*'Res-Rec Equations'!$B$142+'Res-Rec Equations'!$B$135+'Res-Rec Equations'!$B$132*'Chemical Info'!$AN159*41)</f>
        <v>1.8843628972717887E-7</v>
      </c>
      <c r="E158" s="368">
        <f>IF(D158=0,"NA",1/(('Res-Rec Equations'!$B$103*(3.14*'Res-Rec Calculations'!$D158*'Res-Rec Equations'!$B$105)^(1/2)*0.0001)/(2*'Res-Rec Equations'!$B$106*'Res-Rec Calculations'!$D158)))</f>
        <v>2.5480670747619248E-6</v>
      </c>
      <c r="F158" s="368">
        <f>IF(D158=0,"NA",(1/('Res-Rec Equations'!$B$117*('Res-Rec Equations'!$B$118*(31500000))/('Res-Rec Equations'!$B$119*'Res-Rec Equations'!$B$120*1000000))))</f>
        <v>6.1914410640015851E-5</v>
      </c>
      <c r="G158" s="167" t="str">
        <f>IF('Chemical Info'!E159="Yes",('Chemical Info'!AP159/'Res-Rec Equations'!$B$168)*((('Chemical Info'!AL159*'Res-Rec Equations'!$B$170)*'Res-Rec Equations'!$B$168)+'Res-Rec Equations'!$B$171+('Chemical Info'!AN159*41)*'Res-Rec Equations'!$B$173),"NA")</f>
        <v>NA</v>
      </c>
      <c r="H158" s="112" t="str">
        <f>IF('Chemical Info'!H159="NA","NA",IF(AND('Chemical Info'!E159="Yes",'Chemical Info'!D159="Yes"),'Chemical Info'!H159*'Chemical Info'!AD159*'Res-Rec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Info'!E159="Yes",'Chemical Info'!D159=""),'Chemical Info'!H159*'Chemical Info'!AD159*'Res-Rec Equations'!$B$20*'Res-Rec Equations'!$B$23*((('Res-Rec Equations'!$B$26*'Res-Rec Equations'!$B$29)/'Res-Rec Equations'!$B$32)+(('Res-Rec Equations'!$B$27*'Res-Rec Equations'!$B$30)/'Res-Rec Equations'!$B$33)+(('Res-Rec Equations'!$B$28*'Res-Rec Equations'!$B$31)/'Res-Rec Equations'!$B$34)),IF(AND('Chemical Info'!E159="No",'Chemical Info'!D159="Yes"),'Chemical Info'!H159*'Chemical Info'!AD159*'Res-Rec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Info'!E159="No",'Chemical Info'!D159=""),'Chemical Info'!H159*'Chemical Info'!AD159*'Res-Rec Equations'!$B$19*'Res-Rec Equations'!$B$23*((('Res-Rec Equations'!$B$26*'Res-Rec Equations'!$B$29)/'Res-Rec Equations'!$B$32)+(('Res-Rec Equations'!$B$27*'Res-Rec Equations'!$B$30)/'Res-Rec Equations'!$B$33)+(('Res-Rec Equations'!$B$28*'Res-Rec Equations'!$B$31)/'Res-Rec Equations'!$B$34)))))))</f>
        <v>NA</v>
      </c>
      <c r="I158" s="166" t="str">
        <f>IF('Chemical Info'!H159="NA","NA",IF('Chemical Info'!E159="Yes",0,IF('Chemical Info'!D159="Yes",'Chemical Info'!H159/'Chemical Info'!AF159*('Res-Rec Equations'!$B$21*'Chemical Info'!AB159*'Res-Rec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Info'!H159/'Chemical Info'!AF159*('Res-Rec Equations'!$B$21*'Chemical Info'!AB159*'Res-Rec Equations'!$B$23)*((('Res-Rec Equations'!$B$26*'Res-Rec Equations'!$B$37*'Res-Rec Equations'!$B$40)/'Res-Rec Equations'!$B$32)+(('Res-Rec Equations'!$B$27*'Res-Rec Equations'!$B$38*'Res-Rec Equations'!$B$41)/'Res-Rec Equations'!$B$33)+(('Res-Rec Equations'!$B$28*'Res-Rec Equations'!$B$39*'Res-Rec Equations'!$B$42)/'Res-Rec Equations'!$B$34)))))</f>
        <v>NA</v>
      </c>
      <c r="J158" s="369" t="str">
        <f>IF('Chemical Info'!J159="NA","NA",IF(AND(E158="NA",'Chemical Info'!D159="Yes"),'Res-Rec Equations'!$B$22*1000*(('Res-Rec Equations'!$B$26*'Chemical Info'!J159*'Res-Rec Equations'!$B$59)+('Res-Rec Equations'!$B$27*'Chemical Info'!J159*'Res-Rec Equations'!$B$60)+('Res-Rec Equations'!$B$28*'Chemical Info'!J159*'Res-Rec Equations'!$B$61))*'Res-Rec Calculations'!C158,IF(AND(E158="NA",'Chemical Info'!D159=""),'Res-Rec Equations'!$B$22*1000*'Res-Rec Equations'!$B$25*'Chemical Info'!J159*'Res-Rec Calculations'!C158,IF(AND('Chemical Info'!E159="Yes",'Chemical Info'!D159="Yes"),'Res-Rec Equations'!$B$22*1000*(('Res-Rec Equations'!$B$26*'Chemical Info'!J159*'Res-Rec Equations'!$B$59)+('Res-Rec Equations'!$B$27*'Chemical Info'!J159*'Res-Rec Equations'!$B$60)+('Res-Rec Equations'!$B$28*'Chemical Info'!J159*'Res-Rec Equations'!$B$61))*'Res-Rec Calculations'!E158,IF(AND('Chemical Info'!E159="Yes",'Chemical Info'!D159=""),'Res-Rec Equations'!$B$22*1000*'Res-Rec Equations'!$B$25*'Chemical Info'!J159*'Res-Rec Calculations'!E158,IF('Chemical Info'!D159="Yes",'Res-Rec Equations'!$B$22*1000*(('Res-Rec Equations'!$B$26*'Chemical Info'!J159*'Res-Rec Equations'!$B$59)+('Res-Rec Equations'!$B$27*'Chemical Info'!J159*'Res-Rec Equations'!$B$60)+('Res-Rec Equations'!$B$28*'Chemical Info'!J159*'Res-Rec Equations'!$B$61))*('Res-Rec Calculations'!C158+'Res-Rec Calculations'!E158),IF('Chemical Info'!D159="",'Res-Rec Equations'!$B$22*1000*'Res-Rec Equations'!$B$25*'Chemical Info'!J159*('Res-Rec Calculations'!C158+'Res-Rec Calculations'!E158))))))))</f>
        <v>NA</v>
      </c>
      <c r="K158" s="370" t="str">
        <f>IF('Chemical Info'!J159="NA","NA",IF(AND(F158="NA",'Chemical Info'!D159="Yes"),'Res-Rec Equations'!$B$22*1000*(('Res-Rec Equations'!$B$26*'Chemical Info'!J159*'Res-Rec Equations'!$B$59)+('Res-Rec Equations'!$B$27*'Chemical Info'!J159*'Res-Rec Equations'!$B$60)+('Res-Rec Equations'!$B$28*'Chemical Info'!J159*'Res-Rec Equations'!$B$61))*'Res-Rec Calculations'!C158,IF(AND(F158="NA",'Chemical Info'!D159=""),'Res-Rec Equations'!$B$22*1000*'Res-Rec Equations'!$B$25*'Chemical Info'!J159*'Res-Rec Calculations'!C158,IF(AND('Chemical Info'!F159="Yes",'Chemical Info'!D159="Yes"),'Res-Rec Equations'!$B$22*1000*(('Res-Rec Equations'!$B$26*'Chemical Info'!J159*'Res-Rec Equations'!$B$59)+('Res-Rec Equations'!$B$27*'Chemical Info'!J159*'Res-Rec Equations'!$B$60)+('Res-Rec Equations'!$B$28*'Chemical Info'!J159*'Res-Rec Equations'!$B$61))*'Res-Rec Calculations'!F158,IF(AND('Chemical Info'!F159="Yes",'Chemical Info'!D159=""),'Res-Rec Equations'!$B$22*1000*'Res-Rec Equations'!$B$25*'Chemical Info'!J159*'Res-Rec Calculations'!F158,IF('Chemical Info'!D159="Yes",'Res-Rec Equations'!$B$22*1000*(('Res-Rec Equations'!$B$26*'Chemical Info'!J159*'Res-Rec Equations'!$B$59)+('Res-Rec Equations'!$B$27*'Chemical Info'!J159*'Res-Rec Equations'!$B$60)+('Res-Rec Equations'!$B$28*'Chemical Info'!J159*'Res-Rec Equations'!$B$61))*('Res-Rec Calculations'!C158+'Res-Rec Calculations'!F158),IF('Chemical Info'!D159="",'Res-Rec Equations'!$B$22*1000*'Res-Rec Equations'!$B$25*'Chemical Info'!J159*('Res-Rec Calculations'!C158+'Res-Rec Calculations'!F158))))))))</f>
        <v>NA</v>
      </c>
      <c r="L158" s="167" t="str">
        <f>IF(AND(H158="NA",I158="NA",J158="NA"),"NA",IF(H158="NA",'Res-Rec Equations'!$B$15*'Res-Rec Equations'!$B$16/J158,IF(J158="NA",'Res-Rec Equations'!$B$15*'Res-Rec Equations'!$B$16/(H158+I158),'Res-Rec Equations'!$B$15*'Res-Rec Equations'!$B$16/(H158+I158+J158))))</f>
        <v>NA</v>
      </c>
      <c r="M158" s="167" t="str">
        <f>IF(AND(H158="NA",I158="NA",K158="NA"),"NA",IF(H158="NA",'Res-Rec Equations'!$B$15*'Res-Rec Equations'!$B$16/K158,IF(K158="NA",'Res-Rec Equations'!$B$15*'Res-Rec Equations'!$B$16/(H158+I158),'Res-Rec Equations'!$B$15*'Res-Rec Equations'!$B$16/(H158+I158+K158))))</f>
        <v>NA</v>
      </c>
      <c r="N158" s="167" t="str">
        <f>IF(AND(L158="NA",M158="NA"),"NA",MAX(L158,M158))</f>
        <v>NA</v>
      </c>
      <c r="O158" s="371">
        <f>IF('Chemical Info'!L159="NA","NA",IF('Chemical Info'!E159="Yes",(('Res-Rec Equations'!$B$76*'Chemical Info'!AD159*'Res-Rec Equations'!$B$78*'Res-Rec Equations'!$B$79*'Res-Rec Equations'!$B$81)/('Res-Rec Equations'!$B$84*'Res-Rec Equations'!$B$85))/'Chemical Info'!L159,(('Res-Rec Equations'!$B$76*'Chemical Info'!AD159*'Res-Rec Equations'!$B$78*'Res-Rec Equations'!$B$79*'Res-Rec Equations'!$B$80)/('Res-Rec Equations'!$B$84*'Res-Rec Equations'!$B$85))/'Chemical Info'!L159))</f>
        <v>8.5235920852359218E-2</v>
      </c>
      <c r="P158" s="166">
        <f>IF('Chemical Info'!L159="NA","NA", IF('Chemical Info'!E159="Yes",0,((('Res-Rec Equations'!$B$87*'Res-Rec Equations'!$B$88*'Res-Rec Equations'!$B$78*'Res-Rec Equations'!$B$82*'Res-Rec Equations'!$B$79*'Chemical Info'!AB159)/('Res-Rec Equations'!$B$84*'Res-Rec Equations'!$B$85))/('Chemical Info'!L159*'Chemical Info'!AF159))))</f>
        <v>1.4447488584474887E-2</v>
      </c>
      <c r="Q158" s="166">
        <f>IF('Chemical Info'!N159="NA","NA",IF('Res-Rec Calculations'!E158="NA",(('Res-Rec Equations'!$B$83*'Res-Rec Equations'!$B$79*'Res-Rec Calculations'!C158)/('Res-Rec Equations'!$B$85))/('Chemical Info'!N159),IF('Chemical Info'!E159="Yes",(('Res-Rec Equations'!$B$83*'Res-Rec Equations'!$B$79*'Res-Rec Calculations'!E158)/('Res-Rec Equations'!$B$85))/('Chemical Info'!N159),(('Res-Rec Equations'!$B$83*'Res-Rec Equations'!$B$79*('Res-Rec Calculations'!C158+'Res-Rec Calculations'!E158))/('Res-Rec Equations'!$B$85))/('Chemical Info'!N159))))</f>
        <v>3.4915106185903237E-3</v>
      </c>
      <c r="R158" s="166">
        <f>IF('Chemical Info'!N159="NA","NA",IF('Res-Rec Calculations'!F158="NA",(('Res-Rec Equations'!$B$83*'Res-Rec Equations'!$B$79*'Res-Rec Calculations'!C158)/('Res-Rec Equations'!$B$85))/('Chemical Info'!N159),IF('Chemical Info'!E159="Yes",(('Res-Rec Equations'!$B$83*'Res-Rec Equations'!$B$79*'Res-Rec Calculations'!F158)/('Res-Rec Equations'!$B$85))/('Chemical Info'!N159),(('Res-Rec Equations'!$B$83*'Res-Rec Equations'!$B$79*('Res-Rec Calculations'!C158+'Res-Rec Calculations'!F158))/('Res-Rec Equations'!$B$85))/('Chemical Info'!N159))))</f>
        <v>8.4815268927157336E-2</v>
      </c>
      <c r="S158" s="167">
        <f>IF(AND(O158="NA",P158="NA",Q158="NA"),"NA",IF(O158="NA",'Res-Rec Equations'!$B$75/Q158,IF(Q158="NA",'Res-Rec Equations'!$B$75/(O158+P158),'Res-Rec Equations'!$B$75/(O158+P158+Q158))))</f>
        <v>1.9384555848704534</v>
      </c>
      <c r="T158" s="167">
        <f>IF(AND(O158="NA",P158="NA",R158="NA"),"NA",IF(O158="NA",'Res-Rec Equations'!$B$75/R158,IF(R158="NA",'Res-Rec Equations'!$B$75/(O158+P158),'Res-Rec Equations'!$B$75/(O158+P158+R158))))</f>
        <v>1.0840186053009364</v>
      </c>
      <c r="U158" s="168">
        <f>IF(AND(S158="NA",T158="NA"),"NA",MAX(S158,T158))</f>
        <v>1.9384555848704534</v>
      </c>
      <c r="V158" s="167" t="str">
        <f>IF('Chemical Info'!P159="NA","NA",(('Res-Rec Equations'!$B$185*'Res-Rec Equations'!$B$186)/('Res-Rec Equations'!$B$187*'Res-Rec Equations'!$B$188*(1/'Chemical Info'!P159))))</f>
        <v>NA</v>
      </c>
      <c r="W158" s="379" t="str">
        <f>IF(V158="NA","NA",IF(V158&gt;100000,100000,IF(ISNUMBER(ROUND(V158*1000000,2-LEN(INT(V158*1000000)))/1000000),ROUND(V158*1000000,2-LEN(INT(V158*1000000)))/1000000,"NA")))</f>
        <v>NA</v>
      </c>
      <c r="X158" s="372">
        <f>IF(AND(N158="NA",U158="NA",G158="NA"),"NA",MIN(N158,U158,G158))</f>
        <v>1.9384555848704534</v>
      </c>
      <c r="Y158" s="62">
        <f>IF(X158&gt;100000,100000,IF(ISNUMBER(ROUND(X158*1000000,2-LEN(INT(X158*1000000)))/1000000),ROUND(X158*1000000,2-LEN(INT(X158*1000000)))/1000000,"NA"))</f>
        <v>1.9</v>
      </c>
      <c r="Z158" s="100" t="str">
        <f>IF(Y158=100000,"Max Limit",IF(X158=G158,"Csat",IF(X158=N158,"Cancer",IF(X158=V158,"Acute",IF(X158=U158,"Noncancer","")))))</f>
        <v>Noncancer</v>
      </c>
      <c r="AA158" s="373"/>
    </row>
    <row r="159" spans="1:28" s="420" customFormat="1" ht="13.5" customHeight="1">
      <c r="A159" s="727" t="s">
        <v>1323</v>
      </c>
      <c r="B159" s="728" t="s">
        <v>1324</v>
      </c>
      <c r="C159" s="367">
        <f>1/(('Res-Rec Equations'!$B$152*3600)/((0.036*(1-'Res-Rec Equations'!$B$153))*('Res-Rec Equations'!$B$154/'Res-Rec Equations'!$B$155)^3*'Res-Rec Equations'!$B$156))</f>
        <v>7.3567680901159717E-10</v>
      </c>
      <c r="D159" s="416">
        <f>(('Res-Rec Equations'!$B$132^(10/3)*'Chemical Info'!$AH160*'Chemical Info'!$AN160*41+'Res-Rec Equations'!$B$135^(10/3)*'Chemical Info'!$AJ160)/'Res-Rec Equations'!$B$137^2)/('Res-Rec Equations'!$B$139*'Chemical Info'!$AL160*'Res-Rec Equations'!$B$142+'Res-Rec Equations'!$B$135+'Res-Rec Equations'!$B$132*'Chemical Info'!$AN160*41)</f>
        <v>5.6324911140998492E-9</v>
      </c>
      <c r="E159" s="416">
        <f>IF(D159=0,"NA",1/(('Res-Rec Equations'!$B$103*(3.14*'Res-Rec Calculations'!$D159*'Res-Rec Equations'!$B$105)^(1/2)*0.0001)/(2*'Res-Rec Equations'!$B$106*'Res-Rec Calculations'!$D159)))</f>
        <v>4.4053340049896301E-7</v>
      </c>
      <c r="F159" s="416">
        <f>IF(D159=0,"NA",(1/('Res-Rec Equations'!$B$117*('Res-Rec Equations'!$B$118*(31500000))/('Res-Rec Equations'!$B$119*'Res-Rec Equations'!$B$120*1000000))))</f>
        <v>6.1914410640015851E-5</v>
      </c>
      <c r="G159" s="417" t="str">
        <f>IF('Chemical Info'!E160="Yes",('Chemical Info'!AP160/'Res-Rec Equations'!$B$168)*((('Chemical Info'!AL160*'Res-Rec Equations'!$B$170)*'Res-Rec Equations'!$B$168)+'Res-Rec Equations'!$B$171+('Chemical Info'!AN160*41)*'Res-Rec Equations'!$B$173),"NA")</f>
        <v>NA</v>
      </c>
      <c r="H159" s="161" t="str">
        <f>IF('Chemical Info'!H160="NA","NA",IF(AND('Chemical Info'!E160="Yes",'Chemical Info'!D160="Yes"),'Chemical Info'!H160*'Chemical Info'!AD160*'Res-Rec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Info'!E160="Yes",'Chemical Info'!D160=""),'Chemical Info'!H160*'Chemical Info'!AD160*'Res-Rec Equations'!$B$20*'Res-Rec Equations'!$B$23*((('Res-Rec Equations'!$B$26*'Res-Rec Equations'!$B$29)/'Res-Rec Equations'!$B$32)+(('Res-Rec Equations'!$B$27*'Res-Rec Equations'!$B$30)/'Res-Rec Equations'!$B$33)+(('Res-Rec Equations'!$B$28*'Res-Rec Equations'!$B$31)/'Res-Rec Equations'!$B$34)),IF(AND('Chemical Info'!E160="No",'Chemical Info'!D160="Yes"),'Chemical Info'!H160*'Chemical Info'!AD160*'Res-Rec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Info'!E160="No",'Chemical Info'!D160=""),'Chemical Info'!H160*'Chemical Info'!AD160*'Res-Rec Equations'!$B$19*'Res-Rec Equations'!$B$23*((('Res-Rec Equations'!$B$26*'Res-Rec Equations'!$B$29)/'Res-Rec Equations'!$B$32)+(('Res-Rec Equations'!$B$27*'Res-Rec Equations'!$B$30)/'Res-Rec Equations'!$B$33)+(('Res-Rec Equations'!$B$28*'Res-Rec Equations'!$B$31)/'Res-Rec Equations'!$B$34)))))))</f>
        <v>NA</v>
      </c>
      <c r="I159" s="369" t="str">
        <f>IF('Chemical Info'!H160="NA","NA",IF('Chemical Info'!E160="Yes",0,IF('Chemical Info'!D160="Yes",'Chemical Info'!H160/'Chemical Info'!AF160*('Res-Rec Equations'!$B$21*'Chemical Info'!AB160*'Res-Rec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Info'!H160/'Chemical Info'!AF160*('Res-Rec Equations'!$B$21*'Chemical Info'!AB160*'Res-Rec Equations'!$B$23)*((('Res-Rec Equations'!$B$26*'Res-Rec Equations'!$B$37*'Res-Rec Equations'!$B$40)/'Res-Rec Equations'!$B$32)+(('Res-Rec Equations'!$B$27*'Res-Rec Equations'!$B$38*'Res-Rec Equations'!$B$41)/'Res-Rec Equations'!$B$33)+(('Res-Rec Equations'!$B$28*'Res-Rec Equations'!$B$39*'Res-Rec Equations'!$B$42)/'Res-Rec Equations'!$B$34)))))</f>
        <v>NA</v>
      </c>
      <c r="J159" s="369" t="str">
        <f>IF('Chemical Info'!J160="NA","NA",IF(AND(E159="NA",'Chemical Info'!D160="Yes"),'Res-Rec Equations'!$B$22*1000*(('Res-Rec Equations'!$B$26*'Chemical Info'!J160*'Res-Rec Equations'!$B$59)+('Res-Rec Equations'!$B$27*'Chemical Info'!J160*'Res-Rec Equations'!$B$60)+('Res-Rec Equations'!$B$28*'Chemical Info'!J160*'Res-Rec Equations'!$B$61))*'Res-Rec Calculations'!C159,IF(AND(E159="NA",'Chemical Info'!D160=""),'Res-Rec Equations'!$B$22*1000*'Res-Rec Equations'!$B$25*'Chemical Info'!J160*'Res-Rec Calculations'!C159,IF(AND('Chemical Info'!E160="Yes",'Chemical Info'!D160="Yes"),'Res-Rec Equations'!$B$22*1000*(('Res-Rec Equations'!$B$26*'Chemical Info'!J160*'Res-Rec Equations'!$B$59)+('Res-Rec Equations'!$B$27*'Chemical Info'!J160*'Res-Rec Equations'!$B$60)+('Res-Rec Equations'!$B$28*'Chemical Info'!J160*'Res-Rec Equations'!$B$61))*'Res-Rec Calculations'!E159,IF(AND('Chemical Info'!E160="Yes",'Chemical Info'!D160=""),'Res-Rec Equations'!$B$22*1000*'Res-Rec Equations'!$B$25*'Chemical Info'!J160*'Res-Rec Calculations'!E159,IF('Chemical Info'!D160="Yes",'Res-Rec Equations'!$B$22*1000*(('Res-Rec Equations'!$B$26*'Chemical Info'!J160*'Res-Rec Equations'!$B$59)+('Res-Rec Equations'!$B$27*'Chemical Info'!J160*'Res-Rec Equations'!$B$60)+('Res-Rec Equations'!$B$28*'Chemical Info'!J160*'Res-Rec Equations'!$B$61))*('Res-Rec Calculations'!C159+'Res-Rec Calculations'!E159),IF('Chemical Info'!D160="",'Res-Rec Equations'!$B$22*1000*'Res-Rec Equations'!$B$25*'Chemical Info'!J160*('Res-Rec Calculations'!C159+'Res-Rec Calculations'!E159))))))))</f>
        <v>NA</v>
      </c>
      <c r="K159" s="370" t="str">
        <f>IF('Chemical Info'!J160="NA","NA",IF(AND(F159="NA",'Chemical Info'!D160="Yes"),'Res-Rec Equations'!$B$22*1000*(('Res-Rec Equations'!$B$26*'Chemical Info'!J160*'Res-Rec Equations'!$B$59)+('Res-Rec Equations'!$B$27*'Chemical Info'!J160*'Res-Rec Equations'!$B$60)+('Res-Rec Equations'!$B$28*'Chemical Info'!J160*'Res-Rec Equations'!$B$61))*'Res-Rec Calculations'!C159,IF(AND(F159="NA",'Chemical Info'!D160=""),'Res-Rec Equations'!$B$22*1000*'Res-Rec Equations'!$B$25*'Chemical Info'!J160*'Res-Rec Calculations'!C159,IF(AND('Chemical Info'!F160="Yes",'Chemical Info'!D160="Yes"),'Res-Rec Equations'!$B$22*1000*(('Res-Rec Equations'!$B$26*'Chemical Info'!J160*'Res-Rec Equations'!$B$59)+('Res-Rec Equations'!$B$27*'Chemical Info'!J160*'Res-Rec Equations'!$B$60)+('Res-Rec Equations'!$B$28*'Chemical Info'!J160*'Res-Rec Equations'!$B$61))*'Res-Rec Calculations'!F159,IF(AND('Chemical Info'!F160="Yes",'Chemical Info'!D160=""),'Res-Rec Equations'!$B$22*1000*'Res-Rec Equations'!$B$25*'Chemical Info'!J160*'Res-Rec Calculations'!F159,IF('Chemical Info'!D160="Yes",'Res-Rec Equations'!$B$22*1000*(('Res-Rec Equations'!$B$26*'Chemical Info'!J160*'Res-Rec Equations'!$B$59)+('Res-Rec Equations'!$B$27*'Chemical Info'!J160*'Res-Rec Equations'!$B$60)+('Res-Rec Equations'!$B$28*'Chemical Info'!J160*'Res-Rec Equations'!$B$61))*('Res-Rec Calculations'!C159+'Res-Rec Calculations'!F159),IF('Chemical Info'!D160="",'Res-Rec Equations'!$B$22*1000*'Res-Rec Equations'!$B$25*'Chemical Info'!J160*('Res-Rec Calculations'!C159+'Res-Rec Calculations'!F159))))))))</f>
        <v>NA</v>
      </c>
      <c r="L159" s="417" t="str">
        <f>IF(AND(H159="NA",I159="NA",J159="NA"),"NA",IF(H159="NA",'Res-Rec Equations'!$B$15*'Res-Rec Equations'!$B$16/J159,IF(J159="NA",'Res-Rec Equations'!$B$15*'Res-Rec Equations'!$B$16/(H159+I159),'Res-Rec Equations'!$B$15*'Res-Rec Equations'!$B$16/(H159+I159+J159))))</f>
        <v>NA</v>
      </c>
      <c r="M159" s="417" t="str">
        <f>IF(AND(H159="NA",I159="NA",K159="NA"),"NA",IF(H159="NA",'Res-Rec Equations'!$B$15*'Res-Rec Equations'!$B$16/K159,IF(K159="NA",'Res-Rec Equations'!$B$15*'Res-Rec Equations'!$B$16/(H159+I159),'Res-Rec Equations'!$B$15*'Res-Rec Equations'!$B$16/(H159+I159+K159))))</f>
        <v>NA</v>
      </c>
      <c r="N159" s="417" t="str">
        <f>IF(AND(L159="NA",M159="NA"),"NA",MAX(L159,M159))</f>
        <v>NA</v>
      </c>
      <c r="O159" s="418">
        <f>IF('Chemical Info'!L160="NA","NA",IF('Chemical Info'!E160="Yes",(('Res-Rec Equations'!$B$76*'Chemical Info'!AD160*'Res-Rec Equations'!$B$78*'Res-Rec Equations'!$B$79*'Res-Rec Equations'!$B$81)/('Res-Rec Equations'!$B$84*'Res-Rec Equations'!$B$85))/'Chemical Info'!L160,(('Res-Rec Equations'!$B$76*'Chemical Info'!AD160*'Res-Rec Equations'!$B$78*'Res-Rec Equations'!$B$79*'Res-Rec Equations'!$B$80)/('Res-Rec Equations'!$B$84*'Res-Rec Equations'!$B$85))/'Chemical Info'!L160))</f>
        <v>6392.6940639269396</v>
      </c>
      <c r="P159" s="369">
        <f>IF('Chemical Info'!L160="NA","NA", IF('Chemical Info'!E160="Yes",0,((('Res-Rec Equations'!$B$87*'Res-Rec Equations'!$B$88*'Res-Rec Equations'!$B$78*'Res-Rec Equations'!$B$82*'Res-Rec Equations'!$B$79*'Chemical Info'!AB160)/('Res-Rec Equations'!$B$84*'Res-Rec Equations'!$B$85))/('Chemical Info'!L160*'Chemical Info'!AF160))))</f>
        <v>1083.5616438356162</v>
      </c>
      <c r="Q159" s="369" t="str">
        <f>IF('Chemical Info'!N160="NA","NA",IF('Res-Rec Calculations'!E159="NA",(('Res-Rec Equations'!$B$83*'Res-Rec Equations'!$B$79*'Res-Rec Calculations'!C159)/('Res-Rec Equations'!$B$85))/('Chemical Info'!N160),IF('Chemical Info'!E160="Yes",(('Res-Rec Equations'!$B$83*'Res-Rec Equations'!$B$79*'Res-Rec Calculations'!E159)/('Res-Rec Equations'!$B$85))/('Chemical Info'!N160),(('Res-Rec Equations'!$B$83*'Res-Rec Equations'!$B$79*('Res-Rec Calculations'!C159+'Res-Rec Calculations'!E159))/('Res-Rec Equations'!$B$85))/('Chemical Info'!N160))))</f>
        <v>NA</v>
      </c>
      <c r="R159" s="369" t="str">
        <f>IF('Chemical Info'!N160="NA","NA",IF('Res-Rec Calculations'!F159="NA",(('Res-Rec Equations'!$B$83*'Res-Rec Equations'!$B$79*'Res-Rec Calculations'!C159)/('Res-Rec Equations'!$B$85))/('Chemical Info'!N160),IF('Chemical Info'!E160="Yes",(('Res-Rec Equations'!$B$83*'Res-Rec Equations'!$B$79*'Res-Rec Calculations'!F159)/('Res-Rec Equations'!$B$85))/('Chemical Info'!N160),(('Res-Rec Equations'!$B$83*'Res-Rec Equations'!$B$79*('Res-Rec Calculations'!C159+'Res-Rec Calculations'!F159))/('Res-Rec Equations'!$B$85))/('Chemical Info'!N160))))</f>
        <v>NA</v>
      </c>
      <c r="S159" s="417">
        <f>IF(AND(O159="NA",P159="NA",Q159="NA"),"NA",IF(O159="NA",'Res-Rec Equations'!$B$75/Q159,IF(Q159="NA",'Res-Rec Equations'!$B$75/(O159+P159),'Res-Rec Equations'!$B$75/(O159+P159+Q159))))</f>
        <v>2.6751358944603927E-5</v>
      </c>
      <c r="T159" s="417">
        <f>IF(AND(O159="NA",P159="NA",R159="NA"),"NA",IF(O159="NA",'Res-Rec Equations'!$B$75/R159,IF(R159="NA",'Res-Rec Equations'!$B$75/(O159+P159),'Res-Rec Equations'!$B$75/(O159+P159+R159))))</f>
        <v>2.6751358944603927E-5</v>
      </c>
      <c r="U159" s="419">
        <f>IF(AND(S159="NA",T159="NA"),"NA",MAX(S159,T159))</f>
        <v>2.6751358944603927E-5</v>
      </c>
      <c r="V159" s="417" t="str">
        <f>IF('Chemical Info'!P160="NA","NA",(('Res-Rec Equations'!$B$185*'Res-Rec Equations'!$B$186)/('Res-Rec Equations'!$B$187*'Res-Rec Equations'!$B$188*(1/'Chemical Info'!P160))))</f>
        <v>NA</v>
      </c>
      <c r="W159" s="729" t="str">
        <f>IF(V159="NA","NA",IF(V159&gt;100000,100000,IF(ISNUMBER(ROUND(V159*1000000,2-LEN(INT(V159*1000000)))/1000000),ROUND(V159*1000000,2-LEN(INT(V159*1000000)))/1000000,"NA")))</f>
        <v>NA</v>
      </c>
      <c r="X159" s="418">
        <f>IF(AND(N159="NA",U159="NA",G159="NA"),"NA",MIN(N159,U159,G159))</f>
        <v>2.6751358944603927E-5</v>
      </c>
      <c r="Y159" s="369">
        <f>IF(X159&gt;100000,100000,IF(ISNUMBER(ROUND(X159*1000000,2-LEN(INT(X159*1000000)))/1000000),ROUND(X159*1000000,2-LEN(INT(X159*1000000)))/1000000,"NA"))</f>
        <v>2.6999999999999999E-5</v>
      </c>
      <c r="Z159" s="730" t="str">
        <f>IF(Y159=100000,"Max Limit",IF(X159=G159,"Csat",IF(X159=N159,"Cancer",IF(X159=V159,"Acute",IF(X159=U159,"Noncancer","")))))</f>
        <v>Noncancer</v>
      </c>
      <c r="AA159" s="413"/>
    </row>
    <row r="160" spans="1:28" s="420" customFormat="1" ht="13.5" customHeight="1">
      <c r="A160" s="727" t="s">
        <v>1734</v>
      </c>
      <c r="B160" s="728" t="s">
        <v>1735</v>
      </c>
      <c r="C160" s="367">
        <f>1/(('Res-Rec Equations'!$B$152*3600)/((0.036*(1-'Res-Rec Equations'!$B$153))*('Res-Rec Equations'!$B$154/'Res-Rec Equations'!$B$155)^3*'Res-Rec Equations'!$B$156))</f>
        <v>7.3567680901159717E-10</v>
      </c>
      <c r="D160" s="416">
        <f>(('Res-Rec Equations'!$B$132^(10/3)*'Chemical Info'!$AH161*'Chemical Info'!$AN161*41+'Res-Rec Equations'!$B$135^(10/3)*'Chemical Info'!$AJ161)/'Res-Rec Equations'!$B$137^2)/('Res-Rec Equations'!$B$139*'Chemical Info'!$AL161*'Res-Rec Equations'!$B$142+'Res-Rec Equations'!$B$135+'Res-Rec Equations'!$B$132*'Chemical Info'!$AN161*41)</f>
        <v>1.5429909491434709E-8</v>
      </c>
      <c r="E160" s="416">
        <f>IF(D160=0,"NA",1/(('Res-Rec Equations'!$B$103*(3.14*'Res-Rec Calculations'!$D160*'Res-Rec Equations'!$B$105)^(1/2)*0.0001)/(2*'Res-Rec Equations'!$B$106*'Res-Rec Calculations'!$D160)))</f>
        <v>7.2913890741638851E-7</v>
      </c>
      <c r="F160" s="416">
        <f>IF(D160=0,"NA",(1/('Res-Rec Equations'!$B$117*('Res-Rec Equations'!$B$118*(31500000))/('Res-Rec Equations'!$B$119*'Res-Rec Equations'!$B$120*1000000))))</f>
        <v>6.1914410640015851E-5</v>
      </c>
      <c r="G160" s="417" t="str">
        <f>IF('Chemical Info'!E161="Yes",('Chemical Info'!AP161/'Res-Rec Equations'!$B$168)*((('Chemical Info'!AL161*'Res-Rec Equations'!$B$170)*'Res-Rec Equations'!$B$168)+'Res-Rec Equations'!$B$171+('Chemical Info'!AN161*41)*'Res-Rec Equations'!$B$173),"NA")</f>
        <v>NA</v>
      </c>
      <c r="H160" s="161" t="str">
        <f>IF('Chemical Info'!H161="NA","NA",IF(AND('Chemical Info'!E161="Yes",'Chemical Info'!D161="Yes"),'Chemical Info'!H161*'Chemical Info'!AD161*'Res-Rec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Info'!E161="Yes",'Chemical Info'!D161=""),'Chemical Info'!H161*'Chemical Info'!AD161*'Res-Rec Equations'!$B$20*'Res-Rec Equations'!$B$23*((('Res-Rec Equations'!$B$26*'Res-Rec Equations'!$B$29)/'Res-Rec Equations'!$B$32)+(('Res-Rec Equations'!$B$27*'Res-Rec Equations'!$B$30)/'Res-Rec Equations'!$B$33)+(('Res-Rec Equations'!$B$28*'Res-Rec Equations'!$B$31)/'Res-Rec Equations'!$B$34)),IF(AND('Chemical Info'!E161="No",'Chemical Info'!D161="Yes"),'Chemical Info'!H161*'Chemical Info'!AD161*'Res-Rec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Info'!E161="No",'Chemical Info'!D161=""),'Chemical Info'!H161*'Chemical Info'!AD161*'Res-Rec Equations'!$B$19*'Res-Rec Equations'!$B$23*((('Res-Rec Equations'!$B$26*'Res-Rec Equations'!$B$29)/'Res-Rec Equations'!$B$32)+(('Res-Rec Equations'!$B$27*'Res-Rec Equations'!$B$30)/'Res-Rec Equations'!$B$33)+(('Res-Rec Equations'!$B$28*'Res-Rec Equations'!$B$31)/'Res-Rec Equations'!$B$34)))))))</f>
        <v>NA</v>
      </c>
      <c r="I160" s="369" t="str">
        <f>IF('Chemical Info'!H161="NA","NA",IF('Chemical Info'!E161="Yes",0,IF('Chemical Info'!D161="Yes",'Chemical Info'!H161/'Chemical Info'!AF161*('Res-Rec Equations'!$B$21*'Chemical Info'!AB161*'Res-Rec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Info'!H161/'Chemical Info'!AF161*('Res-Rec Equations'!$B$21*'Chemical Info'!AB161*'Res-Rec Equations'!$B$23)*((('Res-Rec Equations'!$B$26*'Res-Rec Equations'!$B$37*'Res-Rec Equations'!$B$40)/'Res-Rec Equations'!$B$32)+(('Res-Rec Equations'!$B$27*'Res-Rec Equations'!$B$38*'Res-Rec Equations'!$B$41)/'Res-Rec Equations'!$B$33)+(('Res-Rec Equations'!$B$28*'Res-Rec Equations'!$B$39*'Res-Rec Equations'!$B$42)/'Res-Rec Equations'!$B$34)))))</f>
        <v>NA</v>
      </c>
      <c r="J160" s="369" t="str">
        <f>IF('Chemical Info'!J161="NA","NA",IF(AND(E160="NA",'Chemical Info'!D161="Yes"),'Res-Rec Equations'!$B$22*1000*(('Res-Rec Equations'!$B$26*'Chemical Info'!J161*'Res-Rec Equations'!$B$59)+('Res-Rec Equations'!$B$27*'Chemical Info'!J161*'Res-Rec Equations'!$B$60)+('Res-Rec Equations'!$B$28*'Chemical Info'!J161*'Res-Rec Equations'!$B$61))*'Res-Rec Calculations'!C160,IF(AND(E160="NA",'Chemical Info'!D161=""),'Res-Rec Equations'!$B$22*1000*'Res-Rec Equations'!$B$25*'Chemical Info'!J161*'Res-Rec Calculations'!C160,IF(AND('Chemical Info'!E161="Yes",'Chemical Info'!D161="Yes"),'Res-Rec Equations'!$B$22*1000*(('Res-Rec Equations'!$B$26*'Chemical Info'!J161*'Res-Rec Equations'!$B$59)+('Res-Rec Equations'!$B$27*'Chemical Info'!J161*'Res-Rec Equations'!$B$60)+('Res-Rec Equations'!$B$28*'Chemical Info'!J161*'Res-Rec Equations'!$B$61))*'Res-Rec Calculations'!E160,IF(AND('Chemical Info'!E161="Yes",'Chemical Info'!D161=""),'Res-Rec Equations'!$B$22*1000*'Res-Rec Equations'!$B$25*'Chemical Info'!J161*'Res-Rec Calculations'!E160,IF('Chemical Info'!D161="Yes",'Res-Rec Equations'!$B$22*1000*(('Res-Rec Equations'!$B$26*'Chemical Info'!J161*'Res-Rec Equations'!$B$59)+('Res-Rec Equations'!$B$27*'Chemical Info'!J161*'Res-Rec Equations'!$B$60)+('Res-Rec Equations'!$B$28*'Chemical Info'!J161*'Res-Rec Equations'!$B$61))*('Res-Rec Calculations'!C160+'Res-Rec Calculations'!E160),IF('Chemical Info'!D161="",'Res-Rec Equations'!$B$22*1000*'Res-Rec Equations'!$B$25*'Chemical Info'!J161*('Res-Rec Calculations'!C160+'Res-Rec Calculations'!E160))))))))</f>
        <v>NA</v>
      </c>
      <c r="K160" s="370" t="str">
        <f>IF('Chemical Info'!J161="NA","NA",IF(AND(F160="NA",'Chemical Info'!D161="Yes"),'Res-Rec Equations'!$B$22*1000*(('Res-Rec Equations'!$B$26*'Chemical Info'!J161*'Res-Rec Equations'!$B$59)+('Res-Rec Equations'!$B$27*'Chemical Info'!J161*'Res-Rec Equations'!$B$60)+('Res-Rec Equations'!$B$28*'Chemical Info'!J161*'Res-Rec Equations'!$B$61))*'Res-Rec Calculations'!C160,IF(AND(F160="NA",'Chemical Info'!D161=""),'Res-Rec Equations'!$B$22*1000*'Res-Rec Equations'!$B$25*'Chemical Info'!J161*'Res-Rec Calculations'!C160,IF(AND('Chemical Info'!F161="Yes",'Chemical Info'!D161="Yes"),'Res-Rec Equations'!$B$22*1000*(('Res-Rec Equations'!$B$26*'Chemical Info'!J161*'Res-Rec Equations'!$B$59)+('Res-Rec Equations'!$B$27*'Chemical Info'!J161*'Res-Rec Equations'!$B$60)+('Res-Rec Equations'!$B$28*'Chemical Info'!J161*'Res-Rec Equations'!$B$61))*'Res-Rec Calculations'!F160,IF(AND('Chemical Info'!F161="Yes",'Chemical Info'!D161=""),'Res-Rec Equations'!$B$22*1000*'Res-Rec Equations'!$B$25*'Chemical Info'!J161*'Res-Rec Calculations'!F160,IF('Chemical Info'!D161="Yes",'Res-Rec Equations'!$B$22*1000*(('Res-Rec Equations'!$B$26*'Chemical Info'!J161*'Res-Rec Equations'!$B$59)+('Res-Rec Equations'!$B$27*'Chemical Info'!J161*'Res-Rec Equations'!$B$60)+('Res-Rec Equations'!$B$28*'Chemical Info'!J161*'Res-Rec Equations'!$B$61))*('Res-Rec Calculations'!C160+'Res-Rec Calculations'!F160),IF('Chemical Info'!D161="",'Res-Rec Equations'!$B$22*1000*'Res-Rec Equations'!$B$25*'Chemical Info'!J161*('Res-Rec Calculations'!C160+'Res-Rec Calculations'!F160))))))))</f>
        <v>NA</v>
      </c>
      <c r="L160" s="417" t="str">
        <f>IF(AND(H160="NA",I160="NA",J160="NA"),"NA",IF(H160="NA",'Res-Rec Equations'!$B$15*'Res-Rec Equations'!$B$16/J160,IF(J160="NA",'Res-Rec Equations'!$B$15*'Res-Rec Equations'!$B$16/(H160+I160),'Res-Rec Equations'!$B$15*'Res-Rec Equations'!$B$16/(H160+I160+J160))))</f>
        <v>NA</v>
      </c>
      <c r="M160" s="417" t="str">
        <f>IF(AND(H160="NA",I160="NA",K160="NA"),"NA",IF(H160="NA",'Res-Rec Equations'!$B$15*'Res-Rec Equations'!$B$16/K160,IF(K160="NA",'Res-Rec Equations'!$B$15*'Res-Rec Equations'!$B$16/(H160+I160),'Res-Rec Equations'!$B$15*'Res-Rec Equations'!$B$16/(H160+I160+K160))))</f>
        <v>NA</v>
      </c>
      <c r="N160" s="417" t="str">
        <f>IF(AND(L160="NA",M160="NA"),"NA",MAX(L160,M160))</f>
        <v>NA</v>
      </c>
      <c r="O160" s="418">
        <f>IF('Chemical Info'!L161="NA","NA",IF('Chemical Info'!E161="Yes",(('Res-Rec Equations'!$B$76*'Chemical Info'!AD161*'Res-Rec Equations'!$B$78*'Res-Rec Equations'!$B$79*'Res-Rec Equations'!$B$81)/('Res-Rec Equations'!$B$84*'Res-Rec Equations'!$B$85))/'Chemical Info'!L161,(('Res-Rec Equations'!$B$76*'Chemical Info'!AD161*'Res-Rec Equations'!$B$78*'Res-Rec Equations'!$B$79*'Res-Rec Equations'!$B$80)/('Res-Rec Equations'!$B$84*'Res-Rec Equations'!$B$85))/'Chemical Info'!L161))</f>
        <v>4.2617960426179602</v>
      </c>
      <c r="P160" s="369">
        <f>IF('Chemical Info'!L161="NA","NA", IF('Chemical Info'!E161="Yes",0,((('Res-Rec Equations'!$B$87*'Res-Rec Equations'!$B$88*'Res-Rec Equations'!$B$78*'Res-Rec Equations'!$B$82*'Res-Rec Equations'!$B$79*'Chemical Info'!AB161)/('Res-Rec Equations'!$B$84*'Res-Rec Equations'!$B$85))/('Chemical Info'!L161*'Chemical Info'!AF161))))</f>
        <v>0.72237442922374429</v>
      </c>
      <c r="Q160" s="369" t="str">
        <f>IF('Chemical Info'!N161="NA","NA",IF('Res-Rec Calculations'!E160="NA",(('Res-Rec Equations'!$B$83*'Res-Rec Equations'!$B$79*'Res-Rec Calculations'!C160)/('Res-Rec Equations'!$B$85))/('Chemical Info'!N161),IF('Chemical Info'!E161="Yes",(('Res-Rec Equations'!$B$83*'Res-Rec Equations'!$B$79*'Res-Rec Calculations'!E160)/('Res-Rec Equations'!$B$85))/('Chemical Info'!N161),(('Res-Rec Equations'!$B$83*'Res-Rec Equations'!$B$79*('Res-Rec Calculations'!C160+'Res-Rec Calculations'!E160))/('Res-Rec Equations'!$B$85))/('Chemical Info'!N161))))</f>
        <v>NA</v>
      </c>
      <c r="R160" s="369" t="str">
        <f>IF('Chemical Info'!N161="NA","NA",IF('Res-Rec Calculations'!F160="NA",(('Res-Rec Equations'!$B$83*'Res-Rec Equations'!$B$79*'Res-Rec Calculations'!C160)/('Res-Rec Equations'!$B$85))/('Chemical Info'!N161),IF('Chemical Info'!E161="Yes",(('Res-Rec Equations'!$B$83*'Res-Rec Equations'!$B$79*'Res-Rec Calculations'!F160)/('Res-Rec Equations'!$B$85))/('Chemical Info'!N161),(('Res-Rec Equations'!$B$83*'Res-Rec Equations'!$B$79*('Res-Rec Calculations'!C160+'Res-Rec Calculations'!F160))/('Res-Rec Equations'!$B$85))/('Chemical Info'!N161))))</f>
        <v>NA</v>
      </c>
      <c r="S160" s="417">
        <f>IF(AND(O160="NA",P160="NA",Q160="NA"),"NA",IF(O160="NA",'Res-Rec Equations'!$B$75/Q160,IF(Q160="NA",'Res-Rec Equations'!$B$75/(O160+P160),'Res-Rec Equations'!$B$75/(O160+P160+Q160))))</f>
        <v>4.0127038416905889E-2</v>
      </c>
      <c r="T160" s="417">
        <f>IF(AND(O160="NA",P160="NA",R160="NA"),"NA",IF(O160="NA",'Res-Rec Equations'!$B$75/R160,IF(R160="NA",'Res-Rec Equations'!$B$75/(O160+P160),'Res-Rec Equations'!$B$75/(O160+P160+R160))))</f>
        <v>4.0127038416905889E-2</v>
      </c>
      <c r="U160" s="419">
        <f>IF(AND(S160="NA",T160="NA"),"NA",MAX(S160,T160))</f>
        <v>4.0127038416905889E-2</v>
      </c>
      <c r="V160" s="417" t="str">
        <f>IF('Chemical Info'!P161="NA","NA",(('Res-Rec Equations'!$B$185*'Res-Rec Equations'!$B$186)/('Res-Rec Equations'!$B$187*'Res-Rec Equations'!$B$188*(1/'Chemical Info'!P161))))</f>
        <v>NA</v>
      </c>
      <c r="W160" s="729" t="str">
        <f>IF(V160="NA","NA",IF(V160&gt;100000,100000,IF(ISNUMBER(ROUND(V160*1000000,2-LEN(INT(V160*1000000)))/1000000),ROUND(V160*1000000,2-LEN(INT(V160*1000000)))/1000000,"NA")))</f>
        <v>NA</v>
      </c>
      <c r="X160" s="418">
        <f>IF(AND(N160="NA",U160="NA",G160="NA"),"NA",MIN(N160,U160,G160))</f>
        <v>4.0127038416905889E-2</v>
      </c>
      <c r="Y160" s="369">
        <f>IF(X160&gt;100000,100000,IF(ISNUMBER(ROUND(X160*1000000,2-LEN(INT(X160*1000000)))/1000000),ROUND(X160*1000000,2-LEN(INT(X160*1000000)))/1000000,"NA"))</f>
        <v>0.04</v>
      </c>
      <c r="Z160" s="730" t="str">
        <f>IF(Y160=100000,"Max Limit",IF(X160=G160,"Csat",IF(X160=N160,"Cancer",IF(X160=V160,"Acute",IF(X160=U160,"Noncancer","")))))</f>
        <v>Noncancer</v>
      </c>
      <c r="AA160" s="413"/>
    </row>
    <row r="161" spans="1:28" ht="13.5" customHeight="1">
      <c r="A161" s="413" t="s">
        <v>1269</v>
      </c>
      <c r="B161" s="566" t="s">
        <v>1270</v>
      </c>
      <c r="C161" s="367">
        <f>1/(('Res-Rec Equations'!$B$152*3600)/((0.036*(1-'Res-Rec Equations'!$B$153))*('Res-Rec Equations'!$B$154/'Res-Rec Equations'!$B$155)^3*'Res-Rec Equations'!$B$156))</f>
        <v>7.3567680901159717E-10</v>
      </c>
      <c r="D161" s="368">
        <f>(('Res-Rec Equations'!$B$132^(10/3)*'Chemical Info'!$AH162*'Chemical Info'!$AN162*41+'Res-Rec Equations'!$B$135^(10/3)*'Chemical Info'!$AJ162)/'Res-Rec Equations'!$B$137^2)/('Res-Rec Equations'!$B$139*'Chemical Info'!$AL162*'Res-Rec Equations'!$B$142+'Res-Rec Equations'!$B$135+'Res-Rec Equations'!$B$132*'Chemical Info'!$AN162*41)</f>
        <v>2.4164280739050506E-7</v>
      </c>
      <c r="E161" s="416">
        <f>IF(D161=0,"NA",1/(('Res-Rec Equations'!$B$103*(3.14*'Res-Rec Calculations'!$D161*'Res-Rec Equations'!$B$105)^(1/2)*0.0001)/(2*'Res-Rec Equations'!$B$106*'Res-Rec Calculations'!$D161)))</f>
        <v>2.8854630692791299E-6</v>
      </c>
      <c r="F161" s="416">
        <f>IF(D161=0,"NA",(1/('Res-Rec Equations'!$B$117*('Res-Rec Equations'!$B$118*(31500000))/('Res-Rec Equations'!$B$119*'Res-Rec Equations'!$B$120*1000000))))</f>
        <v>6.1914410640015851E-5</v>
      </c>
      <c r="G161" s="425"/>
      <c r="H161" s="112" t="str">
        <f>IF('Chemical Info'!H162="NA","NA",IF(AND('Chemical Info'!E162="Yes",'Chemical Info'!D162="Yes"),'Chemical Info'!H162*'Chemical Info'!AD162*'Res-Rec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Info'!E162="Yes",'Chemical Info'!D162=""),'Chemical Info'!H162*'Chemical Info'!AD162*'Res-Rec Equations'!$B$20*'Res-Rec Equations'!$B$23*((('Res-Rec Equations'!$B$26*'Res-Rec Equations'!$B$29)/'Res-Rec Equations'!$B$32)+(('Res-Rec Equations'!$B$27*'Res-Rec Equations'!$B$30)/'Res-Rec Equations'!$B$33)+(('Res-Rec Equations'!$B$28*'Res-Rec Equations'!$B$31)/'Res-Rec Equations'!$B$34)),IF(AND('Chemical Info'!E162="No",'Chemical Info'!D162="Yes"),'Chemical Info'!H162*'Chemical Info'!AD162*'Res-Rec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Info'!E162="No",'Chemical Info'!D162=""),'Chemical Info'!H162*'Chemical Info'!AD162*'Res-Rec Equations'!$B$19*'Res-Rec Equations'!$B$23*((('Res-Rec Equations'!$B$26*'Res-Rec Equations'!$B$29)/'Res-Rec Equations'!$B$32)+(('Res-Rec Equations'!$B$27*'Res-Rec Equations'!$B$30)/'Res-Rec Equations'!$B$33)+(('Res-Rec Equations'!$B$28*'Res-Rec Equations'!$B$31)/'Res-Rec Equations'!$B$34)))))))</f>
        <v>NA</v>
      </c>
      <c r="I161" s="166" t="str">
        <f>IF('Chemical Info'!H162="NA","NA",IF('Chemical Info'!E162="Yes",0,IF('Chemical Info'!D162="Yes",'Chemical Info'!H162/'Chemical Info'!AF162*('Res-Rec Equations'!$B$21*'Chemical Info'!AB162*'Res-Rec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Info'!H162/'Chemical Info'!AF162*('Res-Rec Equations'!$B$21*'Chemical Info'!AB162*'Res-Rec Equations'!$B$23)*((('Res-Rec Equations'!$B$26*'Res-Rec Equations'!$B$37*'Res-Rec Equations'!$B$40)/'Res-Rec Equations'!$B$32)+(('Res-Rec Equations'!$B$27*'Res-Rec Equations'!$B$38*'Res-Rec Equations'!$B$41)/'Res-Rec Equations'!$B$33)+(('Res-Rec Equations'!$B$28*'Res-Rec Equations'!$B$39*'Res-Rec Equations'!$B$42)/'Res-Rec Equations'!$B$34)))))</f>
        <v>NA</v>
      </c>
      <c r="J161" s="369" t="str">
        <f>IF('Chemical Info'!J162="NA","NA",IF(AND(E161="NA",'Chemical Info'!D162="Yes"),'Res-Rec Equations'!$B$22*1000*(('Res-Rec Equations'!$B$26*'Chemical Info'!J162*'Res-Rec Equations'!$B$59)+('Res-Rec Equations'!$B$27*'Chemical Info'!J162*'Res-Rec Equations'!$B$60)+('Res-Rec Equations'!$B$28*'Chemical Info'!J162*'Res-Rec Equations'!$B$61))*'Res-Rec Calculations'!C161,IF(AND(E161="NA",'Chemical Info'!D162=""),'Res-Rec Equations'!$B$22*1000*'Res-Rec Equations'!$B$25*'Chemical Info'!J162*'Res-Rec Calculations'!C161,IF(AND('Chemical Info'!E162="Yes",'Chemical Info'!D162="Yes"),'Res-Rec Equations'!$B$22*1000*(('Res-Rec Equations'!$B$26*'Chemical Info'!J162*'Res-Rec Equations'!$B$59)+('Res-Rec Equations'!$B$27*'Chemical Info'!J162*'Res-Rec Equations'!$B$60)+('Res-Rec Equations'!$B$28*'Chemical Info'!J162*'Res-Rec Equations'!$B$61))*'Res-Rec Calculations'!E161,IF(AND('Chemical Info'!E162="Yes",'Chemical Info'!D162=""),'Res-Rec Equations'!$B$22*1000*'Res-Rec Equations'!$B$25*'Chemical Info'!J162*'Res-Rec Calculations'!E161,IF('Chemical Info'!D162="Yes",'Res-Rec Equations'!$B$22*1000*(('Res-Rec Equations'!$B$26*'Chemical Info'!J162*'Res-Rec Equations'!$B$59)+('Res-Rec Equations'!$B$27*'Chemical Info'!J162*'Res-Rec Equations'!$B$60)+('Res-Rec Equations'!$B$28*'Chemical Info'!J162*'Res-Rec Equations'!$B$61))*('Res-Rec Calculations'!C161+'Res-Rec Calculations'!E161),IF('Chemical Info'!D162="",'Res-Rec Equations'!$B$22*1000*'Res-Rec Equations'!$B$25*'Chemical Info'!J162*('Res-Rec Calculations'!C161+'Res-Rec Calculations'!E161))))))))</f>
        <v>NA</v>
      </c>
      <c r="K161" s="370" t="str">
        <f>IF('Chemical Info'!J162="NA","NA",IF(AND(F161="NA",'Chemical Info'!D162="Yes"),'Res-Rec Equations'!$B$22*1000*(('Res-Rec Equations'!$B$26*'Chemical Info'!J162*'Res-Rec Equations'!$B$59)+('Res-Rec Equations'!$B$27*'Chemical Info'!J162*'Res-Rec Equations'!$B$60)+('Res-Rec Equations'!$B$28*'Chemical Info'!J162*'Res-Rec Equations'!$B$61))*'Res-Rec Calculations'!C161,IF(AND(F161="NA",'Chemical Info'!D162=""),'Res-Rec Equations'!$B$22*1000*'Res-Rec Equations'!$B$25*'Chemical Info'!J162*'Res-Rec Calculations'!C161,IF(AND('Chemical Info'!F162="Yes",'Chemical Info'!D162="Yes"),'Res-Rec Equations'!$B$22*1000*(('Res-Rec Equations'!$B$26*'Chemical Info'!J162*'Res-Rec Equations'!$B$59)+('Res-Rec Equations'!$B$27*'Chemical Info'!J162*'Res-Rec Equations'!$B$60)+('Res-Rec Equations'!$B$28*'Chemical Info'!J162*'Res-Rec Equations'!$B$61))*'Res-Rec Calculations'!F161,IF(AND('Chemical Info'!F162="Yes",'Chemical Info'!D162=""),'Res-Rec Equations'!$B$22*1000*'Res-Rec Equations'!$B$25*'Chemical Info'!J162*'Res-Rec Calculations'!F161,IF('Chemical Info'!D162="Yes",'Res-Rec Equations'!$B$22*1000*(('Res-Rec Equations'!$B$26*'Chemical Info'!J162*'Res-Rec Equations'!$B$59)+('Res-Rec Equations'!$B$27*'Chemical Info'!J162*'Res-Rec Equations'!$B$60)+('Res-Rec Equations'!$B$28*'Chemical Info'!J162*'Res-Rec Equations'!$B$61))*('Res-Rec Calculations'!C161+'Res-Rec Calculations'!F161),IF('Chemical Info'!D162="",'Res-Rec Equations'!$B$22*1000*'Res-Rec Equations'!$B$25*'Chemical Info'!J162*('Res-Rec Calculations'!C161+'Res-Rec Calculations'!F161))))))))</f>
        <v>NA</v>
      </c>
      <c r="L161" s="167" t="str">
        <f>IF(AND(H161="NA",I161="NA",J161="NA"),"NA",IF(H161="NA",'Res-Rec Equations'!$B$15*'Res-Rec Equations'!$B$16/J161,IF(J161="NA",'Res-Rec Equations'!$B$15*'Res-Rec Equations'!$B$16/(H161+I161),'Res-Rec Equations'!$B$15*'Res-Rec Equations'!$B$16/(H161+I161+J161))))</f>
        <v>NA</v>
      </c>
      <c r="M161" s="167" t="str">
        <f>IF(AND(H161="NA",I161="NA",K161="NA"),"NA",IF(H161="NA",'Res-Rec Equations'!$B$15*'Res-Rec Equations'!$B$16/K161,IF(K161="NA",'Res-Rec Equations'!$B$15*'Res-Rec Equations'!$B$16/(H161+I161),'Res-Rec Equations'!$B$15*'Res-Rec Equations'!$B$16/(H161+I161+K161))))</f>
        <v>NA</v>
      </c>
      <c r="N161" s="167" t="str">
        <f>IF(AND(L161="NA",M161="NA"),"NA",MAX(L161,M161))</f>
        <v>NA</v>
      </c>
      <c r="O161" s="371">
        <f>IF('Chemical Info'!L162="NA","NA",IF('Chemical Info'!E162="Yes",(('Res-Rec Equations'!$B$76*'Chemical Info'!AD162*'Res-Rec Equations'!$B$78*'Res-Rec Equations'!$B$79*'Res-Rec Equations'!$B$81)/('Res-Rec Equations'!$B$84*'Res-Rec Equations'!$B$85))/'Chemical Info'!L162,(('Res-Rec Equations'!$B$76*'Chemical Info'!AD162*'Res-Rec Equations'!$B$78*'Res-Rec Equations'!$B$79*'Res-Rec Equations'!$B$80)/('Res-Rec Equations'!$B$84*'Res-Rec Equations'!$B$85))/'Chemical Info'!L162))</f>
        <v>3.0441400304414001</v>
      </c>
      <c r="P161" s="166">
        <f>IF('Chemical Info'!L162="NA","NA", IF('Chemical Info'!E162="Yes",0,((('Res-Rec Equations'!$B$87*'Res-Rec Equations'!$B$88*'Res-Rec Equations'!$B$78*'Res-Rec Equations'!$B$82*'Res-Rec Equations'!$B$79*'Chemical Info'!AB162)/('Res-Rec Equations'!$B$84*'Res-Rec Equations'!$B$85))/('Chemical Info'!L162*'Chemical Info'!AF162))))</f>
        <v>0</v>
      </c>
      <c r="Q161" s="166" t="str">
        <f>IF('Chemical Info'!N162="NA","NA",IF('Res-Rec Calculations'!E161="NA",(('Res-Rec Equations'!$B$83*'Res-Rec Equations'!$B$79*'Res-Rec Calculations'!C161)/('Res-Rec Equations'!$B$85))/('Chemical Info'!N162),IF('Chemical Info'!E162="Yes",(('Res-Rec Equations'!$B$83*'Res-Rec Equations'!$B$79*'Res-Rec Calculations'!E161)/('Res-Rec Equations'!$B$85))/('Chemical Info'!N162),(('Res-Rec Equations'!$B$83*'Res-Rec Equations'!$B$79*('Res-Rec Calculations'!C161+'Res-Rec Calculations'!E161))/('Res-Rec Equations'!$B$85))/('Chemical Info'!N162))))</f>
        <v>NA</v>
      </c>
      <c r="R161" s="166" t="str">
        <f>IF('Chemical Info'!N162="NA","NA",IF('Res-Rec Calculations'!F161="NA",(('Res-Rec Equations'!$B$83*'Res-Rec Equations'!$B$79*'Res-Rec Calculations'!C161)/('Res-Rec Equations'!$B$85))/('Chemical Info'!N162),IF('Chemical Info'!E162="Yes",(('Res-Rec Equations'!$B$83*'Res-Rec Equations'!$B$79*'Res-Rec Calculations'!F161)/('Res-Rec Equations'!$B$85))/('Chemical Info'!N162),(('Res-Rec Equations'!$B$83*'Res-Rec Equations'!$B$79*('Res-Rec Calculations'!C161+'Res-Rec Calculations'!F161))/('Res-Rec Equations'!$B$85))/('Chemical Info'!N162))))</f>
        <v>NA</v>
      </c>
      <c r="S161" s="167">
        <f>IF(AND(O161="NA",P161="NA",Q161="NA"),"NA",IF(O161="NA",'Res-Rec Equations'!$B$75/Q161,IF(Q161="NA",'Res-Rec Equations'!$B$75/(O161+P161),'Res-Rec Equations'!$B$75/(O161+P161+Q161))))</f>
        <v>6.5700000000000008E-2</v>
      </c>
      <c r="T161" s="167">
        <f>IF(AND(O161="NA",P161="NA",R161="NA"),"NA",IF(O161="NA",'Res-Rec Equations'!$B$75/R161,IF(R161="NA",'Res-Rec Equations'!$B$75/(O161+P161),'Res-Rec Equations'!$B$75/(O161+P161+R161))))</f>
        <v>6.5700000000000008E-2</v>
      </c>
      <c r="U161" s="168">
        <f>IF(AND(S161="NA",T161="NA"),"NA",MAX(S161,T161))</f>
        <v>6.5700000000000008E-2</v>
      </c>
      <c r="V161" s="167" t="str">
        <f>IF('Chemical Info'!P162="NA","NA",(('Res-Rec Equations'!$B$185*'Res-Rec Equations'!$B$186)/('Res-Rec Equations'!$B$187*'Res-Rec Equations'!$B$188*(1/'Chemical Info'!P162))))</f>
        <v>NA</v>
      </c>
      <c r="W161" s="379" t="str">
        <f>IF(V161="NA","NA",IF(V161&gt;100000,100000,IF(ISNUMBER(ROUND(V161*1000000,2-LEN(INT(V161*1000000)))/1000000),ROUND(V161*1000000,2-LEN(INT(V161*1000000)))/1000000,"NA")))</f>
        <v>NA</v>
      </c>
      <c r="X161" s="666">
        <f>IF(AND(N161="NA",U161="NA",G161="NA"),"NA",MIN(N161,U161,G161))</f>
        <v>6.5700000000000008E-2</v>
      </c>
      <c r="Y161" s="62">
        <f>IF(X161&gt;100000,100000,IF(ISNUMBER(ROUND(X161*1000000,2-LEN(INT(X161*1000000)))/1000000),ROUND(X161*1000000,2-LEN(INT(X161*1000000)))/1000000,"NA"))</f>
        <v>6.6000000000000003E-2</v>
      </c>
      <c r="Z161" s="100" t="str">
        <f>IF(Y161=100000,"Max Limit",IF(X161=G161,"Csat",IF(X161=N161,"Cancer",IF(X161=V161,"Acute",IF(X161=U161,"Noncancer","")))))</f>
        <v>Noncancer</v>
      </c>
      <c r="AA161" s="373"/>
    </row>
    <row r="162" spans="1:28">
      <c r="A162" s="413" t="s">
        <v>239</v>
      </c>
      <c r="B162" s="566" t="s">
        <v>240</v>
      </c>
      <c r="C162" s="367">
        <f>1/(('Res-Rec Equations'!$B$152*3600)/((0.036*(1-'Res-Rec Equations'!$B$153))*('Res-Rec Equations'!$B$154/'Res-Rec Equations'!$B$155)^3*'Res-Rec Equations'!$B$156))</f>
        <v>7.3567680901159717E-10</v>
      </c>
      <c r="D162" s="368">
        <f>(('Res-Rec Equations'!$B$132^(10/3)*'Chemical Info'!$AH163*'Chemical Info'!$AN163*41+'Res-Rec Equations'!$B$135^(10/3)*'Chemical Info'!$AJ163)/'Res-Rec Equations'!$B$137^2)/('Res-Rec Equations'!$B$139*'Chemical Info'!$AL163*'Res-Rec Equations'!$B$142+'Res-Rec Equations'!$B$135+'Res-Rec Equations'!$B$132*'Chemical Info'!$AN163*41)</f>
        <v>1.0078022693510586E-7</v>
      </c>
      <c r="E162" s="368">
        <f>IF(D162=0,"NA",1/(('Res-Rec Equations'!$B$103*(3.14*'Res-Rec Calculations'!$D162*'Res-Rec Equations'!$B$105)^(1/2)*0.0001)/(2*'Res-Rec Equations'!$B$106*'Res-Rec Calculations'!$D162)))</f>
        <v>1.8634435876898991E-6</v>
      </c>
      <c r="F162" s="368">
        <f>IF(D162=0,"NA",(1/('Res-Rec Equations'!$B$117*('Res-Rec Equations'!$B$118*(31500000))/('Res-Rec Equations'!$B$119*'Res-Rec Equations'!$B$120*1000000))))</f>
        <v>6.1914410640015851E-5</v>
      </c>
      <c r="G162" s="167" t="str">
        <f>IF('Chemical Info'!E163="Yes",('Chemical Info'!AP163/'Res-Rec Equations'!$B$168)*((('Chemical Info'!AL163*'Res-Rec Equations'!$B$170)*'Res-Rec Equations'!$B$168)+'Res-Rec Equations'!$B$171+('Chemical Info'!AN163*41)*'Res-Rec Equations'!$B$173),"NA")</f>
        <v>NA</v>
      </c>
      <c r="H162" s="112" t="str">
        <f>IF('Chemical Info'!H163="NA","NA",IF(AND('Chemical Info'!E163="Yes",'Chemical Info'!D163="Yes"),'Chemical Info'!H163*'Chemical Info'!AD163*'Res-Rec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Info'!E163="Yes",'Chemical Info'!D163=""),'Chemical Info'!H163*'Chemical Info'!AD163*'Res-Rec Equations'!$B$20*'Res-Rec Equations'!$B$23*((('Res-Rec Equations'!$B$26*'Res-Rec Equations'!$B$29)/'Res-Rec Equations'!$B$32)+(('Res-Rec Equations'!$B$27*'Res-Rec Equations'!$B$30)/'Res-Rec Equations'!$B$33)+(('Res-Rec Equations'!$B$28*'Res-Rec Equations'!$B$31)/'Res-Rec Equations'!$B$34)),IF(AND('Chemical Info'!E163="No",'Chemical Info'!D163="Yes"),'Chemical Info'!H163*'Chemical Info'!AD163*'Res-Rec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Info'!E163="No",'Chemical Info'!D163=""),'Chemical Info'!H163*'Chemical Info'!AD163*'Res-Rec Equations'!$B$19*'Res-Rec Equations'!$B$23*((('Res-Rec Equations'!$B$26*'Res-Rec Equations'!$B$29)/'Res-Rec Equations'!$B$32)+(('Res-Rec Equations'!$B$27*'Res-Rec Equations'!$B$30)/'Res-Rec Equations'!$B$33)+(('Res-Rec Equations'!$B$28*'Res-Rec Equations'!$B$31)/'Res-Rec Equations'!$B$34)))))))</f>
        <v>NA</v>
      </c>
      <c r="I162" s="166" t="str">
        <f>IF('Chemical Info'!H163="NA","NA",IF('Chemical Info'!E163="Yes",0,IF('Chemical Info'!D163="Yes",'Chemical Info'!H163/'Chemical Info'!AF163*('Res-Rec Equations'!$B$21*'Chemical Info'!AB163*'Res-Rec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Info'!H163/'Chemical Info'!AF163*('Res-Rec Equations'!$B$21*'Chemical Info'!AB163*'Res-Rec Equations'!$B$23)*((('Res-Rec Equations'!$B$26*'Res-Rec Equations'!$B$37*'Res-Rec Equations'!$B$40)/'Res-Rec Equations'!$B$32)+(('Res-Rec Equations'!$B$27*'Res-Rec Equations'!$B$38*'Res-Rec Equations'!$B$41)/'Res-Rec Equations'!$B$33)+(('Res-Rec Equations'!$B$28*'Res-Rec Equations'!$B$39*'Res-Rec Equations'!$B$42)/'Res-Rec Equations'!$B$34)))))</f>
        <v>NA</v>
      </c>
      <c r="J162" s="369" t="str">
        <f>IF('Chemical Info'!J163="NA","NA",IF(AND(E162="NA",'Chemical Info'!D163="Yes"),'Res-Rec Equations'!$B$22*1000*(('Res-Rec Equations'!$B$26*'Chemical Info'!J163*'Res-Rec Equations'!$B$59)+('Res-Rec Equations'!$B$27*'Chemical Info'!J163*'Res-Rec Equations'!$B$60)+('Res-Rec Equations'!$B$28*'Chemical Info'!J163*'Res-Rec Equations'!$B$61))*'Res-Rec Calculations'!C162,IF(AND(E162="NA",'Chemical Info'!D163=""),'Res-Rec Equations'!$B$22*1000*'Res-Rec Equations'!$B$25*'Chemical Info'!J163*'Res-Rec Calculations'!C162,IF(AND('Chemical Info'!E163="Yes",'Chemical Info'!D163="Yes"),'Res-Rec Equations'!$B$22*1000*(('Res-Rec Equations'!$B$26*'Chemical Info'!J163*'Res-Rec Equations'!$B$59)+('Res-Rec Equations'!$B$27*'Chemical Info'!J163*'Res-Rec Equations'!$B$60)+('Res-Rec Equations'!$B$28*'Chemical Info'!J163*'Res-Rec Equations'!$B$61))*'Res-Rec Calculations'!E162,IF(AND('Chemical Info'!E163="Yes",'Chemical Info'!D163=""),'Res-Rec Equations'!$B$22*1000*'Res-Rec Equations'!$B$25*'Chemical Info'!J163*'Res-Rec Calculations'!E162,IF('Chemical Info'!D163="Yes",'Res-Rec Equations'!$B$22*1000*(('Res-Rec Equations'!$B$26*'Chemical Info'!J163*'Res-Rec Equations'!$B$59)+('Res-Rec Equations'!$B$27*'Chemical Info'!J163*'Res-Rec Equations'!$B$60)+('Res-Rec Equations'!$B$28*'Chemical Info'!J163*'Res-Rec Equations'!$B$61))*('Res-Rec Calculations'!C162+'Res-Rec Calculations'!E162),IF('Chemical Info'!D163="",'Res-Rec Equations'!$B$22*1000*'Res-Rec Equations'!$B$25*'Chemical Info'!J163*('Res-Rec Calculations'!C162+'Res-Rec Calculations'!E162))))))))</f>
        <v>NA</v>
      </c>
      <c r="K162" s="370" t="str">
        <f>IF('Chemical Info'!J163="NA","NA",IF(AND(F162="NA",'Chemical Info'!D163="Yes"),'Res-Rec Equations'!$B$22*1000*(('Res-Rec Equations'!$B$26*'Chemical Info'!J163*'Res-Rec Equations'!$B$59)+('Res-Rec Equations'!$B$27*'Chemical Info'!J163*'Res-Rec Equations'!$B$60)+('Res-Rec Equations'!$B$28*'Chemical Info'!J163*'Res-Rec Equations'!$B$61))*'Res-Rec Calculations'!C162,IF(AND(F162="NA",'Chemical Info'!D163=""),'Res-Rec Equations'!$B$22*1000*'Res-Rec Equations'!$B$25*'Chemical Info'!J163*'Res-Rec Calculations'!C162,IF(AND('Chemical Info'!F163="Yes",'Chemical Info'!D163="Yes"),'Res-Rec Equations'!$B$22*1000*(('Res-Rec Equations'!$B$26*'Chemical Info'!J163*'Res-Rec Equations'!$B$59)+('Res-Rec Equations'!$B$27*'Chemical Info'!J163*'Res-Rec Equations'!$B$60)+('Res-Rec Equations'!$B$28*'Chemical Info'!J163*'Res-Rec Equations'!$B$61))*'Res-Rec Calculations'!F162,IF(AND('Chemical Info'!F163="Yes",'Chemical Info'!D163=""),'Res-Rec Equations'!$B$22*1000*'Res-Rec Equations'!$B$25*'Chemical Info'!J163*'Res-Rec Calculations'!F162,IF('Chemical Info'!D163="Yes",'Res-Rec Equations'!$B$22*1000*(('Res-Rec Equations'!$B$26*'Chemical Info'!J163*'Res-Rec Equations'!$B$59)+('Res-Rec Equations'!$B$27*'Chemical Info'!J163*'Res-Rec Equations'!$B$60)+('Res-Rec Equations'!$B$28*'Chemical Info'!J163*'Res-Rec Equations'!$B$61))*('Res-Rec Calculations'!C162+'Res-Rec Calculations'!F162),IF('Chemical Info'!D163="",'Res-Rec Equations'!$B$22*1000*'Res-Rec Equations'!$B$25*'Chemical Info'!J163*('Res-Rec Calculations'!C162+'Res-Rec Calculations'!F162))))))))</f>
        <v>NA</v>
      </c>
      <c r="L162" s="167" t="str">
        <f>IF(AND(H162="NA",I162="NA",J162="NA"),"NA",IF(H162="NA",'Res-Rec Equations'!$B$15*'Res-Rec Equations'!$B$16/J162,IF(J162="NA",'Res-Rec Equations'!$B$15*'Res-Rec Equations'!$B$16/(H162+I162),'Res-Rec Equations'!$B$15*'Res-Rec Equations'!$B$16/(H162+I162+J162))))</f>
        <v>NA</v>
      </c>
      <c r="M162" s="167" t="str">
        <f>IF(AND(H162="NA",I162="NA",K162="NA"),"NA",IF(H162="NA",'Res-Rec Equations'!$B$15*'Res-Rec Equations'!$B$16/K162,IF(K162="NA",'Res-Rec Equations'!$B$15*'Res-Rec Equations'!$B$16/(H162+I162),'Res-Rec Equations'!$B$15*'Res-Rec Equations'!$B$16/(H162+I162+K162))))</f>
        <v>NA</v>
      </c>
      <c r="N162" s="167" t="str">
        <f t="shared" si="122"/>
        <v>NA</v>
      </c>
      <c r="O162" s="371">
        <f>IF('Chemical Info'!L163="NA","NA",IF('Chemical Info'!E163="Yes",(('Res-Rec Equations'!$B$76*'Chemical Info'!AD163*'Res-Rec Equations'!$B$78*'Res-Rec Equations'!$B$79*'Res-Rec Equations'!$B$81)/('Res-Rec Equations'!$B$84*'Res-Rec Equations'!$B$85))/'Chemical Info'!L163,(('Res-Rec Equations'!$B$76*'Chemical Info'!AD163*'Res-Rec Equations'!$B$78*'Res-Rec Equations'!$B$79*'Res-Rec Equations'!$B$80)/('Res-Rec Equations'!$B$84*'Res-Rec Equations'!$B$85))/'Chemical Info'!L163))</f>
        <v>4.2617960426179601E-5</v>
      </c>
      <c r="P162" s="166">
        <f>IF('Chemical Info'!L163="NA","NA", IF('Chemical Info'!E163="Yes",0,((('Res-Rec Equations'!$B$87*'Res-Rec Equations'!$B$88*'Res-Rec Equations'!$B$78*'Res-Rec Equations'!$B$82*'Res-Rec Equations'!$B$79*'Chemical Info'!AB163)/('Res-Rec Equations'!$B$84*'Res-Rec Equations'!$B$85))/('Chemical Info'!L163*'Chemical Info'!AF163))))</f>
        <v>7.2237442922374429E-6</v>
      </c>
      <c r="Q162" s="166">
        <f>IF('Chemical Info'!N163="NA","NA",IF('Res-Rec Calculations'!E162="NA",(('Res-Rec Equations'!$B$83*'Res-Rec Equations'!$B$79*'Res-Rec Calculations'!C162)/('Res-Rec Equations'!$B$85))/('Chemical Info'!N163),IF('Chemical Info'!E163="Yes",(('Res-Rec Equations'!$B$83*'Res-Rec Equations'!$B$79*'Res-Rec Calculations'!E162)/('Res-Rec Equations'!$B$85))/('Chemical Info'!N163),(('Res-Rec Equations'!$B$83*'Res-Rec Equations'!$B$79*('Res-Rec Calculations'!C162+'Res-Rec Calculations'!E162))/('Res-Rec Equations'!$B$85))/('Chemical Info'!N163))))</f>
        <v>6.3841755633524328E-6</v>
      </c>
      <c r="R162" s="166">
        <f>IF('Chemical Info'!N163="NA","NA",IF('Res-Rec Calculations'!F162="NA",(('Res-Rec Equations'!$B$83*'Res-Rec Equations'!$B$79*'Res-Rec Calculations'!C162)/('Res-Rec Equations'!$B$85))/('Chemical Info'!N163),IF('Chemical Info'!E163="Yes",(('Res-Rec Equations'!$B$83*'Res-Rec Equations'!$B$79*'Res-Rec Calculations'!F162)/('Res-Rec Equations'!$B$85))/('Chemical Info'!N163),(('Res-Rec Equations'!$B$83*'Res-Rec Equations'!$B$79*('Res-Rec Calculations'!C162+'Res-Rec Calculations'!F162))/('Res-Rec Equations'!$B$85))/('Chemical Info'!N163))))</f>
        <v>2.1203817231789333E-4</v>
      </c>
      <c r="S162" s="167">
        <f>IF(AND(O162="NA",P162="NA",Q162="NA"),"NA",IF(O162="NA",'Res-Rec Equations'!$B$75/Q162,IF(Q162="NA",'Res-Rec Equations'!$B$75/(O162+P162),'Res-Rec Equations'!$B$75/(O162+P162+Q162))))</f>
        <v>3557.0808139903406</v>
      </c>
      <c r="T162" s="167">
        <f>IF(AND(O162="NA",P162="NA",R162="NA"),"NA",IF(O162="NA",'Res-Rec Equations'!$B$75/R162,IF(R162="NA",'Res-Rec Equations'!$B$75/(O162+P162),'Res-Rec Equations'!$B$75/(O162+P162+R162))))</f>
        <v>763.70892740364877</v>
      </c>
      <c r="U162" s="168">
        <f t="shared" si="123"/>
        <v>3557.0808139903406</v>
      </c>
      <c r="V162" s="167">
        <f>IF('Chemical Info'!P163="NA","NA",(('Res-Rec Equations'!$B$185*'Res-Rec Equations'!$B$186)/('Res-Rec Equations'!$B$187*'Res-Rec Equations'!$B$188*(1/'Chemical Info'!P163))))</f>
        <v>1300</v>
      </c>
      <c r="W162" s="379">
        <f t="shared" si="124"/>
        <v>1300</v>
      </c>
      <c r="X162" s="372">
        <f t="shared" si="125"/>
        <v>3557.0808139903406</v>
      </c>
      <c r="Y162" s="62">
        <f t="shared" si="126"/>
        <v>3600</v>
      </c>
      <c r="Z162" s="100" t="str">
        <f t="shared" si="127"/>
        <v>Noncancer</v>
      </c>
      <c r="AA162" s="373"/>
    </row>
    <row r="163" spans="1:28">
      <c r="A163" s="413" t="s">
        <v>1179</v>
      </c>
      <c r="B163" s="566" t="s">
        <v>1180</v>
      </c>
      <c r="C163" s="367">
        <f>1/(('Res-Rec Equations'!$B$152*3600)/((0.036*(1-'Res-Rec Equations'!$B$153))*('Res-Rec Equations'!$B$154/'Res-Rec Equations'!$B$155)^3*'Res-Rec Equations'!$B$156))</f>
        <v>7.3567680901159717E-10</v>
      </c>
      <c r="D163" s="368">
        <f>(('Res-Rec Equations'!$B$132^(10/3)*'Chemical Info'!$AH164*'Chemical Info'!$AN164*41+'Res-Rec Equations'!$B$135^(10/3)*'Chemical Info'!$AJ164)/'Res-Rec Equations'!$B$137^2)/('Res-Rec Equations'!$B$139*'Chemical Info'!$AL164*'Res-Rec Equations'!$B$142+'Res-Rec Equations'!$B$135+'Res-Rec Equations'!$B$132*'Chemical Info'!$AN164*41)</f>
        <v>5.3058360976573679E-6</v>
      </c>
      <c r="E163" s="368">
        <f>IF(D163=0,"NA",1/(('Res-Rec Equations'!$B$103*(3.14*'Res-Rec Calculations'!$D163*'Res-Rec Equations'!$B$105)^(1/2)*0.0001)/(2*'Res-Rec Equations'!$B$106*'Res-Rec Calculations'!$D163)))</f>
        <v>1.3520896827845657E-5</v>
      </c>
      <c r="F163" s="368">
        <f>IF(D163=0,"NA",(1/('Res-Rec Equations'!$B$117*('Res-Rec Equations'!$B$118*(31500000))/('Res-Rec Equations'!$B$119*'Res-Rec Equations'!$B$120*1000000))))</f>
        <v>6.1914410640015851E-5</v>
      </c>
      <c r="G163" s="167" t="str">
        <f>IF('Chemical Info'!E164="Yes",('Chemical Info'!AP164/'Res-Rec Equations'!$B$168)*((('Chemical Info'!AL164*'Res-Rec Equations'!$B$170)*'Res-Rec Equations'!$B$168)+'Res-Rec Equations'!$B$171+('Chemical Info'!AN164*41)*'Res-Rec Equations'!$B$173),"NA")</f>
        <v>NA</v>
      </c>
      <c r="H163" s="112" t="str">
        <f>IF('Chemical Info'!H164="NA","NA",IF(AND('Chemical Info'!E164="Yes",'Chemical Info'!D164="Yes"),'Chemical Info'!H164*'Chemical Info'!AD164*'Res-Rec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Info'!E164="Yes",'Chemical Info'!D164=""),'Chemical Info'!H164*'Chemical Info'!AD164*'Res-Rec Equations'!$B$20*'Res-Rec Equations'!$B$23*((('Res-Rec Equations'!$B$26*'Res-Rec Equations'!$B$29)/'Res-Rec Equations'!$B$32)+(('Res-Rec Equations'!$B$27*'Res-Rec Equations'!$B$30)/'Res-Rec Equations'!$B$33)+(('Res-Rec Equations'!$B$28*'Res-Rec Equations'!$B$31)/'Res-Rec Equations'!$B$34)),IF(AND('Chemical Info'!E164="No",'Chemical Info'!D164="Yes"),'Chemical Info'!H164*'Chemical Info'!AD164*'Res-Rec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Info'!E164="No",'Chemical Info'!D164=""),'Chemical Info'!H164*'Chemical Info'!AD164*'Res-Rec Equations'!$B$19*'Res-Rec Equations'!$B$23*((('Res-Rec Equations'!$B$26*'Res-Rec Equations'!$B$29)/'Res-Rec Equations'!$B$32)+(('Res-Rec Equations'!$B$27*'Res-Rec Equations'!$B$30)/'Res-Rec Equations'!$B$33)+(('Res-Rec Equations'!$B$28*'Res-Rec Equations'!$B$31)/'Res-Rec Equations'!$B$34)))))))</f>
        <v>NA</v>
      </c>
      <c r="I163" s="166" t="str">
        <f>IF('Chemical Info'!H164="NA","NA",IF('Chemical Info'!E164="Yes",0,IF('Chemical Info'!D164="Yes",'Chemical Info'!H164/'Chemical Info'!AF164*('Res-Rec Equations'!$B$21*'Chemical Info'!AB164*'Res-Rec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Info'!H164/'Chemical Info'!AF164*('Res-Rec Equations'!$B$21*'Chemical Info'!AB164*'Res-Rec Equations'!$B$23)*((('Res-Rec Equations'!$B$26*'Res-Rec Equations'!$B$37*'Res-Rec Equations'!$B$40)/'Res-Rec Equations'!$B$32)+(('Res-Rec Equations'!$B$27*'Res-Rec Equations'!$B$38*'Res-Rec Equations'!$B$41)/'Res-Rec Equations'!$B$33)+(('Res-Rec Equations'!$B$28*'Res-Rec Equations'!$B$39*'Res-Rec Equations'!$B$42)/'Res-Rec Equations'!$B$34)))))</f>
        <v>NA</v>
      </c>
      <c r="J163" s="369" t="str">
        <f>IF('Chemical Info'!J164="NA","NA",IF(AND(E163="NA",'Chemical Info'!D164="Yes"),'Res-Rec Equations'!$B$22*1000*(('Res-Rec Equations'!$B$26*'Chemical Info'!J164*'Res-Rec Equations'!$B$59)+('Res-Rec Equations'!$B$27*'Chemical Info'!J164*'Res-Rec Equations'!$B$60)+('Res-Rec Equations'!$B$28*'Chemical Info'!J164*'Res-Rec Equations'!$B$61))*'Res-Rec Calculations'!C163,IF(AND(E163="NA",'Chemical Info'!D164=""),'Res-Rec Equations'!$B$22*1000*'Res-Rec Equations'!$B$25*'Chemical Info'!J164*'Res-Rec Calculations'!C163,IF(AND('Chemical Info'!E164="Yes",'Chemical Info'!D164="Yes"),'Res-Rec Equations'!$B$22*1000*(('Res-Rec Equations'!$B$26*'Chemical Info'!J164*'Res-Rec Equations'!$B$59)+('Res-Rec Equations'!$B$27*'Chemical Info'!J164*'Res-Rec Equations'!$B$60)+('Res-Rec Equations'!$B$28*'Chemical Info'!J164*'Res-Rec Equations'!$B$61))*'Res-Rec Calculations'!E163,IF(AND('Chemical Info'!E164="Yes",'Chemical Info'!D164=""),'Res-Rec Equations'!$B$22*1000*'Res-Rec Equations'!$B$25*'Chemical Info'!J164*'Res-Rec Calculations'!E163,IF('Chemical Info'!D164="Yes",'Res-Rec Equations'!$B$22*1000*(('Res-Rec Equations'!$B$26*'Chemical Info'!J164*'Res-Rec Equations'!$B$59)+('Res-Rec Equations'!$B$27*'Chemical Info'!J164*'Res-Rec Equations'!$B$60)+('Res-Rec Equations'!$B$28*'Chemical Info'!J164*'Res-Rec Equations'!$B$61))*('Res-Rec Calculations'!C163+'Res-Rec Calculations'!E163),IF('Chemical Info'!D164="",'Res-Rec Equations'!$B$22*1000*'Res-Rec Equations'!$B$25*'Chemical Info'!J164*('Res-Rec Calculations'!C163+'Res-Rec Calculations'!E163))))))))</f>
        <v>NA</v>
      </c>
      <c r="K163" s="370" t="str">
        <f>IF('Chemical Info'!J164="NA","NA",IF(AND(F163="NA",'Chemical Info'!D164="Yes"),'Res-Rec Equations'!$B$22*1000*(('Res-Rec Equations'!$B$26*'Chemical Info'!J164*'Res-Rec Equations'!$B$59)+('Res-Rec Equations'!$B$27*'Chemical Info'!J164*'Res-Rec Equations'!$B$60)+('Res-Rec Equations'!$B$28*'Chemical Info'!J164*'Res-Rec Equations'!$B$61))*'Res-Rec Calculations'!C163,IF(AND(F163="NA",'Chemical Info'!D164=""),'Res-Rec Equations'!$B$22*1000*'Res-Rec Equations'!$B$25*'Chemical Info'!J164*'Res-Rec Calculations'!C163,IF(AND('Chemical Info'!F164="Yes",'Chemical Info'!D164="Yes"),'Res-Rec Equations'!$B$22*1000*(('Res-Rec Equations'!$B$26*'Chemical Info'!J164*'Res-Rec Equations'!$B$59)+('Res-Rec Equations'!$B$27*'Chemical Info'!J164*'Res-Rec Equations'!$B$60)+('Res-Rec Equations'!$B$28*'Chemical Info'!J164*'Res-Rec Equations'!$B$61))*'Res-Rec Calculations'!F163,IF(AND('Chemical Info'!F164="Yes",'Chemical Info'!D164=""),'Res-Rec Equations'!$B$22*1000*'Res-Rec Equations'!$B$25*'Chemical Info'!J164*'Res-Rec Calculations'!F163,IF('Chemical Info'!D164="Yes",'Res-Rec Equations'!$B$22*1000*(('Res-Rec Equations'!$B$26*'Chemical Info'!J164*'Res-Rec Equations'!$B$59)+('Res-Rec Equations'!$B$27*'Chemical Info'!J164*'Res-Rec Equations'!$B$60)+('Res-Rec Equations'!$B$28*'Chemical Info'!J164*'Res-Rec Equations'!$B$61))*('Res-Rec Calculations'!C163+'Res-Rec Calculations'!F163),IF('Chemical Info'!D164="",'Res-Rec Equations'!$B$22*1000*'Res-Rec Equations'!$B$25*'Chemical Info'!J164*('Res-Rec Calculations'!C163+'Res-Rec Calculations'!F163))))))))</f>
        <v>NA</v>
      </c>
      <c r="L163" s="167" t="str">
        <f>IF(AND(H163="NA",I163="NA",J163="NA"),"NA",IF(H163="NA",'Res-Rec Equations'!$B$15*'Res-Rec Equations'!$B$16/J163,IF(J163="NA",'Res-Rec Equations'!$B$15*'Res-Rec Equations'!$B$16/(H163+I163),'Res-Rec Equations'!$B$15*'Res-Rec Equations'!$B$16/(H163+I163+J163))))</f>
        <v>NA</v>
      </c>
      <c r="M163" s="167" t="str">
        <f>IF(AND(H163="NA",I163="NA",K163="NA"),"NA",IF(H163="NA",'Res-Rec Equations'!$B$15*'Res-Rec Equations'!$B$16/K163,IF(K163="NA",'Res-Rec Equations'!$B$15*'Res-Rec Equations'!$B$16/(H163+I163),'Res-Rec Equations'!$B$15*'Res-Rec Equations'!$B$16/(H163+I163+K163))))</f>
        <v>NA</v>
      </c>
      <c r="N163" s="167" t="str">
        <f t="shared" ref="N163" si="224">IF(AND(L163="NA",M163="NA"),"NA",MAX(L163,M163))</f>
        <v>NA</v>
      </c>
      <c r="O163" s="371">
        <f>IF('Chemical Info'!L164="NA","NA",IF('Chemical Info'!E164="Yes",(('Res-Rec Equations'!$B$76*'Chemical Info'!AD164*'Res-Rec Equations'!$B$78*'Res-Rec Equations'!$B$79*'Res-Rec Equations'!$B$81)/('Res-Rec Equations'!$B$84*'Res-Rec Equations'!$B$85))/'Chemical Info'!L164,(('Res-Rec Equations'!$B$76*'Chemical Info'!AD164*'Res-Rec Equations'!$B$78*'Res-Rec Equations'!$B$79*'Res-Rec Equations'!$B$80)/('Res-Rec Equations'!$B$84*'Res-Rec Equations'!$B$85))/'Chemical Info'!L164))</f>
        <v>6.3926940639269403E-6</v>
      </c>
      <c r="P163" s="166">
        <f>IF('Chemical Info'!L164="NA","NA", IF('Chemical Info'!E164="Yes",0,((('Res-Rec Equations'!$B$87*'Res-Rec Equations'!$B$88*'Res-Rec Equations'!$B$78*'Res-Rec Equations'!$B$82*'Res-Rec Equations'!$B$79*'Chemical Info'!AB164)/('Res-Rec Equations'!$B$84*'Res-Rec Equations'!$B$85))/('Chemical Info'!L164*'Chemical Info'!AF164))))</f>
        <v>1.0835616438356164E-6</v>
      </c>
      <c r="Q163" s="166">
        <f>IF('Chemical Info'!N164="NA","NA",IF('Res-Rec Calculations'!E163="NA",(('Res-Rec Equations'!$B$83*'Res-Rec Equations'!$B$79*'Res-Rec Calculations'!C163)/('Res-Rec Equations'!$B$85))/('Chemical Info'!N164),IF('Chemical Info'!E164="Yes",(('Res-Rec Equations'!$B$83*'Res-Rec Equations'!$B$79*'Res-Rec Calculations'!E163)/('Res-Rec Equations'!$B$85))/('Chemical Info'!N164),(('Res-Rec Equations'!$B$83*'Res-Rec Equations'!$B$79*('Res-Rec Calculations'!C163+'Res-Rec Calculations'!E163))/('Res-Rec Equations'!$B$85))/('Chemical Info'!N164))))</f>
        <v>4.6306960632379004E-4</v>
      </c>
      <c r="R163" s="166">
        <f>IF('Chemical Info'!N164="NA","NA",IF('Res-Rec Calculations'!F163="NA",(('Res-Rec Equations'!$B$83*'Res-Rec Equations'!$B$79*'Res-Rec Calculations'!C163)/('Res-Rec Equations'!$B$85))/('Chemical Info'!N164),IF('Chemical Info'!E164="Yes",(('Res-Rec Equations'!$B$83*'Res-Rec Equations'!$B$79*'Res-Rec Calculations'!F163)/('Res-Rec Equations'!$B$85))/('Chemical Info'!N164),(('Res-Rec Equations'!$B$83*'Res-Rec Equations'!$B$79*('Res-Rec Calculations'!C163+'Res-Rec Calculations'!F163))/('Res-Rec Equations'!$B$85))/('Chemical Info'!N164))))</f>
        <v>2.1203817231789336E-3</v>
      </c>
      <c r="S163" s="167">
        <f>IF(AND(O163="NA",P163="NA",Q163="NA"),"NA",IF(O163="NA",'Res-Rec Equations'!$B$75/Q163,IF(Q163="NA",'Res-Rec Equations'!$B$75/(O163+P163),'Res-Rec Equations'!$B$75/(O163+P163+Q163))))</f>
        <v>425.03827179886866</v>
      </c>
      <c r="T163" s="167">
        <f>IF(AND(O163="NA",P163="NA",R163="NA"),"NA",IF(O163="NA",'Res-Rec Equations'!$B$75/R163,IF(R163="NA",'Res-Rec Equations'!$B$75/(O163+P163),'Res-Rec Equations'!$B$75/(O163+P163+R163))))</f>
        <v>93.991235310093785</v>
      </c>
      <c r="U163" s="168">
        <f t="shared" ref="U163" si="225">IF(AND(S163="NA",T163="NA"),"NA",MAX(S163,T163))</f>
        <v>425.03827179886866</v>
      </c>
      <c r="V163" s="167" t="str">
        <f>IF('Chemical Info'!P164="NA","NA",(('Res-Rec Equations'!$B$185*'Res-Rec Equations'!$B$186)/('Res-Rec Equations'!$B$187*'Res-Rec Equations'!$B$188*(1/'Chemical Info'!P164))))</f>
        <v>NA</v>
      </c>
      <c r="W163" s="379" t="str">
        <f t="shared" ref="W163" si="226">IF(V163="NA","NA",IF(V163&gt;100000,100000,IF(ISNUMBER(ROUND(V163*1000000,2-LEN(INT(V163*1000000)))/1000000),ROUND(V163*1000000,2-LEN(INT(V163*1000000)))/1000000,"NA")))</f>
        <v>NA</v>
      </c>
      <c r="X163" s="372">
        <f t="shared" ref="X163" si="227">IF(AND(N163="NA",U163="NA",G163="NA"),"NA",MIN(N163,U163,G163))</f>
        <v>425.03827179886866</v>
      </c>
      <c r="Y163" s="62">
        <f t="shared" ref="Y163" si="228">IF(X163&gt;100000,100000,IF(ISNUMBER(ROUND(X163*1000000,2-LEN(INT(X163*1000000)))/1000000),ROUND(X163*1000000,2-LEN(INT(X163*1000000)))/1000000,"NA"))</f>
        <v>430</v>
      </c>
      <c r="Z163" s="100" t="str">
        <f t="shared" ref="Z163" si="229">IF(Y163=100000,"Max Limit",IF(X163=G163,"Csat",IF(X163=N163,"Cancer",IF(X163=V163,"Acute",IF(X163=U163,"Noncancer","")))))</f>
        <v>Noncancer</v>
      </c>
      <c r="AA163" s="373"/>
    </row>
    <row r="164" spans="1:28">
      <c r="A164" s="413" t="s">
        <v>1181</v>
      </c>
      <c r="B164" s="566" t="s">
        <v>1182</v>
      </c>
      <c r="C164" s="367">
        <f>1/(('Res-Rec Equations'!$B$152*3600)/((0.036*(1-'Res-Rec Equations'!$B$153))*('Res-Rec Equations'!$B$154/'Res-Rec Equations'!$B$155)^3*'Res-Rec Equations'!$B$156))</f>
        <v>7.3567680901159717E-10</v>
      </c>
      <c r="D164" s="368">
        <f>(('Res-Rec Equations'!$B$132^(10/3)*'Chemical Info'!$AH165*'Chemical Info'!$AN165*41+'Res-Rec Equations'!$B$135^(10/3)*'Chemical Info'!$AJ165)/'Res-Rec Equations'!$B$137^2)/('Res-Rec Equations'!$B$139*'Chemical Info'!$AL165*'Res-Rec Equations'!$B$142+'Res-Rec Equations'!$B$135+'Res-Rec Equations'!$B$132*'Chemical Info'!$AN165*41)</f>
        <v>2.0388831389234109E-6</v>
      </c>
      <c r="E164" s="368">
        <f>IF(D164=0,"NA",1/(('Res-Rec Equations'!$B$103*(3.14*'Res-Rec Calculations'!$D164*'Res-Rec Equations'!$B$105)^(1/2)*0.0001)/(2*'Res-Rec Equations'!$B$106*'Res-Rec Calculations'!$D164)))</f>
        <v>8.3815579300617055E-6</v>
      </c>
      <c r="F164" s="368">
        <f>IF(D164=0,"NA",(1/('Res-Rec Equations'!$B$117*('Res-Rec Equations'!$B$118*(31500000))/('Res-Rec Equations'!$B$119*'Res-Rec Equations'!$B$120*1000000))))</f>
        <v>6.1914410640015851E-5</v>
      </c>
      <c r="G164" s="167">
        <f>IF('Chemical Info'!E165="Yes",('Chemical Info'!AP165/'Res-Rec Equations'!$B$168)*((('Chemical Info'!AL165*'Res-Rec Equations'!$B$170)*'Res-Rec Equations'!$B$168)+'Res-Rec Equations'!$B$171+('Chemical Info'!AN165*41)*'Res-Rec Equations'!$B$173),"NA")</f>
        <v>111428.50016</v>
      </c>
      <c r="H164" s="112" t="str">
        <f>IF('Chemical Info'!H165="NA","NA",IF(AND('Chemical Info'!E165="Yes",'Chemical Info'!D165="Yes"),'Chemical Info'!H165*'Chemical Info'!AD165*'Res-Rec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Info'!E165="Yes",'Chemical Info'!D165=""),'Chemical Info'!H165*'Chemical Info'!AD165*'Res-Rec Equations'!$B$20*'Res-Rec Equations'!$B$23*((('Res-Rec Equations'!$B$26*'Res-Rec Equations'!$B$29)/'Res-Rec Equations'!$B$32)+(('Res-Rec Equations'!$B$27*'Res-Rec Equations'!$B$30)/'Res-Rec Equations'!$B$33)+(('Res-Rec Equations'!$B$28*'Res-Rec Equations'!$B$31)/'Res-Rec Equations'!$B$34)),IF(AND('Chemical Info'!E165="No",'Chemical Info'!D165="Yes"),'Chemical Info'!H165*'Chemical Info'!AD165*'Res-Rec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Info'!E165="No",'Chemical Info'!D165=""),'Chemical Info'!H165*'Chemical Info'!AD165*'Res-Rec Equations'!$B$19*'Res-Rec Equations'!$B$23*((('Res-Rec Equations'!$B$26*'Res-Rec Equations'!$B$29)/'Res-Rec Equations'!$B$32)+(('Res-Rec Equations'!$B$27*'Res-Rec Equations'!$B$30)/'Res-Rec Equations'!$B$33)+(('Res-Rec Equations'!$B$28*'Res-Rec Equations'!$B$31)/'Res-Rec Equations'!$B$34)))))))</f>
        <v>NA</v>
      </c>
      <c r="I164" s="166" t="str">
        <f>IF('Chemical Info'!H165="NA","NA",IF('Chemical Info'!E165="Yes",0,IF('Chemical Info'!D165="Yes",'Chemical Info'!H165/'Chemical Info'!AF165*('Res-Rec Equations'!$B$21*'Chemical Info'!AB165*'Res-Rec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Info'!H165/'Chemical Info'!AF165*('Res-Rec Equations'!$B$21*'Chemical Info'!AB165*'Res-Rec Equations'!$B$23)*((('Res-Rec Equations'!$B$26*'Res-Rec Equations'!$B$37*'Res-Rec Equations'!$B$40)/'Res-Rec Equations'!$B$32)+(('Res-Rec Equations'!$B$27*'Res-Rec Equations'!$B$38*'Res-Rec Equations'!$B$41)/'Res-Rec Equations'!$B$33)+(('Res-Rec Equations'!$B$28*'Res-Rec Equations'!$B$39*'Res-Rec Equations'!$B$42)/'Res-Rec Equations'!$B$34)))))</f>
        <v>NA</v>
      </c>
      <c r="J164" s="369" t="str">
        <f>IF('Chemical Info'!J165="NA","NA",IF(AND(E164="NA",'Chemical Info'!D165="Yes"),'Res-Rec Equations'!$B$22*1000*(('Res-Rec Equations'!$B$26*'Chemical Info'!J165*'Res-Rec Equations'!$B$59)+('Res-Rec Equations'!$B$27*'Chemical Info'!J165*'Res-Rec Equations'!$B$60)+('Res-Rec Equations'!$B$28*'Chemical Info'!J165*'Res-Rec Equations'!$B$61))*'Res-Rec Calculations'!C164,IF(AND(E164="NA",'Chemical Info'!D165=""),'Res-Rec Equations'!$B$22*1000*'Res-Rec Equations'!$B$25*'Chemical Info'!J165*'Res-Rec Calculations'!C164,IF(AND('Chemical Info'!E165="Yes",'Chemical Info'!D165="Yes"),'Res-Rec Equations'!$B$22*1000*(('Res-Rec Equations'!$B$26*'Chemical Info'!J165*'Res-Rec Equations'!$B$59)+('Res-Rec Equations'!$B$27*'Chemical Info'!J165*'Res-Rec Equations'!$B$60)+('Res-Rec Equations'!$B$28*'Chemical Info'!J165*'Res-Rec Equations'!$B$61))*'Res-Rec Calculations'!E164,IF(AND('Chemical Info'!E165="Yes",'Chemical Info'!D165=""),'Res-Rec Equations'!$B$22*1000*'Res-Rec Equations'!$B$25*'Chemical Info'!J165*'Res-Rec Calculations'!E164,IF('Chemical Info'!D165="Yes",'Res-Rec Equations'!$B$22*1000*(('Res-Rec Equations'!$B$26*'Chemical Info'!J165*'Res-Rec Equations'!$B$59)+('Res-Rec Equations'!$B$27*'Chemical Info'!J165*'Res-Rec Equations'!$B$60)+('Res-Rec Equations'!$B$28*'Chemical Info'!J165*'Res-Rec Equations'!$B$61))*('Res-Rec Calculations'!C164+'Res-Rec Calculations'!E164),IF('Chemical Info'!D165="",'Res-Rec Equations'!$B$22*1000*'Res-Rec Equations'!$B$25*'Chemical Info'!J165*('Res-Rec Calculations'!C164+'Res-Rec Calculations'!E164))))))))</f>
        <v>NA</v>
      </c>
      <c r="K164" s="370" t="str">
        <f>IF('Chemical Info'!J165="NA","NA",IF(AND(F164="NA",'Chemical Info'!D165="Yes"),'Res-Rec Equations'!$B$22*1000*(('Res-Rec Equations'!$B$26*'Chemical Info'!J165*'Res-Rec Equations'!$B$59)+('Res-Rec Equations'!$B$27*'Chemical Info'!J165*'Res-Rec Equations'!$B$60)+('Res-Rec Equations'!$B$28*'Chemical Info'!J165*'Res-Rec Equations'!$B$61))*'Res-Rec Calculations'!C164,IF(AND(F164="NA",'Chemical Info'!D165=""),'Res-Rec Equations'!$B$22*1000*'Res-Rec Equations'!$B$25*'Chemical Info'!J165*'Res-Rec Calculations'!C164,IF(AND('Chemical Info'!F165="Yes",'Chemical Info'!D165="Yes"),'Res-Rec Equations'!$B$22*1000*(('Res-Rec Equations'!$B$26*'Chemical Info'!J165*'Res-Rec Equations'!$B$59)+('Res-Rec Equations'!$B$27*'Chemical Info'!J165*'Res-Rec Equations'!$B$60)+('Res-Rec Equations'!$B$28*'Chemical Info'!J165*'Res-Rec Equations'!$B$61))*'Res-Rec Calculations'!F164,IF(AND('Chemical Info'!F165="Yes",'Chemical Info'!D165=""),'Res-Rec Equations'!$B$22*1000*'Res-Rec Equations'!$B$25*'Chemical Info'!J165*'Res-Rec Calculations'!F164,IF('Chemical Info'!D165="Yes",'Res-Rec Equations'!$B$22*1000*(('Res-Rec Equations'!$B$26*'Chemical Info'!J165*'Res-Rec Equations'!$B$59)+('Res-Rec Equations'!$B$27*'Chemical Info'!J165*'Res-Rec Equations'!$B$60)+('Res-Rec Equations'!$B$28*'Chemical Info'!J165*'Res-Rec Equations'!$B$61))*('Res-Rec Calculations'!C164+'Res-Rec Calculations'!F164),IF('Chemical Info'!D165="",'Res-Rec Equations'!$B$22*1000*'Res-Rec Equations'!$B$25*'Chemical Info'!J165*('Res-Rec Calculations'!C164+'Res-Rec Calculations'!F164))))))))</f>
        <v>NA</v>
      </c>
      <c r="L164" s="167" t="str">
        <f>IF(AND(H164="NA",I164="NA",J164="NA"),"NA",IF(H164="NA",'Res-Rec Equations'!$B$15*'Res-Rec Equations'!$B$16/J164,IF(J164="NA",'Res-Rec Equations'!$B$15*'Res-Rec Equations'!$B$16/(H164+I164),'Res-Rec Equations'!$B$15*'Res-Rec Equations'!$B$16/(H164+I164+J164))))</f>
        <v>NA</v>
      </c>
      <c r="M164" s="167" t="str">
        <f>IF(AND(H164="NA",I164="NA",K164="NA"),"NA",IF(H164="NA",'Res-Rec Equations'!$B$15*'Res-Rec Equations'!$B$16/K164,IF(K164="NA",'Res-Rec Equations'!$B$15*'Res-Rec Equations'!$B$16/(H164+I164),'Res-Rec Equations'!$B$15*'Res-Rec Equations'!$B$16/(H164+I164+K164))))</f>
        <v>NA</v>
      </c>
      <c r="N164" s="167" t="str">
        <f t="shared" ref="N164" si="230">IF(AND(L164="NA",M164="NA"),"NA",MAX(L164,M164))</f>
        <v>NA</v>
      </c>
      <c r="O164" s="371">
        <f>IF('Chemical Info'!L165="NA","NA",IF('Chemical Info'!E165="Yes",(('Res-Rec Equations'!$B$76*'Chemical Info'!AD165*'Res-Rec Equations'!$B$78*'Res-Rec Equations'!$B$79*'Res-Rec Equations'!$B$81)/('Res-Rec Equations'!$B$84*'Res-Rec Equations'!$B$85))/'Chemical Info'!L165,(('Res-Rec Equations'!$B$76*'Chemical Info'!AD165*'Res-Rec Equations'!$B$78*'Res-Rec Equations'!$B$79*'Res-Rec Equations'!$B$80)/('Res-Rec Equations'!$B$84*'Res-Rec Equations'!$B$85))/'Chemical Info'!L165))</f>
        <v>4.5662100456621002E-3</v>
      </c>
      <c r="P164" s="166">
        <f>IF('Chemical Info'!L165="NA","NA", IF('Chemical Info'!E165="Yes",0,((('Res-Rec Equations'!$B$87*'Res-Rec Equations'!$B$88*'Res-Rec Equations'!$B$78*'Res-Rec Equations'!$B$82*'Res-Rec Equations'!$B$79*'Chemical Info'!AB165)/('Res-Rec Equations'!$B$84*'Res-Rec Equations'!$B$85))/('Chemical Info'!L165*'Chemical Info'!AF165))))</f>
        <v>0</v>
      </c>
      <c r="Q164" s="166" t="str">
        <f>IF('Chemical Info'!N165="NA","NA",IF('Res-Rec Calculations'!E164="NA",(('Res-Rec Equations'!$B$83*'Res-Rec Equations'!$B$79*'Res-Rec Calculations'!C164)/('Res-Rec Equations'!$B$85))/('Chemical Info'!N165),IF('Chemical Info'!E165="Yes",(('Res-Rec Equations'!$B$83*'Res-Rec Equations'!$B$79*'Res-Rec Calculations'!E164)/('Res-Rec Equations'!$B$85))/('Chemical Info'!N165),(('Res-Rec Equations'!$B$83*'Res-Rec Equations'!$B$79*('Res-Rec Calculations'!C164+'Res-Rec Calculations'!E164))/('Res-Rec Equations'!$B$85))/('Chemical Info'!N165))))</f>
        <v>NA</v>
      </c>
      <c r="R164" s="166" t="str">
        <f>IF('Chemical Info'!N165="NA","NA",IF('Res-Rec Calculations'!F164="NA",(('Res-Rec Equations'!$B$83*'Res-Rec Equations'!$B$79*'Res-Rec Calculations'!C164)/('Res-Rec Equations'!$B$85))/('Chemical Info'!N165),IF('Chemical Info'!E165="Yes",(('Res-Rec Equations'!$B$83*'Res-Rec Equations'!$B$79*'Res-Rec Calculations'!F164)/('Res-Rec Equations'!$B$85))/('Chemical Info'!N165),(('Res-Rec Equations'!$B$83*'Res-Rec Equations'!$B$79*('Res-Rec Calculations'!C164+'Res-Rec Calculations'!F164))/('Res-Rec Equations'!$B$85))/('Chemical Info'!N165))))</f>
        <v>NA</v>
      </c>
      <c r="S164" s="167">
        <f>IF(AND(O164="NA",P164="NA",Q164="NA"),"NA",IF(O164="NA",'Res-Rec Equations'!$B$75/Q164,IF(Q164="NA",'Res-Rec Equations'!$B$75/(O164+P164),'Res-Rec Equations'!$B$75/(O164+P164+Q164))))</f>
        <v>43.800000000000004</v>
      </c>
      <c r="T164" s="167">
        <f>IF(AND(O164="NA",P164="NA",R164="NA"),"NA",IF(O164="NA",'Res-Rec Equations'!$B$75/R164,IF(R164="NA",'Res-Rec Equations'!$B$75/(O164+P164),'Res-Rec Equations'!$B$75/(O164+P164+R164))))</f>
        <v>43.800000000000004</v>
      </c>
      <c r="U164" s="168">
        <f t="shared" ref="U164" si="231">IF(AND(S164="NA",T164="NA"),"NA",MAX(S164,T164))</f>
        <v>43.800000000000004</v>
      </c>
      <c r="V164" s="167" t="str">
        <f>IF('Chemical Info'!P165="NA","NA",(('Res-Rec Equations'!$B$185*'Res-Rec Equations'!$B$186)/('Res-Rec Equations'!$B$187*'Res-Rec Equations'!$B$188*(1/'Chemical Info'!P165))))</f>
        <v>NA</v>
      </c>
      <c r="W164" s="379" t="str">
        <f t="shared" ref="W164" si="232">IF(V164="NA","NA",IF(V164&gt;100000,100000,IF(ISNUMBER(ROUND(V164*1000000,2-LEN(INT(V164*1000000)))/1000000),ROUND(V164*1000000,2-LEN(INT(V164*1000000)))/1000000,"NA")))</f>
        <v>NA</v>
      </c>
      <c r="X164" s="372">
        <f t="shared" ref="X164" si="233">IF(AND(N164="NA",U164="NA",G164="NA"),"NA",MIN(N164,U164,G164))</f>
        <v>43.800000000000004</v>
      </c>
      <c r="Y164" s="62">
        <f t="shared" ref="Y164" si="234">IF(X164&gt;100000,100000,IF(ISNUMBER(ROUND(X164*1000000,2-LEN(INT(X164*1000000)))/1000000),ROUND(X164*1000000,2-LEN(INT(X164*1000000)))/1000000,"NA"))</f>
        <v>44</v>
      </c>
      <c r="Z164" s="100" t="str">
        <f t="shared" ref="Z164" si="235">IF(Y164=100000,"Max Limit",IF(X164=G164,"Csat",IF(X164=N164,"Cancer",IF(X164=V164,"Acute",IF(X164=U164,"Noncancer","")))))</f>
        <v>Noncancer</v>
      </c>
      <c r="AA164" s="373"/>
    </row>
    <row r="165" spans="1:28" ht="12">
      <c r="A165" s="413" t="s">
        <v>1227</v>
      </c>
      <c r="B165" s="566" t="s">
        <v>1160</v>
      </c>
      <c r="C165" s="367">
        <f>1/(('Res-Rec Equations'!$B$152*3600)/((0.036*(1-'Res-Rec Equations'!$B$153))*('Res-Rec Equations'!$B$154/'Res-Rec Equations'!$B$155)^3*'Res-Rec Equations'!$B$156))</f>
        <v>7.3567680901159717E-10</v>
      </c>
      <c r="D165" s="368">
        <f>(('Res-Rec Equations'!$B$132^(10/3)*'Chemical Info'!$AH166*'Chemical Info'!$AN166*41+'Res-Rec Equations'!$B$135^(10/3)*'Chemical Info'!$AJ166)/'Res-Rec Equations'!$B$137^2)/('Res-Rec Equations'!$B$139*'Chemical Info'!$AL166*'Res-Rec Equations'!$B$142+'Res-Rec Equations'!$B$135+'Res-Rec Equations'!$B$132*'Chemical Info'!$AN166*41)</f>
        <v>4.9554010736489026E-6</v>
      </c>
      <c r="E165" s="368">
        <f>IF(D165=0,"NA",1/(('Res-Rec Equations'!$B$103*(3.14*'Res-Rec Calculations'!$D165*'Res-Rec Equations'!$B$105)^(1/2)*0.0001)/(2*'Res-Rec Equations'!$B$106*'Res-Rec Calculations'!$D165)))</f>
        <v>1.3066762249037405E-5</v>
      </c>
      <c r="F165" s="368">
        <f>IF(D165=0,"NA",(1/('Res-Rec Equations'!$B$117*('Res-Rec Equations'!$B$118*(31500000))/('Res-Rec Equations'!$B$119*'Res-Rec Equations'!$B$120*1000000))))</f>
        <v>6.1914410640015851E-5</v>
      </c>
      <c r="G165" s="425"/>
      <c r="H165" s="112" t="str">
        <f>IF('Chemical Info'!H166="NA","NA",IF(AND('Chemical Info'!E166="Yes",'Chemical Info'!D166="Yes"),'Chemical Info'!H166*'Chemical Info'!AD166*'Res-Rec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Info'!E166="Yes",'Chemical Info'!D166=""),'Chemical Info'!H166*'Chemical Info'!AD166*'Res-Rec Equations'!$B$20*'Res-Rec Equations'!$B$23*((('Res-Rec Equations'!$B$26*'Res-Rec Equations'!$B$29)/'Res-Rec Equations'!$B$32)+(('Res-Rec Equations'!$B$27*'Res-Rec Equations'!$B$30)/'Res-Rec Equations'!$B$33)+(('Res-Rec Equations'!$B$28*'Res-Rec Equations'!$B$31)/'Res-Rec Equations'!$B$34)),IF(AND('Chemical Info'!E166="No",'Chemical Info'!D166="Yes"),'Chemical Info'!H166*'Chemical Info'!AD166*'Res-Rec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Info'!E166="No",'Chemical Info'!D166=""),'Chemical Info'!H166*'Chemical Info'!AD166*'Res-Rec Equations'!$B$19*'Res-Rec Equations'!$B$23*((('Res-Rec Equations'!$B$26*'Res-Rec Equations'!$B$29)/'Res-Rec Equations'!$B$32)+(('Res-Rec Equations'!$B$27*'Res-Rec Equations'!$B$30)/'Res-Rec Equations'!$B$33)+(('Res-Rec Equations'!$B$28*'Res-Rec Equations'!$B$31)/'Res-Rec Equations'!$B$34)))))))</f>
        <v>NA</v>
      </c>
      <c r="I165" s="166" t="str">
        <f>IF('Chemical Info'!H166="NA","NA",IF('Chemical Info'!E166="Yes",0,IF('Chemical Info'!D166="Yes",'Chemical Info'!H166/'Chemical Info'!AF166*('Res-Rec Equations'!$B$21*'Chemical Info'!AB166*'Res-Rec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Info'!H166/'Chemical Info'!AF166*('Res-Rec Equations'!$B$21*'Chemical Info'!AB166*'Res-Rec Equations'!$B$23)*((('Res-Rec Equations'!$B$26*'Res-Rec Equations'!$B$37*'Res-Rec Equations'!$B$40)/'Res-Rec Equations'!$B$32)+(('Res-Rec Equations'!$B$27*'Res-Rec Equations'!$B$38*'Res-Rec Equations'!$B$41)/'Res-Rec Equations'!$B$33)+(('Res-Rec Equations'!$B$28*'Res-Rec Equations'!$B$39*'Res-Rec Equations'!$B$42)/'Res-Rec Equations'!$B$34)))))</f>
        <v>NA</v>
      </c>
      <c r="J165" s="369" t="str">
        <f>IF('Chemical Info'!J166="NA","NA",IF(AND(E165="NA",'Chemical Info'!D166="Yes"),'Res-Rec Equations'!$B$22*1000*(('Res-Rec Equations'!$B$26*'Chemical Info'!J166*'Res-Rec Equations'!$B$59)+('Res-Rec Equations'!$B$27*'Chemical Info'!J166*'Res-Rec Equations'!$B$60)+('Res-Rec Equations'!$B$28*'Chemical Info'!J166*'Res-Rec Equations'!$B$61))*'Res-Rec Calculations'!C165,IF(AND(E165="NA",'Chemical Info'!D166=""),'Res-Rec Equations'!$B$22*1000*'Res-Rec Equations'!$B$25*'Chemical Info'!J166*'Res-Rec Calculations'!C165,IF(AND('Chemical Info'!E166="Yes",'Chemical Info'!D166="Yes"),'Res-Rec Equations'!$B$22*1000*(('Res-Rec Equations'!$B$26*'Chemical Info'!J166*'Res-Rec Equations'!$B$59)+('Res-Rec Equations'!$B$27*'Chemical Info'!J166*'Res-Rec Equations'!$B$60)+('Res-Rec Equations'!$B$28*'Chemical Info'!J166*'Res-Rec Equations'!$B$61))*'Res-Rec Calculations'!E165,IF(AND('Chemical Info'!E166="Yes",'Chemical Info'!D166=""),'Res-Rec Equations'!$B$22*1000*'Res-Rec Equations'!$B$25*'Chemical Info'!J166*'Res-Rec Calculations'!E165,IF('Chemical Info'!D166="Yes",'Res-Rec Equations'!$B$22*1000*(('Res-Rec Equations'!$B$26*'Chemical Info'!J166*'Res-Rec Equations'!$B$59)+('Res-Rec Equations'!$B$27*'Chemical Info'!J166*'Res-Rec Equations'!$B$60)+('Res-Rec Equations'!$B$28*'Chemical Info'!J166*'Res-Rec Equations'!$B$61))*('Res-Rec Calculations'!C165+'Res-Rec Calculations'!E165),IF('Chemical Info'!D166="",'Res-Rec Equations'!$B$22*1000*'Res-Rec Equations'!$B$25*'Chemical Info'!J166*('Res-Rec Calculations'!C165+'Res-Rec Calculations'!E165))))))))</f>
        <v>NA</v>
      </c>
      <c r="K165" s="370" t="str">
        <f>IF('Chemical Info'!J166="NA","NA",IF(AND(F165="NA",'Chemical Info'!D166="Yes"),'Res-Rec Equations'!$B$22*1000*(('Res-Rec Equations'!$B$26*'Chemical Info'!J166*'Res-Rec Equations'!$B$59)+('Res-Rec Equations'!$B$27*'Chemical Info'!J166*'Res-Rec Equations'!$B$60)+('Res-Rec Equations'!$B$28*'Chemical Info'!J166*'Res-Rec Equations'!$B$61))*'Res-Rec Calculations'!C165,IF(AND(F165="NA",'Chemical Info'!D166=""),'Res-Rec Equations'!$B$22*1000*'Res-Rec Equations'!$B$25*'Chemical Info'!J166*'Res-Rec Calculations'!C165,IF(AND('Chemical Info'!F166="Yes",'Chemical Info'!D166="Yes"),'Res-Rec Equations'!$B$22*1000*(('Res-Rec Equations'!$B$26*'Chemical Info'!J166*'Res-Rec Equations'!$B$59)+('Res-Rec Equations'!$B$27*'Chemical Info'!J166*'Res-Rec Equations'!$B$60)+('Res-Rec Equations'!$B$28*'Chemical Info'!J166*'Res-Rec Equations'!$B$61))*'Res-Rec Calculations'!F165,IF(AND('Chemical Info'!F166="Yes",'Chemical Info'!D166=""),'Res-Rec Equations'!$B$22*1000*'Res-Rec Equations'!$B$25*'Chemical Info'!J166*'Res-Rec Calculations'!F165,IF('Chemical Info'!D166="Yes",'Res-Rec Equations'!$B$22*1000*(('Res-Rec Equations'!$B$26*'Chemical Info'!J166*'Res-Rec Equations'!$B$59)+('Res-Rec Equations'!$B$27*'Chemical Info'!J166*'Res-Rec Equations'!$B$60)+('Res-Rec Equations'!$B$28*'Chemical Info'!J166*'Res-Rec Equations'!$B$61))*('Res-Rec Calculations'!C165+'Res-Rec Calculations'!F165),IF('Chemical Info'!D166="",'Res-Rec Equations'!$B$22*1000*'Res-Rec Equations'!$B$25*'Chemical Info'!J166*('Res-Rec Calculations'!C165+'Res-Rec Calculations'!F165))))))))</f>
        <v>NA</v>
      </c>
      <c r="L165" s="167" t="str">
        <f>IF(AND(H165="NA",I165="NA",J165="NA"),"NA",IF(H165="NA",'Res-Rec Equations'!$B$15*'Res-Rec Equations'!$B$16/J165,IF(J165="NA",'Res-Rec Equations'!$B$15*'Res-Rec Equations'!$B$16/(H165+I165),'Res-Rec Equations'!$B$15*'Res-Rec Equations'!$B$16/(H165+I165+J165))))</f>
        <v>NA</v>
      </c>
      <c r="M165" s="167" t="str">
        <f>IF(AND(H165="NA",I165="NA",K165="NA"),"NA",IF(H165="NA",'Res-Rec Equations'!$B$15*'Res-Rec Equations'!$B$16/K165,IF(K165="NA",'Res-Rec Equations'!$B$15*'Res-Rec Equations'!$B$16/(H165+I165),'Res-Rec Equations'!$B$15*'Res-Rec Equations'!$B$16/(H165+I165+K165))))</f>
        <v>NA</v>
      </c>
      <c r="N165" s="167" t="str">
        <f t="shared" ref="N165" si="236">IF(AND(L165="NA",M165="NA"),"NA",MAX(L165,M165))</f>
        <v>NA</v>
      </c>
      <c r="O165" s="371">
        <f>IF('Chemical Info'!L166="NA","NA",IF('Chemical Info'!E166="Yes",(('Res-Rec Equations'!$B$76*'Chemical Info'!AD166*'Res-Rec Equations'!$B$78*'Res-Rec Equations'!$B$79*'Res-Rec Equations'!$B$81)/('Res-Rec Equations'!$B$84*'Res-Rec Equations'!$B$85))/'Chemical Info'!L166,(('Res-Rec Equations'!$B$76*'Chemical Info'!AD166*'Res-Rec Equations'!$B$78*'Res-Rec Equations'!$B$79*'Res-Rec Equations'!$B$80)/('Res-Rec Equations'!$B$84*'Res-Rec Equations'!$B$85))/'Chemical Info'!L166))</f>
        <v>0.30441400304414001</v>
      </c>
      <c r="P165" s="166">
        <f>IF('Chemical Info'!L166="NA","NA", IF('Chemical Info'!E166="Yes",0,((('Res-Rec Equations'!$B$87*'Res-Rec Equations'!$B$88*'Res-Rec Equations'!$B$78*'Res-Rec Equations'!$B$82*'Res-Rec Equations'!$B$79*'Chemical Info'!AB166)/('Res-Rec Equations'!$B$84*'Res-Rec Equations'!$B$85))/('Chemical Info'!L166*'Chemical Info'!AF166))))</f>
        <v>0</v>
      </c>
      <c r="Q165" s="166" t="str">
        <f>IF('Chemical Info'!N166="NA","NA",IF('Res-Rec Calculations'!E165="NA",(('Res-Rec Equations'!$B$83*'Res-Rec Equations'!$B$79*'Res-Rec Calculations'!C165)/('Res-Rec Equations'!$B$85))/('Chemical Info'!N166),IF('Chemical Info'!E166="Yes",(('Res-Rec Equations'!$B$83*'Res-Rec Equations'!$B$79*'Res-Rec Calculations'!E165)/('Res-Rec Equations'!$B$85))/('Chemical Info'!N166),(('Res-Rec Equations'!$B$83*'Res-Rec Equations'!$B$79*('Res-Rec Calculations'!C165+'Res-Rec Calculations'!E165))/('Res-Rec Equations'!$B$85))/('Chemical Info'!N166))))</f>
        <v>NA</v>
      </c>
      <c r="R165" s="166" t="str">
        <f>IF('Chemical Info'!N166="NA","NA",IF('Res-Rec Calculations'!F165="NA",(('Res-Rec Equations'!$B$83*'Res-Rec Equations'!$B$79*'Res-Rec Calculations'!C165)/('Res-Rec Equations'!$B$85))/('Chemical Info'!N166),IF('Chemical Info'!E166="Yes",(('Res-Rec Equations'!$B$83*'Res-Rec Equations'!$B$79*'Res-Rec Calculations'!F165)/('Res-Rec Equations'!$B$85))/('Chemical Info'!N166),(('Res-Rec Equations'!$B$83*'Res-Rec Equations'!$B$79*('Res-Rec Calculations'!C165+'Res-Rec Calculations'!F165))/('Res-Rec Equations'!$B$85))/('Chemical Info'!N166))))</f>
        <v>NA</v>
      </c>
      <c r="S165" s="167">
        <f>IF(AND(O165="NA",P165="NA",Q165="NA"),"NA",IF(O165="NA",'Res-Rec Equations'!$B$75/Q165,IF(Q165="NA",'Res-Rec Equations'!$B$75/(O165+P165),'Res-Rec Equations'!$B$75/(O165+P165+Q165))))</f>
        <v>0.65700000000000003</v>
      </c>
      <c r="T165" s="167">
        <f>IF(AND(O165="NA",P165="NA",R165="NA"),"NA",IF(O165="NA",'Res-Rec Equations'!$B$75/R165,IF(R165="NA",'Res-Rec Equations'!$B$75/(O165+P165),'Res-Rec Equations'!$B$75/(O165+P165+R165))))</f>
        <v>0.65700000000000003</v>
      </c>
      <c r="U165" s="168">
        <f t="shared" ref="U165" si="237">IF(AND(S165="NA",T165="NA"),"NA",MAX(S165,T165))</f>
        <v>0.65700000000000003</v>
      </c>
      <c r="V165" s="167" t="str">
        <f>IF('Chemical Info'!P166="NA","NA",(('Res-Rec Equations'!$B$185*'Res-Rec Equations'!$B$186)/('Res-Rec Equations'!$B$187*'Res-Rec Equations'!$B$188*(1/'Chemical Info'!P166))))</f>
        <v>NA</v>
      </c>
      <c r="W165" s="379" t="str">
        <f t="shared" ref="W165" si="238">IF(V165="NA","NA",IF(V165&gt;100000,100000,IF(ISNUMBER(ROUND(V165*1000000,2-LEN(INT(V165*1000000)))/1000000),ROUND(V165*1000000,2-LEN(INT(V165*1000000)))/1000000,"NA")))</f>
        <v>NA</v>
      </c>
      <c r="X165" s="372">
        <f t="shared" ref="X165" si="239">IF(AND(N165="NA",U165="NA",G165="NA"),"NA",MIN(N165,U165,G165))</f>
        <v>0.65700000000000003</v>
      </c>
      <c r="Y165" s="62">
        <f t="shared" ref="Y165" si="240">IF(X165&gt;100000,100000,IF(ISNUMBER(ROUND(X165*1000000,2-LEN(INT(X165*1000000)))/1000000),ROUND(X165*1000000,2-LEN(INT(X165*1000000)))/1000000,"NA"))</f>
        <v>0.66</v>
      </c>
      <c r="Z165" s="100" t="str">
        <f t="shared" ref="Z165" si="241">IF(Y165=100000,"Max Limit",IF(X165=G165,"Csat",IF(X165=N165,"Cancer",IF(X165=V165,"Acute",IF(X165=U165,"Noncancer","")))))</f>
        <v>Noncancer</v>
      </c>
      <c r="AA165" s="373"/>
    </row>
    <row r="166" spans="1:28">
      <c r="A166" s="413" t="s">
        <v>1093</v>
      </c>
      <c r="B166" s="566" t="s">
        <v>61</v>
      </c>
      <c r="C166" s="367">
        <f>1/(('Res-Rec Equations'!$B$152*3600)/((0.036*(1-'Res-Rec Equations'!$B$153))*('Res-Rec Equations'!$B$154/'Res-Rec Equations'!$B$155)^3*'Res-Rec Equations'!$B$156))</f>
        <v>7.3567680901159717E-10</v>
      </c>
      <c r="D166" s="368">
        <f>(('Res-Rec Equations'!$B$132^(10/3)*'Chemical Info'!$AH167*'Chemical Info'!$AN167*41+'Res-Rec Equations'!$B$135^(10/3)*'Chemical Info'!$AJ167)/'Res-Rec Equations'!$B$137^2)/('Res-Rec Equations'!$B$139*'Chemical Info'!$AL167*'Res-Rec Equations'!$B$142+'Res-Rec Equations'!$B$135+'Res-Rec Equations'!$B$132*'Chemical Info'!$AN167*41)</f>
        <v>5.386143710161379E-8</v>
      </c>
      <c r="E166" s="368">
        <f>IF(D166=0,"NA",1/(('Res-Rec Equations'!$B$103*(3.14*'Res-Rec Calculations'!$D166*'Res-Rec Equations'!$B$105)^(1/2)*0.0001)/(2*'Res-Rec Equations'!$B$106*'Res-Rec Calculations'!$D166)))</f>
        <v>1.3622836750215884E-6</v>
      </c>
      <c r="F166" s="368">
        <f>IF(D166=0,"NA",(1/('Res-Rec Equations'!$B$117*('Res-Rec Equations'!$B$118*(31500000))/('Res-Rec Equations'!$B$119*'Res-Rec Equations'!$B$120*1000000))))</f>
        <v>6.1914410640015851E-5</v>
      </c>
      <c r="G166" s="167" t="str">
        <f>IF('Chemical Info'!E167="Yes",('Chemical Info'!AP167/'Res-Rec Equations'!$B$168)*((('Chemical Info'!AL167*'Res-Rec Equations'!$B$170)*'Res-Rec Equations'!$B$168)+'Res-Rec Equations'!$B$171+('Chemical Info'!AN167*41)*'Res-Rec Equations'!$B$173),"NA")</f>
        <v>NA</v>
      </c>
      <c r="H166" s="112" t="str">
        <f>IF('Chemical Info'!H167="NA","NA",IF(AND('Chemical Info'!E167="Yes",'Chemical Info'!D167="Yes"),'Chemical Info'!H167*'Chemical Info'!AD167*'Res-Rec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Info'!E167="Yes",'Chemical Info'!D167=""),'Chemical Info'!H167*'Chemical Info'!AD167*'Res-Rec Equations'!$B$20*'Res-Rec Equations'!$B$23*((('Res-Rec Equations'!$B$26*'Res-Rec Equations'!$B$29)/'Res-Rec Equations'!$B$32)+(('Res-Rec Equations'!$B$27*'Res-Rec Equations'!$B$30)/'Res-Rec Equations'!$B$33)+(('Res-Rec Equations'!$B$28*'Res-Rec Equations'!$B$31)/'Res-Rec Equations'!$B$34)),IF(AND('Chemical Info'!E167="No",'Chemical Info'!D167="Yes"),'Chemical Info'!H167*'Chemical Info'!AD167*'Res-Rec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Info'!E167="No",'Chemical Info'!D167=""),'Chemical Info'!H167*'Chemical Info'!AD167*'Res-Rec Equations'!$B$19*'Res-Rec Equations'!$B$23*((('Res-Rec Equations'!$B$26*'Res-Rec Equations'!$B$29)/'Res-Rec Equations'!$B$32)+(('Res-Rec Equations'!$B$27*'Res-Rec Equations'!$B$30)/'Res-Rec Equations'!$B$33)+(('Res-Rec Equations'!$B$28*'Res-Rec Equations'!$B$31)/'Res-Rec Equations'!$B$34)))))))</f>
        <v>NA</v>
      </c>
      <c r="I166" s="166" t="str">
        <f>IF('Chemical Info'!H167="NA","NA",IF('Chemical Info'!E167="Yes",0,IF('Chemical Info'!D167="Yes",'Chemical Info'!H167/'Chemical Info'!AF167*('Res-Rec Equations'!$B$21*'Chemical Info'!AB167*'Res-Rec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Info'!H167/'Chemical Info'!AF167*('Res-Rec Equations'!$B$21*'Chemical Info'!AB167*'Res-Rec Equations'!$B$23)*((('Res-Rec Equations'!$B$26*'Res-Rec Equations'!$B$37*'Res-Rec Equations'!$B$40)/'Res-Rec Equations'!$B$32)+(('Res-Rec Equations'!$B$27*'Res-Rec Equations'!$B$38*'Res-Rec Equations'!$B$41)/'Res-Rec Equations'!$B$33)+(('Res-Rec Equations'!$B$28*'Res-Rec Equations'!$B$39*'Res-Rec Equations'!$B$42)/'Res-Rec Equations'!$B$34)))))</f>
        <v>NA</v>
      </c>
      <c r="J166" s="369" t="str">
        <f>IF('Chemical Info'!J167="NA","NA",IF(AND(E166="NA",'Chemical Info'!D167="Yes"),'Res-Rec Equations'!$B$22*1000*(('Res-Rec Equations'!$B$26*'Chemical Info'!J167*'Res-Rec Equations'!$B$59)+('Res-Rec Equations'!$B$27*'Chemical Info'!J167*'Res-Rec Equations'!$B$60)+('Res-Rec Equations'!$B$28*'Chemical Info'!J167*'Res-Rec Equations'!$B$61))*'Res-Rec Calculations'!C166,IF(AND(E166="NA",'Chemical Info'!D167=""),'Res-Rec Equations'!$B$22*1000*'Res-Rec Equations'!$B$25*'Chemical Info'!J167*'Res-Rec Calculations'!C166,IF(AND('Chemical Info'!E167="Yes",'Chemical Info'!D167="Yes"),'Res-Rec Equations'!$B$22*1000*(('Res-Rec Equations'!$B$26*'Chemical Info'!J167*'Res-Rec Equations'!$B$59)+('Res-Rec Equations'!$B$27*'Chemical Info'!J167*'Res-Rec Equations'!$B$60)+('Res-Rec Equations'!$B$28*'Chemical Info'!J167*'Res-Rec Equations'!$B$61))*'Res-Rec Calculations'!E166,IF(AND('Chemical Info'!E167="Yes",'Chemical Info'!D167=""),'Res-Rec Equations'!$B$22*1000*'Res-Rec Equations'!$B$25*'Chemical Info'!J167*'Res-Rec Calculations'!E166,IF('Chemical Info'!D167="Yes",'Res-Rec Equations'!$B$22*1000*(('Res-Rec Equations'!$B$26*'Chemical Info'!J167*'Res-Rec Equations'!$B$59)+('Res-Rec Equations'!$B$27*'Chemical Info'!J167*'Res-Rec Equations'!$B$60)+('Res-Rec Equations'!$B$28*'Chemical Info'!J167*'Res-Rec Equations'!$B$61))*('Res-Rec Calculations'!C166+'Res-Rec Calculations'!E166),IF('Chemical Info'!D167="",'Res-Rec Equations'!$B$22*1000*'Res-Rec Equations'!$B$25*'Chemical Info'!J167*('Res-Rec Calculations'!C166+'Res-Rec Calculations'!E166))))))))</f>
        <v>NA</v>
      </c>
      <c r="K166" s="370" t="str">
        <f>IF('Chemical Info'!J167="NA","NA",IF(AND(F166="NA",'Chemical Info'!D167="Yes"),'Res-Rec Equations'!$B$22*1000*(('Res-Rec Equations'!$B$26*'Chemical Info'!J167*'Res-Rec Equations'!$B$59)+('Res-Rec Equations'!$B$27*'Chemical Info'!J167*'Res-Rec Equations'!$B$60)+('Res-Rec Equations'!$B$28*'Chemical Info'!J167*'Res-Rec Equations'!$B$61))*'Res-Rec Calculations'!C166,IF(AND(F166="NA",'Chemical Info'!D167=""),'Res-Rec Equations'!$B$22*1000*'Res-Rec Equations'!$B$25*'Chemical Info'!J167*'Res-Rec Calculations'!C166,IF(AND('Chemical Info'!F167="Yes",'Chemical Info'!D167="Yes"),'Res-Rec Equations'!$B$22*1000*(('Res-Rec Equations'!$B$26*'Chemical Info'!J167*'Res-Rec Equations'!$B$59)+('Res-Rec Equations'!$B$27*'Chemical Info'!J167*'Res-Rec Equations'!$B$60)+('Res-Rec Equations'!$B$28*'Chemical Info'!J167*'Res-Rec Equations'!$B$61))*'Res-Rec Calculations'!F166,IF(AND('Chemical Info'!F167="Yes",'Chemical Info'!D167=""),'Res-Rec Equations'!$B$22*1000*'Res-Rec Equations'!$B$25*'Chemical Info'!J167*'Res-Rec Calculations'!F166,IF('Chemical Info'!D167="Yes",'Res-Rec Equations'!$B$22*1000*(('Res-Rec Equations'!$B$26*'Chemical Info'!J167*'Res-Rec Equations'!$B$59)+('Res-Rec Equations'!$B$27*'Chemical Info'!J167*'Res-Rec Equations'!$B$60)+('Res-Rec Equations'!$B$28*'Chemical Info'!J167*'Res-Rec Equations'!$B$61))*('Res-Rec Calculations'!C166+'Res-Rec Calculations'!F166),IF('Chemical Info'!D167="",'Res-Rec Equations'!$B$22*1000*'Res-Rec Equations'!$B$25*'Chemical Info'!J167*('Res-Rec Calculations'!C166+'Res-Rec Calculations'!F166))))))))</f>
        <v>NA</v>
      </c>
      <c r="L166" s="167" t="str">
        <f>IF(AND(H166="NA",I166="NA",J166="NA"),"NA",IF(H166="NA",'Res-Rec Equations'!$B$15*'Res-Rec Equations'!$B$16/J166,IF(J166="NA",'Res-Rec Equations'!$B$15*'Res-Rec Equations'!$B$16/(H166+I166),'Res-Rec Equations'!$B$15*'Res-Rec Equations'!$B$16/(H166+I166+J166))))</f>
        <v>NA</v>
      </c>
      <c r="M166" s="167" t="str">
        <f>IF(AND(H166="NA",I166="NA",K166="NA"),"NA",IF(H166="NA",'Res-Rec Equations'!$B$15*'Res-Rec Equations'!$B$16/K166,IF(K166="NA",'Res-Rec Equations'!$B$15*'Res-Rec Equations'!$B$16/(H166+I166),'Res-Rec Equations'!$B$15*'Res-Rec Equations'!$B$16/(H166+I166+K166))))</f>
        <v>NA</v>
      </c>
      <c r="N166" s="167" t="str">
        <f t="shared" si="122"/>
        <v>NA</v>
      </c>
      <c r="O166" s="371">
        <f>IF('Chemical Info'!L167="NA","NA",IF('Chemical Info'!E167="Yes",(('Res-Rec Equations'!$B$76*'Chemical Info'!AD167*'Res-Rec Equations'!$B$78*'Res-Rec Equations'!$B$79*'Res-Rec Equations'!$B$81)/('Res-Rec Equations'!$B$84*'Res-Rec Equations'!$B$85))/'Chemical Info'!L167,(('Res-Rec Equations'!$B$76*'Chemical Info'!AD167*'Res-Rec Equations'!$B$78*'Res-Rec Equations'!$B$79*'Res-Rec Equations'!$B$80)/('Res-Rec Equations'!$B$84*'Res-Rec Equations'!$B$85))/'Chemical Info'!L167))</f>
        <v>4.2617960426179604E-4</v>
      </c>
      <c r="P166" s="166">
        <f>IF('Chemical Info'!L167="NA","NA", IF('Chemical Info'!E167="Yes",0,((('Res-Rec Equations'!$B$87*'Res-Rec Equations'!$B$88*'Res-Rec Equations'!$B$78*'Res-Rec Equations'!$B$82*'Res-Rec Equations'!$B$79*'Chemical Info'!AB167)/('Res-Rec Equations'!$B$84*'Res-Rec Equations'!$B$85))/('Chemical Info'!L167*'Chemical Info'!AF167))))</f>
        <v>7.2237442922374429E-5</v>
      </c>
      <c r="Q166" s="166" t="str">
        <f>IF('Chemical Info'!N167="NA","NA",IF('Res-Rec Calculations'!E166="NA",(('Res-Rec Equations'!$B$83*'Res-Rec Equations'!$B$79*'Res-Rec Calculations'!C166)/('Res-Rec Equations'!$B$85))/('Chemical Info'!N167),IF('Chemical Info'!E167="Yes",(('Res-Rec Equations'!$B$83*'Res-Rec Equations'!$B$79*'Res-Rec Calculations'!E166)/('Res-Rec Equations'!$B$85))/('Chemical Info'!N167),(('Res-Rec Equations'!$B$83*'Res-Rec Equations'!$B$79*('Res-Rec Calculations'!C166+'Res-Rec Calculations'!E166))/('Res-Rec Equations'!$B$85))/('Chemical Info'!N167))))</f>
        <v>NA</v>
      </c>
      <c r="R166" s="166" t="str">
        <f>IF('Chemical Info'!N167="NA","NA",IF('Res-Rec Calculations'!F166="NA",(('Res-Rec Equations'!$B$83*'Res-Rec Equations'!$B$79*'Res-Rec Calculations'!C166)/('Res-Rec Equations'!$B$85))/('Chemical Info'!N167),IF('Chemical Info'!E167="Yes",(('Res-Rec Equations'!$B$83*'Res-Rec Equations'!$B$79*'Res-Rec Calculations'!F166)/('Res-Rec Equations'!$B$85))/('Chemical Info'!N167),(('Res-Rec Equations'!$B$83*'Res-Rec Equations'!$B$79*('Res-Rec Calculations'!C166+'Res-Rec Calculations'!F166))/('Res-Rec Equations'!$B$85))/('Chemical Info'!N167))))</f>
        <v>NA</v>
      </c>
      <c r="S166" s="167">
        <f>IF(AND(O166="NA",P166="NA",Q166="NA"),"NA",IF(O166="NA",'Res-Rec Equations'!$B$75/Q166,IF(Q166="NA",'Res-Rec Equations'!$B$75/(O166+P166),'Res-Rec Equations'!$B$75/(O166+P166+Q166))))</f>
        <v>401.27038416905884</v>
      </c>
      <c r="T166" s="167">
        <f>IF(AND(O166="NA",P166="NA",R166="NA"),"NA",IF(O166="NA",'Res-Rec Equations'!$B$75/R166,IF(R166="NA",'Res-Rec Equations'!$B$75/(O166+P166),'Res-Rec Equations'!$B$75/(O166+P166+R166))))</f>
        <v>401.27038416905884</v>
      </c>
      <c r="U166" s="168">
        <f t="shared" si="123"/>
        <v>401.27038416905884</v>
      </c>
      <c r="V166" s="167" t="str">
        <f>IF('Chemical Info'!P167="NA","NA",(('Res-Rec Equations'!$B$185*'Res-Rec Equations'!$B$186)/('Res-Rec Equations'!$B$187*'Res-Rec Equations'!$B$188*(1/'Chemical Info'!P167))))</f>
        <v>NA</v>
      </c>
      <c r="W166" s="379" t="str">
        <f t="shared" si="124"/>
        <v>NA</v>
      </c>
      <c r="X166" s="372">
        <f t="shared" si="125"/>
        <v>401.27038416905884</v>
      </c>
      <c r="Y166" s="62">
        <f t="shared" si="126"/>
        <v>400</v>
      </c>
      <c r="Z166" s="100" t="str">
        <f t="shared" si="127"/>
        <v>Noncancer</v>
      </c>
      <c r="AA166" s="373"/>
    </row>
    <row r="167" spans="1:28">
      <c r="A167" s="373" t="s">
        <v>1094</v>
      </c>
      <c r="B167" s="566" t="s">
        <v>62</v>
      </c>
      <c r="C167" s="367">
        <f>1/(('Res-Rec Equations'!$B$152*3600)/((0.036*(1-'Res-Rec Equations'!$B$153))*('Res-Rec Equations'!$B$154/'Res-Rec Equations'!$B$155)^3*'Res-Rec Equations'!$B$156))</f>
        <v>7.3567680901159717E-10</v>
      </c>
      <c r="D167" s="368">
        <f>(('Res-Rec Equations'!$B$132^(10/3)*'Chemical Info'!$AH168*'Chemical Info'!$AN168*41+'Res-Rec Equations'!$B$135^(10/3)*'Chemical Info'!$AJ168)/'Res-Rec Equations'!$B$137^2)/('Res-Rec Equations'!$B$139*'Chemical Info'!$AL168*'Res-Rec Equations'!$B$142+'Res-Rec Equations'!$B$135+'Res-Rec Equations'!$B$132*'Chemical Info'!$AN168*41)</f>
        <v>1.4621809412012547E-8</v>
      </c>
      <c r="E167" s="368">
        <f>IF(D167=0,"NA",1/(('Res-Rec Equations'!$B$103*(3.14*'Res-Rec Calculations'!$D167*'Res-Rec Equations'!$B$105)^(1/2)*0.0001)/(2*'Res-Rec Equations'!$B$106*'Res-Rec Calculations'!$D167)))</f>
        <v>7.0978880173180406E-7</v>
      </c>
      <c r="F167" s="368">
        <f>IF(D167=0,"NA",(1/('Res-Rec Equations'!$B$117*('Res-Rec Equations'!$B$118*(31500000))/('Res-Rec Equations'!$B$119*'Res-Rec Equations'!$B$120*1000000))))</f>
        <v>6.1914410640015851E-5</v>
      </c>
      <c r="G167" s="167" t="str">
        <f>IF('Chemical Info'!E168="Yes",('Chemical Info'!AP168/'Res-Rec Equations'!$B$168)*((('Chemical Info'!AL168*'Res-Rec Equations'!$B$170)*'Res-Rec Equations'!$B$168)+'Res-Rec Equations'!$B$171+('Chemical Info'!AN168*41)*'Res-Rec Equations'!$B$173),"NA")</f>
        <v>NA</v>
      </c>
      <c r="H167" s="112" t="str">
        <f>IF('Chemical Info'!H168="NA","NA",IF(AND('Chemical Info'!E168="Yes",'Chemical Info'!D168="Yes"),'Chemical Info'!H168*'Chemical Info'!AD168*'Res-Rec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Info'!E168="Yes",'Chemical Info'!D168=""),'Chemical Info'!H168*'Chemical Info'!AD168*'Res-Rec Equations'!$B$20*'Res-Rec Equations'!$B$23*((('Res-Rec Equations'!$B$26*'Res-Rec Equations'!$B$29)/'Res-Rec Equations'!$B$32)+(('Res-Rec Equations'!$B$27*'Res-Rec Equations'!$B$30)/'Res-Rec Equations'!$B$33)+(('Res-Rec Equations'!$B$28*'Res-Rec Equations'!$B$31)/'Res-Rec Equations'!$B$34)),IF(AND('Chemical Info'!E168="No",'Chemical Info'!D168="Yes"),'Chemical Info'!H168*'Chemical Info'!AD168*'Res-Rec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Info'!E168="No",'Chemical Info'!D168=""),'Chemical Info'!H168*'Chemical Info'!AD168*'Res-Rec Equations'!$B$19*'Res-Rec Equations'!$B$23*((('Res-Rec Equations'!$B$26*'Res-Rec Equations'!$B$29)/'Res-Rec Equations'!$B$32)+(('Res-Rec Equations'!$B$27*'Res-Rec Equations'!$B$30)/'Res-Rec Equations'!$B$33)+(('Res-Rec Equations'!$B$28*'Res-Rec Equations'!$B$31)/'Res-Rec Equations'!$B$34)))))))</f>
        <v>NA</v>
      </c>
      <c r="I167" s="166" t="str">
        <f>IF('Chemical Info'!H168="NA","NA",IF('Chemical Info'!E168="Yes",0,IF('Chemical Info'!D168="Yes",'Chemical Info'!H168/'Chemical Info'!AF168*('Res-Rec Equations'!$B$21*'Chemical Info'!AB168*'Res-Rec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Info'!H168/'Chemical Info'!AF168*('Res-Rec Equations'!$B$21*'Chemical Info'!AB168*'Res-Rec Equations'!$B$23)*((('Res-Rec Equations'!$B$26*'Res-Rec Equations'!$B$37*'Res-Rec Equations'!$B$40)/'Res-Rec Equations'!$B$32)+(('Res-Rec Equations'!$B$27*'Res-Rec Equations'!$B$38*'Res-Rec Equations'!$B$41)/'Res-Rec Equations'!$B$33)+(('Res-Rec Equations'!$B$28*'Res-Rec Equations'!$B$39*'Res-Rec Equations'!$B$42)/'Res-Rec Equations'!$B$34)))))</f>
        <v>NA</v>
      </c>
      <c r="J167" s="369" t="str">
        <f>IF('Chemical Info'!J168="NA","NA",IF(AND(E167="NA",'Chemical Info'!D168="Yes"),'Res-Rec Equations'!$B$22*1000*(('Res-Rec Equations'!$B$26*'Chemical Info'!J168*'Res-Rec Equations'!$B$59)+('Res-Rec Equations'!$B$27*'Chemical Info'!J168*'Res-Rec Equations'!$B$60)+('Res-Rec Equations'!$B$28*'Chemical Info'!J168*'Res-Rec Equations'!$B$61))*'Res-Rec Calculations'!C167,IF(AND(E167="NA",'Chemical Info'!D168=""),'Res-Rec Equations'!$B$22*1000*'Res-Rec Equations'!$B$25*'Chemical Info'!J168*'Res-Rec Calculations'!C167,IF(AND('Chemical Info'!E168="Yes",'Chemical Info'!D168="Yes"),'Res-Rec Equations'!$B$22*1000*(('Res-Rec Equations'!$B$26*'Chemical Info'!J168*'Res-Rec Equations'!$B$59)+('Res-Rec Equations'!$B$27*'Chemical Info'!J168*'Res-Rec Equations'!$B$60)+('Res-Rec Equations'!$B$28*'Chemical Info'!J168*'Res-Rec Equations'!$B$61))*'Res-Rec Calculations'!E167,IF(AND('Chemical Info'!E168="Yes",'Chemical Info'!D168=""),'Res-Rec Equations'!$B$22*1000*'Res-Rec Equations'!$B$25*'Chemical Info'!J168*'Res-Rec Calculations'!E167,IF('Chemical Info'!D168="Yes",'Res-Rec Equations'!$B$22*1000*(('Res-Rec Equations'!$B$26*'Chemical Info'!J168*'Res-Rec Equations'!$B$59)+('Res-Rec Equations'!$B$27*'Chemical Info'!J168*'Res-Rec Equations'!$B$60)+('Res-Rec Equations'!$B$28*'Chemical Info'!J168*'Res-Rec Equations'!$B$61))*('Res-Rec Calculations'!C167+'Res-Rec Calculations'!E167),IF('Chemical Info'!D168="",'Res-Rec Equations'!$B$22*1000*'Res-Rec Equations'!$B$25*'Chemical Info'!J168*('Res-Rec Calculations'!C167+'Res-Rec Calculations'!E167))))))))</f>
        <v>NA</v>
      </c>
      <c r="K167" s="370" t="str">
        <f>IF('Chemical Info'!J168="NA","NA",IF(AND(F167="NA",'Chemical Info'!D168="Yes"),'Res-Rec Equations'!$B$22*1000*(('Res-Rec Equations'!$B$26*'Chemical Info'!J168*'Res-Rec Equations'!$B$59)+('Res-Rec Equations'!$B$27*'Chemical Info'!J168*'Res-Rec Equations'!$B$60)+('Res-Rec Equations'!$B$28*'Chemical Info'!J168*'Res-Rec Equations'!$B$61))*'Res-Rec Calculations'!C167,IF(AND(F167="NA",'Chemical Info'!D168=""),'Res-Rec Equations'!$B$22*1000*'Res-Rec Equations'!$B$25*'Chemical Info'!J168*'Res-Rec Calculations'!C167,IF(AND('Chemical Info'!F168="Yes",'Chemical Info'!D168="Yes"),'Res-Rec Equations'!$B$22*1000*(('Res-Rec Equations'!$B$26*'Chemical Info'!J168*'Res-Rec Equations'!$B$59)+('Res-Rec Equations'!$B$27*'Chemical Info'!J168*'Res-Rec Equations'!$B$60)+('Res-Rec Equations'!$B$28*'Chemical Info'!J168*'Res-Rec Equations'!$B$61))*'Res-Rec Calculations'!F167,IF(AND('Chemical Info'!F168="Yes",'Chemical Info'!D168=""),'Res-Rec Equations'!$B$22*1000*'Res-Rec Equations'!$B$25*'Chemical Info'!J168*'Res-Rec Calculations'!F167,IF('Chemical Info'!D168="Yes",'Res-Rec Equations'!$B$22*1000*(('Res-Rec Equations'!$B$26*'Chemical Info'!J168*'Res-Rec Equations'!$B$59)+('Res-Rec Equations'!$B$27*'Chemical Info'!J168*'Res-Rec Equations'!$B$60)+('Res-Rec Equations'!$B$28*'Chemical Info'!J168*'Res-Rec Equations'!$B$61))*('Res-Rec Calculations'!C167+'Res-Rec Calculations'!F167),IF('Chemical Info'!D168="",'Res-Rec Equations'!$B$22*1000*'Res-Rec Equations'!$B$25*'Chemical Info'!J168*('Res-Rec Calculations'!C167+'Res-Rec Calculations'!F167))))))))</f>
        <v>NA</v>
      </c>
      <c r="L167" s="167" t="str">
        <f>IF(AND(H167="NA",I167="NA",J167="NA"),"NA",IF(H167="NA",'Res-Rec Equations'!$B$15*'Res-Rec Equations'!$B$16/J167,IF(J167="NA",'Res-Rec Equations'!$B$15*'Res-Rec Equations'!$B$16/(H167+I167),'Res-Rec Equations'!$B$15*'Res-Rec Equations'!$B$16/(H167+I167+J167))))</f>
        <v>NA</v>
      </c>
      <c r="M167" s="167" t="str">
        <f>IF(AND(H167="NA",I167="NA",K167="NA"),"NA",IF(H167="NA",'Res-Rec Equations'!$B$15*'Res-Rec Equations'!$B$16/K167,IF(K167="NA",'Res-Rec Equations'!$B$15*'Res-Rec Equations'!$B$16/(H167+I167),'Res-Rec Equations'!$B$15*'Res-Rec Equations'!$B$16/(H167+I167+K167))))</f>
        <v>NA</v>
      </c>
      <c r="N167" s="167" t="str">
        <f t="shared" si="122"/>
        <v>NA</v>
      </c>
      <c r="O167" s="371">
        <f>IF('Chemical Info'!L168="NA","NA",IF('Chemical Info'!E168="Yes",(('Res-Rec Equations'!$B$76*'Chemical Info'!AD168*'Res-Rec Equations'!$B$78*'Res-Rec Equations'!$B$79*'Res-Rec Equations'!$B$81)/('Res-Rec Equations'!$B$84*'Res-Rec Equations'!$B$85))/'Chemical Info'!L168,(('Res-Rec Equations'!$B$76*'Chemical Info'!AD168*'Res-Rec Equations'!$B$78*'Res-Rec Equations'!$B$79*'Res-Rec Equations'!$B$80)/('Res-Rec Equations'!$B$84*'Res-Rec Equations'!$B$85))/'Chemical Info'!L168))</f>
        <v>1.2785388127853879E-4</v>
      </c>
      <c r="P167" s="166">
        <f>IF('Chemical Info'!L168="NA","NA", IF('Chemical Info'!E168="Yes",0,((('Res-Rec Equations'!$B$87*'Res-Rec Equations'!$B$88*'Res-Rec Equations'!$B$78*'Res-Rec Equations'!$B$82*'Res-Rec Equations'!$B$79*'Chemical Info'!AB168)/('Res-Rec Equations'!$B$84*'Res-Rec Equations'!$B$85))/('Chemical Info'!L168*'Chemical Info'!AF168))))</f>
        <v>2.1671232876712325E-5</v>
      </c>
      <c r="Q167" s="166" t="str">
        <f>IF('Chemical Info'!N168="NA","NA",IF('Res-Rec Calculations'!E167="NA",(('Res-Rec Equations'!$B$83*'Res-Rec Equations'!$B$79*'Res-Rec Calculations'!C167)/('Res-Rec Equations'!$B$85))/('Chemical Info'!N168),IF('Chemical Info'!E168="Yes",(('Res-Rec Equations'!$B$83*'Res-Rec Equations'!$B$79*'Res-Rec Calculations'!E167)/('Res-Rec Equations'!$B$85))/('Chemical Info'!N168),(('Res-Rec Equations'!$B$83*'Res-Rec Equations'!$B$79*('Res-Rec Calculations'!C167+'Res-Rec Calculations'!E167))/('Res-Rec Equations'!$B$85))/('Chemical Info'!N168))))</f>
        <v>NA</v>
      </c>
      <c r="R167" s="166" t="str">
        <f>IF('Chemical Info'!N168="NA","NA",IF('Res-Rec Calculations'!F167="NA",(('Res-Rec Equations'!$B$83*'Res-Rec Equations'!$B$79*'Res-Rec Calculations'!C167)/('Res-Rec Equations'!$B$85))/('Chemical Info'!N168),IF('Chemical Info'!E168="Yes",(('Res-Rec Equations'!$B$83*'Res-Rec Equations'!$B$79*'Res-Rec Calculations'!F167)/('Res-Rec Equations'!$B$85))/('Chemical Info'!N168),(('Res-Rec Equations'!$B$83*'Res-Rec Equations'!$B$79*('Res-Rec Calculations'!C167+'Res-Rec Calculations'!F167))/('Res-Rec Equations'!$B$85))/('Chemical Info'!N168))))</f>
        <v>NA</v>
      </c>
      <c r="S167" s="167">
        <f>IF(AND(O167="NA",P167="NA",Q167="NA"),"NA",IF(O167="NA",'Res-Rec Equations'!$B$75/Q167,IF(Q167="NA",'Res-Rec Equations'!$B$75/(O167+P167),'Res-Rec Equations'!$B$75/(O167+P167+Q167))))</f>
        <v>1337.5679472301965</v>
      </c>
      <c r="T167" s="167">
        <f>IF(AND(O167="NA",P167="NA",R167="NA"),"NA",IF(O167="NA",'Res-Rec Equations'!$B$75/R167,IF(R167="NA",'Res-Rec Equations'!$B$75/(O167+P167),'Res-Rec Equations'!$B$75/(O167+P167+R167))))</f>
        <v>1337.5679472301965</v>
      </c>
      <c r="U167" s="168">
        <f t="shared" si="123"/>
        <v>1337.5679472301965</v>
      </c>
      <c r="V167" s="167" t="str">
        <f>IF('Chemical Info'!P168="NA","NA",(('Res-Rec Equations'!$B$185*'Res-Rec Equations'!$B$186)/('Res-Rec Equations'!$B$187*'Res-Rec Equations'!$B$188*(1/'Chemical Info'!P168))))</f>
        <v>NA</v>
      </c>
      <c r="W167" s="379" t="str">
        <f t="shared" si="124"/>
        <v>NA</v>
      </c>
      <c r="X167" s="372">
        <f t="shared" si="125"/>
        <v>1337.5679472301965</v>
      </c>
      <c r="Y167" s="62">
        <f t="shared" si="126"/>
        <v>1300</v>
      </c>
      <c r="Z167" s="100" t="str">
        <f t="shared" si="127"/>
        <v>Noncancer</v>
      </c>
      <c r="AA167" s="373"/>
    </row>
    <row r="168" spans="1:28">
      <c r="A168" s="373" t="s">
        <v>1095</v>
      </c>
      <c r="B168" s="566" t="s">
        <v>82</v>
      </c>
      <c r="C168" s="367">
        <f>1/(('Res-Rec Equations'!$B$152*3600)/((0.036*(1-'Res-Rec Equations'!$B$153))*('Res-Rec Equations'!$B$154/'Res-Rec Equations'!$B$155)^3*'Res-Rec Equations'!$B$156))</f>
        <v>7.3567680901159717E-10</v>
      </c>
      <c r="D168" s="368">
        <f>(('Res-Rec Equations'!$B$132^(10/3)*'Chemical Info'!$AH169*'Chemical Info'!$AN169*41+'Res-Rec Equations'!$B$135^(10/3)*'Chemical Info'!$AJ169)/'Res-Rec Equations'!$B$137^2)/('Res-Rec Equations'!$B$139*'Chemical Info'!$AL169*'Res-Rec Equations'!$B$142+'Res-Rec Equations'!$B$135+'Res-Rec Equations'!$B$132*'Chemical Info'!$AN169*41)</f>
        <v>2.0581272421048152E-8</v>
      </c>
      <c r="E168" s="368">
        <f>IF(D168=0,"NA",1/(('Res-Rec Equations'!$B$103*(3.14*'Res-Rec Calculations'!$D168*'Res-Rec Equations'!$B$105)^(1/2)*0.0001)/(2*'Res-Rec Equations'!$B$106*'Res-Rec Calculations'!$D168)))</f>
        <v>8.421019915170562E-7</v>
      </c>
      <c r="F168" s="368">
        <f>IF(D168=0,"NA",(1/('Res-Rec Equations'!$B$117*('Res-Rec Equations'!$B$118*(31500000))/('Res-Rec Equations'!$B$119*'Res-Rec Equations'!$B$120*1000000))))</f>
        <v>6.1914410640015851E-5</v>
      </c>
      <c r="G168" s="167" t="str">
        <f>IF('Chemical Info'!E169="Yes",('Chemical Info'!AP169/'Res-Rec Equations'!$B$168)*((('Chemical Info'!AL169*'Res-Rec Equations'!$B$170)*'Res-Rec Equations'!$B$168)+'Res-Rec Equations'!$B$171+('Chemical Info'!AN169*41)*'Res-Rec Equations'!$B$173),"NA")</f>
        <v>NA</v>
      </c>
      <c r="H168" s="112">
        <f>IF('Chemical Info'!H169="NA","NA",IF(AND('Chemical Info'!E169="Yes",'Chemical Info'!D169="Yes"),'Chemical Info'!H169*'Chemical Info'!AD169*'Res-Rec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Info'!E169="Yes",'Chemical Info'!D169=""),'Chemical Info'!H169*'Chemical Info'!AD169*'Res-Rec Equations'!$B$20*'Res-Rec Equations'!$B$23*((('Res-Rec Equations'!$B$26*'Res-Rec Equations'!$B$29)/'Res-Rec Equations'!$B$32)+(('Res-Rec Equations'!$B$27*'Res-Rec Equations'!$B$30)/'Res-Rec Equations'!$B$33)+(('Res-Rec Equations'!$B$28*'Res-Rec Equations'!$B$31)/'Res-Rec Equations'!$B$34)),IF(AND('Chemical Info'!E169="No",'Chemical Info'!D169="Yes"),'Chemical Info'!H169*'Chemical Info'!AD169*'Res-Rec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Info'!E169="No",'Chemical Info'!D169=""),'Chemical Info'!H169*'Chemical Info'!AD169*'Res-Rec Equations'!$B$19*'Res-Rec Equations'!$B$23*((('Res-Rec Equations'!$B$26*'Res-Rec Equations'!$B$29)/'Res-Rec Equations'!$B$32)+(('Res-Rec Equations'!$B$27*'Res-Rec Equations'!$B$30)/'Res-Rec Equations'!$B$33)+(('Res-Rec Equations'!$B$28*'Res-Rec Equations'!$B$31)/'Res-Rec Equations'!$B$34)))))))</f>
        <v>4.9600924608819339E-4</v>
      </c>
      <c r="I168" s="166">
        <f>IF('Chemical Info'!H169="NA","NA",IF('Chemical Info'!E169="Yes",0,IF('Chemical Info'!D169="Yes",'Chemical Info'!H169/'Chemical Info'!AF169*('Res-Rec Equations'!$B$21*'Chemical Info'!AB169*'Res-Rec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Info'!H169/'Chemical Info'!AF169*('Res-Rec Equations'!$B$21*'Chemical Info'!AB169*'Res-Rec Equations'!$B$23)*((('Res-Rec Equations'!$B$26*'Res-Rec Equations'!$B$37*'Res-Rec Equations'!$B$40)/'Res-Rec Equations'!$B$32)+(('Res-Rec Equations'!$B$27*'Res-Rec Equations'!$B$38*'Res-Rec Equations'!$B$41)/'Res-Rec Equations'!$B$33)+(('Res-Rec Equations'!$B$28*'Res-Rec Equations'!$B$39*'Res-Rec Equations'!$B$42)/'Res-Rec Equations'!$B$34)))))</f>
        <v>1.2097932805832147E-4</v>
      </c>
      <c r="J168" s="369">
        <f>IF('Chemical Info'!J169="NA","NA",IF(AND(E168="NA",'Chemical Info'!D169="Yes"),'Res-Rec Equations'!$B$22*1000*(('Res-Rec Equations'!$B$26*'Chemical Info'!J169*'Res-Rec Equations'!$B$59)+('Res-Rec Equations'!$B$27*'Chemical Info'!J169*'Res-Rec Equations'!$B$60)+('Res-Rec Equations'!$B$28*'Chemical Info'!J169*'Res-Rec Equations'!$B$61))*'Res-Rec Calculations'!C168,IF(AND(E168="NA",'Chemical Info'!D169=""),'Res-Rec Equations'!$B$22*1000*'Res-Rec Equations'!$B$25*'Chemical Info'!J169*'Res-Rec Calculations'!C168,IF(AND('Chemical Info'!E169="Yes",'Chemical Info'!D169="Yes"),'Res-Rec Equations'!$B$22*1000*(('Res-Rec Equations'!$B$26*'Chemical Info'!J169*'Res-Rec Equations'!$B$59)+('Res-Rec Equations'!$B$27*'Chemical Info'!J169*'Res-Rec Equations'!$B$60)+('Res-Rec Equations'!$B$28*'Chemical Info'!J169*'Res-Rec Equations'!$B$61))*'Res-Rec Calculations'!E168,IF(AND('Chemical Info'!E169="Yes",'Chemical Info'!D169=""),'Res-Rec Equations'!$B$22*1000*'Res-Rec Equations'!$B$25*'Chemical Info'!J169*'Res-Rec Calculations'!E168,IF('Chemical Info'!D169="Yes",'Res-Rec Equations'!$B$22*1000*(('Res-Rec Equations'!$B$26*'Chemical Info'!J169*'Res-Rec Equations'!$B$59)+('Res-Rec Equations'!$B$27*'Chemical Info'!J169*'Res-Rec Equations'!$B$60)+('Res-Rec Equations'!$B$28*'Chemical Info'!J169*'Res-Rec Equations'!$B$61))*('Res-Rec Calculations'!C168+'Res-Rec Calculations'!E168),IF('Chemical Info'!D169="",'Res-Rec Equations'!$B$22*1000*'Res-Rec Equations'!$B$25*'Chemical Info'!J169*('Res-Rec Calculations'!C168+'Res-Rec Calculations'!E168))))))))</f>
        <v>1.6983179016770266E-5</v>
      </c>
      <c r="K168" s="370">
        <f>IF('Chemical Info'!J169="NA","NA",IF(AND(F168="NA",'Chemical Info'!D169="Yes"),'Res-Rec Equations'!$B$22*1000*(('Res-Rec Equations'!$B$26*'Chemical Info'!J169*'Res-Rec Equations'!$B$59)+('Res-Rec Equations'!$B$27*'Chemical Info'!J169*'Res-Rec Equations'!$B$60)+('Res-Rec Equations'!$B$28*'Chemical Info'!J169*'Res-Rec Equations'!$B$61))*'Res-Rec Calculations'!C168,IF(AND(F168="NA",'Chemical Info'!D169=""),'Res-Rec Equations'!$B$22*1000*'Res-Rec Equations'!$B$25*'Chemical Info'!J169*'Res-Rec Calculations'!C168,IF(AND('Chemical Info'!F169="Yes",'Chemical Info'!D169="Yes"),'Res-Rec Equations'!$B$22*1000*(('Res-Rec Equations'!$B$26*'Chemical Info'!J169*'Res-Rec Equations'!$B$59)+('Res-Rec Equations'!$B$27*'Chemical Info'!J169*'Res-Rec Equations'!$B$60)+('Res-Rec Equations'!$B$28*'Chemical Info'!J169*'Res-Rec Equations'!$B$61))*'Res-Rec Calculations'!F168,IF(AND('Chemical Info'!F169="Yes",'Chemical Info'!D169=""),'Res-Rec Equations'!$B$22*1000*'Res-Rec Equations'!$B$25*'Chemical Info'!J169*'Res-Rec Calculations'!F168,IF('Chemical Info'!D169="Yes",'Res-Rec Equations'!$B$22*1000*(('Res-Rec Equations'!$B$26*'Chemical Info'!J169*'Res-Rec Equations'!$B$59)+('Res-Rec Equations'!$B$27*'Chemical Info'!J169*'Res-Rec Equations'!$B$60)+('Res-Rec Equations'!$B$28*'Chemical Info'!J169*'Res-Rec Equations'!$B$61))*('Res-Rec Calculations'!C168+'Res-Rec Calculations'!F168),IF('Chemical Info'!D169="",'Res-Rec Equations'!$B$22*1000*'Res-Rec Equations'!$B$25*'Chemical Info'!J169*('Res-Rec Calculations'!C168+'Res-Rec Calculations'!F168))))))))</f>
        <v>1.2475901982840207E-3</v>
      </c>
      <c r="L168" s="167">
        <f>IF(AND(H168="NA",I168="NA",J168="NA"),"NA",IF(H168="NA",'Res-Rec Equations'!$B$15*'Res-Rec Equations'!$B$16/J168,IF(J168="NA",'Res-Rec Equations'!$B$15*'Res-Rec Equations'!$B$16/(H168+I168),'Res-Rec Equations'!$B$15*'Res-Rec Equations'!$B$16/(H168+I168+J168))))</f>
        <v>403.01480109350177</v>
      </c>
      <c r="M168" s="167">
        <f>IF(AND(H168="NA",I168="NA",K168="NA"),"NA",IF(H168="NA",'Res-Rec Equations'!$B$15*'Res-Rec Equations'!$B$16/K168,IF(K168="NA",'Res-Rec Equations'!$B$15*'Res-Rec Equations'!$B$16/(H168+I168),'Res-Rec Equations'!$B$15*'Res-Rec Equations'!$B$16/(H168+I168+K168))))</f>
        <v>137.02826814173579</v>
      </c>
      <c r="N168" s="167">
        <f t="shared" si="122"/>
        <v>403.01480109350177</v>
      </c>
      <c r="O168" s="371">
        <f>IF('Chemical Info'!L169="NA","NA",IF('Chemical Info'!E169="Yes",(('Res-Rec Equations'!$B$76*'Chemical Info'!AD169*'Res-Rec Equations'!$B$78*'Res-Rec Equations'!$B$79*'Res-Rec Equations'!$B$81)/('Res-Rec Equations'!$B$84*'Res-Rec Equations'!$B$85))/'Chemical Info'!L169,(('Res-Rec Equations'!$B$76*'Chemical Info'!AD169*'Res-Rec Equations'!$B$78*'Res-Rec Equations'!$B$79*'Res-Rec Equations'!$B$80)/('Res-Rec Equations'!$B$84*'Res-Rec Equations'!$B$85))/'Chemical Info'!L169))</f>
        <v>1.278538812785388E-2</v>
      </c>
      <c r="P168" s="166">
        <f>IF('Chemical Info'!L169="NA","NA", IF('Chemical Info'!E169="Yes",0,((('Res-Rec Equations'!$B$87*'Res-Rec Equations'!$B$88*'Res-Rec Equations'!$B$78*'Res-Rec Equations'!$B$82*'Res-Rec Equations'!$B$79*'Chemical Info'!AB169)/('Res-Rec Equations'!$B$84*'Res-Rec Equations'!$B$85))/('Chemical Info'!L169*'Chemical Info'!AF169))))</f>
        <v>2.1671232876712327E-3</v>
      </c>
      <c r="Q168" s="166" t="str">
        <f>IF('Chemical Info'!N169="NA","NA",IF('Res-Rec Calculations'!E168="NA",(('Res-Rec Equations'!$B$83*'Res-Rec Equations'!$B$79*'Res-Rec Calculations'!C168)/('Res-Rec Equations'!$B$85))/('Chemical Info'!N169),IF('Chemical Info'!E169="Yes",(('Res-Rec Equations'!$B$83*'Res-Rec Equations'!$B$79*'Res-Rec Calculations'!E168)/('Res-Rec Equations'!$B$85))/('Chemical Info'!N169),(('Res-Rec Equations'!$B$83*'Res-Rec Equations'!$B$79*('Res-Rec Calculations'!C168+'Res-Rec Calculations'!E168))/('Res-Rec Equations'!$B$85))/('Chemical Info'!N169))))</f>
        <v>NA</v>
      </c>
      <c r="R168" s="166" t="str">
        <f>IF('Chemical Info'!N169="NA","NA",IF('Res-Rec Calculations'!F168="NA",(('Res-Rec Equations'!$B$83*'Res-Rec Equations'!$B$79*'Res-Rec Calculations'!C168)/('Res-Rec Equations'!$B$85))/('Chemical Info'!N169),IF('Chemical Info'!E169="Yes",(('Res-Rec Equations'!$B$83*'Res-Rec Equations'!$B$79*'Res-Rec Calculations'!F168)/('Res-Rec Equations'!$B$85))/('Chemical Info'!N169),(('Res-Rec Equations'!$B$83*'Res-Rec Equations'!$B$79*('Res-Rec Calculations'!C168+'Res-Rec Calculations'!F168))/('Res-Rec Equations'!$B$85))/('Chemical Info'!N169))))</f>
        <v>NA</v>
      </c>
      <c r="S168" s="167">
        <f>IF(AND(O168="NA",P168="NA",Q168="NA"),"NA",IF(O168="NA",'Res-Rec Equations'!$B$75/Q168,IF(Q168="NA",'Res-Rec Equations'!$B$75/(O168+P168),'Res-Rec Equations'!$B$75/(O168+P168+Q168))))</f>
        <v>13.375679472301963</v>
      </c>
      <c r="T168" s="167">
        <f>IF(AND(O168="NA",P168="NA",R168="NA"),"NA",IF(O168="NA",'Res-Rec Equations'!$B$75/R168,IF(R168="NA",'Res-Rec Equations'!$B$75/(O168+P168),'Res-Rec Equations'!$B$75/(O168+P168+R168))))</f>
        <v>13.375679472301963</v>
      </c>
      <c r="U168" s="168">
        <f t="shared" si="123"/>
        <v>13.375679472301963</v>
      </c>
      <c r="V168" s="167" t="str">
        <f>IF('Chemical Info'!P169="NA","NA",(('Res-Rec Equations'!$B$185*'Res-Rec Equations'!$B$186)/('Res-Rec Equations'!$B$187*'Res-Rec Equations'!$B$188*(1/'Chemical Info'!P169))))</f>
        <v>NA</v>
      </c>
      <c r="W168" s="379" t="str">
        <f t="shared" si="124"/>
        <v>NA</v>
      </c>
      <c r="X168" s="372">
        <f t="shared" si="125"/>
        <v>13.375679472301963</v>
      </c>
      <c r="Y168" s="62">
        <f t="shared" si="126"/>
        <v>13</v>
      </c>
      <c r="Z168" s="100" t="str">
        <f t="shared" si="127"/>
        <v>Noncancer</v>
      </c>
      <c r="AA168" s="373"/>
    </row>
    <row r="169" spans="1:28">
      <c r="A169" s="565" t="s">
        <v>968</v>
      </c>
      <c r="B169" s="593"/>
      <c r="C169" s="386"/>
      <c r="D169" s="406"/>
      <c r="E169" s="406"/>
      <c r="F169" s="406"/>
      <c r="G169" s="386"/>
      <c r="H169" s="386"/>
      <c r="I169" s="386"/>
      <c r="J169" s="386"/>
      <c r="K169" s="386"/>
      <c r="L169" s="386"/>
      <c r="M169" s="386"/>
      <c r="N169" s="386"/>
      <c r="O169" s="386"/>
      <c r="P169" s="386"/>
      <c r="Q169" s="386"/>
      <c r="R169" s="386"/>
      <c r="S169" s="386"/>
      <c r="T169" s="386"/>
      <c r="U169" s="386"/>
      <c r="V169" s="386"/>
      <c r="W169" s="423"/>
      <c r="X169" s="409"/>
      <c r="Y169" s="400"/>
      <c r="Z169" s="400"/>
      <c r="AA169" s="410"/>
    </row>
    <row r="170" spans="1:28" ht="12">
      <c r="A170" s="413" t="s">
        <v>431</v>
      </c>
      <c r="B170" s="566" t="s">
        <v>80</v>
      </c>
      <c r="C170" s="367">
        <f>1/(('Res-Rec Equations'!$B$152*3600)/((0.036*(1-'Res-Rec Equations'!$B$153))*('Res-Rec Equations'!$B$154/'Res-Rec Equations'!$B$155)^3*'Res-Rec Equations'!$B$156))</f>
        <v>7.3567680901159717E-10</v>
      </c>
      <c r="D170" s="368">
        <f>(('Res-Rec Equations'!$B$132^(10/3)*'Chemical Info'!$AH171*'Chemical Info'!$AN171*41+'Res-Rec Equations'!$B$135^(10/3)*'Chemical Info'!$AJ171)/'Res-Rec Equations'!$B$137^2)/('Res-Rec Equations'!$B$139*'Chemical Info'!$AL171*'Res-Rec Equations'!$B$142+'Res-Rec Equations'!$B$135+'Res-Rec Equations'!$B$132*'Chemical Info'!$AN171*41)</f>
        <v>6.4318625314678037E-7</v>
      </c>
      <c r="E170" s="368">
        <f>IF(D170=0,"NA",1/(('Res-Rec Equations'!$B$103*(3.14*'Res-Rec Calculations'!$D170*'Res-Rec Equations'!$B$105)^(1/2)*0.0001)/(2*'Res-Rec Equations'!$B$106*'Res-Rec Calculations'!$D170)))</f>
        <v>4.7075718873539224E-6</v>
      </c>
      <c r="F170" s="368">
        <f>IF(D170=0,"NA",(1/('Res-Rec Equations'!$B$117*('Res-Rec Equations'!$B$118*(31500000))/('Res-Rec Equations'!$B$119*'Res-Rec Equations'!$B$120*1000000))))</f>
        <v>6.1914410640015851E-5</v>
      </c>
      <c r="G170" s="425"/>
      <c r="H170" s="112" t="str">
        <f>IF('Chemical Info'!H171="NA","NA",IF(AND('Chemical Info'!E171="Yes",'Chemical Info'!D171="Yes"),'Chemical Info'!H171*'Chemical Info'!AD171*'Res-Rec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Info'!E171="Yes",'Chemical Info'!D171=""),'Chemical Info'!H171*'Chemical Info'!AD171*'Res-Rec Equations'!$B$20*'Res-Rec Equations'!$B$23*((('Res-Rec Equations'!$B$26*'Res-Rec Equations'!$B$29)/'Res-Rec Equations'!$B$32)+(('Res-Rec Equations'!$B$27*'Res-Rec Equations'!$B$30)/'Res-Rec Equations'!$B$33)+(('Res-Rec Equations'!$B$28*'Res-Rec Equations'!$B$31)/'Res-Rec Equations'!$B$34)),IF(AND('Chemical Info'!E171="No",'Chemical Info'!D171="Yes"),'Chemical Info'!H171*'Chemical Info'!AD171*'Res-Rec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Info'!E171="No",'Chemical Info'!D171=""),'Chemical Info'!H171*'Chemical Info'!AD171*'Res-Rec Equations'!$B$19*'Res-Rec Equations'!$B$23*((('Res-Rec Equations'!$B$26*'Res-Rec Equations'!$B$29)/'Res-Rec Equations'!$B$32)+(('Res-Rec Equations'!$B$27*'Res-Rec Equations'!$B$30)/'Res-Rec Equations'!$B$33)+(('Res-Rec Equations'!$B$28*'Res-Rec Equations'!$B$31)/'Res-Rec Equations'!$B$34)))))))</f>
        <v>NA</v>
      </c>
      <c r="I170" s="166" t="str">
        <f>IF('Chemical Info'!H171="NA","NA",IF('Chemical Info'!E171="Yes",0,IF('Chemical Info'!D171="Yes",'Chemical Info'!H171/'Chemical Info'!AF171*('Res-Rec Equations'!$B$21*'Chemical Info'!AB171*'Res-Rec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Info'!H171/'Chemical Info'!AF171*('Res-Rec Equations'!$B$21*'Chemical Info'!AB171*'Res-Rec Equations'!$B$23)*((('Res-Rec Equations'!$B$26*'Res-Rec Equations'!$B$37*'Res-Rec Equations'!$B$40)/'Res-Rec Equations'!$B$32)+(('Res-Rec Equations'!$B$27*'Res-Rec Equations'!$B$38*'Res-Rec Equations'!$B$41)/'Res-Rec Equations'!$B$33)+(('Res-Rec Equations'!$B$28*'Res-Rec Equations'!$B$39*'Res-Rec Equations'!$B$42)/'Res-Rec Equations'!$B$34)))))</f>
        <v>NA</v>
      </c>
      <c r="J170" s="369" t="str">
        <f>IF('Chemical Info'!J171="NA","NA",IF(AND(E170="NA",'Chemical Info'!D171="Yes"),'Res-Rec Equations'!$B$22*1000*(('Res-Rec Equations'!$B$26*'Chemical Info'!J171*'Res-Rec Equations'!$B$59)+('Res-Rec Equations'!$B$27*'Chemical Info'!J171*'Res-Rec Equations'!$B$60)+('Res-Rec Equations'!$B$28*'Chemical Info'!J171*'Res-Rec Equations'!$B$61))*'Res-Rec Calculations'!C170,IF(AND(E170="NA",'Chemical Info'!D171=""),'Res-Rec Equations'!$B$22*1000*'Res-Rec Equations'!$B$25*'Chemical Info'!J171*'Res-Rec Calculations'!C170,IF(AND('Chemical Info'!E171="Yes",'Chemical Info'!D171="Yes"),'Res-Rec Equations'!$B$22*1000*(('Res-Rec Equations'!$B$26*'Chemical Info'!J171*'Res-Rec Equations'!$B$59)+('Res-Rec Equations'!$B$27*'Chemical Info'!J171*'Res-Rec Equations'!$B$60)+('Res-Rec Equations'!$B$28*'Chemical Info'!J171*'Res-Rec Equations'!$B$61))*'Res-Rec Calculations'!E170,IF(AND('Chemical Info'!E171="Yes",'Chemical Info'!D171=""),'Res-Rec Equations'!$B$22*1000*'Res-Rec Equations'!$B$25*'Chemical Info'!J171*'Res-Rec Calculations'!E170,IF('Chemical Info'!D171="Yes",'Res-Rec Equations'!$B$22*1000*(('Res-Rec Equations'!$B$26*'Chemical Info'!J171*'Res-Rec Equations'!$B$59)+('Res-Rec Equations'!$B$27*'Chemical Info'!J171*'Res-Rec Equations'!$B$60)+('Res-Rec Equations'!$B$28*'Chemical Info'!J171*'Res-Rec Equations'!$B$61))*('Res-Rec Calculations'!C170+'Res-Rec Calculations'!E170),IF('Chemical Info'!D171="",'Res-Rec Equations'!$B$22*1000*'Res-Rec Equations'!$B$25*'Chemical Info'!J171*('Res-Rec Calculations'!C170+'Res-Rec Calculations'!E170))))))))</f>
        <v>NA</v>
      </c>
      <c r="K170" s="370" t="str">
        <f>IF('Chemical Info'!J171="NA","NA",IF(AND(F170="NA",'Chemical Info'!D171="Yes"),'Res-Rec Equations'!$B$22*1000*(('Res-Rec Equations'!$B$26*'Chemical Info'!J171*'Res-Rec Equations'!$B$59)+('Res-Rec Equations'!$B$27*'Chemical Info'!J171*'Res-Rec Equations'!$B$60)+('Res-Rec Equations'!$B$28*'Chemical Info'!J171*'Res-Rec Equations'!$B$61))*'Res-Rec Calculations'!C170,IF(AND(F170="NA",'Chemical Info'!D171=""),'Res-Rec Equations'!$B$22*1000*'Res-Rec Equations'!$B$25*'Chemical Info'!J171*'Res-Rec Calculations'!C170,IF(AND('Chemical Info'!F171="Yes",'Chemical Info'!D171="Yes"),'Res-Rec Equations'!$B$22*1000*(('Res-Rec Equations'!$B$26*'Chemical Info'!J171*'Res-Rec Equations'!$B$59)+('Res-Rec Equations'!$B$27*'Chemical Info'!J171*'Res-Rec Equations'!$B$60)+('Res-Rec Equations'!$B$28*'Chemical Info'!J171*'Res-Rec Equations'!$B$61))*'Res-Rec Calculations'!F170,IF(AND('Chemical Info'!F171="Yes",'Chemical Info'!D171=""),'Res-Rec Equations'!$B$22*1000*'Res-Rec Equations'!$B$25*'Chemical Info'!J171*'Res-Rec Calculations'!F170,IF('Chemical Info'!D171="Yes",'Res-Rec Equations'!$B$22*1000*(('Res-Rec Equations'!$B$26*'Chemical Info'!J171*'Res-Rec Equations'!$B$59)+('Res-Rec Equations'!$B$27*'Chemical Info'!J171*'Res-Rec Equations'!$B$60)+('Res-Rec Equations'!$B$28*'Chemical Info'!J171*'Res-Rec Equations'!$B$61))*('Res-Rec Calculations'!C170+'Res-Rec Calculations'!F170),IF('Chemical Info'!D171="",'Res-Rec Equations'!$B$22*1000*'Res-Rec Equations'!$B$25*'Chemical Info'!J171*('Res-Rec Calculations'!C170+'Res-Rec Calculations'!F170))))))))</f>
        <v>NA</v>
      </c>
      <c r="L170" s="167" t="str">
        <f>IF(AND(H170="NA",I170="NA",J170="NA"),"NA",IF(H170="NA",'Res-Rec Equations'!$B$15*'Res-Rec Equations'!$B$16/J170,IF(J170="NA",'Res-Rec Equations'!$B$15*'Res-Rec Equations'!$B$16/(H170+I170),'Res-Rec Equations'!$B$15*'Res-Rec Equations'!$B$16/(H170+I170+J170))))</f>
        <v>NA</v>
      </c>
      <c r="M170" s="167" t="str">
        <f>IF(AND(H170="NA",I170="NA",K170="NA"),"NA",IF(H170="NA",'Res-Rec Equations'!$B$15*'Res-Rec Equations'!$B$16/K170,IF(K170="NA",'Res-Rec Equations'!$B$15*'Res-Rec Equations'!$B$16/(H170+I170),'Res-Rec Equations'!$B$15*'Res-Rec Equations'!$B$16/(H170+I170+K170))))</f>
        <v>NA</v>
      </c>
      <c r="N170" s="167" t="str">
        <f t="shared" ref="N170:N180" si="242">IF(AND(L170="NA",M170="NA"),"NA",MAX(L170,M170))</f>
        <v>NA</v>
      </c>
      <c r="O170" s="371">
        <f>IF('Chemical Info'!L171="NA","NA",IF('Chemical Info'!E171="Yes",(('Res-Rec Equations'!$B$76*'Chemical Info'!AD171*'Res-Rec Equations'!$B$78*'Res-Rec Equations'!$B$79*'Res-Rec Equations'!$B$81)/('Res-Rec Equations'!$B$84*'Res-Rec Equations'!$B$85))/'Chemical Info'!L171,(('Res-Rec Equations'!$B$76*'Chemical Info'!AD171*'Res-Rec Equations'!$B$78*'Res-Rec Equations'!$B$79*'Res-Rec Equations'!$B$80)/('Res-Rec Equations'!$B$84*'Res-Rec Equations'!$B$85))/'Chemical Info'!L171))</f>
        <v>4.3487714720591431E-4</v>
      </c>
      <c r="P170" s="166">
        <f>IF('Chemical Info'!L171="NA","NA", IF('Chemical Info'!E171="Yes",0,((('Res-Rec Equations'!$B$87*'Res-Rec Equations'!$B$88*'Res-Rec Equations'!$B$78*'Res-Rec Equations'!$B$82*'Res-Rec Equations'!$B$79*'Chemical Info'!AB171)/('Res-Rec Equations'!$B$84*'Res-Rec Equations'!$B$85))/('Chemical Info'!L171*'Chemical Info'!AF171))))</f>
        <v>0</v>
      </c>
      <c r="Q170" s="166" t="str">
        <f>IF('Chemical Info'!N171="NA","NA",IF('Res-Rec Calculations'!E170="NA",(('Res-Rec Equations'!$B$83*'Res-Rec Equations'!$B$79*'Res-Rec Calculations'!C170)/('Res-Rec Equations'!$B$85))/('Chemical Info'!N171),IF('Chemical Info'!E171="Yes",(('Res-Rec Equations'!$B$83*'Res-Rec Equations'!$B$79*'Res-Rec Calculations'!E170)/('Res-Rec Equations'!$B$85))/('Chemical Info'!N171),(('Res-Rec Equations'!$B$83*'Res-Rec Equations'!$B$79*('Res-Rec Calculations'!C170+'Res-Rec Calculations'!E170))/('Res-Rec Equations'!$B$85))/('Chemical Info'!N171))))</f>
        <v>NA</v>
      </c>
      <c r="R170" s="166" t="str">
        <f>IF('Chemical Info'!N171="NA","NA",IF('Res-Rec Calculations'!F170="NA",(('Res-Rec Equations'!$B$83*'Res-Rec Equations'!$B$79*'Res-Rec Calculations'!C170)/('Res-Rec Equations'!$B$85))/('Chemical Info'!N171),IF('Chemical Info'!E171="Yes",(('Res-Rec Equations'!$B$83*'Res-Rec Equations'!$B$79*'Res-Rec Calculations'!F170)/('Res-Rec Equations'!$B$85))/('Chemical Info'!N171),(('Res-Rec Equations'!$B$83*'Res-Rec Equations'!$B$79*('Res-Rec Calculations'!C170+'Res-Rec Calculations'!F170))/('Res-Rec Equations'!$B$85))/('Chemical Info'!N171))))</f>
        <v>NA</v>
      </c>
      <c r="S170" s="167">
        <f>IF(AND(O170="NA",P170="NA",Q170="NA"),"NA",IF(O170="NA",'Res-Rec Equations'!$B$75/Q170,IF(Q170="NA",'Res-Rec Equations'!$B$75/(O170+P170),'Res-Rec Equations'!$B$75/(O170+P170+Q170))))</f>
        <v>459.90000000000003</v>
      </c>
      <c r="T170" s="167">
        <f>IF(AND(O170="NA",P170="NA",R170="NA"),"NA",IF(O170="NA",'Res-Rec Equations'!$B$75/R170,IF(R170="NA",'Res-Rec Equations'!$B$75/(O170+P170),'Res-Rec Equations'!$B$75/(O170+P170+R170))))</f>
        <v>459.90000000000003</v>
      </c>
      <c r="U170" s="168">
        <f t="shared" ref="U170:U180" si="243">IF(AND(S170="NA",T170="NA"),"NA",MAX(S170,T170))</f>
        <v>459.90000000000003</v>
      </c>
      <c r="V170" s="167" t="str">
        <f>IF('Chemical Info'!P171="NA","NA",(('Res-Rec Equations'!$B$185*'Res-Rec Equations'!$B$186)/('Res-Rec Equations'!$B$187*'Res-Rec Equations'!$B$188*(1/'Chemical Info'!P171))))</f>
        <v>NA</v>
      </c>
      <c r="W170" s="379" t="str">
        <f t="shared" ref="W170:W180" si="244">IF(V170="NA","NA",IF(V170&gt;100000,100000,IF(ISNUMBER(ROUND(V170*1000000,2-LEN(INT(V170*1000000)))/1000000),ROUND(V170*1000000,2-LEN(INT(V170*1000000)))/1000000,"NA")))</f>
        <v>NA</v>
      </c>
      <c r="X170" s="372">
        <f t="shared" ref="X170:X180" si="245">IF(AND(N170="NA",U170="NA",G170="NA"),"NA",MIN(N170,U170,G170))</f>
        <v>459.90000000000003</v>
      </c>
      <c r="Y170" s="62">
        <f t="shared" ref="Y170:Y180" si="246">IF(X170&gt;100000,100000,IF(ISNUMBER(ROUND(X170*1000000,2-LEN(INT(X170*1000000)))/1000000),ROUND(X170*1000000,2-LEN(INT(X170*1000000)))/1000000,"NA"))</f>
        <v>460</v>
      </c>
      <c r="Z170" s="100" t="str">
        <f t="shared" ref="Z170:Z180" si="247">IF(Y170=100000,"Max Limit",IF(X170=G170,"Csat",IF(X170=N170,"Cancer",IF(X170=V170,"Acute",IF(X170=U170,"Noncancer","")))))</f>
        <v>Noncancer</v>
      </c>
      <c r="AA170" s="426"/>
      <c r="AB170" s="411"/>
    </row>
    <row r="171" spans="1:28" ht="12">
      <c r="A171" s="427" t="s">
        <v>432</v>
      </c>
      <c r="B171" s="566" t="s">
        <v>81</v>
      </c>
      <c r="C171" s="367">
        <f>1/(('Res-Rec Equations'!$B$152*3600)/((0.036*(1-'Res-Rec Equations'!$B$153))*('Res-Rec Equations'!$B$154/'Res-Rec Equations'!$B$155)^3*'Res-Rec Equations'!$B$156))</f>
        <v>7.3567680901159717E-10</v>
      </c>
      <c r="D171" s="368">
        <f>(('Res-Rec Equations'!$B$132^(10/3)*'Chemical Info'!$AH172*'Chemical Info'!$AN172*41+'Res-Rec Equations'!$B$135^(10/3)*'Chemical Info'!$AJ172)/'Res-Rec Equations'!$B$137^2)/('Res-Rec Equations'!$B$139*'Chemical Info'!$AL172*'Res-Rec Equations'!$B$142+'Res-Rec Equations'!$B$135+'Res-Rec Equations'!$B$132*'Chemical Info'!$AN172*41)</f>
        <v>4.6474100149202308E-8</v>
      </c>
      <c r="E171" s="368">
        <f>IF(D171=0,"NA",1/(('Res-Rec Equations'!$B$103*(3.14*'Res-Rec Calculations'!$D171*'Res-Rec Equations'!$B$105)^(1/2)*0.0001)/(2*'Res-Rec Equations'!$B$106*'Res-Rec Calculations'!$D171)))</f>
        <v>1.2654182063073878E-6</v>
      </c>
      <c r="F171" s="368">
        <f>IF(D171=0,"NA",(1/('Res-Rec Equations'!$B$117*('Res-Rec Equations'!$B$118*(31500000))/('Res-Rec Equations'!$B$119*'Res-Rec Equations'!$B$120*1000000))))</f>
        <v>6.1914410640015851E-5</v>
      </c>
      <c r="G171" s="425"/>
      <c r="H171" s="112" t="str">
        <f>IF('Chemical Info'!H172="NA","NA",IF(AND('Chemical Info'!E172="Yes",'Chemical Info'!D172="Yes"),'Chemical Info'!H172*'Chemical Info'!AD172*'Res-Rec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Info'!E172="Yes",'Chemical Info'!D172=""),'Chemical Info'!H172*'Chemical Info'!AD172*'Res-Rec Equations'!$B$20*'Res-Rec Equations'!$B$23*((('Res-Rec Equations'!$B$26*'Res-Rec Equations'!$B$29)/'Res-Rec Equations'!$B$32)+(('Res-Rec Equations'!$B$27*'Res-Rec Equations'!$B$30)/'Res-Rec Equations'!$B$33)+(('Res-Rec Equations'!$B$28*'Res-Rec Equations'!$B$31)/'Res-Rec Equations'!$B$34)),IF(AND('Chemical Info'!E172="No",'Chemical Info'!D172="Yes"),'Chemical Info'!H172*'Chemical Info'!AD172*'Res-Rec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Info'!E172="No",'Chemical Info'!D172=""),'Chemical Info'!H172*'Chemical Info'!AD172*'Res-Rec Equations'!$B$19*'Res-Rec Equations'!$B$23*((('Res-Rec Equations'!$B$26*'Res-Rec Equations'!$B$29)/'Res-Rec Equations'!$B$32)+(('Res-Rec Equations'!$B$27*'Res-Rec Equations'!$B$30)/'Res-Rec Equations'!$B$33)+(('Res-Rec Equations'!$B$28*'Res-Rec Equations'!$B$31)/'Res-Rec Equations'!$B$34)))))))</f>
        <v>NA</v>
      </c>
      <c r="I171" s="166" t="str">
        <f>IF('Chemical Info'!H172="NA","NA",IF('Chemical Info'!E172="Yes",0,IF('Chemical Info'!D172="Yes",'Chemical Info'!H172/'Chemical Info'!AF172*('Res-Rec Equations'!$B$21*'Chemical Info'!AB172*'Res-Rec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Info'!H172/'Chemical Info'!AF172*('Res-Rec Equations'!$B$21*'Chemical Info'!AB172*'Res-Rec Equations'!$B$23)*((('Res-Rec Equations'!$B$26*'Res-Rec Equations'!$B$37*'Res-Rec Equations'!$B$40)/'Res-Rec Equations'!$B$32)+(('Res-Rec Equations'!$B$27*'Res-Rec Equations'!$B$38*'Res-Rec Equations'!$B$41)/'Res-Rec Equations'!$B$33)+(('Res-Rec Equations'!$B$28*'Res-Rec Equations'!$B$39*'Res-Rec Equations'!$B$42)/'Res-Rec Equations'!$B$34)))))</f>
        <v>NA</v>
      </c>
      <c r="J171" s="369" t="str">
        <f>IF('Chemical Info'!J172="NA","NA",IF(AND(E171="NA",'Chemical Info'!D172="Yes"),'Res-Rec Equations'!$B$22*1000*(('Res-Rec Equations'!$B$26*'Chemical Info'!J172*'Res-Rec Equations'!$B$59)+('Res-Rec Equations'!$B$27*'Chemical Info'!J172*'Res-Rec Equations'!$B$60)+('Res-Rec Equations'!$B$28*'Chemical Info'!J172*'Res-Rec Equations'!$B$61))*'Res-Rec Calculations'!C171,IF(AND(E171="NA",'Chemical Info'!D172=""),'Res-Rec Equations'!$B$22*1000*'Res-Rec Equations'!$B$25*'Chemical Info'!J172*'Res-Rec Calculations'!C171,IF(AND('Chemical Info'!E172="Yes",'Chemical Info'!D172="Yes"),'Res-Rec Equations'!$B$22*1000*(('Res-Rec Equations'!$B$26*'Chemical Info'!J172*'Res-Rec Equations'!$B$59)+('Res-Rec Equations'!$B$27*'Chemical Info'!J172*'Res-Rec Equations'!$B$60)+('Res-Rec Equations'!$B$28*'Chemical Info'!J172*'Res-Rec Equations'!$B$61))*'Res-Rec Calculations'!E171,IF(AND('Chemical Info'!E172="Yes",'Chemical Info'!D172=""),'Res-Rec Equations'!$B$22*1000*'Res-Rec Equations'!$B$25*'Chemical Info'!J172*'Res-Rec Calculations'!E171,IF('Chemical Info'!D172="Yes",'Res-Rec Equations'!$B$22*1000*(('Res-Rec Equations'!$B$26*'Chemical Info'!J172*'Res-Rec Equations'!$B$59)+('Res-Rec Equations'!$B$27*'Chemical Info'!J172*'Res-Rec Equations'!$B$60)+('Res-Rec Equations'!$B$28*'Chemical Info'!J172*'Res-Rec Equations'!$B$61))*('Res-Rec Calculations'!C171+'Res-Rec Calculations'!E171),IF('Chemical Info'!D172="",'Res-Rec Equations'!$B$22*1000*'Res-Rec Equations'!$B$25*'Chemical Info'!J172*('Res-Rec Calculations'!C171+'Res-Rec Calculations'!E171))))))))</f>
        <v>NA</v>
      </c>
      <c r="K171" s="370" t="str">
        <f>IF('Chemical Info'!J172="NA","NA",IF(AND(F171="NA",'Chemical Info'!D172="Yes"),'Res-Rec Equations'!$B$22*1000*(('Res-Rec Equations'!$B$26*'Chemical Info'!J172*'Res-Rec Equations'!$B$59)+('Res-Rec Equations'!$B$27*'Chemical Info'!J172*'Res-Rec Equations'!$B$60)+('Res-Rec Equations'!$B$28*'Chemical Info'!J172*'Res-Rec Equations'!$B$61))*'Res-Rec Calculations'!C171,IF(AND(F171="NA",'Chemical Info'!D172=""),'Res-Rec Equations'!$B$22*1000*'Res-Rec Equations'!$B$25*'Chemical Info'!J172*'Res-Rec Calculations'!C171,IF(AND('Chemical Info'!F172="Yes",'Chemical Info'!D172="Yes"),'Res-Rec Equations'!$B$22*1000*(('Res-Rec Equations'!$B$26*'Chemical Info'!J172*'Res-Rec Equations'!$B$59)+('Res-Rec Equations'!$B$27*'Chemical Info'!J172*'Res-Rec Equations'!$B$60)+('Res-Rec Equations'!$B$28*'Chemical Info'!J172*'Res-Rec Equations'!$B$61))*'Res-Rec Calculations'!F171,IF(AND('Chemical Info'!F172="Yes",'Chemical Info'!D172=""),'Res-Rec Equations'!$B$22*1000*'Res-Rec Equations'!$B$25*'Chemical Info'!J172*'Res-Rec Calculations'!F171,IF('Chemical Info'!D172="Yes",'Res-Rec Equations'!$B$22*1000*(('Res-Rec Equations'!$B$26*'Chemical Info'!J172*'Res-Rec Equations'!$B$59)+('Res-Rec Equations'!$B$27*'Chemical Info'!J172*'Res-Rec Equations'!$B$60)+('Res-Rec Equations'!$B$28*'Chemical Info'!J172*'Res-Rec Equations'!$B$61))*('Res-Rec Calculations'!C171+'Res-Rec Calculations'!F171),IF('Chemical Info'!D172="",'Res-Rec Equations'!$B$22*1000*'Res-Rec Equations'!$B$25*'Chemical Info'!J172*('Res-Rec Calculations'!C171+'Res-Rec Calculations'!F171))))))))</f>
        <v>NA</v>
      </c>
      <c r="L171" s="167" t="str">
        <f>IF(AND(H171="NA",I171="NA",J171="NA"),"NA",IF(H171="NA",'Res-Rec Equations'!$B$15*'Res-Rec Equations'!$B$16/J171,IF(J171="NA",'Res-Rec Equations'!$B$15*'Res-Rec Equations'!$B$16/(H171+I171),'Res-Rec Equations'!$B$15*'Res-Rec Equations'!$B$16/(H171+I171+J171))))</f>
        <v>NA</v>
      </c>
      <c r="M171" s="167" t="str">
        <f>IF(AND(H171="NA",I171="NA",K171="NA"),"NA",IF(H171="NA",'Res-Rec Equations'!$B$15*'Res-Rec Equations'!$B$16/K171,IF(K171="NA",'Res-Rec Equations'!$B$15*'Res-Rec Equations'!$B$16/(H171+I171),'Res-Rec Equations'!$B$15*'Res-Rec Equations'!$B$16/(H171+I171+K171))))</f>
        <v>NA</v>
      </c>
      <c r="N171" s="167" t="str">
        <f t="shared" si="242"/>
        <v>NA</v>
      </c>
      <c r="O171" s="371">
        <f>IF('Chemical Info'!L172="NA","NA",IF('Chemical Info'!E172="Yes",(('Res-Rec Equations'!$B$76*'Chemical Info'!AD172*'Res-Rec Equations'!$B$78*'Res-Rec Equations'!$B$79*'Res-Rec Equations'!$B$81)/('Res-Rec Equations'!$B$84*'Res-Rec Equations'!$B$85))/'Chemical Info'!L172,(('Res-Rec Equations'!$B$76*'Chemical Info'!AD172*'Res-Rec Equations'!$B$78*'Res-Rec Equations'!$B$79*'Res-Rec Equations'!$B$80)/('Res-Rec Equations'!$B$84*'Res-Rec Equations'!$B$85))/'Chemical Info'!L172))</f>
        <v>7.0249385317878473E-5</v>
      </c>
      <c r="P171" s="166">
        <f>IF('Chemical Info'!L172="NA","NA", IF('Chemical Info'!E172="Yes",0,((('Res-Rec Equations'!$B$87*'Res-Rec Equations'!$B$88*'Res-Rec Equations'!$B$78*'Res-Rec Equations'!$B$82*'Res-Rec Equations'!$B$79*'Chemical Info'!AB172)/('Res-Rec Equations'!$B$84*'Res-Rec Equations'!$B$85))/('Chemical Info'!L172*'Chemical Info'!AF172))))</f>
        <v>0</v>
      </c>
      <c r="Q171" s="166" t="str">
        <f>IF('Chemical Info'!N172="NA","NA",IF('Res-Rec Calculations'!E171="NA",(('Res-Rec Equations'!$B$83*'Res-Rec Equations'!$B$79*'Res-Rec Calculations'!C171)/('Res-Rec Equations'!$B$85))/('Chemical Info'!N172),IF('Chemical Info'!E172="Yes",(('Res-Rec Equations'!$B$83*'Res-Rec Equations'!$B$79*'Res-Rec Calculations'!E171)/('Res-Rec Equations'!$B$85))/('Chemical Info'!N172),(('Res-Rec Equations'!$B$83*'Res-Rec Equations'!$B$79*('Res-Rec Calculations'!C171+'Res-Rec Calculations'!E171))/('Res-Rec Equations'!$B$85))/('Chemical Info'!N172))))</f>
        <v>NA</v>
      </c>
      <c r="R171" s="166" t="str">
        <f>IF('Chemical Info'!N172="NA","NA",IF('Res-Rec Calculations'!F171="NA",(('Res-Rec Equations'!$B$83*'Res-Rec Equations'!$B$79*'Res-Rec Calculations'!C171)/('Res-Rec Equations'!$B$85))/('Chemical Info'!N172),IF('Chemical Info'!E172="Yes",(('Res-Rec Equations'!$B$83*'Res-Rec Equations'!$B$79*'Res-Rec Calculations'!F171)/('Res-Rec Equations'!$B$85))/('Chemical Info'!N172),(('Res-Rec Equations'!$B$83*'Res-Rec Equations'!$B$79*('Res-Rec Calculations'!C171+'Res-Rec Calculations'!F171))/('Res-Rec Equations'!$B$85))/('Chemical Info'!N172))))</f>
        <v>NA</v>
      </c>
      <c r="S171" s="167">
        <f>IF(AND(O171="NA",P171="NA",Q171="NA"),"NA",IF(O171="NA",'Res-Rec Equations'!$B$75/Q171,IF(Q171="NA",'Res-Rec Equations'!$B$75/(O171+P171),'Res-Rec Equations'!$B$75/(O171+P171+Q171))))</f>
        <v>2847</v>
      </c>
      <c r="T171" s="167">
        <f>IF(AND(O171="NA",P171="NA",R171="NA"),"NA",IF(O171="NA",'Res-Rec Equations'!$B$75/R171,IF(R171="NA",'Res-Rec Equations'!$B$75/(O171+P171),'Res-Rec Equations'!$B$75/(O171+P171+R171))))</f>
        <v>2847</v>
      </c>
      <c r="U171" s="168">
        <f t="shared" si="243"/>
        <v>2847</v>
      </c>
      <c r="V171" s="167" t="str">
        <f>IF('Chemical Info'!P172="NA","NA",(('Res-Rec Equations'!$B$185*'Res-Rec Equations'!$B$186)/('Res-Rec Equations'!$B$187*'Res-Rec Equations'!$B$188*(1/'Chemical Info'!P172))))</f>
        <v>NA</v>
      </c>
      <c r="W171" s="379" t="str">
        <f t="shared" si="244"/>
        <v>NA</v>
      </c>
      <c r="X171" s="372">
        <f t="shared" si="245"/>
        <v>2847</v>
      </c>
      <c r="Y171" s="62">
        <f t="shared" si="246"/>
        <v>2800</v>
      </c>
      <c r="Z171" s="100" t="str">
        <f t="shared" si="247"/>
        <v>Noncancer</v>
      </c>
      <c r="AA171" s="373"/>
    </row>
    <row r="172" spans="1:28" s="420" customFormat="1">
      <c r="A172" s="413" t="s">
        <v>670</v>
      </c>
      <c r="B172" s="566" t="s">
        <v>99</v>
      </c>
      <c r="C172" s="367">
        <f>1/(('Res-Rec Equations'!$B$152*3600)/((0.036*(1-'Res-Rec Equations'!$B$153))*('Res-Rec Equations'!$B$154/'Res-Rec Equations'!$B$155)^3*'Res-Rec Equations'!$B$156))</f>
        <v>7.3567680901159717E-10</v>
      </c>
      <c r="D172" s="368">
        <f>(('Res-Rec Equations'!$B$132^(10/3)*'Chemical Info'!$AH173*'Chemical Info'!$AN173*41+'Res-Rec Equations'!$B$135^(10/3)*'Chemical Info'!$AJ173)/'Res-Rec Equations'!$B$137^2)/('Res-Rec Equations'!$B$139*'Chemical Info'!$AL173*'Res-Rec Equations'!$B$142+'Res-Rec Equations'!$B$135+'Res-Rec Equations'!$B$132*'Chemical Info'!$AN173*41)</f>
        <v>2.2874108661920532E-11</v>
      </c>
      <c r="E172" s="368">
        <f>IF(D172=0,"NA",1/(('Res-Rec Equations'!$B$103*(3.14*'Res-Rec Calculations'!$D172*'Res-Rec Equations'!$B$105)^(1/2)*0.0001)/(2*'Res-Rec Equations'!$B$106*'Res-Rec Calculations'!$D172)))</f>
        <v>2.8073765878019856E-8</v>
      </c>
      <c r="F172" s="368">
        <f>IF(D172=0,"NA",(1/('Res-Rec Equations'!$B$117*('Res-Rec Equations'!$B$118*(31500000))/('Res-Rec Equations'!$B$119*'Res-Rec Equations'!$B$120*1000000))))</f>
        <v>6.1914410640015851E-5</v>
      </c>
      <c r="G172" s="167" t="str">
        <f>IF('Chemical Info'!E173="Yes",('Chemical Info'!AP173/'Res-Rec Equations'!$B$168)*((('Chemical Info'!AL173*'Res-Rec Equations'!$B$170)*'Res-Rec Equations'!$B$168)+'Res-Rec Equations'!$B$171+('Chemical Info'!AN173*41)*'Res-Rec Equations'!$B$173),"NA")</f>
        <v>NA</v>
      </c>
      <c r="H172" s="112">
        <f>IF('Chemical Info'!H173="NA","NA",IF(AND('Chemical Info'!E173="Yes",'Chemical Info'!D173="Yes"),'Chemical Info'!H173*'Chemical Info'!AD173*'Res-Rec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Info'!E173="Yes",'Chemical Info'!D173=""),'Chemical Info'!H173*'Chemical Info'!AD173*'Res-Rec Equations'!$B$20*'Res-Rec Equations'!$B$23*((('Res-Rec Equations'!$B$26*'Res-Rec Equations'!$B$29)/'Res-Rec Equations'!$B$32)+(('Res-Rec Equations'!$B$27*'Res-Rec Equations'!$B$30)/'Res-Rec Equations'!$B$33)+(('Res-Rec Equations'!$B$28*'Res-Rec Equations'!$B$31)/'Res-Rec Equations'!$B$34)),IF(AND('Chemical Info'!E173="No",'Chemical Info'!D173="Yes"),'Chemical Info'!H173*'Chemical Info'!AD173*'Res-Rec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Info'!E173="No",'Chemical Info'!D173=""),'Chemical Info'!H173*'Chemical Info'!AD173*'Res-Rec Equations'!$B$19*'Res-Rec Equations'!$B$23*((('Res-Rec Equations'!$B$26*'Res-Rec Equations'!$B$29)/'Res-Rec Equations'!$B$32)+(('Res-Rec Equations'!$B$27*'Res-Rec Equations'!$B$30)/'Res-Rec Equations'!$B$33)+(('Res-Rec Equations'!$B$28*'Res-Rec Equations'!$B$31)/'Res-Rec Equations'!$B$34)))))))</f>
        <v>0.22406472261735422</v>
      </c>
      <c r="I172" s="166">
        <f>IF('Chemical Info'!H173="NA","NA",IF('Chemical Info'!E173="Yes",0,IF('Chemical Info'!D173="Yes",'Chemical Info'!H173/'Chemical Info'!AF173*('Res-Rec Equations'!$B$21*'Chemical Info'!AB173*'Res-Rec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Info'!H173/'Chemical Info'!AF173*('Res-Rec Equations'!$B$21*'Chemical Info'!AB173*'Res-Rec Equations'!$B$23)*((('Res-Rec Equations'!$B$26*'Res-Rec Equations'!$B$37*'Res-Rec Equations'!$B$40)/'Res-Rec Equations'!$B$32)+(('Res-Rec Equations'!$B$27*'Res-Rec Equations'!$B$38*'Res-Rec Equations'!$B$41)/'Res-Rec Equations'!$B$33)+(('Res-Rec Equations'!$B$28*'Res-Rec Equations'!$B$39*'Res-Rec Equations'!$B$42)/'Res-Rec Equations'!$B$34)))))</f>
        <v>5.7368735330725465E-2</v>
      </c>
      <c r="J172" s="369">
        <f>IF('Chemical Info'!J173="NA","NA",IF(AND(E172="NA",'Chemical Info'!D173="Yes"),'Res-Rec Equations'!$B$22*1000*(('Res-Rec Equations'!$B$26*'Chemical Info'!J173*'Res-Rec Equations'!$B$59)+('Res-Rec Equations'!$B$27*'Chemical Info'!J173*'Res-Rec Equations'!$B$60)+('Res-Rec Equations'!$B$28*'Chemical Info'!J173*'Res-Rec Equations'!$B$61))*'Res-Rec Calculations'!C172,IF(AND(E172="NA",'Chemical Info'!D173=""),'Res-Rec Equations'!$B$22*1000*'Res-Rec Equations'!$B$25*'Chemical Info'!J173*'Res-Rec Calculations'!C172,IF(AND('Chemical Info'!E173="Yes",'Chemical Info'!D173="Yes"),'Res-Rec Equations'!$B$22*1000*(('Res-Rec Equations'!$B$26*'Chemical Info'!J173*'Res-Rec Equations'!$B$59)+('Res-Rec Equations'!$B$27*'Chemical Info'!J173*'Res-Rec Equations'!$B$60)+('Res-Rec Equations'!$B$28*'Chemical Info'!J173*'Res-Rec Equations'!$B$61))*'Res-Rec Calculations'!E172,IF(AND('Chemical Info'!E173="Yes",'Chemical Info'!D173=""),'Res-Rec Equations'!$B$22*1000*'Res-Rec Equations'!$B$25*'Chemical Info'!J173*'Res-Rec Calculations'!E172,IF('Chemical Info'!D173="Yes",'Res-Rec Equations'!$B$22*1000*(('Res-Rec Equations'!$B$26*'Chemical Info'!J173*'Res-Rec Equations'!$B$59)+('Res-Rec Equations'!$B$27*'Chemical Info'!J173*'Res-Rec Equations'!$B$60)+('Res-Rec Equations'!$B$28*'Chemical Info'!J173*'Res-Rec Equations'!$B$61))*('Res-Rec Calculations'!C172+'Res-Rec Calculations'!E172),IF('Chemical Info'!D173="",'Res-Rec Equations'!$B$22*1000*'Res-Rec Equations'!$B$25*'Chemical Info'!J173*('Res-Rec Calculations'!C172+'Res-Rec Calculations'!E172))))))))</f>
        <v>3.1114198101993962E-4</v>
      </c>
      <c r="K172" s="370">
        <f>IF('Chemical Info'!J173="NA","NA",IF(AND(F172="NA",'Chemical Info'!D173="Yes"),'Res-Rec Equations'!$B$22*1000*(('Res-Rec Equations'!$B$26*'Chemical Info'!J173*'Res-Rec Equations'!$B$59)+('Res-Rec Equations'!$B$27*'Chemical Info'!J173*'Res-Rec Equations'!$B$60)+('Res-Rec Equations'!$B$28*'Chemical Info'!J173*'Res-Rec Equations'!$B$61))*'Res-Rec Calculations'!C172,IF(AND(F172="NA",'Chemical Info'!D173=""),'Res-Rec Equations'!$B$22*1000*'Res-Rec Equations'!$B$25*'Chemical Info'!J173*'Res-Rec Calculations'!C172,IF(AND('Chemical Info'!F173="Yes",'Chemical Info'!D173="Yes"),'Res-Rec Equations'!$B$22*1000*(('Res-Rec Equations'!$B$26*'Chemical Info'!J173*'Res-Rec Equations'!$B$59)+('Res-Rec Equations'!$B$27*'Chemical Info'!J173*'Res-Rec Equations'!$B$60)+('Res-Rec Equations'!$B$28*'Chemical Info'!J173*'Res-Rec Equations'!$B$61))*'Res-Rec Calculations'!F172,IF(AND('Chemical Info'!F173="Yes",'Chemical Info'!D173=""),'Res-Rec Equations'!$B$22*1000*'Res-Rec Equations'!$B$25*'Chemical Info'!J173*'Res-Rec Calculations'!F172,IF('Chemical Info'!D173="Yes",'Res-Rec Equations'!$B$22*1000*(('Res-Rec Equations'!$B$26*'Chemical Info'!J173*'Res-Rec Equations'!$B$59)+('Res-Rec Equations'!$B$27*'Chemical Info'!J173*'Res-Rec Equations'!$B$60)+('Res-Rec Equations'!$B$28*'Chemical Info'!J173*'Res-Rec Equations'!$B$61))*('Res-Rec Calculations'!C172+'Res-Rec Calculations'!F172),IF('Chemical Info'!D173="",'Res-Rec Equations'!$B$22*1000*'Res-Rec Equations'!$B$25*'Chemical Info'!J173*('Res-Rec Calculations'!C172+'Res-Rec Calculations'!F172))))))))</f>
        <v>0.66868358022170837</v>
      </c>
      <c r="L172" s="167">
        <f>IF(AND(H172="NA",I172="NA",J172="NA"),"NA",IF(H172="NA",'Res-Rec Equations'!$B$15*'Res-Rec Equations'!$B$16/J172,IF(J172="NA",'Res-Rec Equations'!$B$15*'Res-Rec Equations'!$B$16/(H172+I172),'Res-Rec Equations'!$B$15*'Res-Rec Equations'!$B$16/(H172+I172+J172))))</f>
        <v>0.90684967897981361</v>
      </c>
      <c r="M172" s="167">
        <f>IF(AND(H172="NA",I172="NA",K172="NA"),"NA",IF(H172="NA",'Res-Rec Equations'!$B$15*'Res-Rec Equations'!$B$16/K172,IF(K172="NA",'Res-Rec Equations'!$B$15*'Res-Rec Equations'!$B$16/(H172+I172),'Res-Rec Equations'!$B$15*'Res-Rec Equations'!$B$16/(H172+I172+K172))))</f>
        <v>0.26891423870491793</v>
      </c>
      <c r="N172" s="167">
        <f t="shared" si="242"/>
        <v>0.90684967897981361</v>
      </c>
      <c r="O172" s="371">
        <f>IF('Chemical Info'!L173="NA","NA",IF('Chemical Info'!E173="Yes",(('Res-Rec Equations'!$B$76*'Chemical Info'!AD173*'Res-Rec Equations'!$B$78*'Res-Rec Equations'!$B$79*'Res-Rec Equations'!$B$81)/('Res-Rec Equations'!$B$84*'Res-Rec Equations'!$B$85))/'Chemical Info'!L173,(('Res-Rec Equations'!$B$76*'Chemical Info'!AD173*'Res-Rec Equations'!$B$78*'Res-Rec Equations'!$B$79*'Res-Rec Equations'!$B$80)/('Res-Rec Equations'!$B$84*'Res-Rec Equations'!$B$85))/'Chemical Info'!L173))</f>
        <v>4.1243187509206067E-2</v>
      </c>
      <c r="P172" s="166">
        <f>IF('Chemical Info'!L173="NA","NA", IF('Chemical Info'!E173="Yes",0,((('Res-Rec Equations'!$B$87*'Res-Rec Equations'!$B$88*'Res-Rec Equations'!$B$78*'Res-Rec Equations'!$B$82*'Res-Rec Equations'!$B$79*'Chemical Info'!AB173)/('Res-Rec Equations'!$B$84*'Res-Rec Equations'!$B$85))/('Chemical Info'!L173*'Chemical Info'!AF173))))</f>
        <v>9.0879363676535582E-3</v>
      </c>
      <c r="Q172" s="166">
        <f>IF('Chemical Info'!N173="NA","NA",IF('Res-Rec Calculations'!E172="NA",(('Res-Rec Equations'!$B$83*'Res-Rec Equations'!$B$79*'Res-Rec Calculations'!C172)/('Res-Rec Equations'!$B$85))/('Chemical Info'!N173),IF('Chemical Info'!E173="Yes",(('Res-Rec Equations'!$B$83*'Res-Rec Equations'!$B$79*'Res-Rec Calculations'!E172)/('Res-Rec Equations'!$B$85))/('Chemical Info'!N173),(('Res-Rec Equations'!$B$83*'Res-Rec Equations'!$B$79*('Res-Rec Calculations'!C172+'Res-Rec Calculations'!E172))/('Res-Rec Equations'!$B$85))/('Chemical Info'!N173))))</f>
        <v>9.8662474955587172E-3</v>
      </c>
      <c r="R172" s="166">
        <f>IF('Chemical Info'!N173="NA","NA",IF('Res-Rec Calculations'!F172="NA",(('Res-Rec Equations'!$B$83*'Res-Rec Equations'!$B$79*'Res-Rec Calculations'!C172)/('Res-Rec Equations'!$B$85))/('Chemical Info'!N173),IF('Chemical Info'!E173="Yes",(('Res-Rec Equations'!$B$83*'Res-Rec Equations'!$B$79*'Res-Rec Calculations'!F172)/('Res-Rec Equations'!$B$85))/('Chemical Info'!N173),(('Res-Rec Equations'!$B$83*'Res-Rec Equations'!$B$79*('Res-Rec Calculations'!C172+'Res-Rec Calculations'!F172))/('Res-Rec Equations'!$B$85))/('Chemical Info'!N173))))</f>
        <v>21.203817231789337</v>
      </c>
      <c r="S172" s="167">
        <f>IF(AND(O172="NA",P172="NA",Q172="NA"),"NA",IF(O172="NA",'Res-Rec Equations'!$B$75/Q172,IF(Q172="NA",'Res-Rec Equations'!$B$75/(O172+P172),'Res-Rec Equations'!$B$75/(O172+P172+Q172))))</f>
        <v>3.3224042086933618</v>
      </c>
      <c r="T172" s="167">
        <f>IF(AND(O172="NA",P172="NA",R172="NA"),"NA",IF(O172="NA",'Res-Rec Equations'!$B$75/R172,IF(R172="NA",'Res-Rec Equations'!$B$75/(O172+P172),'Res-Rec Equations'!$B$75/(O172+P172+R172))))</f>
        <v>9.4099277304932113E-3</v>
      </c>
      <c r="U172" s="168">
        <f t="shared" si="243"/>
        <v>3.3224042086933618</v>
      </c>
      <c r="V172" s="167" t="str">
        <f>IF('Chemical Info'!P173="NA","NA",(('Res-Rec Equations'!$B$185*'Res-Rec Equations'!$B$186)/('Res-Rec Equations'!$B$187*'Res-Rec Equations'!$B$188*(1/'Chemical Info'!P173))))</f>
        <v>NA</v>
      </c>
      <c r="W172" s="379" t="str">
        <f t="shared" si="244"/>
        <v>NA</v>
      </c>
      <c r="X172" s="372">
        <f t="shared" si="245"/>
        <v>0.90684967897981361</v>
      </c>
      <c r="Y172" s="62">
        <f t="shared" si="246"/>
        <v>0.91</v>
      </c>
      <c r="Z172" s="100" t="str">
        <f t="shared" si="247"/>
        <v>Cancer</v>
      </c>
      <c r="AA172" s="373"/>
    </row>
    <row r="173" spans="1:28" s="420" customFormat="1" ht="12">
      <c r="A173" s="424" t="s">
        <v>1223</v>
      </c>
      <c r="B173" s="566" t="s">
        <v>1163</v>
      </c>
      <c r="C173" s="367">
        <f>1/(('Res-Rec Equations'!$B$152*3600)/((0.036*(1-'Res-Rec Equations'!$B$153))*('Res-Rec Equations'!$B$154/'Res-Rec Equations'!$B$155)^3*'Res-Rec Equations'!$B$156))</f>
        <v>7.3567680901159717E-10</v>
      </c>
      <c r="D173" s="368">
        <f>(('Res-Rec Equations'!$B$132^(10/3)*'Chemical Info'!$AH174*'Chemical Info'!$AN174*41+'Res-Rec Equations'!$B$135^(10/3)*'Chemical Info'!$AJ174)/'Res-Rec Equations'!$B$137^2)/('Res-Rec Equations'!$B$139*'Chemical Info'!$AL174*'Res-Rec Equations'!$B$142+'Res-Rec Equations'!$B$135+'Res-Rec Equations'!$B$132*'Chemical Info'!$AN174*41)</f>
        <v>1.994507186401664E-6</v>
      </c>
      <c r="E173" s="368">
        <f>IF(D173=0,"NA",1/(('Res-Rec Equations'!$B$103*(3.14*'Res-Rec Calculations'!$D173*'Res-Rec Equations'!$B$105)^(1/2)*0.0001)/(2*'Res-Rec Equations'!$B$106*'Res-Rec Calculations'!$D173)))</f>
        <v>8.28984454573881E-6</v>
      </c>
      <c r="F173" s="368">
        <f>IF(D173=0,"NA",(1/('Res-Rec Equations'!$B$117*('Res-Rec Equations'!$B$118*(31500000))/('Res-Rec Equations'!$B$119*'Res-Rec Equations'!$B$120*1000000))))</f>
        <v>6.1914410640015851E-5</v>
      </c>
      <c r="G173" s="425"/>
      <c r="H173" s="112" t="str">
        <f>IF('Chemical Info'!H174="NA","NA",IF(AND('Chemical Info'!E174="Yes",'Chemical Info'!D174="Yes"),'Chemical Info'!H174*'Chemical Info'!AD174*'Res-Rec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Info'!E174="Yes",'Chemical Info'!D174=""),'Chemical Info'!H174*'Chemical Info'!AD174*'Res-Rec Equations'!$B$20*'Res-Rec Equations'!$B$23*((('Res-Rec Equations'!$B$26*'Res-Rec Equations'!$B$29)/'Res-Rec Equations'!$B$32)+(('Res-Rec Equations'!$B$27*'Res-Rec Equations'!$B$30)/'Res-Rec Equations'!$B$33)+(('Res-Rec Equations'!$B$28*'Res-Rec Equations'!$B$31)/'Res-Rec Equations'!$B$34)),IF(AND('Chemical Info'!E174="No",'Chemical Info'!D174="Yes"),'Chemical Info'!H174*'Chemical Info'!AD174*'Res-Rec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Info'!E174="No",'Chemical Info'!D174=""),'Chemical Info'!H174*'Chemical Info'!AD174*'Res-Rec Equations'!$B$19*'Res-Rec Equations'!$B$23*((('Res-Rec Equations'!$B$26*'Res-Rec Equations'!$B$29)/'Res-Rec Equations'!$B$32)+(('Res-Rec Equations'!$B$27*'Res-Rec Equations'!$B$30)/'Res-Rec Equations'!$B$33)+(('Res-Rec Equations'!$B$28*'Res-Rec Equations'!$B$31)/'Res-Rec Equations'!$B$34)))))))</f>
        <v>NA</v>
      </c>
      <c r="I173" s="166" t="str">
        <f>IF('Chemical Info'!H174="NA","NA",IF('Chemical Info'!E174="Yes",0,IF('Chemical Info'!D174="Yes",'Chemical Info'!H174/'Chemical Info'!AF174*('Res-Rec Equations'!$B$21*'Chemical Info'!AB174*'Res-Rec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Info'!H174/'Chemical Info'!AF174*('Res-Rec Equations'!$B$21*'Chemical Info'!AB174*'Res-Rec Equations'!$B$23)*((('Res-Rec Equations'!$B$26*'Res-Rec Equations'!$B$37*'Res-Rec Equations'!$B$40)/'Res-Rec Equations'!$B$32)+(('Res-Rec Equations'!$B$27*'Res-Rec Equations'!$B$38*'Res-Rec Equations'!$B$41)/'Res-Rec Equations'!$B$33)+(('Res-Rec Equations'!$B$28*'Res-Rec Equations'!$B$39*'Res-Rec Equations'!$B$42)/'Res-Rec Equations'!$B$34)))))</f>
        <v>NA</v>
      </c>
      <c r="J173" s="369" t="str">
        <f>IF('Chemical Info'!J174="NA","NA",IF(AND(E173="NA",'Chemical Info'!D174="Yes"),'Res-Rec Equations'!$B$22*1000*(('Res-Rec Equations'!$B$26*'Chemical Info'!J174*'Res-Rec Equations'!$B$59)+('Res-Rec Equations'!$B$27*'Chemical Info'!J174*'Res-Rec Equations'!$B$60)+('Res-Rec Equations'!$B$28*'Chemical Info'!J174*'Res-Rec Equations'!$B$61))*'Res-Rec Calculations'!C173,IF(AND(E173="NA",'Chemical Info'!D174=""),'Res-Rec Equations'!$B$22*1000*'Res-Rec Equations'!$B$25*'Chemical Info'!J174*'Res-Rec Calculations'!C173,IF(AND('Chemical Info'!E174="Yes",'Chemical Info'!D174="Yes"),'Res-Rec Equations'!$B$22*1000*(('Res-Rec Equations'!$B$26*'Chemical Info'!J174*'Res-Rec Equations'!$B$59)+('Res-Rec Equations'!$B$27*'Chemical Info'!J174*'Res-Rec Equations'!$B$60)+('Res-Rec Equations'!$B$28*'Chemical Info'!J174*'Res-Rec Equations'!$B$61))*'Res-Rec Calculations'!E173,IF(AND('Chemical Info'!E174="Yes",'Chemical Info'!D174=""),'Res-Rec Equations'!$B$22*1000*'Res-Rec Equations'!$B$25*'Chemical Info'!J174*'Res-Rec Calculations'!E173,IF('Chemical Info'!D174="Yes",'Res-Rec Equations'!$B$22*1000*(('Res-Rec Equations'!$B$26*'Chemical Info'!J174*'Res-Rec Equations'!$B$59)+('Res-Rec Equations'!$B$27*'Chemical Info'!J174*'Res-Rec Equations'!$B$60)+('Res-Rec Equations'!$B$28*'Chemical Info'!J174*'Res-Rec Equations'!$B$61))*('Res-Rec Calculations'!C173+'Res-Rec Calculations'!E173),IF('Chemical Info'!D174="",'Res-Rec Equations'!$B$22*1000*'Res-Rec Equations'!$B$25*'Chemical Info'!J174*('Res-Rec Calculations'!C173+'Res-Rec Calculations'!E173))))))))</f>
        <v>NA</v>
      </c>
      <c r="K173" s="370" t="str">
        <f>IF('Chemical Info'!J174="NA","NA",IF(AND(F173="NA",'Chemical Info'!D174="Yes"),'Res-Rec Equations'!$B$22*1000*(('Res-Rec Equations'!$B$26*'Chemical Info'!J174*'Res-Rec Equations'!$B$59)+('Res-Rec Equations'!$B$27*'Chemical Info'!J174*'Res-Rec Equations'!$B$60)+('Res-Rec Equations'!$B$28*'Chemical Info'!J174*'Res-Rec Equations'!$B$61))*'Res-Rec Calculations'!C173,IF(AND(F173="NA",'Chemical Info'!D174=""),'Res-Rec Equations'!$B$22*1000*'Res-Rec Equations'!$B$25*'Chemical Info'!J174*'Res-Rec Calculations'!C173,IF(AND('Chemical Info'!F174="Yes",'Chemical Info'!D174="Yes"),'Res-Rec Equations'!$B$22*1000*(('Res-Rec Equations'!$B$26*'Chemical Info'!J174*'Res-Rec Equations'!$B$59)+('Res-Rec Equations'!$B$27*'Chemical Info'!J174*'Res-Rec Equations'!$B$60)+('Res-Rec Equations'!$B$28*'Chemical Info'!J174*'Res-Rec Equations'!$B$61))*'Res-Rec Calculations'!F173,IF(AND('Chemical Info'!F174="Yes",'Chemical Info'!D174=""),'Res-Rec Equations'!$B$22*1000*'Res-Rec Equations'!$B$25*'Chemical Info'!J174*'Res-Rec Calculations'!F173,IF('Chemical Info'!D174="Yes",'Res-Rec Equations'!$B$22*1000*(('Res-Rec Equations'!$B$26*'Chemical Info'!J174*'Res-Rec Equations'!$B$59)+('Res-Rec Equations'!$B$27*'Chemical Info'!J174*'Res-Rec Equations'!$B$60)+('Res-Rec Equations'!$B$28*'Chemical Info'!J174*'Res-Rec Equations'!$B$61))*('Res-Rec Calculations'!C173+'Res-Rec Calculations'!F173),IF('Chemical Info'!D174="",'Res-Rec Equations'!$B$22*1000*'Res-Rec Equations'!$B$25*'Chemical Info'!J174*('Res-Rec Calculations'!C173+'Res-Rec Calculations'!F173))))))))</f>
        <v>NA</v>
      </c>
      <c r="L173" s="167" t="str">
        <f>IF(AND(H173="NA",I173="NA",J173="NA"),"NA",IF(H173="NA",'Res-Rec Equations'!$B$15*'Res-Rec Equations'!$B$16/J173,IF(J173="NA",'Res-Rec Equations'!$B$15*'Res-Rec Equations'!$B$16/(H173+I173),'Res-Rec Equations'!$B$15*'Res-Rec Equations'!$B$16/(H173+I173+J173))))</f>
        <v>NA</v>
      </c>
      <c r="M173" s="167" t="str">
        <f>IF(AND(H173="NA",I173="NA",K173="NA"),"NA",IF(H173="NA",'Res-Rec Equations'!$B$15*'Res-Rec Equations'!$B$16/K173,IF(K173="NA",'Res-Rec Equations'!$B$15*'Res-Rec Equations'!$B$16/(H173+I173),'Res-Rec Equations'!$B$15*'Res-Rec Equations'!$B$16/(H173+I173+K173))))</f>
        <v>NA</v>
      </c>
      <c r="N173" s="167" t="str">
        <f t="shared" ref="N173" si="248">IF(AND(L173="NA",M173="NA"),"NA",MAX(L173,M173))</f>
        <v>NA</v>
      </c>
      <c r="O173" s="371">
        <f>IF('Chemical Info'!L174="NA","NA",IF('Chemical Info'!E174="Yes",(('Res-Rec Equations'!$B$76*'Chemical Info'!AD174*'Res-Rec Equations'!$B$78*'Res-Rec Equations'!$B$79*'Res-Rec Equations'!$B$81)/('Res-Rec Equations'!$B$84*'Res-Rec Equations'!$B$85))/'Chemical Info'!L174,(('Res-Rec Equations'!$B$76*'Chemical Info'!AD174*'Res-Rec Equations'!$B$78*'Res-Rec Equations'!$B$79*'Res-Rec Equations'!$B$80)/('Res-Rec Equations'!$B$84*'Res-Rec Equations'!$B$85))/'Chemical Info'!L174))</f>
        <v>1.1415525114155251E-4</v>
      </c>
      <c r="P173" s="166">
        <f>IF('Chemical Info'!L174="NA","NA", IF('Chemical Info'!E174="Yes",0,((('Res-Rec Equations'!$B$87*'Res-Rec Equations'!$B$88*'Res-Rec Equations'!$B$78*'Res-Rec Equations'!$B$82*'Res-Rec Equations'!$B$79*'Chemical Info'!AB174)/('Res-Rec Equations'!$B$84*'Res-Rec Equations'!$B$85))/('Chemical Info'!L174*'Chemical Info'!AF174))))</f>
        <v>0</v>
      </c>
      <c r="Q173" s="166" t="str">
        <f>IF('Chemical Info'!N174="NA","NA",IF('Res-Rec Calculations'!E173="NA",(('Res-Rec Equations'!$B$83*'Res-Rec Equations'!$B$79*'Res-Rec Calculations'!C173)/('Res-Rec Equations'!$B$85))/('Chemical Info'!N174),IF('Chemical Info'!E174="Yes",(('Res-Rec Equations'!$B$83*'Res-Rec Equations'!$B$79*'Res-Rec Calculations'!E173)/('Res-Rec Equations'!$B$85))/('Chemical Info'!N174),(('Res-Rec Equations'!$B$83*'Res-Rec Equations'!$B$79*('Res-Rec Calculations'!C173+'Res-Rec Calculations'!E173))/('Res-Rec Equations'!$B$85))/('Chemical Info'!N174))))</f>
        <v>NA</v>
      </c>
      <c r="R173" s="166" t="str">
        <f>IF('Chemical Info'!N174="NA","NA",IF('Res-Rec Calculations'!F173="NA",(('Res-Rec Equations'!$B$83*'Res-Rec Equations'!$B$79*'Res-Rec Calculations'!C173)/('Res-Rec Equations'!$B$85))/('Chemical Info'!N174),IF('Chemical Info'!E174="Yes",(('Res-Rec Equations'!$B$83*'Res-Rec Equations'!$B$79*'Res-Rec Calculations'!F173)/('Res-Rec Equations'!$B$85))/('Chemical Info'!N174),(('Res-Rec Equations'!$B$83*'Res-Rec Equations'!$B$79*('Res-Rec Calculations'!C173+'Res-Rec Calculations'!F173))/('Res-Rec Equations'!$B$85))/('Chemical Info'!N174))))</f>
        <v>NA</v>
      </c>
      <c r="S173" s="167">
        <f>IF(AND(O173="NA",P173="NA",Q173="NA"),"NA",IF(O173="NA",'Res-Rec Equations'!$B$75/Q173,IF(Q173="NA",'Res-Rec Equations'!$B$75/(O173+P173),'Res-Rec Equations'!$B$75/(O173+P173+Q173))))</f>
        <v>1752.0000000000002</v>
      </c>
      <c r="T173" s="167">
        <f>IF(AND(O173="NA",P173="NA",R173="NA"),"NA",IF(O173="NA",'Res-Rec Equations'!$B$75/R173,IF(R173="NA",'Res-Rec Equations'!$B$75/(O173+P173),'Res-Rec Equations'!$B$75/(O173+P173+R173))))</f>
        <v>1752.0000000000002</v>
      </c>
      <c r="U173" s="168">
        <f t="shared" ref="U173" si="249">IF(AND(S173="NA",T173="NA"),"NA",MAX(S173,T173))</f>
        <v>1752.0000000000002</v>
      </c>
      <c r="V173" s="167" t="str">
        <f>IF('Chemical Info'!P174="NA","NA",(('Res-Rec Equations'!$B$185*'Res-Rec Equations'!$B$186)/('Res-Rec Equations'!$B$187*'Res-Rec Equations'!$B$188*(1/'Chemical Info'!P174))))</f>
        <v>NA</v>
      </c>
      <c r="W173" s="379" t="str">
        <f t="shared" ref="W173" si="250">IF(V173="NA","NA",IF(V173&gt;100000,100000,IF(ISNUMBER(ROUND(V173*1000000,2-LEN(INT(V173*1000000)))/1000000),ROUND(V173*1000000,2-LEN(INT(V173*1000000)))/1000000,"NA")))</f>
        <v>NA</v>
      </c>
      <c r="X173" s="372">
        <f t="shared" ref="X173" si="251">IF(AND(N173="NA",U173="NA",G173="NA"),"NA",MIN(N173,U173,G173))</f>
        <v>1752.0000000000002</v>
      </c>
      <c r="Y173" s="62">
        <f t="shared" ref="Y173" si="252">IF(X173&gt;100000,100000,IF(ISNUMBER(ROUND(X173*1000000,2-LEN(INT(X173*1000000)))/1000000),ROUND(X173*1000000,2-LEN(INT(X173*1000000)))/1000000,"NA"))</f>
        <v>1800</v>
      </c>
      <c r="Z173" s="100" t="str">
        <f t="shared" ref="Z173" si="253">IF(Y173=100000,"Max Limit",IF(X173=G173,"Csat",IF(X173=N173,"Cancer",IF(X173=V173,"Acute",IF(X173=U173,"Noncancer","")))))</f>
        <v>Noncancer</v>
      </c>
      <c r="AA173" s="373"/>
    </row>
    <row r="174" spans="1:28">
      <c r="A174" s="413" t="s">
        <v>180</v>
      </c>
      <c r="B174" s="566" t="s">
        <v>37</v>
      </c>
      <c r="C174" s="367">
        <f>1/(('Res-Rec Equations'!$B$152*3600)/((0.036*(1-'Res-Rec Equations'!$B$153))*('Res-Rec Equations'!$B$154/'Res-Rec Equations'!$B$155)^3*'Res-Rec Equations'!$B$156))</f>
        <v>7.3567680901159717E-10</v>
      </c>
      <c r="D174" s="368">
        <f>(('Res-Rec Equations'!$B$132^(10/3)*'Chemical Info'!$AH175*'Chemical Info'!$AN175*41+'Res-Rec Equations'!$B$135^(10/3)*'Chemical Info'!$AJ175)/'Res-Rec Equations'!$B$137^2)/('Res-Rec Equations'!$B$139*'Chemical Info'!$AL175*'Res-Rec Equations'!$B$142+'Res-Rec Equations'!$B$135+'Res-Rec Equations'!$B$132*'Chemical Info'!$AN175*41)</f>
        <v>1.6683560116971528E-9</v>
      </c>
      <c r="E174" s="368">
        <f>IF(D174=0,"NA",1/(('Res-Rec Equations'!$B$103*(3.14*'Res-Rec Calculations'!$D174*'Res-Rec Equations'!$B$105)^(1/2)*0.0001)/(2*'Res-Rec Equations'!$B$106*'Res-Rec Calculations'!$D174)))</f>
        <v>2.397579127579908E-7</v>
      </c>
      <c r="F174" s="368">
        <f>IF(D174=0,"NA",(1/('Res-Rec Equations'!$B$117*('Res-Rec Equations'!$B$118*(31500000))/('Res-Rec Equations'!$B$119*'Res-Rec Equations'!$B$120*1000000))))</f>
        <v>6.1914410640015851E-5</v>
      </c>
      <c r="G174" s="167" t="str">
        <f>IF('Chemical Info'!E175="Yes",('Chemical Info'!AP175/'Res-Rec Equations'!$B$168)*((('Chemical Info'!AL175*'Res-Rec Equations'!$B$170)*'Res-Rec Equations'!$B$168)+'Res-Rec Equations'!$B$171+('Chemical Info'!AN175*41)*'Res-Rec Equations'!$B$173),"NA")</f>
        <v>NA</v>
      </c>
      <c r="H174" s="112" t="str">
        <f>IF('Chemical Info'!H175="NA","NA",IF(AND('Chemical Info'!E175="Yes",'Chemical Info'!D175="Yes"),'Chemical Info'!H175*'Chemical Info'!AD175*'Res-Rec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Info'!E175="Yes",'Chemical Info'!D175=""),'Chemical Info'!H175*'Chemical Info'!AD175*'Res-Rec Equations'!$B$20*'Res-Rec Equations'!$B$23*((('Res-Rec Equations'!$B$26*'Res-Rec Equations'!$B$29)/'Res-Rec Equations'!$B$32)+(('Res-Rec Equations'!$B$27*'Res-Rec Equations'!$B$30)/'Res-Rec Equations'!$B$33)+(('Res-Rec Equations'!$B$28*'Res-Rec Equations'!$B$31)/'Res-Rec Equations'!$B$34)),IF(AND('Chemical Info'!E175="No",'Chemical Info'!D175="Yes"),'Chemical Info'!H175*'Chemical Info'!AD175*'Res-Rec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Info'!E175="No",'Chemical Info'!D175=""),'Chemical Info'!H175*'Chemical Info'!AD175*'Res-Rec Equations'!$B$19*'Res-Rec Equations'!$B$23*((('Res-Rec Equations'!$B$26*'Res-Rec Equations'!$B$29)/'Res-Rec Equations'!$B$32)+(('Res-Rec Equations'!$B$27*'Res-Rec Equations'!$B$30)/'Res-Rec Equations'!$B$33)+(('Res-Rec Equations'!$B$28*'Res-Rec Equations'!$B$31)/'Res-Rec Equations'!$B$34)))))))</f>
        <v>NA</v>
      </c>
      <c r="I174" s="166" t="str">
        <f>IF('Chemical Info'!H175="NA","NA",IF('Chemical Info'!E175="Yes",0,IF('Chemical Info'!D175="Yes",'Chemical Info'!H175/'Chemical Info'!AF175*('Res-Rec Equations'!$B$21*'Chemical Info'!AB175*'Res-Rec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Info'!H175/'Chemical Info'!AF175*('Res-Rec Equations'!$B$21*'Chemical Info'!AB175*'Res-Rec Equations'!$B$23)*((('Res-Rec Equations'!$B$26*'Res-Rec Equations'!$B$37*'Res-Rec Equations'!$B$40)/'Res-Rec Equations'!$B$32)+(('Res-Rec Equations'!$B$27*'Res-Rec Equations'!$B$38*'Res-Rec Equations'!$B$41)/'Res-Rec Equations'!$B$33)+(('Res-Rec Equations'!$B$28*'Res-Rec Equations'!$B$39*'Res-Rec Equations'!$B$42)/'Res-Rec Equations'!$B$34)))))</f>
        <v>NA</v>
      </c>
      <c r="J174" s="369" t="str">
        <f>IF('Chemical Info'!J175="NA","NA",IF(AND(E174="NA",'Chemical Info'!D175="Yes"),'Res-Rec Equations'!$B$22*1000*(('Res-Rec Equations'!$B$26*'Chemical Info'!J175*'Res-Rec Equations'!$B$59)+('Res-Rec Equations'!$B$27*'Chemical Info'!J175*'Res-Rec Equations'!$B$60)+('Res-Rec Equations'!$B$28*'Chemical Info'!J175*'Res-Rec Equations'!$B$61))*'Res-Rec Calculations'!C174,IF(AND(E174="NA",'Chemical Info'!D175=""),'Res-Rec Equations'!$B$22*1000*'Res-Rec Equations'!$B$25*'Chemical Info'!J175*'Res-Rec Calculations'!C174,IF(AND('Chemical Info'!E175="Yes",'Chemical Info'!D175="Yes"),'Res-Rec Equations'!$B$22*1000*(('Res-Rec Equations'!$B$26*'Chemical Info'!J175*'Res-Rec Equations'!$B$59)+('Res-Rec Equations'!$B$27*'Chemical Info'!J175*'Res-Rec Equations'!$B$60)+('Res-Rec Equations'!$B$28*'Chemical Info'!J175*'Res-Rec Equations'!$B$61))*'Res-Rec Calculations'!E174,IF(AND('Chemical Info'!E175="Yes",'Chemical Info'!D175=""),'Res-Rec Equations'!$B$22*1000*'Res-Rec Equations'!$B$25*'Chemical Info'!J175*'Res-Rec Calculations'!E174,IF('Chemical Info'!D175="Yes",'Res-Rec Equations'!$B$22*1000*(('Res-Rec Equations'!$B$26*'Chemical Info'!J175*'Res-Rec Equations'!$B$59)+('Res-Rec Equations'!$B$27*'Chemical Info'!J175*'Res-Rec Equations'!$B$60)+('Res-Rec Equations'!$B$28*'Chemical Info'!J175*'Res-Rec Equations'!$B$61))*('Res-Rec Calculations'!C174+'Res-Rec Calculations'!E174),IF('Chemical Info'!D175="",'Res-Rec Equations'!$B$22*1000*'Res-Rec Equations'!$B$25*'Chemical Info'!J175*('Res-Rec Calculations'!C174+'Res-Rec Calculations'!E174))))))))</f>
        <v>NA</v>
      </c>
      <c r="K174" s="370" t="str">
        <f>IF('Chemical Info'!J175="NA","NA",IF(AND(F174="NA",'Chemical Info'!D175="Yes"),'Res-Rec Equations'!$B$22*1000*(('Res-Rec Equations'!$B$26*'Chemical Info'!J175*'Res-Rec Equations'!$B$59)+('Res-Rec Equations'!$B$27*'Chemical Info'!J175*'Res-Rec Equations'!$B$60)+('Res-Rec Equations'!$B$28*'Chemical Info'!J175*'Res-Rec Equations'!$B$61))*'Res-Rec Calculations'!C174,IF(AND(F174="NA",'Chemical Info'!D175=""),'Res-Rec Equations'!$B$22*1000*'Res-Rec Equations'!$B$25*'Chemical Info'!J175*'Res-Rec Calculations'!C174,IF(AND('Chemical Info'!F175="Yes",'Chemical Info'!D175="Yes"),'Res-Rec Equations'!$B$22*1000*(('Res-Rec Equations'!$B$26*'Chemical Info'!J175*'Res-Rec Equations'!$B$59)+('Res-Rec Equations'!$B$27*'Chemical Info'!J175*'Res-Rec Equations'!$B$60)+('Res-Rec Equations'!$B$28*'Chemical Info'!J175*'Res-Rec Equations'!$B$61))*'Res-Rec Calculations'!F174,IF(AND('Chemical Info'!F175="Yes",'Chemical Info'!D175=""),'Res-Rec Equations'!$B$22*1000*'Res-Rec Equations'!$B$25*'Chemical Info'!J175*'Res-Rec Calculations'!F174,IF('Chemical Info'!D175="Yes",'Res-Rec Equations'!$B$22*1000*(('Res-Rec Equations'!$B$26*'Chemical Info'!J175*'Res-Rec Equations'!$B$59)+('Res-Rec Equations'!$B$27*'Chemical Info'!J175*'Res-Rec Equations'!$B$60)+('Res-Rec Equations'!$B$28*'Chemical Info'!J175*'Res-Rec Equations'!$B$61))*('Res-Rec Calculations'!C174+'Res-Rec Calculations'!F174),IF('Chemical Info'!D175="",'Res-Rec Equations'!$B$22*1000*'Res-Rec Equations'!$B$25*'Chemical Info'!J175*('Res-Rec Calculations'!C174+'Res-Rec Calculations'!F174))))))))</f>
        <v>NA</v>
      </c>
      <c r="L174" s="167" t="str">
        <f>IF(AND(H174="NA",I174="NA",J174="NA"),"NA",IF(H174="NA",'Res-Rec Equations'!$B$15*'Res-Rec Equations'!$B$16/J174,IF(J174="NA",'Res-Rec Equations'!$B$15*'Res-Rec Equations'!$B$16/(H174+I174),'Res-Rec Equations'!$B$15*'Res-Rec Equations'!$B$16/(H174+I174+J174))))</f>
        <v>NA</v>
      </c>
      <c r="M174" s="167" t="str">
        <f>IF(AND(H174="NA",I174="NA",K174="NA"),"NA",IF(H174="NA",'Res-Rec Equations'!$B$15*'Res-Rec Equations'!$B$16/K174,IF(K174="NA",'Res-Rec Equations'!$B$15*'Res-Rec Equations'!$B$16/(H174+I174),'Res-Rec Equations'!$B$15*'Res-Rec Equations'!$B$16/(H174+I174+K174))))</f>
        <v>NA</v>
      </c>
      <c r="N174" s="167" t="str">
        <f t="shared" si="242"/>
        <v>NA</v>
      </c>
      <c r="O174" s="371">
        <f>IF('Chemical Info'!L175="NA","NA",IF('Chemical Info'!E175="Yes",(('Res-Rec Equations'!$B$76*'Chemical Info'!AD175*'Res-Rec Equations'!$B$78*'Res-Rec Equations'!$B$79*'Res-Rec Equations'!$B$81)/('Res-Rec Equations'!$B$84*'Res-Rec Equations'!$B$85))/'Chemical Info'!L175,(('Res-Rec Equations'!$B$76*'Chemical Info'!AD175*'Res-Rec Equations'!$B$78*'Res-Rec Equations'!$B$79*'Res-Rec Equations'!$B$80)/('Res-Rec Equations'!$B$84*'Res-Rec Equations'!$B$85))/'Chemical Info'!L175))</f>
        <v>7.9908675799086751E-4</v>
      </c>
      <c r="P174" s="166">
        <f>IF('Chemical Info'!L175="NA","NA", IF('Chemical Info'!E175="Yes",0,((('Res-Rec Equations'!$B$87*'Res-Rec Equations'!$B$88*'Res-Rec Equations'!$B$78*'Res-Rec Equations'!$B$82*'Res-Rec Equations'!$B$79*'Chemical Info'!AB175)/('Res-Rec Equations'!$B$84*'Res-Rec Equations'!$B$85))/('Chemical Info'!L175*'Chemical Info'!AF175))))</f>
        <v>1.7607876712328767E-4</v>
      </c>
      <c r="Q174" s="166" t="str">
        <f>IF('Chemical Info'!N175="NA","NA",IF('Res-Rec Calculations'!E174="NA",(('Res-Rec Equations'!$B$83*'Res-Rec Equations'!$B$79*'Res-Rec Calculations'!C174)/('Res-Rec Equations'!$B$85))/('Chemical Info'!N175),IF('Chemical Info'!E175="Yes",(('Res-Rec Equations'!$B$83*'Res-Rec Equations'!$B$79*'Res-Rec Calculations'!E174)/('Res-Rec Equations'!$B$85))/('Chemical Info'!N175),(('Res-Rec Equations'!$B$83*'Res-Rec Equations'!$B$79*('Res-Rec Calculations'!C174+'Res-Rec Calculations'!E174))/('Res-Rec Equations'!$B$85))/('Chemical Info'!N175))))</f>
        <v>NA</v>
      </c>
      <c r="R174" s="166" t="str">
        <f>IF('Chemical Info'!N175="NA","NA",IF('Res-Rec Calculations'!F174="NA",(('Res-Rec Equations'!$B$83*'Res-Rec Equations'!$B$79*'Res-Rec Calculations'!C174)/('Res-Rec Equations'!$B$85))/('Chemical Info'!N175),IF('Chemical Info'!E175="Yes",(('Res-Rec Equations'!$B$83*'Res-Rec Equations'!$B$79*'Res-Rec Calculations'!F174)/('Res-Rec Equations'!$B$85))/('Chemical Info'!N175),(('Res-Rec Equations'!$B$83*'Res-Rec Equations'!$B$79*('Res-Rec Calculations'!C174+'Res-Rec Calculations'!F174))/('Res-Rec Equations'!$B$85))/('Chemical Info'!N175))))</f>
        <v>NA</v>
      </c>
      <c r="S174" s="167">
        <f>IF(AND(O174="NA",P174="NA",Q174="NA"),"NA",IF(O174="NA",'Res-Rec Equations'!$B$75/Q174,IF(Q174="NA",'Res-Rec Equations'!$B$75/(O174+P174),'Res-Rec Equations'!$B$75/(O174+P174+Q174))))</f>
        <v>205.09338655772061</v>
      </c>
      <c r="T174" s="167">
        <f>IF(AND(O174="NA",P174="NA",R174="NA"),"NA",IF(O174="NA",'Res-Rec Equations'!$B$75/R174,IF(R174="NA",'Res-Rec Equations'!$B$75/(O174+P174),'Res-Rec Equations'!$B$75/(O174+P174+R174))))</f>
        <v>205.09338655772061</v>
      </c>
      <c r="U174" s="168">
        <f t="shared" si="243"/>
        <v>205.09338655772061</v>
      </c>
      <c r="V174" s="167" t="str">
        <f>IF('Chemical Info'!P175="NA","NA",(('Res-Rec Equations'!$B$185*'Res-Rec Equations'!$B$186)/('Res-Rec Equations'!$B$187*'Res-Rec Equations'!$B$188*(1/'Chemical Info'!P175))))</f>
        <v>NA</v>
      </c>
      <c r="W174" s="379" t="str">
        <f t="shared" si="244"/>
        <v>NA</v>
      </c>
      <c r="X174" s="372">
        <f t="shared" si="245"/>
        <v>205.09338655772061</v>
      </c>
      <c r="Y174" s="62">
        <f t="shared" si="246"/>
        <v>210</v>
      </c>
      <c r="Z174" s="100" t="str">
        <f t="shared" si="247"/>
        <v>Noncancer</v>
      </c>
      <c r="AA174" s="373"/>
    </row>
    <row r="175" spans="1:28" ht="12">
      <c r="A175" s="413" t="s">
        <v>433</v>
      </c>
      <c r="B175" s="566" t="s">
        <v>121</v>
      </c>
      <c r="C175" s="367">
        <f>1/(('Res-Rec Equations'!$B$152*3600)/((0.036*(1-'Res-Rec Equations'!$B$153))*('Res-Rec Equations'!$B$154/'Res-Rec Equations'!$B$155)^3*'Res-Rec Equations'!$B$156))</f>
        <v>7.3567680901159717E-10</v>
      </c>
      <c r="D175" s="368">
        <f>(('Res-Rec Equations'!$B$132^(10/3)*'Chemical Info'!$AH176*'Chemical Info'!$AN176*41+'Res-Rec Equations'!$B$135^(10/3)*'Chemical Info'!$AJ176)/'Res-Rec Equations'!$B$137^2)/('Res-Rec Equations'!$B$139*'Chemical Info'!$AL176*'Res-Rec Equations'!$B$142+'Res-Rec Equations'!$B$135+'Res-Rec Equations'!$B$132*'Chemical Info'!$AN176*41)</f>
        <v>1.610548033558678E-7</v>
      </c>
      <c r="E175" s="368">
        <f>IF(D175=0,"NA",1/(('Res-Rec Equations'!$B$103*(3.14*'Res-Rec Calculations'!$D175*'Res-Rec Equations'!$B$105)^(1/2)*0.0001)/(2*'Res-Rec Equations'!$B$106*'Res-Rec Calculations'!$D175)))</f>
        <v>2.3556752812940815E-6</v>
      </c>
      <c r="F175" s="368">
        <f>IF(D175=0,"NA",(1/('Res-Rec Equations'!$B$117*('Res-Rec Equations'!$B$118*(31500000))/('Res-Rec Equations'!$B$119*'Res-Rec Equations'!$B$120*1000000))))</f>
        <v>6.1914410640015851E-5</v>
      </c>
      <c r="G175" s="425"/>
      <c r="H175" s="112" t="str">
        <f>IF('Chemical Info'!H176="NA","NA",IF(AND('Chemical Info'!E176="Yes",'Chemical Info'!D176="Yes"),'Chemical Info'!H176*'Chemical Info'!AD176*'Res-Rec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Info'!E176="Yes",'Chemical Info'!D176=""),'Chemical Info'!H176*'Chemical Info'!AD176*'Res-Rec Equations'!$B$20*'Res-Rec Equations'!$B$23*((('Res-Rec Equations'!$B$26*'Res-Rec Equations'!$B$29)/'Res-Rec Equations'!$B$32)+(('Res-Rec Equations'!$B$27*'Res-Rec Equations'!$B$30)/'Res-Rec Equations'!$B$33)+(('Res-Rec Equations'!$B$28*'Res-Rec Equations'!$B$31)/'Res-Rec Equations'!$B$34)),IF(AND('Chemical Info'!E176="No",'Chemical Info'!D176="Yes"),'Chemical Info'!H176*'Chemical Info'!AD176*'Res-Rec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Info'!E176="No",'Chemical Info'!D176=""),'Chemical Info'!H176*'Chemical Info'!AD176*'Res-Rec Equations'!$B$19*'Res-Rec Equations'!$B$23*((('Res-Rec Equations'!$B$26*'Res-Rec Equations'!$B$29)/'Res-Rec Equations'!$B$32)+(('Res-Rec Equations'!$B$27*'Res-Rec Equations'!$B$30)/'Res-Rec Equations'!$B$33)+(('Res-Rec Equations'!$B$28*'Res-Rec Equations'!$B$31)/'Res-Rec Equations'!$B$34)))))))</f>
        <v>NA</v>
      </c>
      <c r="I175" s="166" t="str">
        <f>IF('Chemical Info'!H176="NA","NA",IF('Chemical Info'!E176="Yes",0,IF('Chemical Info'!D176="Yes",'Chemical Info'!H176/'Chemical Info'!AF176*('Res-Rec Equations'!$B$21*'Chemical Info'!AB176*'Res-Rec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Info'!H176/'Chemical Info'!AF176*('Res-Rec Equations'!$B$21*'Chemical Info'!AB176*'Res-Rec Equations'!$B$23)*((('Res-Rec Equations'!$B$26*'Res-Rec Equations'!$B$37*'Res-Rec Equations'!$B$40)/'Res-Rec Equations'!$B$32)+(('Res-Rec Equations'!$B$27*'Res-Rec Equations'!$B$38*'Res-Rec Equations'!$B$41)/'Res-Rec Equations'!$B$33)+(('Res-Rec Equations'!$B$28*'Res-Rec Equations'!$B$39*'Res-Rec Equations'!$B$42)/'Res-Rec Equations'!$B$34)))))</f>
        <v>NA</v>
      </c>
      <c r="J175" s="369" t="str">
        <f>IF('Chemical Info'!J176="NA","NA",IF(AND(E175="NA",'Chemical Info'!D176="Yes"),'Res-Rec Equations'!$B$22*1000*(('Res-Rec Equations'!$B$26*'Chemical Info'!J176*'Res-Rec Equations'!$B$59)+('Res-Rec Equations'!$B$27*'Chemical Info'!J176*'Res-Rec Equations'!$B$60)+('Res-Rec Equations'!$B$28*'Chemical Info'!J176*'Res-Rec Equations'!$B$61))*'Res-Rec Calculations'!C175,IF(AND(E175="NA",'Chemical Info'!D176=""),'Res-Rec Equations'!$B$22*1000*'Res-Rec Equations'!$B$25*'Chemical Info'!J176*'Res-Rec Calculations'!C175,IF(AND('Chemical Info'!E176="Yes",'Chemical Info'!D176="Yes"),'Res-Rec Equations'!$B$22*1000*(('Res-Rec Equations'!$B$26*'Chemical Info'!J176*'Res-Rec Equations'!$B$59)+('Res-Rec Equations'!$B$27*'Chemical Info'!J176*'Res-Rec Equations'!$B$60)+('Res-Rec Equations'!$B$28*'Chemical Info'!J176*'Res-Rec Equations'!$B$61))*'Res-Rec Calculations'!E175,IF(AND('Chemical Info'!E176="Yes",'Chemical Info'!D176=""),'Res-Rec Equations'!$B$22*1000*'Res-Rec Equations'!$B$25*'Chemical Info'!J176*'Res-Rec Calculations'!E175,IF('Chemical Info'!D176="Yes",'Res-Rec Equations'!$B$22*1000*(('Res-Rec Equations'!$B$26*'Chemical Info'!J176*'Res-Rec Equations'!$B$59)+('Res-Rec Equations'!$B$27*'Chemical Info'!J176*'Res-Rec Equations'!$B$60)+('Res-Rec Equations'!$B$28*'Chemical Info'!J176*'Res-Rec Equations'!$B$61))*('Res-Rec Calculations'!C175+'Res-Rec Calculations'!E175),IF('Chemical Info'!D176="",'Res-Rec Equations'!$B$22*1000*'Res-Rec Equations'!$B$25*'Chemical Info'!J176*('Res-Rec Calculations'!C175+'Res-Rec Calculations'!E175))))))))</f>
        <v>NA</v>
      </c>
      <c r="K175" s="370" t="str">
        <f>IF('Chemical Info'!J176="NA","NA",IF(AND(F175="NA",'Chemical Info'!D176="Yes"),'Res-Rec Equations'!$B$22*1000*(('Res-Rec Equations'!$B$26*'Chemical Info'!J176*'Res-Rec Equations'!$B$59)+('Res-Rec Equations'!$B$27*'Chemical Info'!J176*'Res-Rec Equations'!$B$60)+('Res-Rec Equations'!$B$28*'Chemical Info'!J176*'Res-Rec Equations'!$B$61))*'Res-Rec Calculations'!C175,IF(AND(F175="NA",'Chemical Info'!D176=""),'Res-Rec Equations'!$B$22*1000*'Res-Rec Equations'!$B$25*'Chemical Info'!J176*'Res-Rec Calculations'!C175,IF(AND('Chemical Info'!F176="Yes",'Chemical Info'!D176="Yes"),'Res-Rec Equations'!$B$22*1000*(('Res-Rec Equations'!$B$26*'Chemical Info'!J176*'Res-Rec Equations'!$B$59)+('Res-Rec Equations'!$B$27*'Chemical Info'!J176*'Res-Rec Equations'!$B$60)+('Res-Rec Equations'!$B$28*'Chemical Info'!J176*'Res-Rec Equations'!$B$61))*'Res-Rec Calculations'!F175,IF(AND('Chemical Info'!F176="Yes",'Chemical Info'!D176=""),'Res-Rec Equations'!$B$22*1000*'Res-Rec Equations'!$B$25*'Chemical Info'!J176*'Res-Rec Calculations'!F175,IF('Chemical Info'!D176="Yes",'Res-Rec Equations'!$B$22*1000*(('Res-Rec Equations'!$B$26*'Chemical Info'!J176*'Res-Rec Equations'!$B$59)+('Res-Rec Equations'!$B$27*'Chemical Info'!J176*'Res-Rec Equations'!$B$60)+('Res-Rec Equations'!$B$28*'Chemical Info'!J176*'Res-Rec Equations'!$B$61))*('Res-Rec Calculations'!C175+'Res-Rec Calculations'!F175),IF('Chemical Info'!D176="",'Res-Rec Equations'!$B$22*1000*'Res-Rec Equations'!$B$25*'Chemical Info'!J176*('Res-Rec Calculations'!C175+'Res-Rec Calculations'!F175))))))))</f>
        <v>NA</v>
      </c>
      <c r="L175" s="167" t="str">
        <f>IF(AND(H175="NA",I175="NA",J175="NA"),"NA",IF(H175="NA",'Res-Rec Equations'!$B$15*'Res-Rec Equations'!$B$16/J175,IF(J175="NA",'Res-Rec Equations'!$B$15*'Res-Rec Equations'!$B$16/(H175+I175),'Res-Rec Equations'!$B$15*'Res-Rec Equations'!$B$16/(H175+I175+J175))))</f>
        <v>NA</v>
      </c>
      <c r="M175" s="167" t="str">
        <f>IF(AND(H175="NA",I175="NA",K175="NA"),"NA",IF(H175="NA",'Res-Rec Equations'!$B$15*'Res-Rec Equations'!$B$16/K175,IF(K175="NA",'Res-Rec Equations'!$B$15*'Res-Rec Equations'!$B$16/(H175+I175),'Res-Rec Equations'!$B$15*'Res-Rec Equations'!$B$16/(H175+I175+K175))))</f>
        <v>NA</v>
      </c>
      <c r="N175" s="167" t="str">
        <f t="shared" si="242"/>
        <v>NA</v>
      </c>
      <c r="O175" s="371">
        <f>IF('Chemical Info'!L176="NA","NA",IF('Chemical Info'!E176="Yes",(('Res-Rec Equations'!$B$76*'Chemical Info'!AD176*'Res-Rec Equations'!$B$78*'Res-Rec Equations'!$B$79*'Res-Rec Equations'!$B$81)/('Res-Rec Equations'!$B$84*'Res-Rec Equations'!$B$85))/'Chemical Info'!L176,(('Res-Rec Equations'!$B$76*'Chemical Info'!AD176*'Res-Rec Equations'!$B$78*'Res-Rec Equations'!$B$79*'Res-Rec Equations'!$B$80)/('Res-Rec Equations'!$B$84*'Res-Rec Equations'!$B$85))/'Chemical Info'!L176))</f>
        <v>5.0735667174023346E-4</v>
      </c>
      <c r="P175" s="166">
        <f>IF('Chemical Info'!L176="NA","NA", IF('Chemical Info'!E176="Yes",0,((('Res-Rec Equations'!$B$87*'Res-Rec Equations'!$B$88*'Res-Rec Equations'!$B$78*'Res-Rec Equations'!$B$82*'Res-Rec Equations'!$B$79*'Chemical Info'!AB176)/('Res-Rec Equations'!$B$84*'Res-Rec Equations'!$B$85))/('Chemical Info'!L176*'Chemical Info'!AF176))))</f>
        <v>0</v>
      </c>
      <c r="Q175" s="166" t="str">
        <f>IF('Chemical Info'!N176="NA","NA",IF('Res-Rec Calculations'!E175="NA",(('Res-Rec Equations'!$B$83*'Res-Rec Equations'!$B$79*'Res-Rec Calculations'!C175)/('Res-Rec Equations'!$B$85))/('Chemical Info'!N176),IF('Chemical Info'!E176="Yes",(('Res-Rec Equations'!$B$83*'Res-Rec Equations'!$B$79*'Res-Rec Calculations'!E175)/('Res-Rec Equations'!$B$85))/('Chemical Info'!N176),(('Res-Rec Equations'!$B$83*'Res-Rec Equations'!$B$79*('Res-Rec Calculations'!C175+'Res-Rec Calculations'!E175))/('Res-Rec Equations'!$B$85))/('Chemical Info'!N176))))</f>
        <v>NA</v>
      </c>
      <c r="R175" s="166" t="str">
        <f>IF('Chemical Info'!N176="NA","NA",IF('Res-Rec Calculations'!F175="NA",(('Res-Rec Equations'!$B$83*'Res-Rec Equations'!$B$79*'Res-Rec Calculations'!C175)/('Res-Rec Equations'!$B$85))/('Chemical Info'!N176),IF('Chemical Info'!E176="Yes",(('Res-Rec Equations'!$B$83*'Res-Rec Equations'!$B$79*'Res-Rec Calculations'!F175)/('Res-Rec Equations'!$B$85))/('Chemical Info'!N176),(('Res-Rec Equations'!$B$83*'Res-Rec Equations'!$B$79*('Res-Rec Calculations'!C175+'Res-Rec Calculations'!F175))/('Res-Rec Equations'!$B$85))/('Chemical Info'!N176))))</f>
        <v>NA</v>
      </c>
      <c r="S175" s="167">
        <f>IF(AND(O175="NA",P175="NA",Q175="NA"),"NA",IF(O175="NA",'Res-Rec Equations'!$B$75/Q175,IF(Q175="NA",'Res-Rec Equations'!$B$75/(O175+P175),'Res-Rec Equations'!$B$75/(O175+P175+Q175))))</f>
        <v>394.19999999999993</v>
      </c>
      <c r="T175" s="167">
        <f>IF(AND(O175="NA",P175="NA",R175="NA"),"NA",IF(O175="NA",'Res-Rec Equations'!$B$75/R175,IF(R175="NA",'Res-Rec Equations'!$B$75/(O175+P175),'Res-Rec Equations'!$B$75/(O175+P175+R175))))</f>
        <v>394.19999999999993</v>
      </c>
      <c r="U175" s="168">
        <f t="shared" si="243"/>
        <v>394.19999999999993</v>
      </c>
      <c r="V175" s="167" t="str">
        <f>IF('Chemical Info'!P176="NA","NA",(('Res-Rec Equations'!$B$185*'Res-Rec Equations'!$B$186)/('Res-Rec Equations'!$B$187*'Res-Rec Equations'!$B$188*(1/'Chemical Info'!P176))))</f>
        <v>NA</v>
      </c>
      <c r="W175" s="379" t="str">
        <f t="shared" si="244"/>
        <v>NA</v>
      </c>
      <c r="X175" s="372">
        <f t="shared" si="245"/>
        <v>394.19999999999993</v>
      </c>
      <c r="Y175" s="62">
        <f t="shared" si="246"/>
        <v>390</v>
      </c>
      <c r="Z175" s="100" t="str">
        <f t="shared" si="247"/>
        <v>Noncancer</v>
      </c>
      <c r="AA175" s="373"/>
    </row>
    <row r="176" spans="1:28">
      <c r="A176" s="413" t="s">
        <v>1115</v>
      </c>
      <c r="B176" s="566" t="s">
        <v>1109</v>
      </c>
      <c r="C176" s="367">
        <f>1/(('Res-Rec Equations'!$B$152*3600)/((0.036*(1-'Res-Rec Equations'!$B$153))*('Res-Rec Equations'!$B$154/'Res-Rec Equations'!$B$155)^3*'Res-Rec Equations'!$B$156))</f>
        <v>7.3567680901159717E-10</v>
      </c>
      <c r="D176" s="368">
        <f>(('Res-Rec Equations'!$B$132^(10/3)*'Chemical Info'!$AH177*'Chemical Info'!$AN177*41+'Res-Rec Equations'!$B$135^(10/3)*'Chemical Info'!$AJ177)/'Res-Rec Equations'!$B$137^2)/('Res-Rec Equations'!$B$139*'Chemical Info'!$AL177*'Res-Rec Equations'!$B$142+'Res-Rec Equations'!$B$135+'Res-Rec Equations'!$B$132*'Chemical Info'!$AN177*41)</f>
        <v>3.7053119522854752E-6</v>
      </c>
      <c r="E176" s="368">
        <f>IF(D176=0,"NA",1/(('Res-Rec Equations'!$B$103*(3.14*'Res-Rec Calculations'!$D176*'Res-Rec Equations'!$B$105)^(1/2)*0.0001)/(2*'Res-Rec Equations'!$B$106*'Res-Rec Calculations'!$D176)))</f>
        <v>1.1299025077198738E-5</v>
      </c>
      <c r="F176" s="368">
        <f>IF(D176=0,"NA",(1/('Res-Rec Equations'!$B$117*('Res-Rec Equations'!$B$118*(31500000))/('Res-Rec Equations'!$B$119*'Res-Rec Equations'!$B$120*1000000))))</f>
        <v>6.1914410640015851E-5</v>
      </c>
      <c r="G176" s="167">
        <f>IF('Chemical Info'!E177="Yes",('Chemical Info'!AP177/'Res-Rec Equations'!$B$168)*((('Chemical Info'!AL177*'Res-Rec Equations'!$B$170)*'Res-Rec Equations'!$B$168)+'Res-Rec Equations'!$B$171+('Chemical Info'!AN177*41)*'Res-Rec Equations'!$B$173),"NA")</f>
        <v>394.01589238399998</v>
      </c>
      <c r="H176" s="112">
        <f>IF('Chemical Info'!H177="NA","NA",IF(AND('Chemical Info'!E177="Yes",'Chemical Info'!D177="Yes"),'Chemical Info'!H177*'Chemical Info'!AD177*'Res-Rec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Info'!E177="Yes",'Chemical Info'!D177=""),'Chemical Info'!H177*'Chemical Info'!AD177*'Res-Rec Equations'!$B$20*'Res-Rec Equations'!$B$23*((('Res-Rec Equations'!$B$26*'Res-Rec Equations'!$B$29)/'Res-Rec Equations'!$B$32)+(('Res-Rec Equations'!$B$27*'Res-Rec Equations'!$B$30)/'Res-Rec Equations'!$B$33)+(('Res-Rec Equations'!$B$28*'Res-Rec Equations'!$B$31)/'Res-Rec Equations'!$B$34)),IF(AND('Chemical Info'!E177="No",'Chemical Info'!D177="Yes"),'Chemical Info'!H177*'Chemical Info'!AD177*'Res-Rec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Info'!E177="No",'Chemical Info'!D177=""),'Chemical Info'!H177*'Chemical Info'!AD177*'Res-Rec Equations'!$B$19*'Res-Rec Equations'!$B$23*((('Res-Rec Equations'!$B$26*'Res-Rec Equations'!$B$29)/'Res-Rec Equations'!$B$32)+(('Res-Rec Equations'!$B$27*'Res-Rec Equations'!$B$30)/'Res-Rec Equations'!$B$33)+(('Res-Rec Equations'!$B$28*'Res-Rec Equations'!$B$31)/'Res-Rec Equations'!$B$34)))))))</f>
        <v>1.6426280227596019E-3</v>
      </c>
      <c r="I176" s="166">
        <f>IF('Chemical Info'!H177="NA","NA",IF('Chemical Info'!E177="Yes",0,IF('Chemical Info'!D177="Yes",'Chemical Info'!H177/'Chemical Info'!AF177*('Res-Rec Equations'!$B$21*'Chemical Info'!AB177*'Res-Rec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Info'!H177/'Chemical Info'!AF177*('Res-Rec Equations'!$B$21*'Chemical Info'!AB177*'Res-Rec Equations'!$B$23)*((('Res-Rec Equations'!$B$26*'Res-Rec Equations'!$B$37*'Res-Rec Equations'!$B$40)/'Res-Rec Equations'!$B$32)+(('Res-Rec Equations'!$B$27*'Res-Rec Equations'!$B$38*'Res-Rec Equations'!$B$41)/'Res-Rec Equations'!$B$33)+(('Res-Rec Equations'!$B$28*'Res-Rec Equations'!$B$39*'Res-Rec Equations'!$B$42)/'Res-Rec Equations'!$B$34)))))</f>
        <v>0</v>
      </c>
      <c r="J176" s="369" t="str">
        <f>IF('Chemical Info'!J177="NA","NA",IF(AND(E176="NA",'Chemical Info'!D177="Yes"),'Res-Rec Equations'!$B$22*1000*(('Res-Rec Equations'!$B$26*'Chemical Info'!J177*'Res-Rec Equations'!$B$59)+('Res-Rec Equations'!$B$27*'Chemical Info'!J177*'Res-Rec Equations'!$B$60)+('Res-Rec Equations'!$B$28*'Chemical Info'!J177*'Res-Rec Equations'!$B$61))*'Res-Rec Calculations'!C176,IF(AND(E176="NA",'Chemical Info'!D177=""),'Res-Rec Equations'!$B$22*1000*'Res-Rec Equations'!$B$25*'Chemical Info'!J177*'Res-Rec Calculations'!C176,IF(AND('Chemical Info'!E177="Yes",'Chemical Info'!D177="Yes"),'Res-Rec Equations'!$B$22*1000*(('Res-Rec Equations'!$B$26*'Chemical Info'!J177*'Res-Rec Equations'!$B$59)+('Res-Rec Equations'!$B$27*'Chemical Info'!J177*'Res-Rec Equations'!$B$60)+('Res-Rec Equations'!$B$28*'Chemical Info'!J177*'Res-Rec Equations'!$B$61))*'Res-Rec Calculations'!E176,IF(AND('Chemical Info'!E177="Yes",'Chemical Info'!D177=""),'Res-Rec Equations'!$B$22*1000*'Res-Rec Equations'!$B$25*'Chemical Info'!J177*'Res-Rec Calculations'!E176,IF('Chemical Info'!D177="Yes",'Res-Rec Equations'!$B$22*1000*(('Res-Rec Equations'!$B$26*'Chemical Info'!J177*'Res-Rec Equations'!$B$59)+('Res-Rec Equations'!$B$27*'Chemical Info'!J177*'Res-Rec Equations'!$B$60)+('Res-Rec Equations'!$B$28*'Chemical Info'!J177*'Res-Rec Equations'!$B$61))*('Res-Rec Calculations'!C176+'Res-Rec Calculations'!E176),IF('Chemical Info'!D177="",'Res-Rec Equations'!$B$22*1000*'Res-Rec Equations'!$B$25*'Chemical Info'!J177*('Res-Rec Calculations'!C176+'Res-Rec Calculations'!E176))))))))</f>
        <v>NA</v>
      </c>
      <c r="K176" s="370" t="str">
        <f>IF('Chemical Info'!J177="NA","NA",IF(AND(F176="NA",'Chemical Info'!D177="Yes"),'Res-Rec Equations'!$B$22*1000*(('Res-Rec Equations'!$B$26*'Chemical Info'!J177*'Res-Rec Equations'!$B$59)+('Res-Rec Equations'!$B$27*'Chemical Info'!J177*'Res-Rec Equations'!$B$60)+('Res-Rec Equations'!$B$28*'Chemical Info'!J177*'Res-Rec Equations'!$B$61))*'Res-Rec Calculations'!C176,IF(AND(F176="NA",'Chemical Info'!D177=""),'Res-Rec Equations'!$B$22*1000*'Res-Rec Equations'!$B$25*'Chemical Info'!J177*'Res-Rec Calculations'!C176,IF(AND('Chemical Info'!F177="Yes",'Chemical Info'!D177="Yes"),'Res-Rec Equations'!$B$22*1000*(('Res-Rec Equations'!$B$26*'Chemical Info'!J177*'Res-Rec Equations'!$B$59)+('Res-Rec Equations'!$B$27*'Chemical Info'!J177*'Res-Rec Equations'!$B$60)+('Res-Rec Equations'!$B$28*'Chemical Info'!J177*'Res-Rec Equations'!$B$61))*'Res-Rec Calculations'!F176,IF(AND('Chemical Info'!F177="Yes",'Chemical Info'!D177=""),'Res-Rec Equations'!$B$22*1000*'Res-Rec Equations'!$B$25*'Chemical Info'!J177*'Res-Rec Calculations'!F176,IF('Chemical Info'!D177="Yes",'Res-Rec Equations'!$B$22*1000*(('Res-Rec Equations'!$B$26*'Chemical Info'!J177*'Res-Rec Equations'!$B$59)+('Res-Rec Equations'!$B$27*'Chemical Info'!J177*'Res-Rec Equations'!$B$60)+('Res-Rec Equations'!$B$28*'Chemical Info'!J177*'Res-Rec Equations'!$B$61))*('Res-Rec Calculations'!C176+'Res-Rec Calculations'!F176),IF('Chemical Info'!D177="",'Res-Rec Equations'!$B$22*1000*'Res-Rec Equations'!$B$25*'Chemical Info'!J177*('Res-Rec Calculations'!C176+'Res-Rec Calculations'!F176))))))))</f>
        <v>NA</v>
      </c>
      <c r="L176" s="167">
        <f>IF(AND(H176="NA",I176="NA",J176="NA"),"NA",IF(H176="NA",'Res-Rec Equations'!$B$15*'Res-Rec Equations'!$B$16/J176,IF(J176="NA",'Res-Rec Equations'!$B$15*'Res-Rec Equations'!$B$16/(H176+I176),'Res-Rec Equations'!$B$15*'Res-Rec Equations'!$B$16/(H176+I176+J176))))</f>
        <v>155.54343190295882</v>
      </c>
      <c r="M176" s="167">
        <f>IF(AND(H176="NA",I176="NA",K176="NA"),"NA",IF(H176="NA",'Res-Rec Equations'!$B$15*'Res-Rec Equations'!$B$16/K176,IF(K176="NA",'Res-Rec Equations'!$B$15*'Res-Rec Equations'!$B$16/(H176+I176),'Res-Rec Equations'!$B$15*'Res-Rec Equations'!$B$16/(H176+I176+K176))))</f>
        <v>155.54343190295882</v>
      </c>
      <c r="N176" s="167">
        <f t="shared" ref="N176" si="254">IF(AND(L176="NA",M176="NA"),"NA",MAX(L176,M176))</f>
        <v>155.54343190295882</v>
      </c>
      <c r="O176" s="371">
        <f>IF('Chemical Info'!L177="NA","NA",IF('Chemical Info'!E177="Yes",(('Res-Rec Equations'!$B$76*'Chemical Info'!AD177*'Res-Rec Equations'!$B$78*'Res-Rec Equations'!$B$79*'Res-Rec Equations'!$B$81)/('Res-Rec Equations'!$B$84*'Res-Rec Equations'!$B$85))/'Chemical Info'!L177,(('Res-Rec Equations'!$B$76*'Chemical Info'!AD177*'Res-Rec Equations'!$B$78*'Res-Rec Equations'!$B$79*'Res-Rec Equations'!$B$80)/('Res-Rec Equations'!$B$84*'Res-Rec Equations'!$B$85))/'Chemical Info'!L177))</f>
        <v>9.1324200913242006E-4</v>
      </c>
      <c r="P176" s="166">
        <f>IF('Chemical Info'!L177="NA","NA", IF('Chemical Info'!E177="Yes",0,((('Res-Rec Equations'!$B$87*'Res-Rec Equations'!$B$88*'Res-Rec Equations'!$B$78*'Res-Rec Equations'!$B$82*'Res-Rec Equations'!$B$79*'Chemical Info'!AB177)/('Res-Rec Equations'!$B$84*'Res-Rec Equations'!$B$85))/('Chemical Info'!L177*'Chemical Info'!AF177))))</f>
        <v>0</v>
      </c>
      <c r="Q176" s="166">
        <f>IF('Chemical Info'!N177="NA","NA",IF('Res-Rec Calculations'!E176="NA",(('Res-Rec Equations'!$B$83*'Res-Rec Equations'!$B$79*'Res-Rec Calculations'!C176)/('Res-Rec Equations'!$B$85))/('Chemical Info'!N177),IF('Chemical Info'!E177="Yes",(('Res-Rec Equations'!$B$83*'Res-Rec Equations'!$B$79*'Res-Rec Calculations'!E176)/('Res-Rec Equations'!$B$85))/('Chemical Info'!N177),(('Res-Rec Equations'!$B$83*'Res-Rec Equations'!$B$79*('Res-Rec Calculations'!C176+'Res-Rec Calculations'!E176))/('Res-Rec Equations'!$B$85))/('Chemical Info'!N177))))</f>
        <v>2.5796860906846435</v>
      </c>
      <c r="R176" s="166">
        <f>IF('Chemical Info'!N177="NA","NA",IF('Res-Rec Calculations'!F176="NA",(('Res-Rec Equations'!$B$83*'Res-Rec Equations'!$B$79*'Res-Rec Calculations'!C176)/('Res-Rec Equations'!$B$85))/('Chemical Info'!N177),IF('Chemical Info'!E177="Yes",(('Res-Rec Equations'!$B$83*'Res-Rec Equations'!$B$79*'Res-Rec Calculations'!F176)/('Res-Rec Equations'!$B$85))/('Chemical Info'!N177),(('Res-Rec Equations'!$B$83*'Res-Rec Equations'!$B$79*('Res-Rec Calculations'!C176+'Res-Rec Calculations'!F176))/('Res-Rec Equations'!$B$85))/('Chemical Info'!N177))))</f>
        <v>14.13571019178444</v>
      </c>
      <c r="S176" s="167">
        <f>IF(AND(O176="NA",P176="NA",Q176="NA"),"NA",IF(O176="NA",'Res-Rec Equations'!$B$75/Q176,IF(Q176="NA",'Res-Rec Equations'!$B$75/(O176+P176),'Res-Rec Equations'!$B$75/(O176+P176+Q176))))</f>
        <v>7.7501376314481438E-2</v>
      </c>
      <c r="T176" s="167">
        <f>IF(AND(O176="NA",P176="NA",R176="NA"),"NA",IF(O176="NA",'Res-Rec Equations'!$B$75/R176,IF(R176="NA",'Res-Rec Equations'!$B$75/(O176+P176),'Res-Rec Equations'!$B$75/(O176+P176+R176))))</f>
        <v>1.4147649962996141E-2</v>
      </c>
      <c r="U176" s="168">
        <f t="shared" ref="U176" si="255">IF(AND(S176="NA",T176="NA"),"NA",MAX(S176,T176))</f>
        <v>7.7501376314481438E-2</v>
      </c>
      <c r="V176" s="167" t="str">
        <f>IF('Chemical Info'!P177="NA","NA",(('Res-Rec Equations'!$B$185*'Res-Rec Equations'!$B$186)/('Res-Rec Equations'!$B$187*'Res-Rec Equations'!$B$188*(1/'Chemical Info'!P177))))</f>
        <v>NA</v>
      </c>
      <c r="W176" s="379" t="str">
        <f t="shared" ref="W176" si="256">IF(V176="NA","NA",IF(V176&gt;100000,100000,IF(ISNUMBER(ROUND(V176*1000000,2-LEN(INT(V176*1000000)))/1000000),ROUND(V176*1000000,2-LEN(INT(V176*1000000)))/1000000,"NA")))</f>
        <v>NA</v>
      </c>
      <c r="X176" s="372">
        <f t="shared" ref="X176" si="257">IF(AND(N176="NA",U176="NA",G176="NA"),"NA",MIN(N176,U176,G176))</f>
        <v>7.7501376314481438E-2</v>
      </c>
      <c r="Y176" s="62">
        <f t="shared" ref="Y176" si="258">IF(X176&gt;100000,100000,IF(ISNUMBER(ROUND(X176*1000000,2-LEN(INT(X176*1000000)))/1000000),ROUND(X176*1000000,2-LEN(INT(X176*1000000)))/1000000,"NA"))</f>
        <v>7.8E-2</v>
      </c>
      <c r="Z176" s="100" t="str">
        <f t="shared" ref="Z176" si="259">IF(Y176=100000,"Max Limit",IF(X176=G176,"Csat",IF(X176=N176,"Cancer",IF(X176=V176,"Acute",IF(X176=U176,"Noncancer","")))))</f>
        <v>Noncancer</v>
      </c>
      <c r="AA176" s="373"/>
    </row>
    <row r="177" spans="1:27" ht="12">
      <c r="A177" s="424" t="s">
        <v>1032</v>
      </c>
      <c r="B177" s="566" t="s">
        <v>35</v>
      </c>
      <c r="C177" s="367">
        <f>1/(('Res-Rec Equations'!$B$152*3600)/((0.036*(1-'Res-Rec Equations'!$B$153))*('Res-Rec Equations'!$B$154/'Res-Rec Equations'!$B$155)^3*'Res-Rec Equations'!$B$156))</f>
        <v>7.3567680901159717E-10</v>
      </c>
      <c r="D177" s="368">
        <f>(('Res-Rec Equations'!$B$132^(10/3)*'Chemical Info'!$AH178*'Chemical Info'!$AN178*41+'Res-Rec Equations'!$B$135^(10/3)*'Chemical Info'!$AJ178)/'Res-Rec Equations'!$B$137^2)/('Res-Rec Equations'!$B$139*'Chemical Info'!$AL178*'Res-Rec Equations'!$B$142+'Res-Rec Equations'!$B$135+'Res-Rec Equations'!$B$132*'Chemical Info'!$AN178*41)</f>
        <v>3.7844906568438794E-6</v>
      </c>
      <c r="E177" s="368">
        <f>IF(D177=0,"NA",1/(('Res-Rec Equations'!$B$103*(3.14*'Res-Rec Calculations'!$D177*'Res-Rec Equations'!$B$105)^(1/2)*0.0001)/(2*'Res-Rec Equations'!$B$106*'Res-Rec Calculations'!$D177)))</f>
        <v>1.1419111209968259E-5</v>
      </c>
      <c r="F177" s="368">
        <f>IF(D177=0,"NA",(1/('Res-Rec Equations'!$B$117*('Res-Rec Equations'!$B$118*(31500000))/('Res-Rec Equations'!$B$119*'Res-Rec Equations'!$B$120*1000000))))</f>
        <v>6.1914410640015851E-5</v>
      </c>
      <c r="G177" s="425"/>
      <c r="H177" s="112" t="str">
        <f>IF('Chemical Info'!H178="NA","NA",IF(AND('Chemical Info'!E178="Yes",'Chemical Info'!D178="Yes"),'Chemical Info'!H178*'Chemical Info'!AD178*'Res-Rec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Info'!E178="Yes",'Chemical Info'!D178=""),'Chemical Info'!H178*'Chemical Info'!AD178*'Res-Rec Equations'!$B$20*'Res-Rec Equations'!$B$23*((('Res-Rec Equations'!$B$26*'Res-Rec Equations'!$B$29)/'Res-Rec Equations'!$B$32)+(('Res-Rec Equations'!$B$27*'Res-Rec Equations'!$B$30)/'Res-Rec Equations'!$B$33)+(('Res-Rec Equations'!$B$28*'Res-Rec Equations'!$B$31)/'Res-Rec Equations'!$B$34)),IF(AND('Chemical Info'!E178="No",'Chemical Info'!D178="Yes"),'Chemical Info'!H178*'Chemical Info'!AD178*'Res-Rec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Info'!E178="No",'Chemical Info'!D178=""),'Chemical Info'!H178*'Chemical Info'!AD178*'Res-Rec Equations'!$B$19*'Res-Rec Equations'!$B$23*((('Res-Rec Equations'!$B$26*'Res-Rec Equations'!$B$29)/'Res-Rec Equations'!$B$32)+(('Res-Rec Equations'!$B$27*'Res-Rec Equations'!$B$30)/'Res-Rec Equations'!$B$33)+(('Res-Rec Equations'!$B$28*'Res-Rec Equations'!$B$31)/'Res-Rec Equations'!$B$34)))))))</f>
        <v>NA</v>
      </c>
      <c r="I177" s="166" t="str">
        <f>IF('Chemical Info'!H178="NA","NA",IF('Chemical Info'!E178="Yes",0,IF('Chemical Info'!D178="Yes",'Chemical Info'!H178/'Chemical Info'!AF178*('Res-Rec Equations'!$B$21*'Chemical Info'!AB178*'Res-Rec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Info'!H178/'Chemical Info'!AF178*('Res-Rec Equations'!$B$21*'Chemical Info'!AB178*'Res-Rec Equations'!$B$23)*((('Res-Rec Equations'!$B$26*'Res-Rec Equations'!$B$37*'Res-Rec Equations'!$B$40)/'Res-Rec Equations'!$B$32)+(('Res-Rec Equations'!$B$27*'Res-Rec Equations'!$B$38*'Res-Rec Equations'!$B$41)/'Res-Rec Equations'!$B$33)+(('Res-Rec Equations'!$B$28*'Res-Rec Equations'!$B$39*'Res-Rec Equations'!$B$42)/'Res-Rec Equations'!$B$34)))))</f>
        <v>NA</v>
      </c>
      <c r="J177" s="369" t="str">
        <f>IF('Chemical Info'!J178="NA","NA",IF(AND(E177="NA",'Chemical Info'!D178="Yes"),'Res-Rec Equations'!$B$22*1000*(('Res-Rec Equations'!$B$26*'Chemical Info'!J178*'Res-Rec Equations'!$B$59)+('Res-Rec Equations'!$B$27*'Chemical Info'!J178*'Res-Rec Equations'!$B$60)+('Res-Rec Equations'!$B$28*'Chemical Info'!J178*'Res-Rec Equations'!$B$61))*'Res-Rec Calculations'!C177,IF(AND(E177="NA",'Chemical Info'!D178=""),'Res-Rec Equations'!$B$22*1000*'Res-Rec Equations'!$B$25*'Chemical Info'!J178*'Res-Rec Calculations'!C177,IF(AND('Chemical Info'!E178="Yes",'Chemical Info'!D178="Yes"),'Res-Rec Equations'!$B$22*1000*(('Res-Rec Equations'!$B$26*'Chemical Info'!J178*'Res-Rec Equations'!$B$59)+('Res-Rec Equations'!$B$27*'Chemical Info'!J178*'Res-Rec Equations'!$B$60)+('Res-Rec Equations'!$B$28*'Chemical Info'!J178*'Res-Rec Equations'!$B$61))*'Res-Rec Calculations'!E177,IF(AND('Chemical Info'!E178="Yes",'Chemical Info'!D178=""),'Res-Rec Equations'!$B$22*1000*'Res-Rec Equations'!$B$25*'Chemical Info'!J178*'Res-Rec Calculations'!E177,IF('Chemical Info'!D178="Yes",'Res-Rec Equations'!$B$22*1000*(('Res-Rec Equations'!$B$26*'Chemical Info'!J178*'Res-Rec Equations'!$B$59)+('Res-Rec Equations'!$B$27*'Chemical Info'!J178*'Res-Rec Equations'!$B$60)+('Res-Rec Equations'!$B$28*'Chemical Info'!J178*'Res-Rec Equations'!$B$61))*('Res-Rec Calculations'!C177+'Res-Rec Calculations'!E177),IF('Chemical Info'!D178="",'Res-Rec Equations'!$B$22*1000*'Res-Rec Equations'!$B$25*'Chemical Info'!J178*('Res-Rec Calculations'!C177+'Res-Rec Calculations'!E177))))))))</f>
        <v>NA</v>
      </c>
      <c r="K177" s="370" t="str">
        <f>IF('Chemical Info'!J178="NA","NA",IF(AND(F177="NA",'Chemical Info'!D178="Yes"),'Res-Rec Equations'!$B$22*1000*(('Res-Rec Equations'!$B$26*'Chemical Info'!J178*'Res-Rec Equations'!$B$59)+('Res-Rec Equations'!$B$27*'Chemical Info'!J178*'Res-Rec Equations'!$B$60)+('Res-Rec Equations'!$B$28*'Chemical Info'!J178*'Res-Rec Equations'!$B$61))*'Res-Rec Calculations'!C177,IF(AND(F177="NA",'Chemical Info'!D178=""),'Res-Rec Equations'!$B$22*1000*'Res-Rec Equations'!$B$25*'Chemical Info'!J178*'Res-Rec Calculations'!C177,IF(AND('Chemical Info'!F178="Yes",'Chemical Info'!D178="Yes"),'Res-Rec Equations'!$B$22*1000*(('Res-Rec Equations'!$B$26*'Chemical Info'!J178*'Res-Rec Equations'!$B$59)+('Res-Rec Equations'!$B$27*'Chemical Info'!J178*'Res-Rec Equations'!$B$60)+('Res-Rec Equations'!$B$28*'Chemical Info'!J178*'Res-Rec Equations'!$B$61))*'Res-Rec Calculations'!F177,IF(AND('Chemical Info'!F178="Yes",'Chemical Info'!D178=""),'Res-Rec Equations'!$B$22*1000*'Res-Rec Equations'!$B$25*'Chemical Info'!J178*'Res-Rec Calculations'!F177,IF('Chemical Info'!D178="Yes",'Res-Rec Equations'!$B$22*1000*(('Res-Rec Equations'!$B$26*'Chemical Info'!J178*'Res-Rec Equations'!$B$59)+('Res-Rec Equations'!$B$27*'Chemical Info'!J178*'Res-Rec Equations'!$B$60)+('Res-Rec Equations'!$B$28*'Chemical Info'!J178*'Res-Rec Equations'!$B$61))*('Res-Rec Calculations'!C177+'Res-Rec Calculations'!F177),IF('Chemical Info'!D178="",'Res-Rec Equations'!$B$22*1000*'Res-Rec Equations'!$B$25*'Chemical Info'!J178*('Res-Rec Calculations'!C177+'Res-Rec Calculations'!F177))))))))</f>
        <v>NA</v>
      </c>
      <c r="L177" s="167" t="str">
        <f>IF(AND(H177="NA",I177="NA",J177="NA"),"NA",IF(H177="NA",'Res-Rec Equations'!$B$15*'Res-Rec Equations'!$B$16/J177,IF(J177="NA",'Res-Rec Equations'!$B$15*'Res-Rec Equations'!$B$16/(H177+I177),'Res-Rec Equations'!$B$15*'Res-Rec Equations'!$B$16/(H177+I177+J177))))</f>
        <v>NA</v>
      </c>
      <c r="M177" s="167" t="str">
        <f>IF(AND(H177="NA",I177="NA",K177="NA"),"NA",IF(H177="NA",'Res-Rec Equations'!$B$15*'Res-Rec Equations'!$B$16/K177,IF(K177="NA",'Res-Rec Equations'!$B$15*'Res-Rec Equations'!$B$16/(H177+I177),'Res-Rec Equations'!$B$15*'Res-Rec Equations'!$B$16/(H177+I177+K177))))</f>
        <v>NA</v>
      </c>
      <c r="N177" s="167" t="str">
        <f t="shared" si="242"/>
        <v>NA</v>
      </c>
      <c r="O177" s="371">
        <f>IF('Chemical Info'!L178="NA","NA",IF('Chemical Info'!E178="Yes",(('Res-Rec Equations'!$B$76*'Chemical Info'!AD178*'Res-Rec Equations'!$B$78*'Res-Rec Equations'!$B$79*'Res-Rec Equations'!$B$81)/('Res-Rec Equations'!$B$84*'Res-Rec Equations'!$B$85))/'Chemical Info'!L178,(('Res-Rec Equations'!$B$76*'Chemical Info'!AD178*'Res-Rec Equations'!$B$78*'Res-Rec Equations'!$B$79*'Res-Rec Equations'!$B$80)/('Res-Rec Equations'!$B$84*'Res-Rec Equations'!$B$85))/'Chemical Info'!L178))</f>
        <v>5.0735667174023344E-3</v>
      </c>
      <c r="P177" s="166">
        <f>IF('Chemical Info'!L178="NA","NA", IF('Chemical Info'!E178="Yes",0,((('Res-Rec Equations'!$B$87*'Res-Rec Equations'!$B$88*'Res-Rec Equations'!$B$78*'Res-Rec Equations'!$B$82*'Res-Rec Equations'!$B$79*'Chemical Info'!AB178)/('Res-Rec Equations'!$B$84*'Res-Rec Equations'!$B$85))/('Chemical Info'!L178*'Chemical Info'!AF178))))</f>
        <v>0</v>
      </c>
      <c r="Q177" s="166" t="str">
        <f>IF('Chemical Info'!N178="NA","NA",IF('Res-Rec Calculations'!E177="NA",(('Res-Rec Equations'!$B$83*'Res-Rec Equations'!$B$79*'Res-Rec Calculations'!C177)/('Res-Rec Equations'!$B$85))/('Chemical Info'!N178),IF('Chemical Info'!E178="Yes",(('Res-Rec Equations'!$B$83*'Res-Rec Equations'!$B$79*'Res-Rec Calculations'!E177)/('Res-Rec Equations'!$B$85))/('Chemical Info'!N178),(('Res-Rec Equations'!$B$83*'Res-Rec Equations'!$B$79*('Res-Rec Calculations'!C177+'Res-Rec Calculations'!E177))/('Res-Rec Equations'!$B$85))/('Chemical Info'!N178))))</f>
        <v>NA</v>
      </c>
      <c r="R177" s="166" t="str">
        <f>IF('Chemical Info'!N178="NA","NA",IF('Res-Rec Calculations'!F177="NA",(('Res-Rec Equations'!$B$83*'Res-Rec Equations'!$B$79*'Res-Rec Calculations'!C177)/('Res-Rec Equations'!$B$85))/('Chemical Info'!N178),IF('Chemical Info'!E178="Yes",(('Res-Rec Equations'!$B$83*'Res-Rec Equations'!$B$79*'Res-Rec Calculations'!F177)/('Res-Rec Equations'!$B$85))/('Chemical Info'!N178),(('Res-Rec Equations'!$B$83*'Res-Rec Equations'!$B$79*('Res-Rec Calculations'!C177+'Res-Rec Calculations'!F177))/('Res-Rec Equations'!$B$85))/('Chemical Info'!N178))))</f>
        <v>NA</v>
      </c>
      <c r="S177" s="167">
        <f>IF(AND(O177="NA",P177="NA",Q177="NA"),"NA",IF(O177="NA",'Res-Rec Equations'!$B$75/Q177,IF(Q177="NA",'Res-Rec Equations'!$B$75/(O177+P177),'Res-Rec Equations'!$B$75/(O177+P177+Q177))))</f>
        <v>39.419999999999995</v>
      </c>
      <c r="T177" s="167">
        <f>IF(AND(O177="NA",P177="NA",R177="NA"),"NA",IF(O177="NA",'Res-Rec Equations'!$B$75/R177,IF(R177="NA",'Res-Rec Equations'!$B$75/(O177+P177),'Res-Rec Equations'!$B$75/(O177+P177+R177))))</f>
        <v>39.419999999999995</v>
      </c>
      <c r="U177" s="168">
        <f t="shared" si="243"/>
        <v>39.419999999999995</v>
      </c>
      <c r="V177" s="167" t="str">
        <f>IF('Chemical Info'!P178="NA","NA",(('Res-Rec Equations'!$B$185*'Res-Rec Equations'!$B$186)/('Res-Rec Equations'!$B$187*'Res-Rec Equations'!$B$188*(1/'Chemical Info'!P178))))</f>
        <v>NA</v>
      </c>
      <c r="W177" s="379" t="str">
        <f t="shared" si="244"/>
        <v>NA</v>
      </c>
      <c r="X177" s="372">
        <f t="shared" si="245"/>
        <v>39.419999999999995</v>
      </c>
      <c r="Y177" s="62">
        <f t="shared" si="246"/>
        <v>39</v>
      </c>
      <c r="Z177" s="100" t="str">
        <f t="shared" si="247"/>
        <v>Noncancer</v>
      </c>
      <c r="AA177" s="373"/>
    </row>
    <row r="178" spans="1:27">
      <c r="A178" s="413" t="s">
        <v>1304</v>
      </c>
      <c r="B178" s="566" t="s">
        <v>1305</v>
      </c>
      <c r="C178" s="367">
        <f>1/(('Res-Rec Equations'!$B$152*3600)/((0.036*(1-'Res-Rec Equations'!$B$153))*('Res-Rec Equations'!$B$154/'Res-Rec Equations'!$B$155)^3*'Res-Rec Equations'!$B$156))</f>
        <v>7.3567680901159717E-10</v>
      </c>
      <c r="D178" s="368">
        <f>(('Res-Rec Equations'!$B$132^(10/3)*'Chemical Info'!$AH179*'Chemical Info'!$AN179*41+'Res-Rec Equations'!$B$135^(10/3)*'Chemical Info'!$AJ179)/'Res-Rec Equations'!$B$137^2)/('Res-Rec Equations'!$B$139*'Chemical Info'!$AL179*'Res-Rec Equations'!$B$142+'Res-Rec Equations'!$B$135+'Res-Rec Equations'!$B$132*'Chemical Info'!$AN179*41)</f>
        <v>6.5490723745575402E-11</v>
      </c>
      <c r="E178" s="368">
        <f>IF(D178=0,"NA",1/(('Res-Rec Equations'!$B$103*(3.14*'Res-Rec Calculations'!$D178*'Res-Rec Equations'!$B$105)^(1/2)*0.0001)/(2*'Res-Rec Equations'!$B$106*'Res-Rec Calculations'!$D178)))</f>
        <v>4.7502720088394918E-8</v>
      </c>
      <c r="F178" s="368">
        <f>IF(D178=0,"NA",(1/('Res-Rec Equations'!$B$117*('Res-Rec Equations'!$B$118*(31500000))/('Res-Rec Equations'!$B$119*'Res-Rec Equations'!$B$120*1000000))))</f>
        <v>6.1914410640015851E-5</v>
      </c>
      <c r="G178" s="167" t="str">
        <f>IF('Chemical Info'!E179="Yes",('Chemical Info'!AP179/'Res-Rec Equations'!$B$168)*((('Chemical Info'!AL179*'Res-Rec Equations'!$B$170)*'Res-Rec Equations'!$B$168)+'Res-Rec Equations'!$B$171+('Chemical Info'!AN179*41)*'Res-Rec Equations'!$B$173),"NA")</f>
        <v>NA</v>
      </c>
      <c r="H178" s="112" t="str">
        <f>IF('Chemical Info'!H179="NA","NA",IF(AND('Chemical Info'!E179="Yes",'Chemical Info'!D179="Yes"),'Chemical Info'!H179*'Chemical Info'!AD179*'Res-Rec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Info'!E179="Yes",'Chemical Info'!D179=""),'Chemical Info'!H179*'Chemical Info'!AD179*'Res-Rec Equations'!$B$20*'Res-Rec Equations'!$B$23*((('Res-Rec Equations'!$B$26*'Res-Rec Equations'!$B$29)/'Res-Rec Equations'!$B$32)+(('Res-Rec Equations'!$B$27*'Res-Rec Equations'!$B$30)/'Res-Rec Equations'!$B$33)+(('Res-Rec Equations'!$B$28*'Res-Rec Equations'!$B$31)/'Res-Rec Equations'!$B$34)),IF(AND('Chemical Info'!E179="No",'Chemical Info'!D179="Yes"),'Chemical Info'!H179*'Chemical Info'!AD179*'Res-Rec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Info'!E179="No",'Chemical Info'!D179=""),'Chemical Info'!H179*'Chemical Info'!AD179*'Res-Rec Equations'!$B$19*'Res-Rec Equations'!$B$23*((('Res-Rec Equations'!$B$26*'Res-Rec Equations'!$B$29)/'Res-Rec Equations'!$B$32)+(('Res-Rec Equations'!$B$27*'Res-Rec Equations'!$B$30)/'Res-Rec Equations'!$B$33)+(('Res-Rec Equations'!$B$28*'Res-Rec Equations'!$B$31)/'Res-Rec Equations'!$B$34)))))))</f>
        <v>NA</v>
      </c>
      <c r="I178" s="166" t="str">
        <f>IF('Chemical Info'!H179="NA","NA",IF('Chemical Info'!E179="Yes",0,IF('Chemical Info'!D179="Yes",'Chemical Info'!H179/'Chemical Info'!AF179*('Res-Rec Equations'!$B$21*'Chemical Info'!AB179*'Res-Rec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Info'!H179/'Chemical Info'!AF179*('Res-Rec Equations'!$B$21*'Chemical Info'!AB179*'Res-Rec Equations'!$B$23)*((('Res-Rec Equations'!$B$26*'Res-Rec Equations'!$B$37*'Res-Rec Equations'!$B$40)/'Res-Rec Equations'!$B$32)+(('Res-Rec Equations'!$B$27*'Res-Rec Equations'!$B$38*'Res-Rec Equations'!$B$41)/'Res-Rec Equations'!$B$33)+(('Res-Rec Equations'!$B$28*'Res-Rec Equations'!$B$39*'Res-Rec Equations'!$B$42)/'Res-Rec Equations'!$B$34)))))</f>
        <v>NA</v>
      </c>
      <c r="J178" s="369" t="str">
        <f>IF('Chemical Info'!J179="NA","NA",IF(AND(E178="NA",'Chemical Info'!D179="Yes"),'Res-Rec Equations'!$B$22*1000*(('Res-Rec Equations'!$B$26*'Chemical Info'!J179*'Res-Rec Equations'!$B$59)+('Res-Rec Equations'!$B$27*'Chemical Info'!J179*'Res-Rec Equations'!$B$60)+('Res-Rec Equations'!$B$28*'Chemical Info'!J179*'Res-Rec Equations'!$B$61))*'Res-Rec Calculations'!C178,IF(AND(E178="NA",'Chemical Info'!D179=""),'Res-Rec Equations'!$B$22*1000*'Res-Rec Equations'!$B$25*'Chemical Info'!J179*'Res-Rec Calculations'!C178,IF(AND('Chemical Info'!E179="Yes",'Chemical Info'!D179="Yes"),'Res-Rec Equations'!$B$22*1000*(('Res-Rec Equations'!$B$26*'Chemical Info'!J179*'Res-Rec Equations'!$B$59)+('Res-Rec Equations'!$B$27*'Chemical Info'!J179*'Res-Rec Equations'!$B$60)+('Res-Rec Equations'!$B$28*'Chemical Info'!J179*'Res-Rec Equations'!$B$61))*'Res-Rec Calculations'!E178,IF(AND('Chemical Info'!E179="Yes",'Chemical Info'!D179=""),'Res-Rec Equations'!$B$22*1000*'Res-Rec Equations'!$B$25*'Chemical Info'!J179*'Res-Rec Calculations'!E178,IF('Chemical Info'!D179="Yes",'Res-Rec Equations'!$B$22*1000*(('Res-Rec Equations'!$B$26*'Chemical Info'!J179*'Res-Rec Equations'!$B$59)+('Res-Rec Equations'!$B$27*'Chemical Info'!J179*'Res-Rec Equations'!$B$60)+('Res-Rec Equations'!$B$28*'Chemical Info'!J179*'Res-Rec Equations'!$B$61))*('Res-Rec Calculations'!C178+'Res-Rec Calculations'!E178),IF('Chemical Info'!D179="",'Res-Rec Equations'!$B$22*1000*'Res-Rec Equations'!$B$25*'Chemical Info'!J179*('Res-Rec Calculations'!C178+'Res-Rec Calculations'!E178))))))))</f>
        <v>NA</v>
      </c>
      <c r="K178" s="370" t="str">
        <f>IF('Chemical Info'!J179="NA","NA",IF(AND(F178="NA",'Chemical Info'!D179="Yes"),'Res-Rec Equations'!$B$22*1000*(('Res-Rec Equations'!$B$26*'Chemical Info'!J179*'Res-Rec Equations'!$B$59)+('Res-Rec Equations'!$B$27*'Chemical Info'!J179*'Res-Rec Equations'!$B$60)+('Res-Rec Equations'!$B$28*'Chemical Info'!J179*'Res-Rec Equations'!$B$61))*'Res-Rec Calculations'!C178,IF(AND(F178="NA",'Chemical Info'!D179=""),'Res-Rec Equations'!$B$22*1000*'Res-Rec Equations'!$B$25*'Chemical Info'!J179*'Res-Rec Calculations'!C178,IF(AND('Chemical Info'!F179="Yes",'Chemical Info'!D179="Yes"),'Res-Rec Equations'!$B$22*1000*(('Res-Rec Equations'!$B$26*'Chemical Info'!J179*'Res-Rec Equations'!$B$59)+('Res-Rec Equations'!$B$27*'Chemical Info'!J179*'Res-Rec Equations'!$B$60)+('Res-Rec Equations'!$B$28*'Chemical Info'!J179*'Res-Rec Equations'!$B$61))*'Res-Rec Calculations'!F178,IF(AND('Chemical Info'!F179="Yes",'Chemical Info'!D179=""),'Res-Rec Equations'!$B$22*1000*'Res-Rec Equations'!$B$25*'Chemical Info'!J179*'Res-Rec Calculations'!F178,IF('Chemical Info'!D179="Yes",'Res-Rec Equations'!$B$22*1000*(('Res-Rec Equations'!$B$26*'Chemical Info'!J179*'Res-Rec Equations'!$B$59)+('Res-Rec Equations'!$B$27*'Chemical Info'!J179*'Res-Rec Equations'!$B$60)+('Res-Rec Equations'!$B$28*'Chemical Info'!J179*'Res-Rec Equations'!$B$61))*('Res-Rec Calculations'!C178+'Res-Rec Calculations'!F178),IF('Chemical Info'!D179="",'Res-Rec Equations'!$B$22*1000*'Res-Rec Equations'!$B$25*'Chemical Info'!J179*('Res-Rec Calculations'!C178+'Res-Rec Calculations'!F178))))))))</f>
        <v>NA</v>
      </c>
      <c r="L178" s="167" t="str">
        <f>IF(AND(H178="NA",I178="NA",J178="NA"),"NA",IF(H178="NA",'Res-Rec Equations'!$B$15*'Res-Rec Equations'!$B$16/J178,IF(J178="NA",'Res-Rec Equations'!$B$15*'Res-Rec Equations'!$B$16/(H178+I178),'Res-Rec Equations'!$B$15*'Res-Rec Equations'!$B$16/(H178+I178+J178))))</f>
        <v>NA</v>
      </c>
      <c r="M178" s="167" t="str">
        <f>IF(AND(H178="NA",I178="NA",K178="NA"),"NA",IF(H178="NA",'Res-Rec Equations'!$B$15*'Res-Rec Equations'!$B$16/K178,IF(K178="NA",'Res-Rec Equations'!$B$15*'Res-Rec Equations'!$B$16/(H178+I178),'Res-Rec Equations'!$B$15*'Res-Rec Equations'!$B$16/(H178+I178+K178))))</f>
        <v>NA</v>
      </c>
      <c r="N178" s="167" t="str">
        <f t="shared" ref="N178" si="260">IF(AND(L178="NA",M178="NA"),"NA",MAX(L178,M178))</f>
        <v>NA</v>
      </c>
      <c r="O178" s="371">
        <f>IF('Chemical Info'!L179="NA","NA",IF('Chemical Info'!E179="Yes",(('Res-Rec Equations'!$B$76*'Chemical Info'!AD179*'Res-Rec Equations'!$B$78*'Res-Rec Equations'!$B$79*'Res-Rec Equations'!$B$81)/('Res-Rec Equations'!$B$84*'Res-Rec Equations'!$B$85))/'Chemical Info'!L179,(('Res-Rec Equations'!$B$76*'Chemical Info'!AD179*'Res-Rec Equations'!$B$78*'Res-Rec Equations'!$B$79*'Res-Rec Equations'!$B$80)/('Res-Rec Equations'!$B$84*'Res-Rec Equations'!$B$85))/'Chemical Info'!L179))</f>
        <v>0.14205986808726534</v>
      </c>
      <c r="P178" s="166">
        <f>IF('Chemical Info'!L179="NA","NA", IF('Chemical Info'!E179="Yes",0,((('Res-Rec Equations'!$B$87*'Res-Rec Equations'!$B$88*'Res-Rec Equations'!$B$78*'Res-Rec Equations'!$B$82*'Res-Rec Equations'!$B$79*'Chemical Info'!AB179)/('Res-Rec Equations'!$B$84*'Res-Rec Equations'!$B$85))/('Chemical Info'!L179*'Chemical Info'!AF179))))</f>
        <v>3.1302891933028917E-2</v>
      </c>
      <c r="Q178" s="166">
        <f>IF('Chemical Info'!N179="NA","NA",IF('Res-Rec Calculations'!E178="NA",(('Res-Rec Equations'!$B$83*'Res-Rec Equations'!$B$79*'Res-Rec Calculations'!C178)/('Res-Rec Equations'!$B$85))/('Chemical Info'!N179),IF('Chemical Info'!E179="Yes",(('Res-Rec Equations'!$B$83*'Res-Rec Equations'!$B$79*'Res-Rec Calculations'!E178)/('Res-Rec Equations'!$B$85))/('Chemical Info'!N179),(('Res-Rec Equations'!$B$83*'Res-Rec Equations'!$B$79*('Res-Rec Calculations'!C178+'Res-Rec Calculations'!E178))/('Res-Rec Equations'!$B$85))/('Chemical Info'!N179))))</f>
        <v>1.6519998937467983E-2</v>
      </c>
      <c r="R178" s="166">
        <f>IF('Chemical Info'!N179="NA","NA",IF('Res-Rec Calculations'!F178="NA",(('Res-Rec Equations'!$B$83*'Res-Rec Equations'!$B$79*'Res-Rec Calculations'!C178)/('Res-Rec Equations'!$B$85))/('Chemical Info'!N179),IF('Chemical Info'!E179="Yes",(('Res-Rec Equations'!$B$83*'Res-Rec Equations'!$B$79*'Res-Rec Calculations'!F178)/('Res-Rec Equations'!$B$85))/('Chemical Info'!N179),(('Res-Rec Equations'!$B$83*'Res-Rec Equations'!$B$79*('Res-Rec Calculations'!C178+'Res-Rec Calculations'!F178))/('Res-Rec Equations'!$B$85))/('Chemical Info'!N179))))</f>
        <v>21.203817231789337</v>
      </c>
      <c r="S178" s="167">
        <f>IF(AND(O178="NA",P178="NA",Q178="NA"),"NA",IF(O178="NA",'Res-Rec Equations'!$B$75/Q178,IF(Q178="NA",'Res-Rec Equations'!$B$75/(O178+P178),'Res-Rec Equations'!$B$75/(O178+P178+Q178))))</f>
        <v>1.0532815148556391</v>
      </c>
      <c r="T178" s="167">
        <f>IF(AND(O178="NA",P178="NA",R178="NA"),"NA",IF(O178="NA",'Res-Rec Equations'!$B$75/R178,IF(R178="NA",'Res-Rec Equations'!$B$75/(O178+P178),'Res-Rec Equations'!$B$75/(O178+P178+R178))))</f>
        <v>9.3557709705689544E-3</v>
      </c>
      <c r="U178" s="168">
        <f t="shared" ref="U178" si="261">IF(AND(S178="NA",T178="NA"),"NA",MAX(S178,T178))</f>
        <v>1.0532815148556391</v>
      </c>
      <c r="V178" s="167" t="str">
        <f>IF('Chemical Info'!P179="NA","NA",(('Res-Rec Equations'!$B$185*'Res-Rec Equations'!$B$186)/('Res-Rec Equations'!$B$187*'Res-Rec Equations'!$B$188*(1/'Chemical Info'!P179))))</f>
        <v>NA</v>
      </c>
      <c r="W178" s="379" t="str">
        <f t="shared" ref="W178" si="262">IF(V178="NA","NA",IF(V178&gt;100000,100000,IF(ISNUMBER(ROUND(V178*1000000,2-LEN(INT(V178*1000000)))/1000000),ROUND(V178*1000000,2-LEN(INT(V178*1000000)))/1000000,"NA")))</f>
        <v>NA</v>
      </c>
      <c r="X178" s="372">
        <f t="shared" ref="X178" si="263">IF(AND(N178="NA",U178="NA",G178="NA"),"NA",MIN(N178,U178,G178))</f>
        <v>1.0532815148556391</v>
      </c>
      <c r="Y178" s="62">
        <f t="shared" ref="Y178" si="264">IF(X178&gt;100000,100000,IF(ISNUMBER(ROUND(X178*1000000,2-LEN(INT(X178*1000000)))/1000000),ROUND(X178*1000000,2-LEN(INT(X178*1000000)))/1000000,"NA"))</f>
        <v>1.1000000000000001</v>
      </c>
      <c r="Z178" s="100" t="str">
        <f t="shared" ref="Z178" si="265">IF(Y178=100000,"Max Limit",IF(X178=G178,"Csat",IF(X178=N178,"Cancer",IF(X178=V178,"Acute",IF(X178=U178,"Noncancer","")))))</f>
        <v>Noncancer</v>
      </c>
      <c r="AA178" s="373"/>
    </row>
    <row r="179" spans="1:27" ht="12">
      <c r="A179" s="424" t="s">
        <v>1023</v>
      </c>
      <c r="B179" s="566" t="s">
        <v>237</v>
      </c>
      <c r="C179" s="367">
        <f>1/(('Res-Rec Equations'!$B$152*3600)/((0.036*(1-'Res-Rec Equations'!$B$153))*('Res-Rec Equations'!$B$154/'Res-Rec Equations'!$B$155)^3*'Res-Rec Equations'!$B$156))</f>
        <v>7.3567680901159717E-10</v>
      </c>
      <c r="D179" s="368">
        <f>(('Res-Rec Equations'!$B$132^(10/3)*'Chemical Info'!$AH180*'Chemical Info'!$AN180*41+'Res-Rec Equations'!$B$135^(10/3)*'Chemical Info'!$AJ180)/'Res-Rec Equations'!$B$137^2)/('Res-Rec Equations'!$B$139*'Chemical Info'!$AL180*'Res-Rec Equations'!$B$142+'Res-Rec Equations'!$B$135+'Res-Rec Equations'!$B$132*'Chemical Info'!$AN180*41)</f>
        <v>2.2544241071914105E-9</v>
      </c>
      <c r="E179" s="368">
        <f>IF(D179=0,"NA",1/(('Res-Rec Equations'!$B$103*(3.14*'Res-Rec Calculations'!$D179*'Res-Rec Equations'!$B$105)^(1/2)*0.0001)/(2*'Res-Rec Equations'!$B$106*'Res-Rec Calculations'!$D179)))</f>
        <v>2.7870604840467502E-7</v>
      </c>
      <c r="F179" s="368">
        <f>IF(D179=0,"NA",(1/('Res-Rec Equations'!$B$117*('Res-Rec Equations'!$B$118*(31500000))/('Res-Rec Equations'!$B$119*'Res-Rec Equations'!$B$120*1000000))))</f>
        <v>6.1914410640015851E-5</v>
      </c>
      <c r="G179" s="425"/>
      <c r="H179" s="112" t="str">
        <f>IF('Chemical Info'!H180="NA","NA",IF(AND('Chemical Info'!E180="Yes",'Chemical Info'!D180="Yes"),'Chemical Info'!H180*'Chemical Info'!AD180*'Res-Rec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Info'!E180="Yes",'Chemical Info'!D180=""),'Chemical Info'!H180*'Chemical Info'!AD180*'Res-Rec Equations'!$B$20*'Res-Rec Equations'!$B$23*((('Res-Rec Equations'!$B$26*'Res-Rec Equations'!$B$29)/'Res-Rec Equations'!$B$32)+(('Res-Rec Equations'!$B$27*'Res-Rec Equations'!$B$30)/'Res-Rec Equations'!$B$33)+(('Res-Rec Equations'!$B$28*'Res-Rec Equations'!$B$31)/'Res-Rec Equations'!$B$34)),IF(AND('Chemical Info'!E180="No",'Chemical Info'!D180="Yes"),'Chemical Info'!H180*'Chemical Info'!AD180*'Res-Rec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Info'!E180="No",'Chemical Info'!D180=""),'Chemical Info'!H180*'Chemical Info'!AD180*'Res-Rec Equations'!$B$19*'Res-Rec Equations'!$B$23*((('Res-Rec Equations'!$B$26*'Res-Rec Equations'!$B$29)/'Res-Rec Equations'!$B$32)+(('Res-Rec Equations'!$B$27*'Res-Rec Equations'!$B$30)/'Res-Rec Equations'!$B$33)+(('Res-Rec Equations'!$B$28*'Res-Rec Equations'!$B$31)/'Res-Rec Equations'!$B$34)))))))</f>
        <v>NA</v>
      </c>
      <c r="I179" s="166" t="str">
        <f>IF('Chemical Info'!H180="NA","NA",IF('Chemical Info'!E180="Yes",0,IF('Chemical Info'!D180="Yes",'Chemical Info'!H180/'Chemical Info'!AF180*('Res-Rec Equations'!$B$21*'Chemical Info'!AB180*'Res-Rec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Info'!H180/'Chemical Info'!AF180*('Res-Rec Equations'!$B$21*'Chemical Info'!AB180*'Res-Rec Equations'!$B$23)*((('Res-Rec Equations'!$B$26*'Res-Rec Equations'!$B$37*'Res-Rec Equations'!$B$40)/'Res-Rec Equations'!$B$32)+(('Res-Rec Equations'!$B$27*'Res-Rec Equations'!$B$38*'Res-Rec Equations'!$B$41)/'Res-Rec Equations'!$B$33)+(('Res-Rec Equations'!$B$28*'Res-Rec Equations'!$B$39*'Res-Rec Equations'!$B$42)/'Res-Rec Equations'!$B$34)))))</f>
        <v>NA</v>
      </c>
      <c r="J179" s="369" t="str">
        <f>IF('Chemical Info'!J180="NA","NA",IF(AND(E179="NA",'Chemical Info'!D180="Yes"),'Res-Rec Equations'!$B$22*1000*(('Res-Rec Equations'!$B$26*'Chemical Info'!J180*'Res-Rec Equations'!$B$59)+('Res-Rec Equations'!$B$27*'Chemical Info'!J180*'Res-Rec Equations'!$B$60)+('Res-Rec Equations'!$B$28*'Chemical Info'!J180*'Res-Rec Equations'!$B$61))*'Res-Rec Calculations'!C179,IF(AND(E179="NA",'Chemical Info'!D180=""),'Res-Rec Equations'!$B$22*1000*'Res-Rec Equations'!$B$25*'Chemical Info'!J180*'Res-Rec Calculations'!C179,IF(AND('Chemical Info'!E180="Yes",'Chemical Info'!D180="Yes"),'Res-Rec Equations'!$B$22*1000*(('Res-Rec Equations'!$B$26*'Chemical Info'!J180*'Res-Rec Equations'!$B$59)+('Res-Rec Equations'!$B$27*'Chemical Info'!J180*'Res-Rec Equations'!$B$60)+('Res-Rec Equations'!$B$28*'Chemical Info'!J180*'Res-Rec Equations'!$B$61))*'Res-Rec Calculations'!E179,IF(AND('Chemical Info'!E180="Yes",'Chemical Info'!D180=""),'Res-Rec Equations'!$B$22*1000*'Res-Rec Equations'!$B$25*'Chemical Info'!J180*'Res-Rec Calculations'!E179,IF('Chemical Info'!D180="Yes",'Res-Rec Equations'!$B$22*1000*(('Res-Rec Equations'!$B$26*'Chemical Info'!J180*'Res-Rec Equations'!$B$59)+('Res-Rec Equations'!$B$27*'Chemical Info'!J180*'Res-Rec Equations'!$B$60)+('Res-Rec Equations'!$B$28*'Chemical Info'!J180*'Res-Rec Equations'!$B$61))*('Res-Rec Calculations'!C179+'Res-Rec Calculations'!E179),IF('Chemical Info'!D180="",'Res-Rec Equations'!$B$22*1000*'Res-Rec Equations'!$B$25*'Chemical Info'!J180*('Res-Rec Calculations'!C179+'Res-Rec Calculations'!E179))))))))</f>
        <v>NA</v>
      </c>
      <c r="K179" s="370" t="str">
        <f>IF('Chemical Info'!J180="NA","NA",IF(AND(F179="NA",'Chemical Info'!D180="Yes"),'Res-Rec Equations'!$B$22*1000*(('Res-Rec Equations'!$B$26*'Chemical Info'!J180*'Res-Rec Equations'!$B$59)+('Res-Rec Equations'!$B$27*'Chemical Info'!J180*'Res-Rec Equations'!$B$60)+('Res-Rec Equations'!$B$28*'Chemical Info'!J180*'Res-Rec Equations'!$B$61))*'Res-Rec Calculations'!C179,IF(AND(F179="NA",'Chemical Info'!D180=""),'Res-Rec Equations'!$B$22*1000*'Res-Rec Equations'!$B$25*'Chemical Info'!J180*'Res-Rec Calculations'!C179,IF(AND('Chemical Info'!F180="Yes",'Chemical Info'!D180="Yes"),'Res-Rec Equations'!$B$22*1000*(('Res-Rec Equations'!$B$26*'Chemical Info'!J180*'Res-Rec Equations'!$B$59)+('Res-Rec Equations'!$B$27*'Chemical Info'!J180*'Res-Rec Equations'!$B$60)+('Res-Rec Equations'!$B$28*'Chemical Info'!J180*'Res-Rec Equations'!$B$61))*'Res-Rec Calculations'!F179,IF(AND('Chemical Info'!F180="Yes",'Chemical Info'!D180=""),'Res-Rec Equations'!$B$22*1000*'Res-Rec Equations'!$B$25*'Chemical Info'!J180*'Res-Rec Calculations'!F179,IF('Chemical Info'!D180="Yes",'Res-Rec Equations'!$B$22*1000*(('Res-Rec Equations'!$B$26*'Chemical Info'!J180*'Res-Rec Equations'!$B$59)+('Res-Rec Equations'!$B$27*'Chemical Info'!J180*'Res-Rec Equations'!$B$60)+('Res-Rec Equations'!$B$28*'Chemical Info'!J180*'Res-Rec Equations'!$B$61))*('Res-Rec Calculations'!C179+'Res-Rec Calculations'!F179),IF('Chemical Info'!D180="",'Res-Rec Equations'!$B$22*1000*'Res-Rec Equations'!$B$25*'Chemical Info'!J180*('Res-Rec Calculations'!C179+'Res-Rec Calculations'!F179))))))))</f>
        <v>NA</v>
      </c>
      <c r="L179" s="167" t="str">
        <f>IF(AND(H179="NA",I179="NA",J179="NA"),"NA",IF(H179="NA",'Res-Rec Equations'!$B$15*'Res-Rec Equations'!$B$16/J179,IF(J179="NA",'Res-Rec Equations'!$B$15*'Res-Rec Equations'!$B$16/(H179+I179),'Res-Rec Equations'!$B$15*'Res-Rec Equations'!$B$16/(H179+I179+J179))))</f>
        <v>NA</v>
      </c>
      <c r="M179" s="167" t="str">
        <f>IF(AND(H179="NA",I179="NA",K179="NA"),"NA",IF(H179="NA",'Res-Rec Equations'!$B$15*'Res-Rec Equations'!$B$16/K179,IF(K179="NA",'Res-Rec Equations'!$B$15*'Res-Rec Equations'!$B$16/(H179+I179),'Res-Rec Equations'!$B$15*'Res-Rec Equations'!$B$16/(H179+I179+K179))))</f>
        <v>NA</v>
      </c>
      <c r="N179" s="167" t="str">
        <f t="shared" si="242"/>
        <v>NA</v>
      </c>
      <c r="O179" s="371">
        <f>IF('Chemical Info'!L180="NA","NA",IF('Chemical Info'!E180="Yes",(('Res-Rec Equations'!$B$76*'Chemical Info'!AD180*'Res-Rec Equations'!$B$78*'Res-Rec Equations'!$B$79*'Res-Rec Equations'!$B$81)/('Res-Rec Equations'!$B$84*'Res-Rec Equations'!$B$85))/'Chemical Info'!L180,(('Res-Rec Equations'!$B$76*'Chemical Info'!AD180*'Res-Rec Equations'!$B$78*'Res-Rec Equations'!$B$79*'Res-Rec Equations'!$B$80)/('Res-Rec Equations'!$B$84*'Res-Rec Equations'!$B$85))/'Chemical Info'!L180))</f>
        <v>9.1324200913242006E-4</v>
      </c>
      <c r="P179" s="166">
        <f>IF('Chemical Info'!L180="NA","NA", IF('Chemical Info'!E180="Yes",0,((('Res-Rec Equations'!$B$87*'Res-Rec Equations'!$B$88*'Res-Rec Equations'!$B$78*'Res-Rec Equations'!$B$82*'Res-Rec Equations'!$B$79*'Chemical Info'!AB180)/('Res-Rec Equations'!$B$84*'Res-Rec Equations'!$B$85))/('Chemical Info'!L180*'Chemical Info'!AF180))))</f>
        <v>0</v>
      </c>
      <c r="Q179" s="166" t="str">
        <f>IF('Chemical Info'!N180="NA","NA",IF('Res-Rec Calculations'!E179="NA",(('Res-Rec Equations'!$B$83*'Res-Rec Equations'!$B$79*'Res-Rec Calculations'!C179)/('Res-Rec Equations'!$B$85))/('Chemical Info'!N180),IF('Chemical Info'!E180="Yes",(('Res-Rec Equations'!$B$83*'Res-Rec Equations'!$B$79*'Res-Rec Calculations'!E179)/('Res-Rec Equations'!$B$85))/('Chemical Info'!N180),(('Res-Rec Equations'!$B$83*'Res-Rec Equations'!$B$79*('Res-Rec Calculations'!C179+'Res-Rec Calculations'!E179))/('Res-Rec Equations'!$B$85))/('Chemical Info'!N180))))</f>
        <v>NA</v>
      </c>
      <c r="R179" s="166" t="str">
        <f>IF('Chemical Info'!N180="NA","NA",IF('Res-Rec Calculations'!F179="NA",(('Res-Rec Equations'!$B$83*'Res-Rec Equations'!$B$79*'Res-Rec Calculations'!C179)/('Res-Rec Equations'!$B$85))/('Chemical Info'!N180),IF('Chemical Info'!E180="Yes",(('Res-Rec Equations'!$B$83*'Res-Rec Equations'!$B$79*'Res-Rec Calculations'!F179)/('Res-Rec Equations'!$B$85))/('Chemical Info'!N180),(('Res-Rec Equations'!$B$83*'Res-Rec Equations'!$B$79*('Res-Rec Calculations'!C179+'Res-Rec Calculations'!F179))/('Res-Rec Equations'!$B$85))/('Chemical Info'!N180))))</f>
        <v>NA</v>
      </c>
      <c r="S179" s="167">
        <f>IF(AND(O179="NA",P179="NA",Q179="NA"),"NA",IF(O179="NA",'Res-Rec Equations'!$B$75/Q179,IF(Q179="NA",'Res-Rec Equations'!$B$75/(O179+P179),'Res-Rec Equations'!$B$75/(O179+P179+Q179))))</f>
        <v>219.00000000000003</v>
      </c>
      <c r="T179" s="167">
        <f>IF(AND(O179="NA",P179="NA",R179="NA"),"NA",IF(O179="NA",'Res-Rec Equations'!$B$75/R179,IF(R179="NA",'Res-Rec Equations'!$B$75/(O179+P179),'Res-Rec Equations'!$B$75/(O179+P179+R179))))</f>
        <v>219.00000000000003</v>
      </c>
      <c r="U179" s="168">
        <f t="shared" si="243"/>
        <v>219.00000000000003</v>
      </c>
      <c r="V179" s="167" t="str">
        <f>IF('Chemical Info'!P180="NA","NA",(('Res-Rec Equations'!$B$185*'Res-Rec Equations'!$B$186)/('Res-Rec Equations'!$B$187*'Res-Rec Equations'!$B$188*(1/'Chemical Info'!P180))))</f>
        <v>NA</v>
      </c>
      <c r="W179" s="379" t="str">
        <f t="shared" si="244"/>
        <v>NA</v>
      </c>
      <c r="X179" s="372">
        <f t="shared" si="245"/>
        <v>219.00000000000003</v>
      </c>
      <c r="Y179" s="62">
        <f t="shared" si="246"/>
        <v>220</v>
      </c>
      <c r="Z179" s="100" t="str">
        <f t="shared" si="247"/>
        <v>Noncancer</v>
      </c>
      <c r="AA179" s="373"/>
    </row>
    <row r="180" spans="1:27">
      <c r="A180" s="413" t="s">
        <v>178</v>
      </c>
      <c r="B180" s="566" t="s">
        <v>231</v>
      </c>
      <c r="C180" s="367">
        <f>1/(('Res-Rec Equations'!$B$152*3600)/((0.036*(1-'Res-Rec Equations'!$B$153))*('Res-Rec Equations'!$B$154/'Res-Rec Equations'!$B$155)^3*'Res-Rec Equations'!$B$156))</f>
        <v>7.3567680901159717E-10</v>
      </c>
      <c r="D180" s="368">
        <f>(('Res-Rec Equations'!$B$132^(10/3)*'Chemical Info'!$AH181*'Chemical Info'!$AN181*41+'Res-Rec Equations'!$B$135^(10/3)*'Chemical Info'!$AJ181)/'Res-Rec Equations'!$B$137^2)/('Res-Rec Equations'!$B$139*'Chemical Info'!$AL181*'Res-Rec Equations'!$B$142+'Res-Rec Equations'!$B$135+'Res-Rec Equations'!$B$132*'Chemical Info'!$AN181*41)</f>
        <v>2.8862856982398843E-8</v>
      </c>
      <c r="E180" s="368">
        <f>IF(D180=0,"NA",1/(('Res-Rec Equations'!$B$103*(3.14*'Res-Rec Calculations'!$D180*'Res-Rec Equations'!$B$105)^(1/2)*0.0001)/(2*'Res-Rec Equations'!$B$106*'Res-Rec Calculations'!$D180)))</f>
        <v>9.9723667624518874E-7</v>
      </c>
      <c r="F180" s="368">
        <f>IF(D180=0,"NA",(1/('Res-Rec Equations'!$B$117*('Res-Rec Equations'!$B$118*(31500000))/('Res-Rec Equations'!$B$119*'Res-Rec Equations'!$B$120*1000000))))</f>
        <v>6.1914410640015851E-5</v>
      </c>
      <c r="G180" s="167" t="str">
        <f>IF('Chemical Info'!E181="Yes",('Chemical Info'!AP181/'Res-Rec Equations'!$B$168)*((('Chemical Info'!AL181*'Res-Rec Equations'!$B$170)*'Res-Rec Equations'!$B$168)+'Res-Rec Equations'!$B$171+('Chemical Info'!AN181*41)*'Res-Rec Equations'!$B$173),"NA")</f>
        <v>NA</v>
      </c>
      <c r="H180" s="112">
        <f>IF('Chemical Info'!H181="NA","NA",IF(AND('Chemical Info'!E181="Yes",'Chemical Info'!D181="Yes"),'Chemical Info'!H181*'Chemical Info'!AD181*'Res-Rec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Info'!E181="Yes",'Chemical Info'!D181=""),'Chemical Info'!H181*'Chemical Info'!AD181*'Res-Rec Equations'!$B$20*'Res-Rec Equations'!$B$23*((('Res-Rec Equations'!$B$26*'Res-Rec Equations'!$B$29)/'Res-Rec Equations'!$B$32)+(('Res-Rec Equations'!$B$27*'Res-Rec Equations'!$B$30)/'Res-Rec Equations'!$B$33)+(('Res-Rec Equations'!$B$28*'Res-Rec Equations'!$B$31)/'Res-Rec Equations'!$B$34)),IF(AND('Chemical Info'!E181="No",'Chemical Info'!D181="Yes"),'Chemical Info'!H181*'Chemical Info'!AD181*'Res-Rec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Info'!E181="No",'Chemical Info'!D181=""),'Chemical Info'!H181*'Chemical Info'!AD181*'Res-Rec Equations'!$B$19*'Res-Rec Equations'!$B$23*((('Res-Rec Equations'!$B$26*'Res-Rec Equations'!$B$29)/'Res-Rec Equations'!$B$32)+(('Res-Rec Equations'!$B$27*'Res-Rec Equations'!$B$30)/'Res-Rec Equations'!$B$33)+(('Res-Rec Equations'!$B$28*'Res-Rec Equations'!$B$31)/'Res-Rec Equations'!$B$34)))))))</f>
        <v>0.13527524893314366</v>
      </c>
      <c r="I180" s="166">
        <f>IF('Chemical Info'!H181="NA","NA",IF('Chemical Info'!E181="Yes",0,IF('Chemical Info'!D181="Yes",'Chemical Info'!H181/'Chemical Info'!AF181*('Res-Rec Equations'!$B$21*'Chemical Info'!AB181*'Res-Rec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Info'!H181/'Chemical Info'!AF181*('Res-Rec Equations'!$B$21*'Chemical Info'!AB181*'Res-Rec Equations'!$B$23)*((('Res-Rec Equations'!$B$26*'Res-Rec Equations'!$B$37*'Res-Rec Equations'!$B$40)/'Res-Rec Equations'!$B$32)+(('Res-Rec Equations'!$B$27*'Res-Rec Equations'!$B$38*'Res-Rec Equations'!$B$41)/'Res-Rec Equations'!$B$33)+(('Res-Rec Equations'!$B$28*'Res-Rec Equations'!$B$39*'Res-Rec Equations'!$B$42)/'Res-Rec Equations'!$B$34)))))</f>
        <v>4.2892670857041251E-2</v>
      </c>
      <c r="J180" s="369" t="str">
        <f>IF('Chemical Info'!J181="NA","NA",IF(AND(E180="NA",'Chemical Info'!D181="Yes"),'Res-Rec Equations'!$B$22*1000*(('Res-Rec Equations'!$B$26*'Chemical Info'!J181*'Res-Rec Equations'!$B$59)+('Res-Rec Equations'!$B$27*'Chemical Info'!J181*'Res-Rec Equations'!$B$60)+('Res-Rec Equations'!$B$28*'Chemical Info'!J181*'Res-Rec Equations'!$B$61))*'Res-Rec Calculations'!C180,IF(AND(E180="NA",'Chemical Info'!D181=""),'Res-Rec Equations'!$B$22*1000*'Res-Rec Equations'!$B$25*'Chemical Info'!J181*'Res-Rec Calculations'!C180,IF(AND('Chemical Info'!E181="Yes",'Chemical Info'!D181="Yes"),'Res-Rec Equations'!$B$22*1000*(('Res-Rec Equations'!$B$26*'Chemical Info'!J181*'Res-Rec Equations'!$B$59)+('Res-Rec Equations'!$B$27*'Chemical Info'!J181*'Res-Rec Equations'!$B$60)+('Res-Rec Equations'!$B$28*'Chemical Info'!J181*'Res-Rec Equations'!$B$61))*'Res-Rec Calculations'!E180,IF(AND('Chemical Info'!E181="Yes",'Chemical Info'!D181=""),'Res-Rec Equations'!$B$22*1000*'Res-Rec Equations'!$B$25*'Chemical Info'!J181*'Res-Rec Calculations'!E180,IF('Chemical Info'!D181="Yes",'Res-Rec Equations'!$B$22*1000*(('Res-Rec Equations'!$B$26*'Chemical Info'!J181*'Res-Rec Equations'!$B$59)+('Res-Rec Equations'!$B$27*'Chemical Info'!J181*'Res-Rec Equations'!$B$60)+('Res-Rec Equations'!$B$28*'Chemical Info'!J181*'Res-Rec Equations'!$B$61))*('Res-Rec Calculations'!C180+'Res-Rec Calculations'!E180),IF('Chemical Info'!D181="",'Res-Rec Equations'!$B$22*1000*'Res-Rec Equations'!$B$25*'Chemical Info'!J181*('Res-Rec Calculations'!C180+'Res-Rec Calculations'!E180))))))))</f>
        <v>NA</v>
      </c>
      <c r="K180" s="370" t="str">
        <f>IF('Chemical Info'!J181="NA","NA",IF(AND(F180="NA",'Chemical Info'!D181="Yes"),'Res-Rec Equations'!$B$22*1000*(('Res-Rec Equations'!$B$26*'Chemical Info'!J181*'Res-Rec Equations'!$B$59)+('Res-Rec Equations'!$B$27*'Chemical Info'!J181*'Res-Rec Equations'!$B$60)+('Res-Rec Equations'!$B$28*'Chemical Info'!J181*'Res-Rec Equations'!$B$61))*'Res-Rec Calculations'!C180,IF(AND(F180="NA",'Chemical Info'!D181=""),'Res-Rec Equations'!$B$22*1000*'Res-Rec Equations'!$B$25*'Chemical Info'!J181*'Res-Rec Calculations'!C180,IF(AND('Chemical Info'!F181="Yes",'Chemical Info'!D181="Yes"),'Res-Rec Equations'!$B$22*1000*(('Res-Rec Equations'!$B$26*'Chemical Info'!J181*'Res-Rec Equations'!$B$59)+('Res-Rec Equations'!$B$27*'Chemical Info'!J181*'Res-Rec Equations'!$B$60)+('Res-Rec Equations'!$B$28*'Chemical Info'!J181*'Res-Rec Equations'!$B$61))*'Res-Rec Calculations'!F180,IF(AND('Chemical Info'!F181="Yes",'Chemical Info'!D181=""),'Res-Rec Equations'!$B$22*1000*'Res-Rec Equations'!$B$25*'Chemical Info'!J181*'Res-Rec Calculations'!F180,IF('Chemical Info'!D181="Yes",'Res-Rec Equations'!$B$22*1000*(('Res-Rec Equations'!$B$26*'Chemical Info'!J181*'Res-Rec Equations'!$B$59)+('Res-Rec Equations'!$B$27*'Chemical Info'!J181*'Res-Rec Equations'!$B$60)+('Res-Rec Equations'!$B$28*'Chemical Info'!J181*'Res-Rec Equations'!$B$61))*('Res-Rec Calculations'!C180+'Res-Rec Calculations'!F180),IF('Chemical Info'!D181="",'Res-Rec Equations'!$B$22*1000*'Res-Rec Equations'!$B$25*'Chemical Info'!J181*('Res-Rec Calculations'!C180+'Res-Rec Calculations'!F180))))))))</f>
        <v>NA</v>
      </c>
      <c r="L180" s="167">
        <f>IF(AND(H180="NA",I180="NA",J180="NA"),"NA",IF(H180="NA",'Res-Rec Equations'!$B$15*'Res-Rec Equations'!$B$16/J180,IF(J180="NA",'Res-Rec Equations'!$B$15*'Res-Rec Equations'!$B$16/(H180+I180),'Res-Rec Equations'!$B$15*'Res-Rec Equations'!$B$16/(H180+I180+J180))))</f>
        <v>1.4340404282706074</v>
      </c>
      <c r="M180" s="167">
        <f>IF(AND(H180="NA",I180="NA",K180="NA"),"NA",IF(H180="NA",'Res-Rec Equations'!$B$15*'Res-Rec Equations'!$B$16/K180,IF(K180="NA",'Res-Rec Equations'!$B$15*'Res-Rec Equations'!$B$16/(H180+I180),'Res-Rec Equations'!$B$15*'Res-Rec Equations'!$B$16/(H180+I180+K180))))</f>
        <v>1.4340404282706074</v>
      </c>
      <c r="N180" s="167">
        <f t="shared" si="242"/>
        <v>1.4340404282706074</v>
      </c>
      <c r="O180" s="371">
        <f>IF('Chemical Info'!L181="NA","NA",IF('Chemical Info'!E181="Yes",(('Res-Rec Equations'!$B$76*'Chemical Info'!AD181*'Res-Rec Equations'!$B$78*'Res-Rec Equations'!$B$79*'Res-Rec Equations'!$B$81)/('Res-Rec Equations'!$B$84*'Res-Rec Equations'!$B$85))/'Chemical Info'!L181,(('Res-Rec Equations'!$B$76*'Chemical Info'!AD181*'Res-Rec Equations'!$B$78*'Res-Rec Equations'!$B$79*'Res-Rec Equations'!$B$80)/('Res-Rec Equations'!$B$84*'Res-Rec Equations'!$B$85))/'Chemical Info'!L181))</f>
        <v>1.6184035604878331E-2</v>
      </c>
      <c r="P180" s="166">
        <f>IF('Chemical Info'!L181="NA","NA", IF('Chemical Info'!E181="Yes",0,((('Res-Rec Equations'!$B$87*'Res-Rec Equations'!$B$88*'Res-Rec Equations'!$B$78*'Res-Rec Equations'!$B$82*'Res-Rec Equations'!$B$79*'Chemical Info'!AB181)/('Res-Rec Equations'!$B$84*'Res-Rec Equations'!$B$85))/('Chemical Info'!L181*'Chemical Info'!AF181))))</f>
        <v>3.5661522455349404E-3</v>
      </c>
      <c r="Q180" s="166" t="str">
        <f>IF('Chemical Info'!N181="NA","NA",IF('Res-Rec Calculations'!E180="NA",(('Res-Rec Equations'!$B$83*'Res-Rec Equations'!$B$79*'Res-Rec Calculations'!C180)/('Res-Rec Equations'!$B$85))/('Chemical Info'!N181),IF('Chemical Info'!E181="Yes",(('Res-Rec Equations'!$B$83*'Res-Rec Equations'!$B$79*'Res-Rec Calculations'!E180)/('Res-Rec Equations'!$B$85))/('Chemical Info'!N181),(('Res-Rec Equations'!$B$83*'Res-Rec Equations'!$B$79*('Res-Rec Calculations'!C180+'Res-Rec Calculations'!E180))/('Res-Rec Equations'!$B$85))/('Chemical Info'!N181))))</f>
        <v>NA</v>
      </c>
      <c r="R180" s="166" t="str">
        <f>IF('Chemical Info'!N181="NA","NA",IF('Res-Rec Calculations'!F180="NA",(('Res-Rec Equations'!$B$83*'Res-Rec Equations'!$B$79*'Res-Rec Calculations'!C180)/('Res-Rec Equations'!$B$85))/('Chemical Info'!N181),IF('Chemical Info'!E181="Yes",(('Res-Rec Equations'!$B$83*'Res-Rec Equations'!$B$79*'Res-Rec Calculations'!F180)/('Res-Rec Equations'!$B$85))/('Chemical Info'!N181),(('Res-Rec Equations'!$B$83*'Res-Rec Equations'!$B$79*('Res-Rec Calculations'!C180+'Res-Rec Calculations'!F180))/('Res-Rec Equations'!$B$85))/('Chemical Info'!N181))))</f>
        <v>NA</v>
      </c>
      <c r="S180" s="167">
        <f>IF(AND(O180="NA",P180="NA",Q180="NA"),"NA",IF(O180="NA",'Res-Rec Equations'!$B$75/Q180,IF(Q180="NA",'Res-Rec Equations'!$B$75/(O180+P180),'Res-Rec Equations'!$B$75/(O180+P180+Q180))))</f>
        <v>10.126485961287454</v>
      </c>
      <c r="T180" s="167">
        <f>IF(AND(O180="NA",P180="NA",R180="NA"),"NA",IF(O180="NA",'Res-Rec Equations'!$B$75/R180,IF(R180="NA",'Res-Rec Equations'!$B$75/(O180+P180),'Res-Rec Equations'!$B$75/(O180+P180+R180))))</f>
        <v>10.126485961287454</v>
      </c>
      <c r="U180" s="168">
        <f t="shared" si="243"/>
        <v>10.126485961287454</v>
      </c>
      <c r="V180" s="167" t="str">
        <f>IF('Chemical Info'!P181="NA","NA",(('Res-Rec Equations'!$B$185*'Res-Rec Equations'!$B$186)/('Res-Rec Equations'!$B$187*'Res-Rec Equations'!$B$188*(1/'Chemical Info'!P181))))</f>
        <v>NA</v>
      </c>
      <c r="W180" s="379" t="str">
        <f t="shared" si="244"/>
        <v>NA</v>
      </c>
      <c r="X180" s="372">
        <f t="shared" si="245"/>
        <v>1.4340404282706074</v>
      </c>
      <c r="Y180" s="62">
        <f t="shared" si="246"/>
        <v>1.4</v>
      </c>
      <c r="Z180" s="100" t="str">
        <f t="shared" si="247"/>
        <v>Cancer</v>
      </c>
      <c r="AA180" s="373"/>
    </row>
    <row r="181" spans="1:27">
      <c r="A181" s="565" t="s">
        <v>389</v>
      </c>
      <c r="B181" s="593"/>
      <c r="C181" s="386"/>
      <c r="D181" s="406"/>
      <c r="E181" s="406"/>
      <c r="F181" s="406"/>
      <c r="G181" s="386"/>
      <c r="H181" s="386"/>
      <c r="I181" s="386"/>
      <c r="J181" s="386"/>
      <c r="K181" s="386"/>
      <c r="L181" s="386"/>
      <c r="M181" s="386"/>
      <c r="N181" s="386"/>
      <c r="O181" s="386"/>
      <c r="P181" s="386"/>
      <c r="Q181" s="386"/>
      <c r="R181" s="386"/>
      <c r="S181" s="386"/>
      <c r="T181" s="386"/>
      <c r="U181" s="386"/>
      <c r="V181" s="386"/>
      <c r="W181" s="423"/>
      <c r="X181" s="409"/>
      <c r="Y181" s="400"/>
      <c r="Z181" s="400"/>
      <c r="AA181" s="410"/>
    </row>
    <row r="182" spans="1:27" ht="12">
      <c r="A182" s="558" t="s">
        <v>952</v>
      </c>
      <c r="B182" s="566" t="s">
        <v>233</v>
      </c>
      <c r="C182" s="367">
        <f>1/(('Res-Rec Equations'!$B$152*3600)/((0.036*(1-'Res-Rec Equations'!$B$153))*('Res-Rec Equations'!$B$154/'Res-Rec Equations'!$B$155)^3*'Res-Rec Equations'!$B$156))</f>
        <v>7.3567680901159717E-10</v>
      </c>
      <c r="D182" s="368">
        <f>(('Res-Rec Equations'!$B$132^(10/3)*'Chemical Info'!$AH183*'Chemical Info'!$AN183*41+'Res-Rec Equations'!$B$135^(10/3)*'Chemical Info'!$AJ183)/'Res-Rec Equations'!$B$137^2)/('Res-Rec Equations'!$B$139*'Chemical Info'!$AL183*'Res-Rec Equations'!$B$142+'Res-Rec Equations'!$B$135+'Res-Rec Equations'!$B$132*'Chemical Info'!$AN183*41)</f>
        <v>7.9740607234645414E-8</v>
      </c>
      <c r="E182" s="368">
        <f>IF(D182=0,"NA",1/(('Res-Rec Equations'!$B$103*(3.14*'Res-Rec Calculations'!$D182*'Res-Rec Equations'!$B$105)^(1/2)*0.0001)/(2*'Res-Rec Equations'!$B$106*'Res-Rec Calculations'!$D182)))</f>
        <v>1.6575565469098429E-6</v>
      </c>
      <c r="F182" s="368">
        <f>IF(D182=0,"NA",(1/('Res-Rec Equations'!$B$117*('Res-Rec Equations'!$B$118*(31500000))/('Res-Rec Equations'!$B$119*'Res-Rec Equations'!$B$120*1000000))))</f>
        <v>6.1914410640015851E-5</v>
      </c>
      <c r="G182" s="167">
        <f>IF('Chemical Info'!E183="Yes",('Chemical Info'!AP183/'Res-Rec Equations'!$B$168)*((('Chemical Info'!AL183*'Res-Rec Equations'!$B$170)*'Res-Rec Equations'!$B$168)+'Res-Rec Equations'!$B$171+('Chemical Info'!AN183*41)*'Res-Rec Equations'!$B$173),"NA")</f>
        <v>328.09222329333329</v>
      </c>
      <c r="H182" s="112">
        <f>IF('Chemical Info'!H183="NA","NA",IF(AND('Chemical Info'!E183="Yes",'Chemical Info'!D183="Yes"),'Chemical Info'!H183*'Chemical Info'!AD183*'Res-Rec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Info'!E183="Yes",'Chemical Info'!D183=""),'Chemical Info'!H183*'Chemical Info'!AD183*'Res-Rec Equations'!$B$20*'Res-Rec Equations'!$B$23*((('Res-Rec Equations'!$B$26*'Res-Rec Equations'!$B$29)/'Res-Rec Equations'!$B$32)+(('Res-Rec Equations'!$B$27*'Res-Rec Equations'!$B$30)/'Res-Rec Equations'!$B$33)+(('Res-Rec Equations'!$B$28*'Res-Rec Equations'!$B$31)/'Res-Rec Equations'!$B$34)),IF(AND('Chemical Info'!E183="No",'Chemical Info'!D183="Yes"),'Chemical Info'!H183*'Chemical Info'!AD183*'Res-Rec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Info'!E183="No",'Chemical Info'!D183=""),'Chemical Info'!H183*'Chemical Info'!AD183*'Res-Rec Equations'!$B$19*'Res-Rec Equations'!$B$23*((('Res-Rec Equations'!$B$26*'Res-Rec Equations'!$B$29)/'Res-Rec Equations'!$B$32)+(('Res-Rec Equations'!$B$27*'Res-Rec Equations'!$B$30)/'Res-Rec Equations'!$B$33)+(('Res-Rec Equations'!$B$28*'Res-Rec Equations'!$B$31)/'Res-Rec Equations'!$B$34)))))))</f>
        <v>6.4416785206258889E-2</v>
      </c>
      <c r="I182" s="561">
        <f>IF('Chemical Info'!H183="NA","NA",IF('Chemical Info'!D183="Yes",'Chemical Info'!H183/'Chemical Info'!AF183*('Res-Rec Equations'!$B$21*'Chemical Info'!AB183*'Res-Rec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Info'!H183/'Chemical Info'!AF183*('Res-Rec Equations'!$B$21*'Chemical Info'!AB183*'Res-Rec Equations'!$B$23)*((('Res-Rec Equations'!$B$26*'Res-Rec Equations'!$B$37*'Res-Rec Equations'!$B$40)/'Res-Rec Equations'!$B$32)+(('Res-Rec Equations'!$B$27*'Res-Rec Equations'!$B$38*'Res-Rec Equations'!$B$41)/'Res-Rec Equations'!$B$33)+(('Res-Rec Equations'!$B$28*'Res-Rec Equations'!$B$39*'Res-Rec Equations'!$B$42)/'Res-Rec Equations'!$B$34))))</f>
        <v>3.0794738051209105E-2</v>
      </c>
      <c r="J182" s="369">
        <f>IF('Chemical Info'!J183="NA","NA",IF(AND(E182="NA",'Chemical Info'!D183="Yes"),'Res-Rec Equations'!$B$22*1000*(('Res-Rec Equations'!$B$26*'Chemical Info'!J183*'Res-Rec Equations'!$B$59)+('Res-Rec Equations'!$B$27*'Chemical Info'!J183*'Res-Rec Equations'!$B$60)+('Res-Rec Equations'!$B$28*'Chemical Info'!J183*'Res-Rec Equations'!$B$61))*'Res-Rec Calculations'!C182,IF(AND(E182="NA",'Chemical Info'!D183=""),'Res-Rec Equations'!$B$22*1000*'Res-Rec Equations'!$B$25*'Chemical Info'!J183*'Res-Rec Calculations'!C182,IF(AND('Chemical Info'!E183="Yes",'Chemical Info'!D183="Yes"),'Res-Rec Equations'!$B$22*1000*(('Res-Rec Equations'!$B$26*'Chemical Info'!J183*'Res-Rec Equations'!$B$59)+('Res-Rec Equations'!$B$27*'Chemical Info'!J183*'Res-Rec Equations'!$B$60)+('Res-Rec Equations'!$B$28*'Chemical Info'!J183*'Res-Rec Equations'!$B$61))*'Res-Rec Calculations'!E182,IF(AND('Chemical Info'!E183="Yes",'Chemical Info'!D183=""),'Res-Rec Equations'!$B$22*1000*'Res-Rec Equations'!$B$25*'Chemical Info'!J183*'Res-Rec Calculations'!E182,IF('Chemical Info'!D183="Yes",'Res-Rec Equations'!$B$22*1000*(('Res-Rec Equations'!$B$26*'Chemical Info'!J183*'Res-Rec Equations'!$B$59)+('Res-Rec Equations'!$B$27*'Chemical Info'!J183*'Res-Rec Equations'!$B$60)+('Res-Rec Equations'!$B$28*'Chemical Info'!J183*'Res-Rec Equations'!$B$61))*('Res-Rec Calculations'!C182+'Res-Rec Calculations'!E182),IF('Chemical Info'!D183="",'Res-Rec Equations'!$B$22*1000*'Res-Rec Equations'!$B$25*'Chemical Info'!J183*('Res-Rec Calculations'!C182+'Res-Rec Calculations'!E182))))))))</f>
        <v>6.1412470063009683E-3</v>
      </c>
      <c r="K182" s="370">
        <f>IF('Chemical Info'!J183="NA","NA",IF(AND(F182="NA",'Chemical Info'!D183="Yes"),'Res-Rec Equations'!$B$22*1000*(('Res-Rec Equations'!$B$26*'Chemical Info'!J183*'Res-Rec Equations'!$B$59)+('Res-Rec Equations'!$B$27*'Chemical Info'!J183*'Res-Rec Equations'!$B$60)+('Res-Rec Equations'!$B$28*'Chemical Info'!J183*'Res-Rec Equations'!$B$61))*'Res-Rec Calculations'!C182,IF(AND(F182="NA",'Chemical Info'!D183=""),'Res-Rec Equations'!$B$22*1000*'Res-Rec Equations'!$B$25*'Chemical Info'!J183*'Res-Rec Calculations'!C182,IF(AND('Chemical Info'!F183="Yes",'Chemical Info'!D183="Yes"),'Res-Rec Equations'!$B$22*1000*(('Res-Rec Equations'!$B$26*'Chemical Info'!J183*'Res-Rec Equations'!$B$59)+('Res-Rec Equations'!$B$27*'Chemical Info'!J183*'Res-Rec Equations'!$B$60)+('Res-Rec Equations'!$B$28*'Chemical Info'!J183*'Res-Rec Equations'!$B$61))*'Res-Rec Calculations'!F182,IF(AND('Chemical Info'!F183="Yes",'Chemical Info'!D183=""),'Res-Rec Equations'!$B$22*1000*'Res-Rec Equations'!$B$25*'Chemical Info'!J183*'Res-Rec Calculations'!F182,IF('Chemical Info'!D183="Yes",'Res-Rec Equations'!$B$22*1000*(('Res-Rec Equations'!$B$26*'Chemical Info'!J183*'Res-Rec Equations'!$B$59)+('Res-Rec Equations'!$B$27*'Chemical Info'!J183*'Res-Rec Equations'!$B$60)+('Res-Rec Equations'!$B$28*'Chemical Info'!J183*'Res-Rec Equations'!$B$61))*('Res-Rec Calculations'!C182+'Res-Rec Calculations'!F182),IF('Chemical Info'!D183="",'Res-Rec Equations'!$B$22*1000*'Res-Rec Equations'!$B$25*'Chemical Info'!J183*('Res-Rec Calculations'!C182+'Res-Rec Calculations'!F182))))))))</f>
        <v>0.2293956171038361</v>
      </c>
      <c r="L182" s="167">
        <f>IF(AND(H182="NA",I182="NA",J182="NA"),"NA",IF(H182="NA",'Res-Rec Equations'!$B$15*'Res-Rec Equations'!$B$16/J182,IF(J182="NA",'Res-Rec Equations'!$B$15*'Res-Rec Equations'!$B$16/(H182+I182),'Res-Rec Equations'!$B$15*'Res-Rec Equations'!$B$16/(H182+I182+J182))))</f>
        <v>2.5208980409224666</v>
      </c>
      <c r="M182" s="167">
        <f>IF(AND(H182="NA",I182="NA",K182="NA"),"NA",IF(H182="NA",'Res-Rec Equations'!$B$15*'Res-Rec Equations'!$B$16/K182,IF(K182="NA",'Res-Rec Equations'!$B$15*'Res-Rec Equations'!$B$16/(H182+I182),'Res-Rec Equations'!$B$15*'Res-Rec Equations'!$B$16/(H182+I182+K182))))</f>
        <v>0.78710529816323704</v>
      </c>
      <c r="N182" s="167">
        <f>IF(AND(L182="NA",M182="NA"),"NA",MAX(L182,M182))</f>
        <v>2.5208980409224666</v>
      </c>
      <c r="O182" s="371">
        <f>IF('Chemical Info'!L183="NA","NA",IF('Chemical Info'!E183="Yes",(('Res-Rec Equations'!$B$76*'Chemical Info'!AD183*'Res-Rec Equations'!$B$78*'Res-Rec Equations'!$B$79*'Res-Rec Equations'!$B$81)/('Res-Rec Equations'!$B$84*'Res-Rec Equations'!$B$85))/'Chemical Info'!L183,(('Res-Rec Equations'!$B$76*'Chemical Info'!AD183*'Res-Rec Equations'!$B$78*'Res-Rec Equations'!$B$79*'Res-Rec Equations'!$B$80)/('Res-Rec Equations'!$B$84*'Res-Rec Equations'!$B$85))/'Chemical Info'!L183))</f>
        <v>0.18264840182648401</v>
      </c>
      <c r="P182" s="561">
        <f>IF('Chemical Info'!L183="NA","NA", ((('Res-Rec Equations'!$B$87*'Res-Rec Equations'!$B$88*'Res-Rec Equations'!$B$78*'Res-Rec Equations'!$B$82*'Res-Rec Equations'!$B$79*'Chemical Info'!AB183)/('Res-Rec Equations'!$B$84*'Res-Rec Equations'!$B$85))/('Chemical Info'!L183*'Chemical Info'!AF183)))</f>
        <v>6.0679452054794518E-2</v>
      </c>
      <c r="Q182" s="166" t="str">
        <f>IF('Chemical Info'!N183="NA","NA",IF('Res-Rec Calculations'!E182="NA",(('Res-Rec Equations'!$B$83*'Res-Rec Equations'!$B$79*'Res-Rec Calculations'!C182)/('Res-Rec Equations'!$B$85))/('Chemical Info'!N183),IF('Chemical Info'!E183="Yes",(('Res-Rec Equations'!$B$83*'Res-Rec Equations'!$B$79*'Res-Rec Calculations'!E182)/('Res-Rec Equations'!$B$85))/('Chemical Info'!N183),(('Res-Rec Equations'!$B$83*'Res-Rec Equations'!$B$79*('Res-Rec Calculations'!C182+'Res-Rec Calculations'!E182))/('Res-Rec Equations'!$B$85))/('Chemical Info'!N183))))</f>
        <v>NA</v>
      </c>
      <c r="R182" s="166" t="str">
        <f>IF('Chemical Info'!N183="NA","NA",IF('Res-Rec Calculations'!F182="NA",(('Res-Rec Equations'!$B$83*'Res-Rec Equations'!$B$79*'Res-Rec Calculations'!C182)/('Res-Rec Equations'!$B$85))/('Chemical Info'!N183),IF('Chemical Info'!E183="Yes",(('Res-Rec Equations'!$B$83*'Res-Rec Equations'!$B$79*'Res-Rec Calculations'!F182)/('Res-Rec Equations'!$B$85))/('Chemical Info'!N183),(('Res-Rec Equations'!$B$83*'Res-Rec Equations'!$B$79*('Res-Rec Calculations'!C182+'Res-Rec Calculations'!F182))/('Res-Rec Equations'!$B$85))/('Chemical Info'!N183))))</f>
        <v>NA</v>
      </c>
      <c r="S182" s="167">
        <f>IF(AND(O182="NA",P182="NA",Q182="NA"),"NA",IF(O182="NA",'Res-Rec Equations'!$B$75/Q182,IF(Q182="NA",'Res-Rec Equations'!$B$75/(O182+P182),'Res-Rec Equations'!$B$75/(O182+P182+Q182))))</f>
        <v>0.8219363168245486</v>
      </c>
      <c r="T182" s="167">
        <f>IF(AND(O182="NA",P182="NA",R182="NA"),"NA",IF(O182="NA",'Res-Rec Equations'!$B$75/R182,IF(R182="NA",'Res-Rec Equations'!$B$75/(O182+P182),'Res-Rec Equations'!$B$75/(O182+P182+R182))))</f>
        <v>0.8219363168245486</v>
      </c>
      <c r="U182" s="168">
        <f>IF(AND(S182="NA",T182="NA"),"NA",MAX(S182,T182))</f>
        <v>0.8219363168245486</v>
      </c>
      <c r="V182" s="167" t="str">
        <f>IF('Chemical Info'!P183="NA","NA",(('Res-Rec Equations'!$B$185*'Res-Rec Equations'!$B$186)/('Res-Rec Equations'!$B$187*'Res-Rec Equations'!$B$188*(1/'Chemical Info'!P183))))</f>
        <v>NA</v>
      </c>
      <c r="W182" s="379" t="str">
        <f>IF(V182="NA","NA",IF(V182&gt;100000,100000,IF(ISNUMBER(ROUND(V182*1000000,2-LEN(INT(V182*1000000)))/1000000),ROUND(V182*1000000,2-LEN(INT(V182*1000000)))/1000000,"NA")))</f>
        <v>NA</v>
      </c>
      <c r="X182" s="372">
        <f>IF(AND(N182="NA",U182="NA",G182="NA"),"NA",MIN(N182,U182,G182))</f>
        <v>0.8219363168245486</v>
      </c>
      <c r="Y182" s="62">
        <f>IF(X182&gt;100000,100000,IF(ISNUMBER(ROUND(X182*1000000,2-LEN(INT(X182*1000000)))/1000000),ROUND(X182*1000000,2-LEN(INT(X182*1000000)))/1000000,"NA"))</f>
        <v>0.82</v>
      </c>
      <c r="Z182" s="100" t="str">
        <f>IF(Y182=100000,"Max Limit",IF(X182=G182,"Csat",IF(X182=N182,"Cancer",IF(X182=V182,"Acute",IF(X182=U182,"Noncancer","")))))</f>
        <v>Noncancer</v>
      </c>
      <c r="AA182" s="373"/>
    </row>
    <row r="183" spans="1:27">
      <c r="A183" s="565" t="s">
        <v>893</v>
      </c>
      <c r="B183" s="593"/>
      <c r="C183" s="386"/>
      <c r="D183" s="406"/>
      <c r="E183" s="406"/>
      <c r="F183" s="406"/>
      <c r="G183" s="386"/>
      <c r="H183" s="386"/>
      <c r="I183" s="386"/>
      <c r="J183" s="386"/>
      <c r="K183" s="386"/>
      <c r="L183" s="386"/>
      <c r="M183" s="386"/>
      <c r="N183" s="386"/>
      <c r="O183" s="386"/>
      <c r="P183" s="386"/>
      <c r="Q183" s="386"/>
      <c r="R183" s="386"/>
      <c r="S183" s="386"/>
      <c r="T183" s="386"/>
      <c r="U183" s="386"/>
      <c r="V183" s="386"/>
      <c r="W183" s="423"/>
      <c r="X183" s="409"/>
      <c r="Y183" s="400"/>
      <c r="Z183" s="400"/>
      <c r="AA183" s="410"/>
    </row>
    <row r="184" spans="1:27" ht="12">
      <c r="A184" s="424" t="s">
        <v>1024</v>
      </c>
      <c r="B184" s="566" t="s">
        <v>46</v>
      </c>
      <c r="C184" s="367">
        <f>1/(('Res-Rec Equations'!$B$152*3600)/((0.036*(1-'Res-Rec Equations'!$B$153))*('Res-Rec Equations'!$B$154/'Res-Rec Equations'!$B$155)^3*'Res-Rec Equations'!$B$156))</f>
        <v>7.3567680901159717E-10</v>
      </c>
      <c r="D184" s="368">
        <f>(('Res-Rec Equations'!$B$132^(10/3)*'Chemical Info'!$AH185*'Chemical Info'!$AN185*41+'Res-Rec Equations'!$B$135^(10/3)*'Chemical Info'!$AJ185)/'Res-Rec Equations'!$B$137^2)/('Res-Rec Equations'!$B$139*'Chemical Info'!$AL185*'Res-Rec Equations'!$B$142+'Res-Rec Equations'!$B$135+'Res-Rec Equations'!$B$132*'Chemical Info'!$AN185*41)</f>
        <v>6.9886887588204649E-9</v>
      </c>
      <c r="E184" s="368">
        <f>IF(D184=0,"NA",1/(('Res-Rec Equations'!$B$103*(3.14*'Res-Rec Calculations'!$D184*'Res-Rec Equations'!$B$105)^(1/2)*0.0001)/(2*'Res-Rec Equations'!$B$106*'Res-Rec Calculations'!$D184)))</f>
        <v>4.9071172338517456E-7</v>
      </c>
      <c r="F184" s="368">
        <f>IF(D184=0,"NA",(1/('Res-Rec Equations'!$B$117*('Res-Rec Equations'!$B$118*(31500000))/('Res-Rec Equations'!$B$119*'Res-Rec Equations'!$B$120*1000000))))</f>
        <v>6.1914410640015851E-5</v>
      </c>
      <c r="G184" s="425"/>
      <c r="H184" s="112">
        <f>IF('Chemical Info'!H185="NA","NA",IF(AND('Chemical Info'!E185="Yes",'Chemical Info'!D185="Yes"),'Chemical Info'!H185*'Chemical Info'!AD185*'Res-Rec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Info'!E185="Yes",'Chemical Info'!D185=""),'Chemical Info'!H185*'Chemical Info'!AD185*'Res-Rec Equations'!$B$20*'Res-Rec Equations'!$B$23*((('Res-Rec Equations'!$B$26*'Res-Rec Equations'!$B$29)/'Res-Rec Equations'!$B$32)+(('Res-Rec Equations'!$B$27*'Res-Rec Equations'!$B$30)/'Res-Rec Equations'!$B$33)+(('Res-Rec Equations'!$B$28*'Res-Rec Equations'!$B$31)/'Res-Rec Equations'!$B$34)),IF(AND('Chemical Info'!E185="No",'Chemical Info'!D185="Yes"),'Chemical Info'!H185*'Chemical Info'!AD185*'Res-Rec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Info'!E185="No",'Chemical Info'!D185=""),'Chemical Info'!H185*'Chemical Info'!AD185*'Res-Rec Equations'!$B$19*'Res-Rec Equations'!$B$23*((('Res-Rec Equations'!$B$26*'Res-Rec Equations'!$B$29)/'Res-Rec Equations'!$B$32)+(('Res-Rec Equations'!$B$27*'Res-Rec Equations'!$B$30)/'Res-Rec Equations'!$B$33)+(('Res-Rec Equations'!$B$28*'Res-Rec Equations'!$B$31)/'Res-Rec Equations'!$B$34)))))))</f>
        <v>0.54754267425320047</v>
      </c>
      <c r="I184" s="166">
        <f>IF('Chemical Info'!H185="NA","NA",IF('Chemical Info'!E185="Yes",0,IF('Chemical Info'!D185="Yes",'Chemical Info'!H185/'Chemical Info'!AF185*('Res-Rec Equations'!$B$21*'Chemical Info'!AB185*'Res-Rec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Info'!H185/'Chemical Info'!AF185*('Res-Rec Equations'!$B$21*'Chemical Info'!AB185*'Res-Rec Equations'!$B$23)*((('Res-Rec Equations'!$B$26*'Res-Rec Equations'!$B$37*'Res-Rec Equations'!$B$40)/'Res-Rec Equations'!$B$32)+(('Res-Rec Equations'!$B$27*'Res-Rec Equations'!$B$38*'Res-Rec Equations'!$B$41)/'Res-Rec Equations'!$B$33)+(('Res-Rec Equations'!$B$28*'Res-Rec Equations'!$B$39*'Res-Rec Equations'!$B$42)/'Res-Rec Equations'!$B$34)))))</f>
        <v>0</v>
      </c>
      <c r="J184" s="369">
        <f>IF('Chemical Info'!J185="NA","NA",IF(AND(E184="NA",'Chemical Info'!D185="Yes"),'Res-Rec Equations'!$B$22*1000*(('Res-Rec Equations'!$B$26*'Chemical Info'!J185*'Res-Rec Equations'!$B$59)+('Res-Rec Equations'!$B$27*'Chemical Info'!J185*'Res-Rec Equations'!$B$60)+('Res-Rec Equations'!$B$28*'Chemical Info'!J185*'Res-Rec Equations'!$B$61))*'Res-Rec Calculations'!C184,IF(AND(E184="NA",'Chemical Info'!D185=""),'Res-Rec Equations'!$B$22*1000*'Res-Rec Equations'!$B$25*'Chemical Info'!J185*'Res-Rec Calculations'!C184,IF(AND('Chemical Info'!E185="Yes",'Chemical Info'!D185="Yes"),'Res-Rec Equations'!$B$22*1000*(('Res-Rec Equations'!$B$26*'Chemical Info'!J185*'Res-Rec Equations'!$B$59)+('Res-Rec Equations'!$B$27*'Chemical Info'!J185*'Res-Rec Equations'!$B$60)+('Res-Rec Equations'!$B$28*'Chemical Info'!J185*'Res-Rec Equations'!$B$61))*'Res-Rec Calculations'!E184,IF(AND('Chemical Info'!E185="Yes",'Chemical Info'!D185=""),'Res-Rec Equations'!$B$22*1000*'Res-Rec Equations'!$B$25*'Chemical Info'!J185*'Res-Rec Calculations'!E184,IF('Chemical Info'!D185="Yes",'Res-Rec Equations'!$B$22*1000*(('Res-Rec Equations'!$B$26*'Chemical Info'!J185*'Res-Rec Equations'!$B$59)+('Res-Rec Equations'!$B$27*'Chemical Info'!J185*'Res-Rec Equations'!$B$60)+('Res-Rec Equations'!$B$28*'Chemical Info'!J185*'Res-Rec Equations'!$B$61))*('Res-Rec Calculations'!C184+'Res-Rec Calculations'!E184),IF('Chemical Info'!D185="",'Res-Rec Equations'!$B$22*1000*'Res-Rec Equations'!$B$25*'Chemical Info'!J185*('Res-Rec Calculations'!C184+'Res-Rec Calculations'!E184))))))))</f>
        <v>1.5629168389817809E-2</v>
      </c>
      <c r="K184" s="370">
        <f>IF('Chemical Info'!J185="NA","NA",IF(AND(F184="NA",'Chemical Info'!D185="Yes"),'Res-Rec Equations'!$B$22*1000*(('Res-Rec Equations'!$B$26*'Chemical Info'!J185*'Res-Rec Equations'!$B$59)+('Res-Rec Equations'!$B$27*'Chemical Info'!J185*'Res-Rec Equations'!$B$60)+('Res-Rec Equations'!$B$28*'Chemical Info'!J185*'Res-Rec Equations'!$B$61))*'Res-Rec Calculations'!C184,IF(AND(F184="NA",'Chemical Info'!D185=""),'Res-Rec Equations'!$B$22*1000*'Res-Rec Equations'!$B$25*'Chemical Info'!J185*'Res-Rec Calculations'!C184,IF(AND('Chemical Info'!F185="Yes",'Chemical Info'!D185="Yes"),'Res-Rec Equations'!$B$22*1000*(('Res-Rec Equations'!$B$26*'Chemical Info'!J185*'Res-Rec Equations'!$B$59)+('Res-Rec Equations'!$B$27*'Chemical Info'!J185*'Res-Rec Equations'!$B$60)+('Res-Rec Equations'!$B$28*'Chemical Info'!J185*'Res-Rec Equations'!$B$61))*'Res-Rec Calculations'!F184,IF(AND('Chemical Info'!F185="Yes",'Chemical Info'!D185=""),'Res-Rec Equations'!$B$22*1000*'Res-Rec Equations'!$B$25*'Chemical Info'!J185*'Res-Rec Calculations'!F184,IF('Chemical Info'!D185="Yes",'Res-Rec Equations'!$B$22*1000*(('Res-Rec Equations'!$B$26*'Chemical Info'!J185*'Res-Rec Equations'!$B$59)+('Res-Rec Equations'!$B$27*'Chemical Info'!J185*'Res-Rec Equations'!$B$60)+('Res-Rec Equations'!$B$28*'Chemical Info'!J185*'Res-Rec Equations'!$B$61))*('Res-Rec Calculations'!C184+'Res-Rec Calculations'!F184),IF('Chemical Info'!D185="",'Res-Rec Equations'!$B$22*1000*'Res-Rec Equations'!$B$25*'Chemical Info'!J185*('Res-Rec Calculations'!C184+'Res-Rec Calculations'!F184))))))))</f>
        <v>1.9719974101908717</v>
      </c>
      <c r="L184" s="167">
        <f>IF(AND(H184="NA",I184="NA",J184="NA"),"NA",IF(H184="NA",'Res-Rec Equations'!$B$15*'Res-Rec Equations'!$B$16/J184,IF(J184="NA",'Res-Rec Equations'!$B$15*'Res-Rec Equations'!$B$16/(H184+I184),'Res-Rec Equations'!$B$15*'Res-Rec Equations'!$B$16/(H184+I184+J184))))</f>
        <v>0.45368035234310466</v>
      </c>
      <c r="M184" s="167">
        <f>IF(AND(H184="NA",I184="NA",K184="NA"),"NA",IF(H184="NA",'Res-Rec Equations'!$B$15*'Res-Rec Equations'!$B$16/K184,IF(K184="NA",'Res-Rec Equations'!$B$15*'Res-Rec Equations'!$B$16/(H184+I184),'Res-Rec Equations'!$B$15*'Res-Rec Equations'!$B$16/(H184+I184+K184))))</f>
        <v>0.10140739636471201</v>
      </c>
      <c r="N184" s="167">
        <f t="shared" ref="N184:N202" si="266">IF(AND(L184="NA",M184="NA"),"NA",MAX(L184,M184))</f>
        <v>0.45368035234310466</v>
      </c>
      <c r="O184" s="371">
        <f>IF('Chemical Info'!L185="NA","NA",IF('Chemical Info'!E185="Yes",(('Res-Rec Equations'!$B$76*'Chemical Info'!AD185*'Res-Rec Equations'!$B$78*'Res-Rec Equations'!$B$79*'Res-Rec Equations'!$B$81)/('Res-Rec Equations'!$B$84*'Res-Rec Equations'!$B$85))/'Chemical Info'!L185,(('Res-Rec Equations'!$B$76*'Chemical Info'!AD185*'Res-Rec Equations'!$B$78*'Res-Rec Equations'!$B$79*'Res-Rec Equations'!$B$80)/('Res-Rec Equations'!$B$84*'Res-Rec Equations'!$B$85))/'Chemical Info'!L185))</f>
        <v>0.30441400304414001</v>
      </c>
      <c r="P184" s="166">
        <f>IF('Chemical Info'!L185="NA","NA", IF('Chemical Info'!E185="Yes",0,((('Res-Rec Equations'!$B$87*'Res-Rec Equations'!$B$88*'Res-Rec Equations'!$B$78*'Res-Rec Equations'!$B$82*'Res-Rec Equations'!$B$79*'Chemical Info'!AB185)/('Res-Rec Equations'!$B$84*'Res-Rec Equations'!$B$85))/('Chemical Info'!L185*'Chemical Info'!AF185))))</f>
        <v>0</v>
      </c>
      <c r="Q184" s="166" t="str">
        <f>IF('Chemical Info'!N185="NA","NA",IF('Res-Rec Calculations'!E184="NA",(('Res-Rec Equations'!$B$83*'Res-Rec Equations'!$B$79*'Res-Rec Calculations'!C184)/('Res-Rec Equations'!$B$85))/('Chemical Info'!N185),IF('Chemical Info'!E185="Yes",(('Res-Rec Equations'!$B$83*'Res-Rec Equations'!$B$79*'Res-Rec Calculations'!E184)/('Res-Rec Equations'!$B$85))/('Chemical Info'!N185),(('Res-Rec Equations'!$B$83*'Res-Rec Equations'!$B$79*('Res-Rec Calculations'!C184+'Res-Rec Calculations'!E184))/('Res-Rec Equations'!$B$85))/('Chemical Info'!N185))))</f>
        <v>NA</v>
      </c>
      <c r="R184" s="166" t="str">
        <f>IF('Chemical Info'!N185="NA","NA",IF('Res-Rec Calculations'!F184="NA",(('Res-Rec Equations'!$B$83*'Res-Rec Equations'!$B$79*'Res-Rec Calculations'!C184)/('Res-Rec Equations'!$B$85))/('Chemical Info'!N185),IF('Chemical Info'!E185="Yes",(('Res-Rec Equations'!$B$83*'Res-Rec Equations'!$B$79*'Res-Rec Calculations'!F184)/('Res-Rec Equations'!$B$85))/('Chemical Info'!N185),(('Res-Rec Equations'!$B$83*'Res-Rec Equations'!$B$79*('Res-Rec Calculations'!C184+'Res-Rec Calculations'!F184))/('Res-Rec Equations'!$B$85))/('Chemical Info'!N185))))</f>
        <v>NA</v>
      </c>
      <c r="S184" s="167">
        <f>IF(AND(O184="NA",P184="NA",Q184="NA"),"NA",IF(O184="NA",'Res-Rec Equations'!$B$75/Q184,IF(Q184="NA",'Res-Rec Equations'!$B$75/(O184+P184),'Res-Rec Equations'!$B$75/(O184+P184+Q184))))</f>
        <v>0.65700000000000003</v>
      </c>
      <c r="T184" s="167">
        <f>IF(AND(O184="NA",P184="NA",R184="NA"),"NA",IF(O184="NA",'Res-Rec Equations'!$B$75/R184,IF(R184="NA",'Res-Rec Equations'!$B$75/(O184+P184),'Res-Rec Equations'!$B$75/(O184+P184+R184))))</f>
        <v>0.65700000000000003</v>
      </c>
      <c r="U184" s="168">
        <f t="shared" ref="U184:U202" si="267">IF(AND(S184="NA",T184="NA"),"NA",MAX(S184,T184))</f>
        <v>0.65700000000000003</v>
      </c>
      <c r="V184" s="167" t="str">
        <f>IF('Chemical Info'!P185="NA","NA",(('Res-Rec Equations'!$B$185*'Res-Rec Equations'!$B$186)/('Res-Rec Equations'!$B$187*'Res-Rec Equations'!$B$188*(1/'Chemical Info'!P185))))</f>
        <v>NA</v>
      </c>
      <c r="W184" s="379" t="str">
        <f t="shared" ref="W184:W202" si="268">IF(V184="NA","NA",IF(V184&gt;100000,100000,IF(ISNUMBER(ROUND(V184*1000000,2-LEN(INT(V184*1000000)))/1000000),ROUND(V184*1000000,2-LEN(INT(V184*1000000)))/1000000,"NA")))</f>
        <v>NA</v>
      </c>
      <c r="X184" s="372">
        <f t="shared" ref="X184:X202" si="269">IF(AND(N184="NA",U184="NA",G184="NA"),"NA",MIN(N184,U184,G184))</f>
        <v>0.45368035234310466</v>
      </c>
      <c r="Y184" s="62">
        <f t="shared" ref="Y184:Y202" si="270">IF(X184&gt;100000,100000,IF(ISNUMBER(ROUND(X184*1000000,2-LEN(INT(X184*1000000)))/1000000),ROUND(X184*1000000,2-LEN(INT(X184*1000000)))/1000000,"NA"))</f>
        <v>0.45</v>
      </c>
      <c r="Z184" s="100" t="str">
        <f t="shared" ref="Z184:Z202" si="271">IF(Y184=100000,"Max Limit",IF(X184=G184,"Csat",IF(X184=N184,"Cancer",IF(X184=V184,"Acute",IF(X184=U184,"Noncancer","")))))</f>
        <v>Cancer</v>
      </c>
      <c r="AA184" s="373"/>
    </row>
    <row r="185" spans="1:27">
      <c r="A185" s="413" t="s">
        <v>191</v>
      </c>
      <c r="B185" s="566" t="s">
        <v>192</v>
      </c>
      <c r="C185" s="367">
        <f>1/(('Res-Rec Equations'!$B$152*3600)/((0.036*(1-'Res-Rec Equations'!$B$153))*('Res-Rec Equations'!$B$154/'Res-Rec Equations'!$B$155)^3*'Res-Rec Equations'!$B$156))</f>
        <v>7.3567680901159717E-10</v>
      </c>
      <c r="D185" s="368">
        <f>(('Res-Rec Equations'!$B$132^(10/3)*'Chemical Info'!$AH186*'Chemical Info'!$AN186*41+'Res-Rec Equations'!$B$135^(10/3)*'Chemical Info'!$AJ186)/'Res-Rec Equations'!$B$137^2)/('Res-Rec Equations'!$B$139*'Chemical Info'!$AL186*'Res-Rec Equations'!$B$142+'Res-Rec Equations'!$B$135+'Res-Rec Equations'!$B$132*'Chemical Info'!$AN186*41)</f>
        <v>1.5647967483035394E-9</v>
      </c>
      <c r="E185" s="368">
        <f>IF(D185=0,"NA",1/(('Res-Rec Equations'!$B$103*(3.14*'Res-Rec Calculations'!$D185*'Res-Rec Equations'!$B$105)^(1/2)*0.0001)/(2*'Res-Rec Equations'!$B$106*'Res-Rec Calculations'!$D185)))</f>
        <v>2.3219750631969113E-7</v>
      </c>
      <c r="F185" s="368">
        <f>IF(D185=0,"NA",(1/('Res-Rec Equations'!$B$117*('Res-Rec Equations'!$B$118*(31500000))/('Res-Rec Equations'!$B$119*'Res-Rec Equations'!$B$120*1000000))))</f>
        <v>6.1914410640015851E-5</v>
      </c>
      <c r="G185" s="167" t="str">
        <f>IF('Chemical Info'!E186="Yes",('Chemical Info'!AP186/'Res-Rec Equations'!$B$168)*((('Chemical Info'!AL186*'Res-Rec Equations'!$B$170)*'Res-Rec Equations'!$B$168)+'Res-Rec Equations'!$B$171+('Chemical Info'!AN186*41)*'Res-Rec Equations'!$B$173),"NA")</f>
        <v>NA</v>
      </c>
      <c r="H185" s="112">
        <f>IF('Chemical Info'!H186="NA","NA",IF(AND('Chemical Info'!E186="Yes",'Chemical Info'!D186="Yes"),'Chemical Info'!H186*'Chemical Info'!AD186*'Res-Rec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Info'!E186="Yes",'Chemical Info'!D186=""),'Chemical Info'!H186*'Chemical Info'!AD186*'Res-Rec Equations'!$B$20*'Res-Rec Equations'!$B$23*((('Res-Rec Equations'!$B$26*'Res-Rec Equations'!$B$29)/'Res-Rec Equations'!$B$32)+(('Res-Rec Equations'!$B$27*'Res-Rec Equations'!$B$30)/'Res-Rec Equations'!$B$33)+(('Res-Rec Equations'!$B$28*'Res-Rec Equations'!$B$31)/'Res-Rec Equations'!$B$34)),IF(AND('Chemical Info'!E186="No",'Chemical Info'!D186="Yes"),'Chemical Info'!H186*'Chemical Info'!AD186*'Res-Rec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Info'!E186="No",'Chemical Info'!D186=""),'Chemical Info'!H186*'Chemical Info'!AD186*'Res-Rec Equations'!$B$19*'Res-Rec Equations'!$B$23*((('Res-Rec Equations'!$B$26*'Res-Rec Equations'!$B$29)/'Res-Rec Equations'!$B$32)+(('Res-Rec Equations'!$B$27*'Res-Rec Equations'!$B$30)/'Res-Rec Equations'!$B$33)+(('Res-Rec Equations'!$B$28*'Res-Rec Equations'!$B$31)/'Res-Rec Equations'!$B$34)))))))</f>
        <v>9.0183499288762445E-4</v>
      </c>
      <c r="I185" s="166">
        <f>IF('Chemical Info'!H186="NA","NA",IF('Chemical Info'!E186="Yes",0,IF('Chemical Info'!D186="Yes",'Chemical Info'!H186/'Chemical Info'!AF186*('Res-Rec Equations'!$B$21*'Chemical Info'!AB186*'Res-Rec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Info'!H186/'Chemical Info'!AF186*('Res-Rec Equations'!$B$21*'Chemical Info'!AB186*'Res-Rec Equations'!$B$23)*((('Res-Rec Equations'!$B$26*'Res-Rec Equations'!$B$37*'Res-Rec Equations'!$B$40)/'Res-Rec Equations'!$B$32)+(('Res-Rec Equations'!$B$27*'Res-Rec Equations'!$B$38*'Res-Rec Equations'!$B$41)/'Res-Rec Equations'!$B$33)+(('Res-Rec Equations'!$B$28*'Res-Rec Equations'!$B$39*'Res-Rec Equations'!$B$42)/'Res-Rec Equations'!$B$34)))))</f>
        <v>2.1996241465149359E-4</v>
      </c>
      <c r="J185" s="369" t="str">
        <f>IF('Chemical Info'!J186="NA","NA",IF(AND(E185="NA",'Chemical Info'!D186="Yes"),'Res-Rec Equations'!$B$22*1000*(('Res-Rec Equations'!$B$26*'Chemical Info'!J186*'Res-Rec Equations'!$B$59)+('Res-Rec Equations'!$B$27*'Chemical Info'!J186*'Res-Rec Equations'!$B$60)+('Res-Rec Equations'!$B$28*'Chemical Info'!J186*'Res-Rec Equations'!$B$61))*'Res-Rec Calculations'!C185,IF(AND(E185="NA",'Chemical Info'!D186=""),'Res-Rec Equations'!$B$22*1000*'Res-Rec Equations'!$B$25*'Chemical Info'!J186*'Res-Rec Calculations'!C185,IF(AND('Chemical Info'!E186="Yes",'Chemical Info'!D186="Yes"),'Res-Rec Equations'!$B$22*1000*(('Res-Rec Equations'!$B$26*'Chemical Info'!J186*'Res-Rec Equations'!$B$59)+('Res-Rec Equations'!$B$27*'Chemical Info'!J186*'Res-Rec Equations'!$B$60)+('Res-Rec Equations'!$B$28*'Chemical Info'!J186*'Res-Rec Equations'!$B$61))*'Res-Rec Calculations'!E185,IF(AND('Chemical Info'!E186="Yes",'Chemical Info'!D186=""),'Res-Rec Equations'!$B$22*1000*'Res-Rec Equations'!$B$25*'Chemical Info'!J186*'Res-Rec Calculations'!E185,IF('Chemical Info'!D186="Yes",'Res-Rec Equations'!$B$22*1000*(('Res-Rec Equations'!$B$26*'Chemical Info'!J186*'Res-Rec Equations'!$B$59)+('Res-Rec Equations'!$B$27*'Chemical Info'!J186*'Res-Rec Equations'!$B$60)+('Res-Rec Equations'!$B$28*'Chemical Info'!J186*'Res-Rec Equations'!$B$61))*('Res-Rec Calculations'!C185+'Res-Rec Calculations'!E185),IF('Chemical Info'!D186="",'Res-Rec Equations'!$B$22*1000*'Res-Rec Equations'!$B$25*'Chemical Info'!J186*('Res-Rec Calculations'!C185+'Res-Rec Calculations'!E185))))))))</f>
        <v>NA</v>
      </c>
      <c r="K185" s="370" t="str">
        <f>IF('Chemical Info'!J186="NA","NA",IF(AND(F185="NA",'Chemical Info'!D186="Yes"),'Res-Rec Equations'!$B$22*1000*(('Res-Rec Equations'!$B$26*'Chemical Info'!J186*'Res-Rec Equations'!$B$59)+('Res-Rec Equations'!$B$27*'Chemical Info'!J186*'Res-Rec Equations'!$B$60)+('Res-Rec Equations'!$B$28*'Chemical Info'!J186*'Res-Rec Equations'!$B$61))*'Res-Rec Calculations'!C185,IF(AND(F185="NA",'Chemical Info'!D186=""),'Res-Rec Equations'!$B$22*1000*'Res-Rec Equations'!$B$25*'Chemical Info'!J186*'Res-Rec Calculations'!C185,IF(AND('Chemical Info'!F186="Yes",'Chemical Info'!D186="Yes"),'Res-Rec Equations'!$B$22*1000*(('Res-Rec Equations'!$B$26*'Chemical Info'!J186*'Res-Rec Equations'!$B$59)+('Res-Rec Equations'!$B$27*'Chemical Info'!J186*'Res-Rec Equations'!$B$60)+('Res-Rec Equations'!$B$28*'Chemical Info'!J186*'Res-Rec Equations'!$B$61))*'Res-Rec Calculations'!F185,IF(AND('Chemical Info'!F186="Yes",'Chemical Info'!D186=""),'Res-Rec Equations'!$B$22*1000*'Res-Rec Equations'!$B$25*'Chemical Info'!J186*'Res-Rec Calculations'!F185,IF('Chemical Info'!D186="Yes",'Res-Rec Equations'!$B$22*1000*(('Res-Rec Equations'!$B$26*'Chemical Info'!J186*'Res-Rec Equations'!$B$59)+('Res-Rec Equations'!$B$27*'Chemical Info'!J186*'Res-Rec Equations'!$B$60)+('Res-Rec Equations'!$B$28*'Chemical Info'!J186*'Res-Rec Equations'!$B$61))*('Res-Rec Calculations'!C185+'Res-Rec Calculations'!F185),IF('Chemical Info'!D186="",'Res-Rec Equations'!$B$22*1000*'Res-Rec Equations'!$B$25*'Chemical Info'!J186*('Res-Rec Calculations'!C185+'Res-Rec Calculations'!F185))))))))</f>
        <v>NA</v>
      </c>
      <c r="L185" s="167">
        <f>IF(AND(H185="NA",I185="NA",J185="NA"),"NA",IF(H185="NA",'Res-Rec Equations'!$B$15*'Res-Rec Equations'!$B$16/J185,IF(J185="NA",'Res-Rec Equations'!$B$15*'Res-Rec Equations'!$B$16/(H185+I185),'Res-Rec Equations'!$B$15*'Res-Rec Equations'!$B$16/(H185+I185+J185))))</f>
        <v>227.75948516451754</v>
      </c>
      <c r="M185" s="167">
        <f>IF(AND(H185="NA",I185="NA",K185="NA"),"NA",IF(H185="NA",'Res-Rec Equations'!$B$15*'Res-Rec Equations'!$B$16/K185,IF(K185="NA",'Res-Rec Equations'!$B$15*'Res-Rec Equations'!$B$16/(H185+I185),'Res-Rec Equations'!$B$15*'Res-Rec Equations'!$B$16/(H185+I185+K185))))</f>
        <v>227.75948516451754</v>
      </c>
      <c r="N185" s="167">
        <f t="shared" si="266"/>
        <v>227.75948516451754</v>
      </c>
      <c r="O185" s="371" t="str">
        <f>IF('Chemical Info'!L186="NA","NA",IF('Chemical Info'!E186="Yes",(('Res-Rec Equations'!$B$76*'Chemical Info'!AD186*'Res-Rec Equations'!$B$78*'Res-Rec Equations'!$B$79*'Res-Rec Equations'!$B$81)/('Res-Rec Equations'!$B$84*'Res-Rec Equations'!$B$85))/'Chemical Info'!L186,(('Res-Rec Equations'!$B$76*'Chemical Info'!AD186*'Res-Rec Equations'!$B$78*'Res-Rec Equations'!$B$79*'Res-Rec Equations'!$B$80)/('Res-Rec Equations'!$B$84*'Res-Rec Equations'!$B$85))/'Chemical Info'!L186))</f>
        <v>NA</v>
      </c>
      <c r="P185" s="166" t="str">
        <f>IF('Chemical Info'!L186="NA","NA", IF('Chemical Info'!E186="Yes",0,((('Res-Rec Equations'!$B$87*'Res-Rec Equations'!$B$88*'Res-Rec Equations'!$B$78*'Res-Rec Equations'!$B$82*'Res-Rec Equations'!$B$79*'Chemical Info'!AB186)/('Res-Rec Equations'!$B$84*'Res-Rec Equations'!$B$85))/('Chemical Info'!L186*'Chemical Info'!AF186))))</f>
        <v>NA</v>
      </c>
      <c r="Q185" s="166" t="str">
        <f>IF('Chemical Info'!N186="NA","NA",IF('Res-Rec Calculations'!E185="NA",(('Res-Rec Equations'!$B$83*'Res-Rec Equations'!$B$79*'Res-Rec Calculations'!C185)/('Res-Rec Equations'!$B$85))/('Chemical Info'!N186),IF('Chemical Info'!E186="Yes",(('Res-Rec Equations'!$B$83*'Res-Rec Equations'!$B$79*'Res-Rec Calculations'!E185)/('Res-Rec Equations'!$B$85))/('Chemical Info'!N186),(('Res-Rec Equations'!$B$83*'Res-Rec Equations'!$B$79*('Res-Rec Calculations'!C185+'Res-Rec Calculations'!E185))/('Res-Rec Equations'!$B$85))/('Chemical Info'!N186))))</f>
        <v>NA</v>
      </c>
      <c r="R185" s="166" t="str">
        <f>IF('Chemical Info'!N186="NA","NA",IF('Res-Rec Calculations'!F185="NA",(('Res-Rec Equations'!$B$83*'Res-Rec Equations'!$B$79*'Res-Rec Calculations'!C185)/('Res-Rec Equations'!$B$85))/('Chemical Info'!N186),IF('Chemical Info'!E186="Yes",(('Res-Rec Equations'!$B$83*'Res-Rec Equations'!$B$79*'Res-Rec Calculations'!F185)/('Res-Rec Equations'!$B$85))/('Chemical Info'!N186),(('Res-Rec Equations'!$B$83*'Res-Rec Equations'!$B$79*('Res-Rec Calculations'!C185+'Res-Rec Calculations'!F185))/('Res-Rec Equations'!$B$85))/('Chemical Info'!N186))))</f>
        <v>NA</v>
      </c>
      <c r="S185" s="167" t="str">
        <f>IF(AND(O185="NA",P185="NA",Q185="NA"),"NA",IF(O185="NA",'Res-Rec Equations'!$B$75/Q185,IF(Q185="NA",'Res-Rec Equations'!$B$75/(O185+P185),'Res-Rec Equations'!$B$75/(O185+P185+Q185))))</f>
        <v>NA</v>
      </c>
      <c r="T185" s="167" t="str">
        <f>IF(AND(O185="NA",P185="NA",R185="NA"),"NA",IF(O185="NA",'Res-Rec Equations'!$B$75/R185,IF(R185="NA",'Res-Rec Equations'!$B$75/(O185+P185),'Res-Rec Equations'!$B$75/(O185+P185+R185))))</f>
        <v>NA</v>
      </c>
      <c r="U185" s="168" t="str">
        <f t="shared" si="267"/>
        <v>NA</v>
      </c>
      <c r="V185" s="167" t="str">
        <f>IF('Chemical Info'!P186="NA","NA",(('Res-Rec Equations'!$B$185*'Res-Rec Equations'!$B$186)/('Res-Rec Equations'!$B$187*'Res-Rec Equations'!$B$188*(1/'Chemical Info'!P186))))</f>
        <v>NA</v>
      </c>
      <c r="W185" s="379" t="str">
        <f t="shared" si="268"/>
        <v>NA</v>
      </c>
      <c r="X185" s="372">
        <f t="shared" si="269"/>
        <v>227.75948516451754</v>
      </c>
      <c r="Y185" s="62">
        <f t="shared" si="270"/>
        <v>230</v>
      </c>
      <c r="Z185" s="100" t="str">
        <f t="shared" si="271"/>
        <v>Cancer</v>
      </c>
      <c r="AA185" s="373"/>
    </row>
    <row r="186" spans="1:27">
      <c r="A186" s="413" t="s">
        <v>193</v>
      </c>
      <c r="B186" s="566" t="s">
        <v>194</v>
      </c>
      <c r="C186" s="367">
        <f>1/(('Res-Rec Equations'!$B$152*3600)/((0.036*(1-'Res-Rec Equations'!$B$153))*('Res-Rec Equations'!$B$154/'Res-Rec Equations'!$B$155)^3*'Res-Rec Equations'!$B$156))</f>
        <v>7.3567680901159717E-10</v>
      </c>
      <c r="D186" s="368">
        <f>(('Res-Rec Equations'!$B$132^(10/3)*'Chemical Info'!$AH187*'Chemical Info'!$AN187*41+'Res-Rec Equations'!$B$135^(10/3)*'Chemical Info'!$AJ187)/'Res-Rec Equations'!$B$137^2)/('Res-Rec Equations'!$B$139*'Chemical Info'!$AL187*'Res-Rec Equations'!$B$142+'Res-Rec Equations'!$B$135+'Res-Rec Equations'!$B$132*'Chemical Info'!$AN187*41)</f>
        <v>1.7703781354493744E-7</v>
      </c>
      <c r="E186" s="368">
        <f>IF(D186=0,"NA",1/(('Res-Rec Equations'!$B$103*(3.14*'Res-Rec Calculations'!$D186*'Res-Rec Equations'!$B$105)^(1/2)*0.0001)/(2*'Res-Rec Equations'!$B$106*'Res-Rec Calculations'!$D186)))</f>
        <v>2.4697989548445502E-6</v>
      </c>
      <c r="F186" s="368">
        <f>IF(D186=0,"NA",(1/('Res-Rec Equations'!$B$117*('Res-Rec Equations'!$B$118*(31500000))/('Res-Rec Equations'!$B$119*'Res-Rec Equations'!$B$120*1000000))))</f>
        <v>6.1914410640015851E-5</v>
      </c>
      <c r="G186" s="167" t="str">
        <f>IF('Chemical Info'!E187="Yes",('Chemical Info'!AP187/'Res-Rec Equations'!$B$168)*((('Chemical Info'!AL187*'Res-Rec Equations'!$B$170)*'Res-Rec Equations'!$B$168)+'Res-Rec Equations'!$B$171+('Chemical Info'!AN187*41)*'Res-Rec Equations'!$B$173),"NA")</f>
        <v>NA</v>
      </c>
      <c r="H186" s="112" t="str">
        <f>IF('Chemical Info'!H187="NA","NA",IF(AND('Chemical Info'!E187="Yes",'Chemical Info'!D187="Yes"),'Chemical Info'!H187*'Chemical Info'!AD187*'Res-Rec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Info'!E187="Yes",'Chemical Info'!D187=""),'Chemical Info'!H187*'Chemical Info'!AD187*'Res-Rec Equations'!$B$20*'Res-Rec Equations'!$B$23*((('Res-Rec Equations'!$B$26*'Res-Rec Equations'!$B$29)/'Res-Rec Equations'!$B$32)+(('Res-Rec Equations'!$B$27*'Res-Rec Equations'!$B$30)/'Res-Rec Equations'!$B$33)+(('Res-Rec Equations'!$B$28*'Res-Rec Equations'!$B$31)/'Res-Rec Equations'!$B$34)),IF(AND('Chemical Info'!E187="No",'Chemical Info'!D187="Yes"),'Chemical Info'!H187*'Chemical Info'!AD187*'Res-Rec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Info'!E187="No",'Chemical Info'!D187=""),'Chemical Info'!H187*'Chemical Info'!AD187*'Res-Rec Equations'!$B$19*'Res-Rec Equations'!$B$23*((('Res-Rec Equations'!$B$26*'Res-Rec Equations'!$B$29)/'Res-Rec Equations'!$B$32)+(('Res-Rec Equations'!$B$27*'Res-Rec Equations'!$B$30)/'Res-Rec Equations'!$B$33)+(('Res-Rec Equations'!$B$28*'Res-Rec Equations'!$B$31)/'Res-Rec Equations'!$B$34)))))))</f>
        <v>NA</v>
      </c>
      <c r="I186" s="166" t="str">
        <f>IF('Chemical Info'!H187="NA","NA",IF('Chemical Info'!E187="Yes",0,IF('Chemical Info'!D187="Yes",'Chemical Info'!H187/'Chemical Info'!AF187*('Res-Rec Equations'!$B$21*'Chemical Info'!AB187*'Res-Rec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Info'!H187/'Chemical Info'!AF187*('Res-Rec Equations'!$B$21*'Chemical Info'!AB187*'Res-Rec Equations'!$B$23)*((('Res-Rec Equations'!$B$26*'Res-Rec Equations'!$B$37*'Res-Rec Equations'!$B$40)/'Res-Rec Equations'!$B$32)+(('Res-Rec Equations'!$B$27*'Res-Rec Equations'!$B$38*'Res-Rec Equations'!$B$41)/'Res-Rec Equations'!$B$33)+(('Res-Rec Equations'!$B$28*'Res-Rec Equations'!$B$39*'Res-Rec Equations'!$B$42)/'Res-Rec Equations'!$B$34)))))</f>
        <v>NA</v>
      </c>
      <c r="J186" s="369" t="str">
        <f>IF('Chemical Info'!J187="NA","NA",IF(AND(E186="NA",'Chemical Info'!D187="Yes"),'Res-Rec Equations'!$B$22*1000*(('Res-Rec Equations'!$B$26*'Chemical Info'!J187*'Res-Rec Equations'!$B$59)+('Res-Rec Equations'!$B$27*'Chemical Info'!J187*'Res-Rec Equations'!$B$60)+('Res-Rec Equations'!$B$28*'Chemical Info'!J187*'Res-Rec Equations'!$B$61))*'Res-Rec Calculations'!C186,IF(AND(E186="NA",'Chemical Info'!D187=""),'Res-Rec Equations'!$B$22*1000*'Res-Rec Equations'!$B$25*'Chemical Info'!J187*'Res-Rec Calculations'!C186,IF(AND('Chemical Info'!E187="Yes",'Chemical Info'!D187="Yes"),'Res-Rec Equations'!$B$22*1000*(('Res-Rec Equations'!$B$26*'Chemical Info'!J187*'Res-Rec Equations'!$B$59)+('Res-Rec Equations'!$B$27*'Chemical Info'!J187*'Res-Rec Equations'!$B$60)+('Res-Rec Equations'!$B$28*'Chemical Info'!J187*'Res-Rec Equations'!$B$61))*'Res-Rec Calculations'!E186,IF(AND('Chemical Info'!E187="Yes",'Chemical Info'!D187=""),'Res-Rec Equations'!$B$22*1000*'Res-Rec Equations'!$B$25*'Chemical Info'!J187*'Res-Rec Calculations'!E186,IF('Chemical Info'!D187="Yes",'Res-Rec Equations'!$B$22*1000*(('Res-Rec Equations'!$B$26*'Chemical Info'!J187*'Res-Rec Equations'!$B$59)+('Res-Rec Equations'!$B$27*'Chemical Info'!J187*'Res-Rec Equations'!$B$60)+('Res-Rec Equations'!$B$28*'Chemical Info'!J187*'Res-Rec Equations'!$B$61))*('Res-Rec Calculations'!C186+'Res-Rec Calculations'!E186),IF('Chemical Info'!D187="",'Res-Rec Equations'!$B$22*1000*'Res-Rec Equations'!$B$25*'Chemical Info'!J187*('Res-Rec Calculations'!C186+'Res-Rec Calculations'!E186))))))))</f>
        <v>NA</v>
      </c>
      <c r="K186" s="370" t="str">
        <f>IF('Chemical Info'!J187="NA","NA",IF(AND(F186="NA",'Chemical Info'!D187="Yes"),'Res-Rec Equations'!$B$22*1000*(('Res-Rec Equations'!$B$26*'Chemical Info'!J187*'Res-Rec Equations'!$B$59)+('Res-Rec Equations'!$B$27*'Chemical Info'!J187*'Res-Rec Equations'!$B$60)+('Res-Rec Equations'!$B$28*'Chemical Info'!J187*'Res-Rec Equations'!$B$61))*'Res-Rec Calculations'!C186,IF(AND(F186="NA",'Chemical Info'!D187=""),'Res-Rec Equations'!$B$22*1000*'Res-Rec Equations'!$B$25*'Chemical Info'!J187*'Res-Rec Calculations'!C186,IF(AND('Chemical Info'!F187="Yes",'Chemical Info'!D187="Yes"),'Res-Rec Equations'!$B$22*1000*(('Res-Rec Equations'!$B$26*'Chemical Info'!J187*'Res-Rec Equations'!$B$59)+('Res-Rec Equations'!$B$27*'Chemical Info'!J187*'Res-Rec Equations'!$B$60)+('Res-Rec Equations'!$B$28*'Chemical Info'!J187*'Res-Rec Equations'!$B$61))*'Res-Rec Calculations'!F186,IF(AND('Chemical Info'!F187="Yes",'Chemical Info'!D187=""),'Res-Rec Equations'!$B$22*1000*'Res-Rec Equations'!$B$25*'Chemical Info'!J187*'Res-Rec Calculations'!F186,IF('Chemical Info'!D187="Yes",'Res-Rec Equations'!$B$22*1000*(('Res-Rec Equations'!$B$26*'Chemical Info'!J187*'Res-Rec Equations'!$B$59)+('Res-Rec Equations'!$B$27*'Chemical Info'!J187*'Res-Rec Equations'!$B$60)+('Res-Rec Equations'!$B$28*'Chemical Info'!J187*'Res-Rec Equations'!$B$61))*('Res-Rec Calculations'!C186+'Res-Rec Calculations'!F186),IF('Chemical Info'!D187="",'Res-Rec Equations'!$B$22*1000*'Res-Rec Equations'!$B$25*'Chemical Info'!J187*('Res-Rec Calculations'!C186+'Res-Rec Calculations'!F186))))))))</f>
        <v>NA</v>
      </c>
      <c r="L186" s="167" t="str">
        <f>IF(AND(H186="NA",I186="NA",J186="NA"),"NA",IF(H186="NA",'Res-Rec Equations'!$B$15*'Res-Rec Equations'!$B$16/J186,IF(J186="NA",'Res-Rec Equations'!$B$15*'Res-Rec Equations'!$B$16/(H186+I186),'Res-Rec Equations'!$B$15*'Res-Rec Equations'!$B$16/(H186+I186+J186))))</f>
        <v>NA</v>
      </c>
      <c r="M186" s="167" t="str">
        <f>IF(AND(H186="NA",I186="NA",K186="NA"),"NA",IF(H186="NA",'Res-Rec Equations'!$B$15*'Res-Rec Equations'!$B$16/K186,IF(K186="NA",'Res-Rec Equations'!$B$15*'Res-Rec Equations'!$B$16/(H186+I186),'Res-Rec Equations'!$B$15*'Res-Rec Equations'!$B$16/(H186+I186+K186))))</f>
        <v>NA</v>
      </c>
      <c r="N186" s="167" t="str">
        <f t="shared" si="266"/>
        <v>NA</v>
      </c>
      <c r="O186" s="371">
        <f>IF('Chemical Info'!L187="NA","NA",IF('Chemical Info'!E187="Yes",(('Res-Rec Equations'!$B$76*'Chemical Info'!AD187*'Res-Rec Equations'!$B$78*'Res-Rec Equations'!$B$79*'Res-Rec Equations'!$B$81)/('Res-Rec Equations'!$B$84*'Res-Rec Equations'!$B$85))/'Chemical Info'!L187,(('Res-Rec Equations'!$B$76*'Chemical Info'!AD187*'Res-Rec Equations'!$B$78*'Res-Rec Equations'!$B$79*'Res-Rec Equations'!$B$80)/('Res-Rec Equations'!$B$84*'Res-Rec Equations'!$B$85))/'Chemical Info'!L187))</f>
        <v>8.5235920852359207E-4</v>
      </c>
      <c r="P186" s="166">
        <f>IF('Chemical Info'!L187="NA","NA", IF('Chemical Info'!E187="Yes",0,((('Res-Rec Equations'!$B$87*'Res-Rec Equations'!$B$88*'Res-Rec Equations'!$B$78*'Res-Rec Equations'!$B$82*'Res-Rec Equations'!$B$79*'Chemical Info'!AB187)/('Res-Rec Equations'!$B$84*'Res-Rec Equations'!$B$85))/('Chemical Info'!L187*'Chemical Info'!AF187))))</f>
        <v>1.4447488584474886E-4</v>
      </c>
      <c r="Q186" s="166" t="str">
        <f>IF('Chemical Info'!N187="NA","NA",IF('Res-Rec Calculations'!E186="NA",(('Res-Rec Equations'!$B$83*'Res-Rec Equations'!$B$79*'Res-Rec Calculations'!C186)/('Res-Rec Equations'!$B$85))/('Chemical Info'!N187),IF('Chemical Info'!E187="Yes",(('Res-Rec Equations'!$B$83*'Res-Rec Equations'!$B$79*'Res-Rec Calculations'!E186)/('Res-Rec Equations'!$B$85))/('Chemical Info'!N187),(('Res-Rec Equations'!$B$83*'Res-Rec Equations'!$B$79*('Res-Rec Calculations'!C186+'Res-Rec Calculations'!E186))/('Res-Rec Equations'!$B$85))/('Chemical Info'!N187))))</f>
        <v>NA</v>
      </c>
      <c r="R186" s="166" t="str">
        <f>IF('Chemical Info'!N187="NA","NA",IF('Res-Rec Calculations'!F186="NA",(('Res-Rec Equations'!$B$83*'Res-Rec Equations'!$B$79*'Res-Rec Calculations'!C186)/('Res-Rec Equations'!$B$85))/('Chemical Info'!N187),IF('Chemical Info'!E187="Yes",(('Res-Rec Equations'!$B$83*'Res-Rec Equations'!$B$79*'Res-Rec Calculations'!F186)/('Res-Rec Equations'!$B$85))/('Chemical Info'!N187),(('Res-Rec Equations'!$B$83*'Res-Rec Equations'!$B$79*('Res-Rec Calculations'!C186+'Res-Rec Calculations'!F186))/('Res-Rec Equations'!$B$85))/('Chemical Info'!N187))))</f>
        <v>NA</v>
      </c>
      <c r="S186" s="167">
        <f>IF(AND(O186="NA",P186="NA",Q186="NA"),"NA",IF(O186="NA",'Res-Rec Equations'!$B$75/Q186,IF(Q186="NA",'Res-Rec Equations'!$B$75/(O186+P186),'Res-Rec Equations'!$B$75/(O186+P186+Q186))))</f>
        <v>200.63519208452942</v>
      </c>
      <c r="T186" s="167">
        <f>IF(AND(O186="NA",P186="NA",R186="NA"),"NA",IF(O186="NA",'Res-Rec Equations'!$B$75/R186,IF(R186="NA",'Res-Rec Equations'!$B$75/(O186+P186),'Res-Rec Equations'!$B$75/(O186+P186+R186))))</f>
        <v>200.63519208452942</v>
      </c>
      <c r="U186" s="168">
        <f t="shared" si="267"/>
        <v>200.63519208452942</v>
      </c>
      <c r="V186" s="167" t="str">
        <f>IF('Chemical Info'!P187="NA","NA",(('Res-Rec Equations'!$B$185*'Res-Rec Equations'!$B$186)/('Res-Rec Equations'!$B$187*'Res-Rec Equations'!$B$188*(1/'Chemical Info'!P187))))</f>
        <v>NA</v>
      </c>
      <c r="W186" s="379" t="str">
        <f t="shared" si="268"/>
        <v>NA</v>
      </c>
      <c r="X186" s="372">
        <f t="shared" si="269"/>
        <v>200.63519208452942</v>
      </c>
      <c r="Y186" s="62">
        <f t="shared" si="270"/>
        <v>200</v>
      </c>
      <c r="Z186" s="100" t="str">
        <f t="shared" si="271"/>
        <v>Noncancer</v>
      </c>
      <c r="AA186" s="373"/>
    </row>
    <row r="187" spans="1:27" ht="12">
      <c r="A187" s="558" t="s">
        <v>1029</v>
      </c>
      <c r="B187" s="590" t="s">
        <v>426</v>
      </c>
      <c r="C187" s="367">
        <f>1/(('Res-Rec Equations'!$B$152*3600)/((0.036*(1-'Res-Rec Equations'!$B$153))*('Res-Rec Equations'!$B$154/'Res-Rec Equations'!$B$155)^3*'Res-Rec Equations'!$B$156))</f>
        <v>7.3567680901159717E-10</v>
      </c>
      <c r="D187" s="368">
        <f>(('Res-Rec Equations'!$B$132^(10/3)*'Chemical Info'!$AH188*'Chemical Info'!$AN188*41+'Res-Rec Equations'!$B$135^(10/3)*'Chemical Info'!$AJ188)/'Res-Rec Equations'!$B$137^2)/('Res-Rec Equations'!$B$139*'Chemical Info'!$AL188*'Res-Rec Equations'!$B$142+'Res-Rec Equations'!$B$135+'Res-Rec Equations'!$B$132*'Chemical Info'!$AN188*41)</f>
        <v>1.733060586620051E-8</v>
      </c>
      <c r="E187" s="368">
        <f>IF(D187=0,"NA",1/(('Res-Rec Equations'!$B$103*(3.14*'Res-Rec Calculations'!$D187*'Res-Rec Equations'!$B$105)^(1/2)*0.0001)/(2*'Res-Rec Equations'!$B$106*'Res-Rec Calculations'!$D187)))</f>
        <v>7.7274367083612035E-7</v>
      </c>
      <c r="F187" s="368">
        <f>IF(D187=0,"NA",(1/('Res-Rec Equations'!$B$117*('Res-Rec Equations'!$B$118*(31500000))/('Res-Rec Equations'!$B$119*'Res-Rec Equations'!$B$120*1000000))))</f>
        <v>6.1914410640015851E-5</v>
      </c>
      <c r="G187" s="425"/>
      <c r="H187" s="112">
        <f>IF('Chemical Info'!H188="NA","NA",IF(AND('Chemical Info'!E188="Yes",'Chemical Info'!D188="Yes"),'Chemical Info'!H188*'Chemical Info'!AD188*'Res-Rec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Info'!E188="Yes",'Chemical Info'!D188=""),'Chemical Info'!H188*'Chemical Info'!AD188*'Res-Rec Equations'!$B$20*'Res-Rec Equations'!$B$23*((('Res-Rec Equations'!$B$26*'Res-Rec Equations'!$B$29)/'Res-Rec Equations'!$B$32)+(('Res-Rec Equations'!$B$27*'Res-Rec Equations'!$B$30)/'Res-Rec Equations'!$B$33)+(('Res-Rec Equations'!$B$28*'Res-Rec Equations'!$B$31)/'Res-Rec Equations'!$B$34)),IF(AND('Chemical Info'!E188="No",'Chemical Info'!D188="Yes"),'Chemical Info'!H188*'Chemical Info'!AD188*'Res-Rec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Info'!E188="No",'Chemical Info'!D188=""),'Chemical Info'!H188*'Chemical Info'!AD188*'Res-Rec Equations'!$B$19*'Res-Rec Equations'!$B$23*((('Res-Rec Equations'!$B$26*'Res-Rec Equations'!$B$29)/'Res-Rec Equations'!$B$32)+(('Res-Rec Equations'!$B$27*'Res-Rec Equations'!$B$30)/'Res-Rec Equations'!$B$33)+(('Res-Rec Equations'!$B$28*'Res-Rec Equations'!$B$31)/'Res-Rec Equations'!$B$34)))))))</f>
        <v>1.1272937411095306E-2</v>
      </c>
      <c r="I187" s="561">
        <f>IF('Chemical Info'!H188="NA","NA",IF('Chemical Info'!D188="Yes",'Chemical Info'!H188/'Chemical Info'!AF188*('Res-Rec Equations'!$B$21*'Chemical Info'!AB188*'Res-Rec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Info'!H188/'Chemical Info'!AF188*('Res-Rec Equations'!$B$21*'Chemical Info'!AB188*'Res-Rec Equations'!$B$23)*((('Res-Rec Equations'!$B$26*'Res-Rec Equations'!$B$37*'Res-Rec Equations'!$B$40)/'Res-Rec Equations'!$B$32)+(('Res-Rec Equations'!$B$27*'Res-Rec Equations'!$B$38*'Res-Rec Equations'!$B$41)/'Res-Rec Equations'!$B$33)+(('Res-Rec Equations'!$B$28*'Res-Rec Equations'!$B$39*'Res-Rec Equations'!$B$42)/'Res-Rec Equations'!$B$34))))</f>
        <v>1.5397369025604551E-3</v>
      </c>
      <c r="J187" s="369">
        <f>IF('Chemical Info'!J188="NA","NA",IF(AND(E187="NA",'Chemical Info'!D188="Yes"),'Res-Rec Equations'!$B$22*1000*(('Res-Rec Equations'!$B$26*'Chemical Info'!J188*'Res-Rec Equations'!$B$59)+('Res-Rec Equations'!$B$27*'Chemical Info'!J188*'Res-Rec Equations'!$B$60)+('Res-Rec Equations'!$B$28*'Chemical Info'!J188*'Res-Rec Equations'!$B$61))*'Res-Rec Calculations'!C187,IF(AND(E187="NA",'Chemical Info'!D188=""),'Res-Rec Equations'!$B$22*1000*'Res-Rec Equations'!$B$25*'Chemical Info'!J188*'Res-Rec Calculations'!C187,IF(AND('Chemical Info'!E188="Yes",'Chemical Info'!D188="Yes"),'Res-Rec Equations'!$B$22*1000*(('Res-Rec Equations'!$B$26*'Chemical Info'!J188*'Res-Rec Equations'!$B$59)+('Res-Rec Equations'!$B$27*'Chemical Info'!J188*'Res-Rec Equations'!$B$60)+('Res-Rec Equations'!$B$28*'Chemical Info'!J188*'Res-Rec Equations'!$B$61))*'Res-Rec Calculations'!E187,IF(AND('Chemical Info'!E188="Yes",'Chemical Info'!D188=""),'Res-Rec Equations'!$B$22*1000*'Res-Rec Equations'!$B$25*'Chemical Info'!J188*'Res-Rec Calculations'!E187,IF('Chemical Info'!D188="Yes",'Res-Rec Equations'!$B$22*1000*(('Res-Rec Equations'!$B$26*'Chemical Info'!J188*'Res-Rec Equations'!$B$59)+('Res-Rec Equations'!$B$27*'Chemical Info'!J188*'Res-Rec Equations'!$B$60)+('Res-Rec Equations'!$B$28*'Chemical Info'!J188*'Res-Rec Equations'!$B$61))*('Res-Rec Calculations'!C187+'Res-Rec Calculations'!E187),IF('Chemical Info'!D188="",'Res-Rec Equations'!$B$22*1000*'Res-Rec Equations'!$B$25*'Chemical Info'!J188*('Res-Rec Calculations'!C187+'Res-Rec Calculations'!E187))))))))</f>
        <v>5.0228338604347818E-4</v>
      </c>
      <c r="K187" s="370">
        <f>IF('Chemical Info'!J188="NA","NA",IF(AND(F187="NA",'Chemical Info'!D188="Yes"),'Res-Rec Equations'!$B$22*1000*(('Res-Rec Equations'!$B$26*'Chemical Info'!J188*'Res-Rec Equations'!$B$59)+('Res-Rec Equations'!$B$27*'Chemical Info'!J188*'Res-Rec Equations'!$B$60)+('Res-Rec Equations'!$B$28*'Chemical Info'!J188*'Res-Rec Equations'!$B$61))*'Res-Rec Calculations'!C187,IF(AND(F187="NA",'Chemical Info'!D188=""),'Res-Rec Equations'!$B$22*1000*'Res-Rec Equations'!$B$25*'Chemical Info'!J188*'Res-Rec Calculations'!C187,IF(AND('Chemical Info'!F188="Yes",'Chemical Info'!D188="Yes"),'Res-Rec Equations'!$B$22*1000*(('Res-Rec Equations'!$B$26*'Chemical Info'!J188*'Res-Rec Equations'!$B$59)+('Res-Rec Equations'!$B$27*'Chemical Info'!J188*'Res-Rec Equations'!$B$60)+('Res-Rec Equations'!$B$28*'Chemical Info'!J188*'Res-Rec Equations'!$B$61))*'Res-Rec Calculations'!F187,IF(AND('Chemical Info'!F188="Yes",'Chemical Info'!D188=""),'Res-Rec Equations'!$B$22*1000*'Res-Rec Equations'!$B$25*'Chemical Info'!J188*'Res-Rec Calculations'!F187,IF('Chemical Info'!D188="Yes",'Res-Rec Equations'!$B$22*1000*(('Res-Rec Equations'!$B$26*'Chemical Info'!J188*'Res-Rec Equations'!$B$59)+('Res-Rec Equations'!$B$27*'Chemical Info'!J188*'Res-Rec Equations'!$B$60)+('Res-Rec Equations'!$B$28*'Chemical Info'!J188*'Res-Rec Equations'!$B$61))*('Res-Rec Calculations'!C187+'Res-Rec Calculations'!F187),IF('Chemical Info'!D188="",'Res-Rec Equations'!$B$22*1000*'Res-Rec Equations'!$B$25*'Chemical Info'!J188*('Res-Rec Calculations'!C187+'Res-Rec Calculations'!F187))))))))</f>
        <v>4.0244845105936157E-2</v>
      </c>
      <c r="L187" s="167">
        <f>IF(AND(H187="NA",I187="NA",J187="NA"),"NA",IF(H187="NA",'Res-Rec Equations'!$B$15*'Res-Rec Equations'!$B$16/J187,IF(J187="NA",'Res-Rec Equations'!$B$15*'Res-Rec Equations'!$B$16/(H187+I187),'Res-Rec Equations'!$B$15*'Res-Rec Equations'!$B$16/(H187+I187+J187))))</f>
        <v>19.188945677669807</v>
      </c>
      <c r="M187" s="167">
        <f>IF(AND(H187="NA",I187="NA",K187="NA"),"NA",IF(H187="NA",'Res-Rec Equations'!$B$15*'Res-Rec Equations'!$B$16/K187,IF(K187="NA",'Res-Rec Equations'!$B$15*'Res-Rec Equations'!$B$16/(H187+I187),'Res-Rec Equations'!$B$15*'Res-Rec Equations'!$B$16/(H187+I187+K187))))</f>
        <v>4.8155285583452017</v>
      </c>
      <c r="N187" s="167">
        <f t="shared" si="266"/>
        <v>19.188945677669807</v>
      </c>
      <c r="O187" s="371">
        <f>IF('Chemical Info'!L188="NA","NA",IF('Chemical Info'!E188="Yes",(('Res-Rec Equations'!$B$76*'Chemical Info'!AD188*'Res-Rec Equations'!$B$78*'Res-Rec Equations'!$B$79*'Res-Rec Equations'!$B$81)/('Res-Rec Equations'!$B$84*'Res-Rec Equations'!$B$85))/'Chemical Info'!L188,(('Res-Rec Equations'!$B$76*'Chemical Info'!AD188*'Res-Rec Equations'!$B$78*'Res-Rec Equations'!$B$79*'Res-Rec Equations'!$B$80)/('Res-Rec Equations'!$B$84*'Res-Rec Equations'!$B$85))/'Chemical Info'!L188))</f>
        <v>1.8264840182648401E-2</v>
      </c>
      <c r="P187" s="561">
        <f>IF('Chemical Info'!L188="NA","NA", ((('Res-Rec Equations'!$B$87*'Res-Rec Equations'!$B$88*'Res-Rec Equations'!$B$78*'Res-Rec Equations'!$B$82*'Res-Rec Equations'!$B$79*'Chemical Info'!AB188)/('Res-Rec Equations'!$B$84*'Res-Rec Equations'!$B$85))/('Chemical Info'!L188*'Chemical Info'!AF188)))</f>
        <v>1.7336986301369863E-3</v>
      </c>
      <c r="Q187" s="166">
        <f>IF('Chemical Info'!N188="NA","NA",IF('Res-Rec Calculations'!E187="NA",(('Res-Rec Equations'!$B$83*'Res-Rec Equations'!$B$79*'Res-Rec Calculations'!C187)/('Res-Rec Equations'!$B$85))/('Chemical Info'!N188),IF('Chemical Info'!E188="Yes",(('Res-Rec Equations'!$B$83*'Res-Rec Equations'!$B$79*'Res-Rec Calculations'!E187)/('Res-Rec Equations'!$B$85))/('Chemical Info'!N188),(('Res-Rec Equations'!$B$83*'Res-Rec Equations'!$B$79*('Res-Rec Calculations'!C187+'Res-Rec Calculations'!E187))/('Res-Rec Equations'!$B$85))/('Chemical Info'!N188))))</f>
        <v>7.5610926696293584E-4</v>
      </c>
      <c r="R187" s="166">
        <f>IF('Chemical Info'!N188="NA","NA",IF('Res-Rec Calculations'!F187="NA",(('Res-Rec Equations'!$B$83*'Res-Rec Equations'!$B$79*'Res-Rec Calculations'!C187)/('Res-Rec Equations'!$B$85))/('Chemical Info'!N188),IF('Chemical Info'!E188="Yes",(('Res-Rec Equations'!$B$83*'Res-Rec Equations'!$B$79*'Res-Rec Calculations'!F187)/('Res-Rec Equations'!$B$85))/('Chemical Info'!N188),(('Res-Rec Equations'!$B$83*'Res-Rec Equations'!$B$79*('Res-Rec Calculations'!C187+'Res-Rec Calculations'!F187))/('Res-Rec Equations'!$B$85))/('Chemical Info'!N188))))</f>
        <v>6.0581615107647604E-2</v>
      </c>
      <c r="S187" s="167">
        <f>IF(AND(O187="NA",P187="NA",Q187="NA"),"NA",IF(O187="NA",'Res-Rec Equations'!$B$75/Q187,IF(Q187="NA",'Res-Rec Equations'!$B$75/(O187+P187),'Res-Rec Equations'!$B$75/(O187+P187+Q187))))</f>
        <v>9.6363956272114866</v>
      </c>
      <c r="T187" s="167">
        <f>IF(AND(O187="NA",P187="NA",R187="NA"),"NA",IF(O187="NA",'Res-Rec Equations'!$B$75/R187,IF(R187="NA",'Res-Rec Equations'!$B$75/(O187+P187),'Res-Rec Equations'!$B$75/(O187+P187+R187))))</f>
        <v>2.4820007194015212</v>
      </c>
      <c r="U187" s="168">
        <f t="shared" si="267"/>
        <v>9.6363956272114866</v>
      </c>
      <c r="V187" s="167" t="str">
        <f>IF('Chemical Info'!P188="NA","NA",(('Res-Rec Equations'!$B$185*'Res-Rec Equations'!$B$186)/('Res-Rec Equations'!$B$187*'Res-Rec Equations'!$B$188*(1/'Chemical Info'!P188))))</f>
        <v>NA</v>
      </c>
      <c r="W187" s="379" t="str">
        <f t="shared" si="268"/>
        <v>NA</v>
      </c>
      <c r="X187" s="372">
        <f t="shared" si="269"/>
        <v>9.6363956272114866</v>
      </c>
      <c r="Y187" s="62">
        <f t="shared" si="270"/>
        <v>9.6</v>
      </c>
      <c r="Z187" s="100" t="str">
        <f t="shared" si="271"/>
        <v>Noncancer</v>
      </c>
      <c r="AA187" s="373"/>
    </row>
    <row r="188" spans="1:27">
      <c r="A188" s="373" t="s">
        <v>492</v>
      </c>
      <c r="B188" s="566" t="s">
        <v>1</v>
      </c>
      <c r="C188" s="367">
        <f>1/(('Res-Rec Equations'!$B$152*3600)/((0.036*(1-'Res-Rec Equations'!$B$153))*('Res-Rec Equations'!$B$154/'Res-Rec Equations'!$B$155)^3*'Res-Rec Equations'!$B$156))</f>
        <v>7.3567680901159717E-10</v>
      </c>
      <c r="D188" s="368">
        <f>(('Res-Rec Equations'!$B$132^(10/3)*'Chemical Info'!$AH189*'Chemical Info'!$AN189*41+'Res-Rec Equations'!$B$135^(10/3)*'Chemical Info'!$AJ189)/'Res-Rec Equations'!$B$137^2)/('Res-Rec Equations'!$B$139*'Chemical Info'!$AL189*'Res-Rec Equations'!$B$142+'Res-Rec Equations'!$B$135+'Res-Rec Equations'!$B$132*'Chemical Info'!$AN189*41)</f>
        <v>8.3500606711566645E-10</v>
      </c>
      <c r="E188" s="368">
        <f>IF(D188=0,"NA",1/(('Res-Rec Equations'!$B$103*(3.14*'Res-Rec Calculations'!$D188*'Res-Rec Equations'!$B$105)^(1/2)*0.0001)/(2*'Res-Rec Equations'!$B$106*'Res-Rec Calculations'!$D188)))</f>
        <v>1.6961857073675887E-7</v>
      </c>
      <c r="F188" s="368">
        <f>IF(D188=0,"NA",(1/('Res-Rec Equations'!$B$117*('Res-Rec Equations'!$B$118*(31500000))/('Res-Rec Equations'!$B$119*'Res-Rec Equations'!$B$120*1000000))))</f>
        <v>6.1914410640015851E-5</v>
      </c>
      <c r="G188" s="167" t="str">
        <f>IF('Chemical Info'!E189="Yes",('Chemical Info'!AP189/'Res-Rec Equations'!$B$168)*((('Chemical Info'!AL189*'Res-Rec Equations'!$B$170)*'Res-Rec Equations'!$B$168)+'Res-Rec Equations'!$B$171+('Chemical Info'!AN189*41)*'Res-Rec Equations'!$B$173),"NA")</f>
        <v>NA</v>
      </c>
      <c r="H188" s="112">
        <f>IF('Chemical Info'!H189="NA","NA",IF(AND('Chemical Info'!E189="Yes",'Chemical Info'!D189="Yes"),'Chemical Info'!H189*'Chemical Info'!AD189*'Res-Rec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Info'!E189="Yes",'Chemical Info'!D189=""),'Chemical Info'!H189*'Chemical Info'!AD189*'Res-Rec Equations'!$B$20*'Res-Rec Equations'!$B$23*((('Res-Rec Equations'!$B$26*'Res-Rec Equations'!$B$29)/'Res-Rec Equations'!$B$32)+(('Res-Rec Equations'!$B$27*'Res-Rec Equations'!$B$30)/'Res-Rec Equations'!$B$33)+(('Res-Rec Equations'!$B$28*'Res-Rec Equations'!$B$31)/'Res-Rec Equations'!$B$34)),IF(AND('Chemical Info'!E189="No",'Chemical Info'!D189="Yes"),'Chemical Info'!H189*'Chemical Info'!AD189*'Res-Rec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Info'!E189="No",'Chemical Info'!D189=""),'Chemical Info'!H189*'Chemical Info'!AD189*'Res-Rec Equations'!$B$19*'Res-Rec Equations'!$B$23*((('Res-Rec Equations'!$B$26*'Res-Rec Equations'!$B$29)/'Res-Rec Equations'!$B$32)+(('Res-Rec Equations'!$B$27*'Res-Rec Equations'!$B$30)/'Res-Rec Equations'!$B$33)+(('Res-Rec Equations'!$B$28*'Res-Rec Equations'!$B$31)/'Res-Rec Equations'!$B$34)))))))</f>
        <v>1.0822019914651494E-2</v>
      </c>
      <c r="I188" s="166">
        <f>IF('Chemical Info'!H189="NA","NA",IF('Chemical Info'!E189="Yes",0,IF('Chemical Info'!D189="Yes",'Chemical Info'!H189/'Chemical Info'!AF189*('Res-Rec Equations'!$B$21*'Chemical Info'!AB189*'Res-Rec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Info'!H189/'Chemical Info'!AF189*('Res-Rec Equations'!$B$21*'Chemical Info'!AB189*'Res-Rec Equations'!$B$23)*((('Res-Rec Equations'!$B$26*'Res-Rec Equations'!$B$37*'Res-Rec Equations'!$B$40)/'Res-Rec Equations'!$B$32)+(('Res-Rec Equations'!$B$27*'Res-Rec Equations'!$B$38*'Res-Rec Equations'!$B$41)/'Res-Rec Equations'!$B$33)+(('Res-Rec Equations'!$B$28*'Res-Rec Equations'!$B$39*'Res-Rec Equations'!$B$42)/'Res-Rec Equations'!$B$34)))))</f>
        <v>2.6395489758179232E-3</v>
      </c>
      <c r="J188" s="369" t="str">
        <f>IF('Chemical Info'!J189="NA","NA",IF(AND(E188="NA",'Chemical Info'!D189="Yes"),'Res-Rec Equations'!$B$22*1000*(('Res-Rec Equations'!$B$26*'Chemical Info'!J189*'Res-Rec Equations'!$B$59)+('Res-Rec Equations'!$B$27*'Chemical Info'!J189*'Res-Rec Equations'!$B$60)+('Res-Rec Equations'!$B$28*'Chemical Info'!J189*'Res-Rec Equations'!$B$61))*'Res-Rec Calculations'!C188,IF(AND(E188="NA",'Chemical Info'!D189=""),'Res-Rec Equations'!$B$22*1000*'Res-Rec Equations'!$B$25*'Chemical Info'!J189*'Res-Rec Calculations'!C188,IF(AND('Chemical Info'!E189="Yes",'Chemical Info'!D189="Yes"),'Res-Rec Equations'!$B$22*1000*(('Res-Rec Equations'!$B$26*'Chemical Info'!J189*'Res-Rec Equations'!$B$59)+('Res-Rec Equations'!$B$27*'Chemical Info'!J189*'Res-Rec Equations'!$B$60)+('Res-Rec Equations'!$B$28*'Chemical Info'!J189*'Res-Rec Equations'!$B$61))*'Res-Rec Calculations'!E188,IF(AND('Chemical Info'!E189="Yes",'Chemical Info'!D189=""),'Res-Rec Equations'!$B$22*1000*'Res-Rec Equations'!$B$25*'Chemical Info'!J189*'Res-Rec Calculations'!E188,IF('Chemical Info'!D189="Yes",'Res-Rec Equations'!$B$22*1000*(('Res-Rec Equations'!$B$26*'Chemical Info'!J189*'Res-Rec Equations'!$B$59)+('Res-Rec Equations'!$B$27*'Chemical Info'!J189*'Res-Rec Equations'!$B$60)+('Res-Rec Equations'!$B$28*'Chemical Info'!J189*'Res-Rec Equations'!$B$61))*('Res-Rec Calculations'!C188+'Res-Rec Calculations'!E188),IF('Chemical Info'!D189="",'Res-Rec Equations'!$B$22*1000*'Res-Rec Equations'!$B$25*'Chemical Info'!J189*('Res-Rec Calculations'!C188+'Res-Rec Calculations'!E188))))))))</f>
        <v>NA</v>
      </c>
      <c r="K188" s="370" t="str">
        <f>IF('Chemical Info'!J189="NA","NA",IF(AND(F188="NA",'Chemical Info'!D189="Yes"),'Res-Rec Equations'!$B$22*1000*(('Res-Rec Equations'!$B$26*'Chemical Info'!J189*'Res-Rec Equations'!$B$59)+('Res-Rec Equations'!$B$27*'Chemical Info'!J189*'Res-Rec Equations'!$B$60)+('Res-Rec Equations'!$B$28*'Chemical Info'!J189*'Res-Rec Equations'!$B$61))*'Res-Rec Calculations'!C188,IF(AND(F188="NA",'Chemical Info'!D189=""),'Res-Rec Equations'!$B$22*1000*'Res-Rec Equations'!$B$25*'Chemical Info'!J189*'Res-Rec Calculations'!C188,IF(AND('Chemical Info'!F189="Yes",'Chemical Info'!D189="Yes"),'Res-Rec Equations'!$B$22*1000*(('Res-Rec Equations'!$B$26*'Chemical Info'!J189*'Res-Rec Equations'!$B$59)+('Res-Rec Equations'!$B$27*'Chemical Info'!J189*'Res-Rec Equations'!$B$60)+('Res-Rec Equations'!$B$28*'Chemical Info'!J189*'Res-Rec Equations'!$B$61))*'Res-Rec Calculations'!F188,IF(AND('Chemical Info'!F189="Yes",'Chemical Info'!D189=""),'Res-Rec Equations'!$B$22*1000*'Res-Rec Equations'!$B$25*'Chemical Info'!J189*'Res-Rec Calculations'!F188,IF('Chemical Info'!D189="Yes",'Res-Rec Equations'!$B$22*1000*(('Res-Rec Equations'!$B$26*'Chemical Info'!J189*'Res-Rec Equations'!$B$59)+('Res-Rec Equations'!$B$27*'Chemical Info'!J189*'Res-Rec Equations'!$B$60)+('Res-Rec Equations'!$B$28*'Chemical Info'!J189*'Res-Rec Equations'!$B$61))*('Res-Rec Calculations'!C188+'Res-Rec Calculations'!F188),IF('Chemical Info'!D189="",'Res-Rec Equations'!$B$22*1000*'Res-Rec Equations'!$B$25*'Chemical Info'!J189*('Res-Rec Calculations'!C188+'Res-Rec Calculations'!F188))))))))</f>
        <v>NA</v>
      </c>
      <c r="L188" s="167">
        <f>IF(AND(H188="NA",I188="NA",J188="NA"),"NA",IF(H188="NA",'Res-Rec Equations'!$B$15*'Res-Rec Equations'!$B$16/J188,IF(J188="NA",'Res-Rec Equations'!$B$15*'Res-Rec Equations'!$B$16/(H188+I188),'Res-Rec Equations'!$B$15*'Res-Rec Equations'!$B$16/(H188+I188+J188))))</f>
        <v>18.97995709704313</v>
      </c>
      <c r="M188" s="167">
        <f>IF(AND(H188="NA",I188="NA",K188="NA"),"NA",IF(H188="NA",'Res-Rec Equations'!$B$15*'Res-Rec Equations'!$B$16/K188,IF(K188="NA",'Res-Rec Equations'!$B$15*'Res-Rec Equations'!$B$16/(H188+I188),'Res-Rec Equations'!$B$15*'Res-Rec Equations'!$B$16/(H188+I188+K188))))</f>
        <v>18.97995709704313</v>
      </c>
      <c r="N188" s="167">
        <f t="shared" si="266"/>
        <v>18.97995709704313</v>
      </c>
      <c r="O188" s="371">
        <f>IF('Chemical Info'!L189="NA","NA",IF('Chemical Info'!E189="Yes",(('Res-Rec Equations'!$B$76*'Chemical Info'!AD189*'Res-Rec Equations'!$B$78*'Res-Rec Equations'!$B$79*'Res-Rec Equations'!$B$81)/('Res-Rec Equations'!$B$84*'Res-Rec Equations'!$B$85))/'Chemical Info'!L189,(('Res-Rec Equations'!$B$76*'Chemical Info'!AD189*'Res-Rec Equations'!$B$78*'Res-Rec Equations'!$B$79*'Res-Rec Equations'!$B$80)/('Res-Rec Equations'!$B$84*'Res-Rec Equations'!$B$85))/'Chemical Info'!L189))</f>
        <v>2.557077625570776E-2</v>
      </c>
      <c r="P188" s="166">
        <f>IF('Chemical Info'!L189="NA","NA", IF('Chemical Info'!E189="Yes",0,((('Res-Rec Equations'!$B$87*'Res-Rec Equations'!$B$88*'Res-Rec Equations'!$B$78*'Res-Rec Equations'!$B$82*'Res-Rec Equations'!$B$79*'Chemical Info'!AB189)/('Res-Rec Equations'!$B$84*'Res-Rec Equations'!$B$85))/('Chemical Info'!L189*'Chemical Info'!AF189))))</f>
        <v>4.3342465753424654E-3</v>
      </c>
      <c r="Q188" s="166" t="str">
        <f>IF('Chemical Info'!N189="NA","NA",IF('Res-Rec Calculations'!E188="NA",(('Res-Rec Equations'!$B$83*'Res-Rec Equations'!$B$79*'Res-Rec Calculations'!C188)/('Res-Rec Equations'!$B$85))/('Chemical Info'!N189),IF('Chemical Info'!E189="Yes",(('Res-Rec Equations'!$B$83*'Res-Rec Equations'!$B$79*'Res-Rec Calculations'!E188)/('Res-Rec Equations'!$B$85))/('Chemical Info'!N189),(('Res-Rec Equations'!$B$83*'Res-Rec Equations'!$B$79*('Res-Rec Calculations'!C188+'Res-Rec Calculations'!E188))/('Res-Rec Equations'!$B$85))/('Chemical Info'!N189))))</f>
        <v>NA</v>
      </c>
      <c r="R188" s="166" t="str">
        <f>IF('Chemical Info'!N189="NA","NA",IF('Res-Rec Calculations'!F188="NA",(('Res-Rec Equations'!$B$83*'Res-Rec Equations'!$B$79*'Res-Rec Calculations'!C188)/('Res-Rec Equations'!$B$85))/('Chemical Info'!N189),IF('Chemical Info'!E189="Yes",(('Res-Rec Equations'!$B$83*'Res-Rec Equations'!$B$79*'Res-Rec Calculations'!F188)/('Res-Rec Equations'!$B$85))/('Chemical Info'!N189),(('Res-Rec Equations'!$B$83*'Res-Rec Equations'!$B$79*('Res-Rec Calculations'!C188+'Res-Rec Calculations'!F188))/('Res-Rec Equations'!$B$85))/('Chemical Info'!N189))))</f>
        <v>NA</v>
      </c>
      <c r="S188" s="167">
        <f>IF(AND(O188="NA",P188="NA",Q188="NA"),"NA",IF(O188="NA",'Res-Rec Equations'!$B$75/Q188,IF(Q188="NA",'Res-Rec Equations'!$B$75/(O188+P188),'Res-Rec Equations'!$B$75/(O188+P188+Q188))))</f>
        <v>6.6878397361509814</v>
      </c>
      <c r="T188" s="167">
        <f>IF(AND(O188="NA",P188="NA",R188="NA"),"NA",IF(O188="NA",'Res-Rec Equations'!$B$75/R188,IF(R188="NA",'Res-Rec Equations'!$B$75/(O188+P188),'Res-Rec Equations'!$B$75/(O188+P188+R188))))</f>
        <v>6.6878397361509814</v>
      </c>
      <c r="U188" s="168">
        <f t="shared" si="267"/>
        <v>6.6878397361509814</v>
      </c>
      <c r="V188" s="167" t="str">
        <f>IF('Chemical Info'!P189="NA","NA",(('Res-Rec Equations'!$B$185*'Res-Rec Equations'!$B$186)/('Res-Rec Equations'!$B$187*'Res-Rec Equations'!$B$188*(1/'Chemical Info'!P189))))</f>
        <v>NA</v>
      </c>
      <c r="W188" s="379" t="str">
        <f t="shared" si="268"/>
        <v>NA</v>
      </c>
      <c r="X188" s="372">
        <f t="shared" si="269"/>
        <v>6.6878397361509814</v>
      </c>
      <c r="Y188" s="62">
        <f t="shared" si="270"/>
        <v>6.7</v>
      </c>
      <c r="Z188" s="100" t="str">
        <f t="shared" si="271"/>
        <v>Noncancer</v>
      </c>
      <c r="AA188" s="373"/>
    </row>
    <row r="189" spans="1:27" ht="12">
      <c r="A189" s="424" t="s">
        <v>1033</v>
      </c>
      <c r="B189" s="566" t="s">
        <v>2</v>
      </c>
      <c r="C189" s="367">
        <f>1/(('Res-Rec Equations'!$B$152*3600)/((0.036*(1-'Res-Rec Equations'!$B$153))*('Res-Rec Equations'!$B$154/'Res-Rec Equations'!$B$155)^3*'Res-Rec Equations'!$B$156))</f>
        <v>7.3567680901159717E-10</v>
      </c>
      <c r="D189" s="368">
        <f>(('Res-Rec Equations'!$B$132^(10/3)*'Chemical Info'!$AH190*'Chemical Info'!$AN190*41+'Res-Rec Equations'!$B$135^(10/3)*'Chemical Info'!$AJ190)/'Res-Rec Equations'!$B$137^2)/('Res-Rec Equations'!$B$139*'Chemical Info'!$AL190*'Res-Rec Equations'!$B$142+'Res-Rec Equations'!$B$135+'Res-Rec Equations'!$B$132*'Chemical Info'!$AN190*41)</f>
        <v>5.0578460924421255E-9</v>
      </c>
      <c r="E189" s="368">
        <f>IF(D189=0,"NA",1/(('Res-Rec Equations'!$B$103*(3.14*'Res-Rec Calculations'!$D189*'Res-Rec Equations'!$B$105)^(1/2)*0.0001)/(2*'Res-Rec Equations'!$B$106*'Res-Rec Calculations'!$D189)))</f>
        <v>4.1745665491138206E-7</v>
      </c>
      <c r="F189" s="368">
        <f>IF(D189=0,"NA",(1/('Res-Rec Equations'!$B$117*('Res-Rec Equations'!$B$118*(31500000))/('Res-Rec Equations'!$B$119*'Res-Rec Equations'!$B$120*1000000))))</f>
        <v>6.1914410640015851E-5</v>
      </c>
      <c r="G189" s="425"/>
      <c r="H189" s="112">
        <f>IF('Chemical Info'!H190="NA","NA",IF(AND('Chemical Info'!E190="Yes",'Chemical Info'!D190="Yes"),'Chemical Info'!H190*'Chemical Info'!AD190*'Res-Rec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Info'!E190="Yes",'Chemical Info'!D190=""),'Chemical Info'!H190*'Chemical Info'!AD190*'Res-Rec Equations'!$B$20*'Res-Rec Equations'!$B$23*((('Res-Rec Equations'!$B$26*'Res-Rec Equations'!$B$29)/'Res-Rec Equations'!$B$32)+(('Res-Rec Equations'!$B$27*'Res-Rec Equations'!$B$30)/'Res-Rec Equations'!$B$33)+(('Res-Rec Equations'!$B$28*'Res-Rec Equations'!$B$31)/'Res-Rec Equations'!$B$34)),IF(AND('Chemical Info'!E190="No",'Chemical Info'!D190="Yes"),'Chemical Info'!H190*'Chemical Info'!AD190*'Res-Rec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Info'!E190="No",'Chemical Info'!D190=""),'Chemical Info'!H190*'Chemical Info'!AD190*'Res-Rec Equations'!$B$19*'Res-Rec Equations'!$B$23*((('Res-Rec Equations'!$B$26*'Res-Rec Equations'!$B$29)/'Res-Rec Equations'!$B$32)+(('Res-Rec Equations'!$B$27*'Res-Rec Equations'!$B$30)/'Res-Rec Equations'!$B$33)+(('Res-Rec Equations'!$B$28*'Res-Rec Equations'!$B$31)/'Res-Rec Equations'!$B$34)))))))</f>
        <v>1.0950853485064012E-2</v>
      </c>
      <c r="I189" s="166">
        <f>IF('Chemical Info'!H190="NA","NA",IF('Chemical Info'!E190="Yes",0,IF('Chemical Info'!D190="Yes",'Chemical Info'!H190/'Chemical Info'!AF190*('Res-Rec Equations'!$B$21*'Chemical Info'!AB190*'Res-Rec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Info'!H190/'Chemical Info'!AF190*('Res-Rec Equations'!$B$21*'Chemical Info'!AB190*'Res-Rec Equations'!$B$23)*((('Res-Rec Equations'!$B$26*'Res-Rec Equations'!$B$37*'Res-Rec Equations'!$B$40)/'Res-Rec Equations'!$B$32)+(('Res-Rec Equations'!$B$27*'Res-Rec Equations'!$B$38*'Res-Rec Equations'!$B$41)/'Res-Rec Equations'!$B$33)+(('Res-Rec Equations'!$B$28*'Res-Rec Equations'!$B$39*'Res-Rec Equations'!$B$42)/'Res-Rec Equations'!$B$34)))))</f>
        <v>0</v>
      </c>
      <c r="J189" s="369">
        <f>IF('Chemical Info'!J190="NA","NA",IF(AND(E189="NA",'Chemical Info'!D190="Yes"),'Res-Rec Equations'!$B$22*1000*(('Res-Rec Equations'!$B$26*'Chemical Info'!J190*'Res-Rec Equations'!$B$59)+('Res-Rec Equations'!$B$27*'Chemical Info'!J190*'Res-Rec Equations'!$B$60)+('Res-Rec Equations'!$B$28*'Chemical Info'!J190*'Res-Rec Equations'!$B$61))*'Res-Rec Calculations'!C189,IF(AND(E189="NA",'Chemical Info'!D190=""),'Res-Rec Equations'!$B$22*1000*'Res-Rec Equations'!$B$25*'Chemical Info'!J190*'Res-Rec Calculations'!C189,IF(AND('Chemical Info'!E190="Yes",'Chemical Info'!D190="Yes"),'Res-Rec Equations'!$B$22*1000*(('Res-Rec Equations'!$B$26*'Chemical Info'!J190*'Res-Rec Equations'!$B$59)+('Res-Rec Equations'!$B$27*'Chemical Info'!J190*'Res-Rec Equations'!$B$60)+('Res-Rec Equations'!$B$28*'Chemical Info'!J190*'Res-Rec Equations'!$B$61))*'Res-Rec Calculations'!E189,IF(AND('Chemical Info'!E190="Yes",'Chemical Info'!D190=""),'Res-Rec Equations'!$B$22*1000*'Res-Rec Equations'!$B$25*'Chemical Info'!J190*'Res-Rec Calculations'!E189,IF('Chemical Info'!D190="Yes",'Res-Rec Equations'!$B$22*1000*(('Res-Rec Equations'!$B$26*'Chemical Info'!J190*'Res-Rec Equations'!$B$59)+('Res-Rec Equations'!$B$27*'Chemical Info'!J190*'Res-Rec Equations'!$B$60)+('Res-Rec Equations'!$B$28*'Chemical Info'!J190*'Res-Rec Equations'!$B$61))*('Res-Rec Calculations'!C189+'Res-Rec Calculations'!E189),IF('Chemical Info'!D190="",'Res-Rec Equations'!$B$22*1000*'Res-Rec Equations'!$B$25*'Chemical Info'!J190*('Res-Rec Calculations'!C189+'Res-Rec Calculations'!E189))))))))</f>
        <v>2.6320642092162637E-4</v>
      </c>
      <c r="K189" s="370">
        <f>IF('Chemical Info'!J190="NA","NA",IF(AND(F189="NA",'Chemical Info'!D190="Yes"),'Res-Rec Equations'!$B$22*1000*(('Res-Rec Equations'!$B$26*'Chemical Info'!J190*'Res-Rec Equations'!$B$59)+('Res-Rec Equations'!$B$27*'Chemical Info'!J190*'Res-Rec Equations'!$B$60)+('Res-Rec Equations'!$B$28*'Chemical Info'!J190*'Res-Rec Equations'!$B$61))*'Res-Rec Calculations'!C189,IF(AND(F189="NA",'Chemical Info'!D190=""),'Res-Rec Equations'!$B$22*1000*'Res-Rec Equations'!$B$25*'Chemical Info'!J190*'Res-Rec Calculations'!C189,IF(AND('Chemical Info'!F190="Yes",'Chemical Info'!D190="Yes"),'Res-Rec Equations'!$B$22*1000*(('Res-Rec Equations'!$B$26*'Chemical Info'!J190*'Res-Rec Equations'!$B$59)+('Res-Rec Equations'!$B$27*'Chemical Info'!J190*'Res-Rec Equations'!$B$60)+('Res-Rec Equations'!$B$28*'Chemical Info'!J190*'Res-Rec Equations'!$B$61))*'Res-Rec Calculations'!F189,IF(AND('Chemical Info'!F190="Yes",'Chemical Info'!D190=""),'Res-Rec Equations'!$B$22*1000*'Res-Rec Equations'!$B$25*'Chemical Info'!J190*'Res-Rec Calculations'!F189,IF('Chemical Info'!D190="Yes",'Res-Rec Equations'!$B$22*1000*(('Res-Rec Equations'!$B$26*'Chemical Info'!J190*'Res-Rec Equations'!$B$59)+('Res-Rec Equations'!$B$27*'Chemical Info'!J190*'Res-Rec Equations'!$B$60)+('Res-Rec Equations'!$B$28*'Chemical Info'!J190*'Res-Rec Equations'!$B$61))*('Res-Rec Calculations'!C189+'Res-Rec Calculations'!F189),IF('Chemical Info'!D190="",'Res-Rec Equations'!$B$22*1000*'Res-Rec Equations'!$B$25*'Chemical Info'!J190*('Res-Rec Calculations'!C189+'Res-Rec Calculations'!F189))))))))</f>
        <v>3.9037499752758074E-2</v>
      </c>
      <c r="L189" s="167">
        <f>IF(AND(H189="NA",I189="NA",J189="NA"),"NA",IF(H189="NA",'Res-Rec Equations'!$B$15*'Res-Rec Equations'!$B$16/J189,IF(J189="NA",'Res-Rec Equations'!$B$15*'Res-Rec Equations'!$B$16/(H189+I189),'Res-Rec Equations'!$B$15*'Res-Rec Equations'!$B$16/(H189+I189+J189))))</f>
        <v>22.783898261826106</v>
      </c>
      <c r="M189" s="167">
        <f>IF(AND(H189="NA",I189="NA",K189="NA"),"NA",IF(H189="NA",'Res-Rec Equations'!$B$15*'Res-Rec Equations'!$B$16/K189,IF(K189="NA",'Res-Rec Equations'!$B$15*'Res-Rec Equations'!$B$16/(H189+I189),'Res-Rec Equations'!$B$15*'Res-Rec Equations'!$B$16/(H189+I189+K189))))</f>
        <v>5.1111905764217918</v>
      </c>
      <c r="N189" s="167">
        <f t="shared" si="266"/>
        <v>22.783898261826106</v>
      </c>
      <c r="O189" s="371">
        <f>IF('Chemical Info'!L190="NA","NA",IF('Chemical Info'!E190="Yes",(('Res-Rec Equations'!$B$76*'Chemical Info'!AD190*'Res-Rec Equations'!$B$78*'Res-Rec Equations'!$B$79*'Res-Rec Equations'!$B$81)/('Res-Rec Equations'!$B$84*'Res-Rec Equations'!$B$85))/'Chemical Info'!L190,(('Res-Rec Equations'!$B$76*'Chemical Info'!AD190*'Res-Rec Equations'!$B$78*'Res-Rec Equations'!$B$79*'Res-Rec Equations'!$B$80)/('Res-Rec Equations'!$B$84*'Res-Rec Equations'!$B$85))/'Chemical Info'!L190))</f>
        <v>1.8264840182648401E-2</v>
      </c>
      <c r="P189" s="166">
        <f>IF('Chemical Info'!L190="NA","NA", IF('Chemical Info'!E190="Yes",0,((('Res-Rec Equations'!$B$87*'Res-Rec Equations'!$B$88*'Res-Rec Equations'!$B$78*'Res-Rec Equations'!$B$82*'Res-Rec Equations'!$B$79*'Chemical Info'!AB190)/('Res-Rec Equations'!$B$84*'Res-Rec Equations'!$B$85))/('Chemical Info'!L190*'Chemical Info'!AF190))))</f>
        <v>0</v>
      </c>
      <c r="Q189" s="166" t="str">
        <f>IF('Chemical Info'!N190="NA","NA",IF('Res-Rec Calculations'!E189="NA",(('Res-Rec Equations'!$B$83*'Res-Rec Equations'!$B$79*'Res-Rec Calculations'!C189)/('Res-Rec Equations'!$B$85))/('Chemical Info'!N190),IF('Chemical Info'!E190="Yes",(('Res-Rec Equations'!$B$83*'Res-Rec Equations'!$B$79*'Res-Rec Calculations'!E189)/('Res-Rec Equations'!$B$85))/('Chemical Info'!N190),(('Res-Rec Equations'!$B$83*'Res-Rec Equations'!$B$79*('Res-Rec Calculations'!C189+'Res-Rec Calculations'!E189))/('Res-Rec Equations'!$B$85))/('Chemical Info'!N190))))</f>
        <v>NA</v>
      </c>
      <c r="R189" s="166" t="str">
        <f>IF('Chemical Info'!N190="NA","NA",IF('Res-Rec Calculations'!F189="NA",(('Res-Rec Equations'!$B$83*'Res-Rec Equations'!$B$79*'Res-Rec Calculations'!C189)/('Res-Rec Equations'!$B$85))/('Chemical Info'!N190),IF('Chemical Info'!E190="Yes",(('Res-Rec Equations'!$B$83*'Res-Rec Equations'!$B$79*'Res-Rec Calculations'!F189)/('Res-Rec Equations'!$B$85))/('Chemical Info'!N190),(('Res-Rec Equations'!$B$83*'Res-Rec Equations'!$B$79*('Res-Rec Calculations'!C189+'Res-Rec Calculations'!F189))/('Res-Rec Equations'!$B$85))/('Chemical Info'!N190))))</f>
        <v>NA</v>
      </c>
      <c r="S189" s="167">
        <f>IF(AND(O189="NA",P189="NA",Q189="NA"),"NA",IF(O189="NA",'Res-Rec Equations'!$B$75/Q189,IF(Q189="NA",'Res-Rec Equations'!$B$75/(O189+P189),'Res-Rec Equations'!$B$75/(O189+P189+Q189))))</f>
        <v>10.950000000000001</v>
      </c>
      <c r="T189" s="167">
        <f>IF(AND(O189="NA",P189="NA",R189="NA"),"NA",IF(O189="NA",'Res-Rec Equations'!$B$75/R189,IF(R189="NA",'Res-Rec Equations'!$B$75/(O189+P189),'Res-Rec Equations'!$B$75/(O189+P189+R189))))</f>
        <v>10.950000000000001</v>
      </c>
      <c r="U189" s="168">
        <f t="shared" si="267"/>
        <v>10.950000000000001</v>
      </c>
      <c r="V189" s="167" t="str">
        <f>IF('Chemical Info'!P190="NA","NA",(('Res-Rec Equations'!$B$185*'Res-Rec Equations'!$B$186)/('Res-Rec Equations'!$B$187*'Res-Rec Equations'!$B$188*(1/'Chemical Info'!P190))))</f>
        <v>NA</v>
      </c>
      <c r="W189" s="379" t="str">
        <f t="shared" si="268"/>
        <v>NA</v>
      </c>
      <c r="X189" s="372">
        <f t="shared" si="269"/>
        <v>10.950000000000001</v>
      </c>
      <c r="Y189" s="62">
        <f t="shared" si="270"/>
        <v>11</v>
      </c>
      <c r="Z189" s="100" t="str">
        <f t="shared" si="271"/>
        <v>Noncancer</v>
      </c>
      <c r="AA189" s="373"/>
    </row>
    <row r="190" spans="1:27">
      <c r="A190" s="413" t="s">
        <v>409</v>
      </c>
      <c r="B190" s="566" t="s">
        <v>3</v>
      </c>
      <c r="C190" s="367">
        <f>1/(('Res-Rec Equations'!$B$152*3600)/((0.036*(1-'Res-Rec Equations'!$B$153))*('Res-Rec Equations'!$B$154/'Res-Rec Equations'!$B$155)^3*'Res-Rec Equations'!$B$156))</f>
        <v>7.3567680901159717E-10</v>
      </c>
      <c r="D190" s="368">
        <f>(('Res-Rec Equations'!$B$132^(10/3)*'Chemical Info'!$AH191*'Chemical Info'!$AN191*41+'Res-Rec Equations'!$B$135^(10/3)*'Chemical Info'!$AJ191)/'Res-Rec Equations'!$B$137^2)/('Res-Rec Equations'!$B$139*'Chemical Info'!$AL191*'Res-Rec Equations'!$B$142+'Res-Rec Equations'!$B$135+'Res-Rec Equations'!$B$132*'Chemical Info'!$AN191*41)</f>
        <v>6.7804632020698571E-10</v>
      </c>
      <c r="E190" s="368">
        <f>IF(D190=0,"NA",1/(('Res-Rec Equations'!$B$103*(3.14*'Res-Rec Calculations'!$D190*'Res-Rec Equations'!$B$105)^(1/2)*0.0001)/(2*'Res-Rec Equations'!$B$106*'Res-Rec Calculations'!$D190)))</f>
        <v>1.5284747388843376E-7</v>
      </c>
      <c r="F190" s="368">
        <f>IF(D190=0,"NA",(1/('Res-Rec Equations'!$B$117*('Res-Rec Equations'!$B$118*(31500000))/('Res-Rec Equations'!$B$119*'Res-Rec Equations'!$B$120*1000000))))</f>
        <v>6.1914410640015851E-5</v>
      </c>
      <c r="G190" s="167" t="str">
        <f>IF('Chemical Info'!E191="Yes",('Chemical Info'!AP191/'Res-Rec Equations'!$B$168)*((('Chemical Info'!AL191*'Res-Rec Equations'!$B$170)*'Res-Rec Equations'!$B$168)+'Res-Rec Equations'!$B$171+('Chemical Info'!AN191*41)*'Res-Rec Equations'!$B$173),"NA")</f>
        <v>NA</v>
      </c>
      <c r="H190" s="112">
        <f>IF('Chemical Info'!H191="NA","NA",IF(AND('Chemical Info'!E191="Yes",'Chemical Info'!D191="Yes"),'Chemical Info'!H191*'Chemical Info'!AD191*'Res-Rec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Info'!E191="Yes",'Chemical Info'!D191=""),'Chemical Info'!H191*'Chemical Info'!AD191*'Res-Rec Equations'!$B$20*'Res-Rec Equations'!$B$23*((('Res-Rec Equations'!$B$26*'Res-Rec Equations'!$B$29)/'Res-Rec Equations'!$B$32)+(('Res-Rec Equations'!$B$27*'Res-Rec Equations'!$B$30)/'Res-Rec Equations'!$B$33)+(('Res-Rec Equations'!$B$28*'Res-Rec Equations'!$B$31)/'Res-Rec Equations'!$B$34)),IF(AND('Chemical Info'!E191="No",'Chemical Info'!D191="Yes"),'Chemical Info'!H191*'Chemical Info'!AD191*'Res-Rec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Info'!E191="No",'Chemical Info'!D191=""),'Chemical Info'!H191*'Chemical Info'!AD191*'Res-Rec Equations'!$B$19*'Res-Rec Equations'!$B$23*((('Res-Rec Equations'!$B$26*'Res-Rec Equations'!$B$29)/'Res-Rec Equations'!$B$32)+(('Res-Rec Equations'!$B$27*'Res-Rec Equations'!$B$30)/'Res-Rec Equations'!$B$33)+(('Res-Rec Equations'!$B$28*'Res-Rec Equations'!$B$31)/'Res-Rec Equations'!$B$34)))))))</f>
        <v>1.5331194879089618E-2</v>
      </c>
      <c r="I190" s="166">
        <f>IF('Chemical Info'!H191="NA","NA",IF('Chemical Info'!E191="Yes",0,IF('Chemical Info'!D191="Yes",'Chemical Info'!H191/'Chemical Info'!AF191*('Res-Rec Equations'!$B$21*'Chemical Info'!AB191*'Res-Rec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Info'!H191/'Chemical Info'!AF191*('Res-Rec Equations'!$B$21*'Chemical Info'!AB191*'Res-Rec Equations'!$B$23)*((('Res-Rec Equations'!$B$26*'Res-Rec Equations'!$B$37*'Res-Rec Equations'!$B$40)/'Res-Rec Equations'!$B$32)+(('Res-Rec Equations'!$B$27*'Res-Rec Equations'!$B$38*'Res-Rec Equations'!$B$41)/'Res-Rec Equations'!$B$33)+(('Res-Rec Equations'!$B$28*'Res-Rec Equations'!$B$39*'Res-Rec Equations'!$B$42)/'Res-Rec Equations'!$B$34)))))</f>
        <v>1.1218083147226175E-3</v>
      </c>
      <c r="J190" s="369">
        <f>IF('Chemical Info'!J191="NA","NA",IF(AND(E190="NA",'Chemical Info'!D191="Yes"),'Res-Rec Equations'!$B$22*1000*(('Res-Rec Equations'!$B$26*'Chemical Info'!J191*'Res-Rec Equations'!$B$59)+('Res-Rec Equations'!$B$27*'Chemical Info'!J191*'Res-Rec Equations'!$B$60)+('Res-Rec Equations'!$B$28*'Chemical Info'!J191*'Res-Rec Equations'!$B$61))*'Res-Rec Calculations'!C190,IF(AND(E190="NA",'Chemical Info'!D191=""),'Res-Rec Equations'!$B$22*1000*'Res-Rec Equations'!$B$25*'Chemical Info'!J191*'Res-Rec Calculations'!C190,IF(AND('Chemical Info'!E191="Yes",'Chemical Info'!D191="Yes"),'Res-Rec Equations'!$B$22*1000*(('Res-Rec Equations'!$B$26*'Chemical Info'!J191*'Res-Rec Equations'!$B$59)+('Res-Rec Equations'!$B$27*'Chemical Info'!J191*'Res-Rec Equations'!$B$60)+('Res-Rec Equations'!$B$28*'Chemical Info'!J191*'Res-Rec Equations'!$B$61))*'Res-Rec Calculations'!E190,IF(AND('Chemical Info'!E191="Yes",'Chemical Info'!D191=""),'Res-Rec Equations'!$B$22*1000*'Res-Rec Equations'!$B$25*'Chemical Info'!J191*'Res-Rec Calculations'!E190,IF('Chemical Info'!D191="Yes",'Res-Rec Equations'!$B$22*1000*(('Res-Rec Equations'!$B$26*'Chemical Info'!J191*'Res-Rec Equations'!$B$59)+('Res-Rec Equations'!$B$27*'Chemical Info'!J191*'Res-Rec Equations'!$B$60)+('Res-Rec Equations'!$B$28*'Chemical Info'!J191*'Res-Rec Equations'!$B$61))*('Res-Rec Calculations'!C190+'Res-Rec Calculations'!E190),IF('Chemical Info'!D191="",'Res-Rec Equations'!$B$22*1000*'Res-Rec Equations'!$B$25*'Chemical Info'!J191*('Res-Rec Calculations'!C190+'Res-Rec Calculations'!E190))))))))</f>
        <v>9.6834176514739296E-5</v>
      </c>
      <c r="K190" s="370">
        <f>IF('Chemical Info'!J191="NA","NA",IF(AND(F190="NA",'Chemical Info'!D191="Yes"),'Res-Rec Equations'!$B$22*1000*(('Res-Rec Equations'!$B$26*'Chemical Info'!J191*'Res-Rec Equations'!$B$59)+('Res-Rec Equations'!$B$27*'Chemical Info'!J191*'Res-Rec Equations'!$B$60)+('Res-Rec Equations'!$B$28*'Chemical Info'!J191*'Res-Rec Equations'!$B$61))*'Res-Rec Calculations'!C190,IF(AND(F190="NA",'Chemical Info'!D191=""),'Res-Rec Equations'!$B$22*1000*'Res-Rec Equations'!$B$25*'Chemical Info'!J191*'Res-Rec Calculations'!C190,IF(AND('Chemical Info'!F191="Yes",'Chemical Info'!D191="Yes"),'Res-Rec Equations'!$B$22*1000*(('Res-Rec Equations'!$B$26*'Chemical Info'!J191*'Res-Rec Equations'!$B$59)+('Res-Rec Equations'!$B$27*'Chemical Info'!J191*'Res-Rec Equations'!$B$60)+('Res-Rec Equations'!$B$28*'Chemical Info'!J191*'Res-Rec Equations'!$B$61))*'Res-Rec Calculations'!F190,IF(AND('Chemical Info'!F191="Yes",'Chemical Info'!D191=""),'Res-Rec Equations'!$B$22*1000*'Res-Rec Equations'!$B$25*'Chemical Info'!J191*'Res-Rec Calculations'!F190,IF('Chemical Info'!D191="Yes",'Res-Rec Equations'!$B$22*1000*(('Res-Rec Equations'!$B$26*'Chemical Info'!J191*'Res-Rec Equations'!$B$59)+('Res-Rec Equations'!$B$27*'Chemical Info'!J191*'Res-Rec Equations'!$B$60)+('Res-Rec Equations'!$B$28*'Chemical Info'!J191*'Res-Rec Equations'!$B$61))*('Res-Rec Calculations'!C190+'Res-Rec Calculations'!F190),IF('Chemical Info'!D191="",'Res-Rec Equations'!$B$22*1000*'Res-Rec Equations'!$B$25*'Chemical Info'!J191*('Res-Rec Calculations'!C190+'Res-Rec Calculations'!F190))))))))</f>
        <v>3.9037499752758074E-2</v>
      </c>
      <c r="L190" s="167">
        <f>IF(AND(H190="NA",I190="NA",J190="NA"),"NA",IF(H190="NA",'Res-Rec Equations'!$B$15*'Res-Rec Equations'!$B$16/J190,IF(J190="NA",'Res-Rec Equations'!$B$15*'Res-Rec Equations'!$B$16/(H190+I190),'Res-Rec Equations'!$B$15*'Res-Rec Equations'!$B$16/(H190+I190+J190))))</f>
        <v>15.438218169931908</v>
      </c>
      <c r="M190" s="167">
        <f>IF(AND(H190="NA",I190="NA",K190="NA"),"NA",IF(H190="NA",'Res-Rec Equations'!$B$15*'Res-Rec Equations'!$B$16/K190,IF(K190="NA",'Res-Rec Equations'!$B$15*'Res-Rec Equations'!$B$16/(H190+I190),'Res-Rec Equations'!$B$15*'Res-Rec Equations'!$B$16/(H190+I190+K190))))</f>
        <v>4.6043914982354952</v>
      </c>
      <c r="N190" s="167">
        <f t="shared" si="266"/>
        <v>15.438218169931908</v>
      </c>
      <c r="O190" s="371">
        <f>IF('Chemical Info'!L191="NA","NA",IF('Chemical Info'!E191="Yes",(('Res-Rec Equations'!$B$76*'Chemical Info'!AD191*'Res-Rec Equations'!$B$78*'Res-Rec Equations'!$B$79*'Res-Rec Equations'!$B$81)/('Res-Rec Equations'!$B$84*'Res-Rec Equations'!$B$85))/'Chemical Info'!L191,(('Res-Rec Equations'!$B$76*'Chemical Info'!AD191*'Res-Rec Equations'!$B$78*'Res-Rec Equations'!$B$79*'Res-Rec Equations'!$B$80)/('Res-Rec Equations'!$B$84*'Res-Rec Equations'!$B$85))/'Chemical Info'!L191))</f>
        <v>2.557077625570776E-2</v>
      </c>
      <c r="P190" s="166">
        <f>IF('Chemical Info'!L191="NA","NA", IF('Chemical Info'!E191="Yes",0,((('Res-Rec Equations'!$B$87*'Res-Rec Equations'!$B$88*'Res-Rec Equations'!$B$78*'Res-Rec Equations'!$B$82*'Res-Rec Equations'!$B$79*'Chemical Info'!AB191)/('Res-Rec Equations'!$B$84*'Res-Rec Equations'!$B$85))/('Chemical Info'!L191*'Chemical Info'!AF191))))</f>
        <v>1.3002739726027397E-3</v>
      </c>
      <c r="Q190" s="166" t="str">
        <f>IF('Chemical Info'!N191="NA","NA",IF('Res-Rec Calculations'!E190="NA",(('Res-Rec Equations'!$B$83*'Res-Rec Equations'!$B$79*'Res-Rec Calculations'!C190)/('Res-Rec Equations'!$B$85))/('Chemical Info'!N191),IF('Chemical Info'!E191="Yes",(('Res-Rec Equations'!$B$83*'Res-Rec Equations'!$B$79*'Res-Rec Calculations'!E190)/('Res-Rec Equations'!$B$85))/('Chemical Info'!N191),(('Res-Rec Equations'!$B$83*'Res-Rec Equations'!$B$79*('Res-Rec Calculations'!C190+'Res-Rec Calculations'!E190))/('Res-Rec Equations'!$B$85))/('Chemical Info'!N191))))</f>
        <v>NA</v>
      </c>
      <c r="R190" s="166" t="str">
        <f>IF('Chemical Info'!N191="NA","NA",IF('Res-Rec Calculations'!F190="NA",(('Res-Rec Equations'!$B$83*'Res-Rec Equations'!$B$79*'Res-Rec Calculations'!C190)/('Res-Rec Equations'!$B$85))/('Chemical Info'!N191),IF('Chemical Info'!E191="Yes",(('Res-Rec Equations'!$B$83*'Res-Rec Equations'!$B$79*'Res-Rec Calculations'!F190)/('Res-Rec Equations'!$B$85))/('Chemical Info'!N191),(('Res-Rec Equations'!$B$83*'Res-Rec Equations'!$B$79*('Res-Rec Calculations'!C190+'Res-Rec Calculations'!F190))/('Res-Rec Equations'!$B$85))/('Chemical Info'!N191))))</f>
        <v>NA</v>
      </c>
      <c r="S190" s="167">
        <f>IF(AND(O190="NA",P190="NA",Q190="NA"),"NA",IF(O190="NA",'Res-Rec Equations'!$B$75/Q190,IF(Q190="NA",'Res-Rec Equations'!$B$75/(O190+P190),'Res-Rec Equations'!$B$75/(O190+P190+Q190))))</f>
        <v>7.4429543430828113</v>
      </c>
      <c r="T190" s="167">
        <f>IF(AND(O190="NA",P190="NA",R190="NA"),"NA",IF(O190="NA",'Res-Rec Equations'!$B$75/R190,IF(R190="NA",'Res-Rec Equations'!$B$75/(O190+P190),'Res-Rec Equations'!$B$75/(O190+P190+R190))))</f>
        <v>7.4429543430828113</v>
      </c>
      <c r="U190" s="168">
        <f t="shared" si="267"/>
        <v>7.4429543430828113</v>
      </c>
      <c r="V190" s="167" t="str">
        <f>IF('Chemical Info'!P191="NA","NA",(('Res-Rec Equations'!$B$185*'Res-Rec Equations'!$B$186)/('Res-Rec Equations'!$B$187*'Res-Rec Equations'!$B$188*(1/'Chemical Info'!P191))))</f>
        <v>NA</v>
      </c>
      <c r="W190" s="379" t="str">
        <f t="shared" si="268"/>
        <v>NA</v>
      </c>
      <c r="X190" s="372">
        <f t="shared" si="269"/>
        <v>7.4429543430828113</v>
      </c>
      <c r="Y190" s="62">
        <f t="shared" si="270"/>
        <v>7.4</v>
      </c>
      <c r="Z190" s="100" t="str">
        <f t="shared" si="271"/>
        <v>Noncancer</v>
      </c>
      <c r="AA190" s="373"/>
    </row>
    <row r="191" spans="1:27">
      <c r="A191" s="413" t="s">
        <v>4</v>
      </c>
      <c r="B191" s="566" t="s">
        <v>5</v>
      </c>
      <c r="C191" s="367">
        <f>1/(('Res-Rec Equations'!$B$152*3600)/((0.036*(1-'Res-Rec Equations'!$B$153))*('Res-Rec Equations'!$B$154/'Res-Rec Equations'!$B$155)^3*'Res-Rec Equations'!$B$156))</f>
        <v>7.3567680901159717E-10</v>
      </c>
      <c r="D191" s="368">
        <f>(('Res-Rec Equations'!$B$132^(10/3)*'Chemical Info'!$AH192*'Chemical Info'!$AN192*41+'Res-Rec Equations'!$B$135^(10/3)*'Chemical Info'!$AJ192)/'Res-Rec Equations'!$B$137^2)/('Res-Rec Equations'!$B$139*'Chemical Info'!$AL192*'Res-Rec Equations'!$B$142+'Res-Rec Equations'!$B$135+'Res-Rec Equations'!$B$132*'Chemical Info'!$AN192*41)</f>
        <v>2.0829838641904093E-9</v>
      </c>
      <c r="E191" s="368">
        <f>IF(D191=0,"NA",1/(('Res-Rec Equations'!$B$103*(3.14*'Res-Rec Calculations'!$D191*'Res-Rec Equations'!$B$105)^(1/2)*0.0001)/(2*'Res-Rec Equations'!$B$106*'Res-Rec Calculations'!$D191)))</f>
        <v>2.6789927401001947E-7</v>
      </c>
      <c r="F191" s="368">
        <f>IF(D191=0,"NA",(1/('Res-Rec Equations'!$B$117*('Res-Rec Equations'!$B$118*(31500000))/('Res-Rec Equations'!$B$119*'Res-Rec Equations'!$B$120*1000000))))</f>
        <v>6.1914410640015851E-5</v>
      </c>
      <c r="G191" s="167" t="str">
        <f>IF('Chemical Info'!E192="Yes",('Chemical Info'!AP192/'Res-Rec Equations'!$B$168)*((('Chemical Info'!AL192*'Res-Rec Equations'!$B$170)*'Res-Rec Equations'!$B$168)+'Res-Rec Equations'!$B$171+('Chemical Info'!AN192*41)*'Res-Rec Equations'!$B$173),"NA")</f>
        <v>NA</v>
      </c>
      <c r="H191" s="112" t="str">
        <f>IF('Chemical Info'!H192="NA","NA",IF(AND('Chemical Info'!E192="Yes",'Chemical Info'!D192="Yes"),'Chemical Info'!H192*'Chemical Info'!AD192*'Res-Rec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Info'!E192="Yes",'Chemical Info'!D192=""),'Chemical Info'!H192*'Chemical Info'!AD192*'Res-Rec Equations'!$B$20*'Res-Rec Equations'!$B$23*((('Res-Rec Equations'!$B$26*'Res-Rec Equations'!$B$29)/'Res-Rec Equations'!$B$32)+(('Res-Rec Equations'!$B$27*'Res-Rec Equations'!$B$30)/'Res-Rec Equations'!$B$33)+(('Res-Rec Equations'!$B$28*'Res-Rec Equations'!$B$31)/'Res-Rec Equations'!$B$34)),IF(AND('Chemical Info'!E192="No",'Chemical Info'!D192="Yes"),'Chemical Info'!H192*'Chemical Info'!AD192*'Res-Rec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Info'!E192="No",'Chemical Info'!D192=""),'Chemical Info'!H192*'Chemical Info'!AD192*'Res-Rec Equations'!$B$19*'Res-Rec Equations'!$B$23*((('Res-Rec Equations'!$B$26*'Res-Rec Equations'!$B$29)/'Res-Rec Equations'!$B$32)+(('Res-Rec Equations'!$B$27*'Res-Rec Equations'!$B$30)/'Res-Rec Equations'!$B$33)+(('Res-Rec Equations'!$B$28*'Res-Rec Equations'!$B$31)/'Res-Rec Equations'!$B$34)))))))</f>
        <v>NA</v>
      </c>
      <c r="I191" s="166" t="str">
        <f>IF('Chemical Info'!H192="NA","NA",IF('Chemical Info'!E192="Yes",0,IF('Chemical Info'!D192="Yes",'Chemical Info'!H192/'Chemical Info'!AF192*('Res-Rec Equations'!$B$21*'Chemical Info'!AB192*'Res-Rec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Info'!H192/'Chemical Info'!AF192*('Res-Rec Equations'!$B$21*'Chemical Info'!AB192*'Res-Rec Equations'!$B$23)*((('Res-Rec Equations'!$B$26*'Res-Rec Equations'!$B$37*'Res-Rec Equations'!$B$40)/'Res-Rec Equations'!$B$32)+(('Res-Rec Equations'!$B$27*'Res-Rec Equations'!$B$38*'Res-Rec Equations'!$B$41)/'Res-Rec Equations'!$B$33)+(('Res-Rec Equations'!$B$28*'Res-Rec Equations'!$B$39*'Res-Rec Equations'!$B$42)/'Res-Rec Equations'!$B$34)))))</f>
        <v>NA</v>
      </c>
      <c r="J191" s="369" t="str">
        <f>IF('Chemical Info'!J192="NA","NA",IF(AND(E191="NA",'Chemical Info'!D192="Yes"),'Res-Rec Equations'!$B$22*1000*(('Res-Rec Equations'!$B$26*'Chemical Info'!J192*'Res-Rec Equations'!$B$59)+('Res-Rec Equations'!$B$27*'Chemical Info'!J192*'Res-Rec Equations'!$B$60)+('Res-Rec Equations'!$B$28*'Chemical Info'!J192*'Res-Rec Equations'!$B$61))*'Res-Rec Calculations'!C191,IF(AND(E191="NA",'Chemical Info'!D192=""),'Res-Rec Equations'!$B$22*1000*'Res-Rec Equations'!$B$25*'Chemical Info'!J192*'Res-Rec Calculations'!C191,IF(AND('Chemical Info'!E192="Yes",'Chemical Info'!D192="Yes"),'Res-Rec Equations'!$B$22*1000*(('Res-Rec Equations'!$B$26*'Chemical Info'!J192*'Res-Rec Equations'!$B$59)+('Res-Rec Equations'!$B$27*'Chemical Info'!J192*'Res-Rec Equations'!$B$60)+('Res-Rec Equations'!$B$28*'Chemical Info'!J192*'Res-Rec Equations'!$B$61))*'Res-Rec Calculations'!E191,IF(AND('Chemical Info'!E192="Yes",'Chemical Info'!D192=""),'Res-Rec Equations'!$B$22*1000*'Res-Rec Equations'!$B$25*'Chemical Info'!J192*'Res-Rec Calculations'!E191,IF('Chemical Info'!D192="Yes",'Res-Rec Equations'!$B$22*1000*(('Res-Rec Equations'!$B$26*'Chemical Info'!J192*'Res-Rec Equations'!$B$59)+('Res-Rec Equations'!$B$27*'Chemical Info'!J192*'Res-Rec Equations'!$B$60)+('Res-Rec Equations'!$B$28*'Chemical Info'!J192*'Res-Rec Equations'!$B$61))*('Res-Rec Calculations'!C191+'Res-Rec Calculations'!E191),IF('Chemical Info'!D192="",'Res-Rec Equations'!$B$22*1000*'Res-Rec Equations'!$B$25*'Chemical Info'!J192*('Res-Rec Calculations'!C191+'Res-Rec Calculations'!E191))))))))</f>
        <v>NA</v>
      </c>
      <c r="K191" s="370" t="str">
        <f>IF('Chemical Info'!J192="NA","NA",IF(AND(F191="NA",'Chemical Info'!D192="Yes"),'Res-Rec Equations'!$B$22*1000*(('Res-Rec Equations'!$B$26*'Chemical Info'!J192*'Res-Rec Equations'!$B$59)+('Res-Rec Equations'!$B$27*'Chemical Info'!J192*'Res-Rec Equations'!$B$60)+('Res-Rec Equations'!$B$28*'Chemical Info'!J192*'Res-Rec Equations'!$B$61))*'Res-Rec Calculations'!C191,IF(AND(F191="NA",'Chemical Info'!D192=""),'Res-Rec Equations'!$B$22*1000*'Res-Rec Equations'!$B$25*'Chemical Info'!J192*'Res-Rec Calculations'!C191,IF(AND('Chemical Info'!F192="Yes",'Chemical Info'!D192="Yes"),'Res-Rec Equations'!$B$22*1000*(('Res-Rec Equations'!$B$26*'Chemical Info'!J192*'Res-Rec Equations'!$B$59)+('Res-Rec Equations'!$B$27*'Chemical Info'!J192*'Res-Rec Equations'!$B$60)+('Res-Rec Equations'!$B$28*'Chemical Info'!J192*'Res-Rec Equations'!$B$61))*'Res-Rec Calculations'!F191,IF(AND('Chemical Info'!F192="Yes",'Chemical Info'!D192=""),'Res-Rec Equations'!$B$22*1000*'Res-Rec Equations'!$B$25*'Chemical Info'!J192*'Res-Rec Calculations'!F191,IF('Chemical Info'!D192="Yes",'Res-Rec Equations'!$B$22*1000*(('Res-Rec Equations'!$B$26*'Chemical Info'!J192*'Res-Rec Equations'!$B$59)+('Res-Rec Equations'!$B$27*'Chemical Info'!J192*'Res-Rec Equations'!$B$60)+('Res-Rec Equations'!$B$28*'Chemical Info'!J192*'Res-Rec Equations'!$B$61))*('Res-Rec Calculations'!C191+'Res-Rec Calculations'!F191),IF('Chemical Info'!D192="",'Res-Rec Equations'!$B$22*1000*'Res-Rec Equations'!$B$25*'Chemical Info'!J192*('Res-Rec Calculations'!C191+'Res-Rec Calculations'!F191))))))))</f>
        <v>NA</v>
      </c>
      <c r="L191" s="167" t="str">
        <f>IF(AND(H191="NA",I191="NA",J191="NA"),"NA",IF(H191="NA",'Res-Rec Equations'!$B$15*'Res-Rec Equations'!$B$16/J191,IF(J191="NA",'Res-Rec Equations'!$B$15*'Res-Rec Equations'!$B$16/(H191+I191),'Res-Rec Equations'!$B$15*'Res-Rec Equations'!$B$16/(H191+I191+J191))))</f>
        <v>NA</v>
      </c>
      <c r="M191" s="167" t="str">
        <f>IF(AND(H191="NA",I191="NA",K191="NA"),"NA",IF(H191="NA",'Res-Rec Equations'!$B$15*'Res-Rec Equations'!$B$16/K191,IF(K191="NA",'Res-Rec Equations'!$B$15*'Res-Rec Equations'!$B$16/(H191+I191),'Res-Rec Equations'!$B$15*'Res-Rec Equations'!$B$16/(H191+I191+K191))))</f>
        <v>NA</v>
      </c>
      <c r="N191" s="167" t="str">
        <f t="shared" si="266"/>
        <v>NA</v>
      </c>
      <c r="O191" s="371">
        <f>IF('Chemical Info'!L192="NA","NA",IF('Chemical Info'!E192="Yes",(('Res-Rec Equations'!$B$76*'Chemical Info'!AD192*'Res-Rec Equations'!$B$78*'Res-Rec Equations'!$B$79*'Res-Rec Equations'!$B$81)/('Res-Rec Equations'!$B$84*'Res-Rec Equations'!$B$85))/'Chemical Info'!L192,(('Res-Rec Equations'!$B$76*'Chemical Info'!AD192*'Res-Rec Equations'!$B$78*'Res-Rec Equations'!$B$79*'Res-Rec Equations'!$B$80)/('Res-Rec Equations'!$B$84*'Res-Rec Equations'!$B$85))/'Chemical Info'!L192))</f>
        <v>1.8264840182648401E-2</v>
      </c>
      <c r="P191" s="166">
        <f>IF('Chemical Info'!L192="NA","NA", IF('Chemical Info'!E192="Yes",0,((('Res-Rec Equations'!$B$87*'Res-Rec Equations'!$B$88*'Res-Rec Equations'!$B$78*'Res-Rec Equations'!$B$82*'Res-Rec Equations'!$B$79*'Chemical Info'!AB192)/('Res-Rec Equations'!$B$84*'Res-Rec Equations'!$B$85))/('Chemical Info'!L192*'Chemical Info'!AF192))))</f>
        <v>3.0958904109589041E-3</v>
      </c>
      <c r="Q191" s="166" t="str">
        <f>IF('Chemical Info'!N192="NA","NA",IF('Res-Rec Calculations'!E191="NA",(('Res-Rec Equations'!$B$83*'Res-Rec Equations'!$B$79*'Res-Rec Calculations'!C191)/('Res-Rec Equations'!$B$85))/('Chemical Info'!N192),IF('Chemical Info'!E192="Yes",(('Res-Rec Equations'!$B$83*'Res-Rec Equations'!$B$79*'Res-Rec Calculations'!E191)/('Res-Rec Equations'!$B$85))/('Chemical Info'!N192),(('Res-Rec Equations'!$B$83*'Res-Rec Equations'!$B$79*('Res-Rec Calculations'!C191+'Res-Rec Calculations'!E191))/('Res-Rec Equations'!$B$85))/('Chemical Info'!N192))))</f>
        <v>NA</v>
      </c>
      <c r="R191" s="166" t="str">
        <f>IF('Chemical Info'!N192="NA","NA",IF('Res-Rec Calculations'!F191="NA",(('Res-Rec Equations'!$B$83*'Res-Rec Equations'!$B$79*'Res-Rec Calculations'!C191)/('Res-Rec Equations'!$B$85))/('Chemical Info'!N192),IF('Chemical Info'!E192="Yes",(('Res-Rec Equations'!$B$83*'Res-Rec Equations'!$B$79*'Res-Rec Calculations'!F191)/('Res-Rec Equations'!$B$85))/('Chemical Info'!N192),(('Res-Rec Equations'!$B$83*'Res-Rec Equations'!$B$79*('Res-Rec Calculations'!C191+'Res-Rec Calculations'!F191))/('Res-Rec Equations'!$B$85))/('Chemical Info'!N192))))</f>
        <v>NA</v>
      </c>
      <c r="S191" s="167">
        <f>IF(AND(O191="NA",P191="NA",Q191="NA"),"NA",IF(O191="NA",'Res-Rec Equations'!$B$75/Q191,IF(Q191="NA",'Res-Rec Equations'!$B$75/(O191+P191),'Res-Rec Equations'!$B$75/(O191+P191+Q191))))</f>
        <v>9.3629756306113734</v>
      </c>
      <c r="T191" s="167">
        <f>IF(AND(O191="NA",P191="NA",R191="NA"),"NA",IF(O191="NA",'Res-Rec Equations'!$B$75/R191,IF(R191="NA",'Res-Rec Equations'!$B$75/(O191+P191),'Res-Rec Equations'!$B$75/(O191+P191+R191))))</f>
        <v>9.3629756306113734</v>
      </c>
      <c r="U191" s="168">
        <f t="shared" si="267"/>
        <v>9.3629756306113734</v>
      </c>
      <c r="V191" s="167" t="str">
        <f>IF('Chemical Info'!P192="NA","NA",(('Res-Rec Equations'!$B$185*'Res-Rec Equations'!$B$186)/('Res-Rec Equations'!$B$187*'Res-Rec Equations'!$B$188*(1/'Chemical Info'!P192))))</f>
        <v>NA</v>
      </c>
      <c r="W191" s="379" t="str">
        <f t="shared" si="268"/>
        <v>NA</v>
      </c>
      <c r="X191" s="372">
        <f t="shared" si="269"/>
        <v>9.3629756306113734</v>
      </c>
      <c r="Y191" s="62">
        <f t="shared" si="270"/>
        <v>9.4</v>
      </c>
      <c r="Z191" s="100" t="str">
        <f t="shared" si="271"/>
        <v>Noncancer</v>
      </c>
      <c r="AA191" s="373"/>
    </row>
    <row r="192" spans="1:27" s="420" customFormat="1" ht="12">
      <c r="A192" s="655" t="s">
        <v>549</v>
      </c>
      <c r="B192" s="566" t="s">
        <v>7</v>
      </c>
      <c r="C192" s="367">
        <f>1/(('Res-Rec Equations'!$B$152*3600)/((0.036*(1-'Res-Rec Equations'!$B$153))*('Res-Rec Equations'!$B$154/'Res-Rec Equations'!$B$155)^3*'Res-Rec Equations'!$B$156))</f>
        <v>7.3567680901159717E-10</v>
      </c>
      <c r="D192" s="368">
        <f>(('Res-Rec Equations'!$B$132^(10/3)*'Chemical Info'!$AH193*'Chemical Info'!$AN193*41+'Res-Rec Equations'!$B$135^(10/3)*'Chemical Info'!$AJ193)/'Res-Rec Equations'!$B$137^2)/('Res-Rec Equations'!$B$139*'Chemical Info'!$AL193*'Res-Rec Equations'!$B$142+'Res-Rec Equations'!$B$135+'Res-Rec Equations'!$B$132*'Chemical Info'!$AN193*41)</f>
        <v>4.3394601094769705E-9</v>
      </c>
      <c r="E192" s="368">
        <f>IF(D192=0,"NA",1/(('Res-Rec Equations'!$B$103*(3.14*'Res-Rec Calculations'!$D192*'Res-Rec Equations'!$B$105)^(1/2)*0.0001)/(2*'Res-Rec Equations'!$B$106*'Res-Rec Calculations'!$D192)))</f>
        <v>3.8667530261249325E-7</v>
      </c>
      <c r="F192" s="368">
        <f>IF(D192=0,"NA",(1/('Res-Rec Equations'!$B$117*('Res-Rec Equations'!$B$118*(31500000))/('Res-Rec Equations'!$B$119*'Res-Rec Equations'!$B$120*1000000))))</f>
        <v>6.1914410640015851E-5</v>
      </c>
      <c r="G192" s="167" t="str">
        <f>IF('Chemical Info'!E193="Yes",('Chemical Info'!AP193/'Res-Rec Equations'!$B$168)*((('Chemical Info'!AL193*'Res-Rec Equations'!$B$170)*'Res-Rec Equations'!$B$168)+'Res-Rec Equations'!$B$171+('Chemical Info'!AN193*41)*'Res-Rec Equations'!$B$173),"NA")</f>
        <v>NA</v>
      </c>
      <c r="H192" s="656">
        <f>'Chemical Info'!H193*'Chemical Info'!AD193*'Res-Rec Equations'!$B$19*'Res-Rec Equations'!$B$23*((('Res-Rec Equations'!$B$26*'Res-Rec Equations'!$B$29*2.5)/'Res-Rec Equations'!$B$32)+(('Res-Rec Equations'!$B$27*'Res-Rec Equations'!$B$30*2.5)/'Res-Rec Equations'!$B$33)+(('Res-Rec Equations'!$B$28*'Res-Rec Equations'!$B$31*2.5)/'Res-Rec Equations'!$B$34))</f>
        <v>1.8036699857752487</v>
      </c>
      <c r="I192" s="657">
        <f>'Chemical Info'!H193/'Chemical Info'!AF193*('Res-Rec Equations'!$B$21*'Chemical Info'!AB193*'Res-Rec Equations'!$B$23)*((('Res-Rec Equations'!$B$26*'Res-Rec Equations'!$B$37*'Res-Rec Equations'!$B$40*2.5)/'Res-Rec Equations'!$B$32)+(('Res-Rec Equations'!$B$27*'Res-Rec Equations'!$B$38*'Res-Rec Equations'!$B$41*2.5)/'Res-Rec Equations'!$B$33)+(('Res-Rec Equations'!$B$28*'Res-Rec Equations'!$B$39*'Res-Rec Equations'!$B$42*2.5)/'Res-Rec Equations'!$B$34))</f>
        <v>0.43992482930298715</v>
      </c>
      <c r="J192" s="657">
        <f>'Res-Rec Equations'!$B$22*1000*'Res-Rec Equations'!$B$25*2.5*'Chemical Info'!J193*('Res-Rec Calculations'!C192+'Res-Rec Calculations'!E192)</f>
        <v>2.8958970711757487E-2</v>
      </c>
      <c r="K192" s="658">
        <f>'Res-Rec Equations'!$B$22*1000*'Res-Rec Equations'!$B$25*2.5*'Chemical Info'!J193*('Res-Rec Calculations'!C192+'Res-Rec Calculations'!F192)</f>
        <v>4.6281571871826586</v>
      </c>
      <c r="L192" s="167">
        <f>IF(AND(H192="NA",I192="NA",J192="NA"),"NA",IF(H192="NA",'Res-Rec Equations'!$B$15*'Res-Rec Equations'!$B$16/J192,IF(J192="NA",'Res-Rec Equations'!$B$15*'Res-Rec Equations'!$B$16/(H192+I192),'Res-Rec Equations'!$B$15*'Res-Rec Equations'!$B$16/(H192+I192+J192))))</f>
        <v>0.11242858215176728</v>
      </c>
      <c r="M192" s="167">
        <f>IF(AND(H192="NA",I192="NA",K192="NA"),"NA",IF(H192="NA",'Res-Rec Equations'!$B$15*'Res-Rec Equations'!$B$16/K192,IF(K192="NA",'Res-Rec Equations'!$B$15*'Res-Rec Equations'!$B$16/(H192+I192),'Res-Rec Equations'!$B$15*'Res-Rec Equations'!$B$16/(H192+I192+K192))))</f>
        <v>3.7181202103326379E-2</v>
      </c>
      <c r="N192" s="167">
        <f t="shared" si="266"/>
        <v>0.11242858215176728</v>
      </c>
      <c r="O192" s="371">
        <f>IF('Chemical Info'!L193="NA","NA",IF('Chemical Info'!E193="Yes",(('Res-Rec Equations'!$B$76*'Chemical Info'!AD193*'Res-Rec Equations'!$B$78*'Res-Rec Equations'!$B$79*'Res-Rec Equations'!$B$81)/('Res-Rec Equations'!$B$84*'Res-Rec Equations'!$B$85))/'Chemical Info'!L193,(('Res-Rec Equations'!$B$76*'Chemical Info'!AD193*'Res-Rec Equations'!$B$78*'Res-Rec Equations'!$B$79*'Res-Rec Equations'!$B$80)/('Res-Rec Equations'!$B$84*'Res-Rec Equations'!$B$85))/'Chemical Info'!L193))</f>
        <v>0.29733460762450886</v>
      </c>
      <c r="P192" s="166">
        <f>IF('Chemical Info'!L193="NA","NA", IF('Chemical Info'!E193="Yes",0,((('Res-Rec Equations'!$B$87*'Res-Rec Equations'!$B$88*'Res-Rec Equations'!$B$78*'Res-Rec Equations'!$B$82*'Res-Rec Equations'!$B$79*'Chemical Info'!AB193)/('Res-Rec Equations'!$B$84*'Res-Rec Equations'!$B$85))/('Chemical Info'!L193*'Chemical Info'!AF193))))</f>
        <v>5.0398215992354251E-2</v>
      </c>
      <c r="Q192" s="166" t="str">
        <f>IF('Chemical Info'!N193="NA","NA",IF('Res-Rec Calculations'!E192="NA",(('Res-Rec Equations'!$B$83*'Res-Rec Equations'!$B$79*'Res-Rec Calculations'!C192)/('Res-Rec Equations'!$B$85))/('Chemical Info'!N193),IF('Chemical Info'!E193="Yes",(('Res-Rec Equations'!$B$83*'Res-Rec Equations'!$B$79*'Res-Rec Calculations'!E192)/('Res-Rec Equations'!$B$85))/('Chemical Info'!N193),(('Res-Rec Equations'!$B$83*'Res-Rec Equations'!$B$79*('Res-Rec Calculations'!C192+'Res-Rec Calculations'!E192))/('Res-Rec Equations'!$B$85))/('Chemical Info'!N193))))</f>
        <v>NA</v>
      </c>
      <c r="R192" s="166" t="str">
        <f>IF('Chemical Info'!N193="NA","NA",IF('Res-Rec Calculations'!F192="NA",(('Res-Rec Equations'!$B$83*'Res-Rec Equations'!$B$79*'Res-Rec Calculations'!C192)/('Res-Rec Equations'!$B$85))/('Chemical Info'!N193),IF('Chemical Info'!E193="Yes",(('Res-Rec Equations'!$B$83*'Res-Rec Equations'!$B$79*'Res-Rec Calculations'!F192)/('Res-Rec Equations'!$B$85))/('Chemical Info'!N193),(('Res-Rec Equations'!$B$83*'Res-Rec Equations'!$B$79*('Res-Rec Calculations'!C192+'Res-Rec Calculations'!F192))/('Res-Rec Equations'!$B$85))/('Chemical Info'!N193))))</f>
        <v>NA</v>
      </c>
      <c r="S192" s="167">
        <f>IF(AND(O192="NA",P192="NA",Q192="NA"),"NA",IF(O192="NA",'Res-Rec Equations'!$B$75/Q192,IF(Q192="NA",'Res-Rec Equations'!$B$75/(O192+P192),'Res-Rec Equations'!$B$75/(O192+P192+Q192))))</f>
        <v>0.57515421730898442</v>
      </c>
      <c r="T192" s="167">
        <f>IF(AND(O192="NA",P192="NA",R192="NA"),"NA",IF(O192="NA",'Res-Rec Equations'!$B$75/R192,IF(R192="NA",'Res-Rec Equations'!$B$75/(O192+P192),'Res-Rec Equations'!$B$75/(O192+P192+R192))))</f>
        <v>0.57515421730898442</v>
      </c>
      <c r="U192" s="168">
        <f t="shared" si="267"/>
        <v>0.57515421730898442</v>
      </c>
      <c r="V192" s="167" t="str">
        <f>IF('Chemical Info'!P193="NA","NA",(('Res-Rec Equations'!$B$185*'Res-Rec Equations'!$B$186)/('Res-Rec Equations'!$B$187*'Res-Rec Equations'!$B$188*(1/'Chemical Info'!P193))))</f>
        <v>NA</v>
      </c>
      <c r="W192" s="379" t="str">
        <f t="shared" si="268"/>
        <v>NA</v>
      </c>
      <c r="X192" s="372">
        <f t="shared" si="269"/>
        <v>0.11242858215176728</v>
      </c>
      <c r="Y192" s="62">
        <f t="shared" si="270"/>
        <v>0.11</v>
      </c>
      <c r="Z192" s="100" t="str">
        <f t="shared" si="271"/>
        <v>Cancer</v>
      </c>
      <c r="AA192" s="373"/>
    </row>
    <row r="193" spans="1:27" ht="12">
      <c r="A193" s="424" t="s">
        <v>1026</v>
      </c>
      <c r="B193" s="566" t="s">
        <v>135</v>
      </c>
      <c r="C193" s="367">
        <f>1/(('Res-Rec Equations'!$B$152*3600)/((0.036*(1-'Res-Rec Equations'!$B$153))*('Res-Rec Equations'!$B$154/'Res-Rec Equations'!$B$155)^3*'Res-Rec Equations'!$B$156))</f>
        <v>7.3567680901159717E-10</v>
      </c>
      <c r="D193" s="368">
        <f>(('Res-Rec Equations'!$B$132^(10/3)*'Chemical Info'!$AH194*'Chemical Info'!$AN194*41+'Res-Rec Equations'!$B$135^(10/3)*'Chemical Info'!$AJ194)/'Res-Rec Equations'!$B$137^2)/('Res-Rec Equations'!$B$139*'Chemical Info'!$AL194*'Res-Rec Equations'!$B$142+'Res-Rec Equations'!$B$135+'Res-Rec Equations'!$B$132*'Chemical Info'!$AN194*41)</f>
        <v>7.581096068592874E-8</v>
      </c>
      <c r="E193" s="368">
        <f>IF(D193=0,"NA",1/(('Res-Rec Equations'!$B$103*(3.14*'Res-Rec Calculations'!$D193*'Res-Rec Equations'!$B$105)^(1/2)*0.0001)/(2*'Res-Rec Equations'!$B$106*'Res-Rec Calculations'!$D193)))</f>
        <v>1.6161980703304632E-6</v>
      </c>
      <c r="F193" s="368">
        <f>IF(D193=0,"NA",(1/('Res-Rec Equations'!$B$117*('Res-Rec Equations'!$B$118*(31500000))/('Res-Rec Equations'!$B$119*'Res-Rec Equations'!$B$120*1000000))))</f>
        <v>6.1914410640015851E-5</v>
      </c>
      <c r="G193" s="425"/>
      <c r="H193" s="112" t="str">
        <f>IF('Chemical Info'!H194="NA","NA",IF(AND('Chemical Info'!E194="Yes",'Chemical Info'!D194="Yes"),'Chemical Info'!H194*'Chemical Info'!AD194*'Res-Rec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Info'!E194="Yes",'Chemical Info'!D194=""),'Chemical Info'!H194*'Chemical Info'!AD194*'Res-Rec Equations'!$B$20*'Res-Rec Equations'!$B$23*((('Res-Rec Equations'!$B$26*'Res-Rec Equations'!$B$29)/'Res-Rec Equations'!$B$32)+(('Res-Rec Equations'!$B$27*'Res-Rec Equations'!$B$30)/'Res-Rec Equations'!$B$33)+(('Res-Rec Equations'!$B$28*'Res-Rec Equations'!$B$31)/'Res-Rec Equations'!$B$34)),IF(AND('Chemical Info'!E194="No",'Chemical Info'!D194="Yes"),'Chemical Info'!H194*'Chemical Info'!AD194*'Res-Rec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Info'!E194="No",'Chemical Info'!D194=""),'Chemical Info'!H194*'Chemical Info'!AD194*'Res-Rec Equations'!$B$19*'Res-Rec Equations'!$B$23*((('Res-Rec Equations'!$B$26*'Res-Rec Equations'!$B$29)/'Res-Rec Equations'!$B$32)+(('Res-Rec Equations'!$B$27*'Res-Rec Equations'!$B$30)/'Res-Rec Equations'!$B$33)+(('Res-Rec Equations'!$B$28*'Res-Rec Equations'!$B$31)/'Res-Rec Equations'!$B$34)))))))</f>
        <v>NA</v>
      </c>
      <c r="I193" s="166" t="str">
        <f>IF('Chemical Info'!H194="NA","NA",IF('Chemical Info'!E194="Yes",0,IF('Chemical Info'!D194="Yes",'Chemical Info'!H194/'Chemical Info'!AF194*('Res-Rec Equations'!$B$21*'Chemical Info'!AB194*'Res-Rec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Info'!H194/'Chemical Info'!AF194*('Res-Rec Equations'!$B$21*'Chemical Info'!AB194*'Res-Rec Equations'!$B$23)*((('Res-Rec Equations'!$B$26*'Res-Rec Equations'!$B$37*'Res-Rec Equations'!$B$40)/'Res-Rec Equations'!$B$32)+(('Res-Rec Equations'!$B$27*'Res-Rec Equations'!$B$38*'Res-Rec Equations'!$B$41)/'Res-Rec Equations'!$B$33)+(('Res-Rec Equations'!$B$28*'Res-Rec Equations'!$B$39*'Res-Rec Equations'!$B$42)/'Res-Rec Equations'!$B$34)))))</f>
        <v>NA</v>
      </c>
      <c r="J193" s="369" t="str">
        <f>IF('Chemical Info'!J194="NA","NA",IF(AND(E193="NA",'Chemical Info'!D194="Yes"),'Res-Rec Equations'!$B$22*1000*(('Res-Rec Equations'!$B$26*'Chemical Info'!J194*'Res-Rec Equations'!$B$59)+('Res-Rec Equations'!$B$27*'Chemical Info'!J194*'Res-Rec Equations'!$B$60)+('Res-Rec Equations'!$B$28*'Chemical Info'!J194*'Res-Rec Equations'!$B$61))*'Res-Rec Calculations'!C193,IF(AND(E193="NA",'Chemical Info'!D194=""),'Res-Rec Equations'!$B$22*1000*'Res-Rec Equations'!$B$25*'Chemical Info'!J194*'Res-Rec Calculations'!C193,IF(AND('Chemical Info'!E194="Yes",'Chemical Info'!D194="Yes"),'Res-Rec Equations'!$B$22*1000*(('Res-Rec Equations'!$B$26*'Chemical Info'!J194*'Res-Rec Equations'!$B$59)+('Res-Rec Equations'!$B$27*'Chemical Info'!J194*'Res-Rec Equations'!$B$60)+('Res-Rec Equations'!$B$28*'Chemical Info'!J194*'Res-Rec Equations'!$B$61))*'Res-Rec Calculations'!E193,IF(AND('Chemical Info'!E194="Yes",'Chemical Info'!D194=""),'Res-Rec Equations'!$B$22*1000*'Res-Rec Equations'!$B$25*'Chemical Info'!J194*'Res-Rec Calculations'!E193,IF('Chemical Info'!D194="Yes",'Res-Rec Equations'!$B$22*1000*(('Res-Rec Equations'!$B$26*'Chemical Info'!J194*'Res-Rec Equations'!$B$59)+('Res-Rec Equations'!$B$27*'Chemical Info'!J194*'Res-Rec Equations'!$B$60)+('Res-Rec Equations'!$B$28*'Chemical Info'!J194*'Res-Rec Equations'!$B$61))*('Res-Rec Calculations'!C193+'Res-Rec Calculations'!E193),IF('Chemical Info'!D194="",'Res-Rec Equations'!$B$22*1000*'Res-Rec Equations'!$B$25*'Chemical Info'!J194*('Res-Rec Calculations'!C193+'Res-Rec Calculations'!E193))))))))</f>
        <v>NA</v>
      </c>
      <c r="K193" s="370" t="str">
        <f>IF('Chemical Info'!J194="NA","NA",IF(AND(F193="NA",'Chemical Info'!D194="Yes"),'Res-Rec Equations'!$B$22*1000*(('Res-Rec Equations'!$B$26*'Chemical Info'!J194*'Res-Rec Equations'!$B$59)+('Res-Rec Equations'!$B$27*'Chemical Info'!J194*'Res-Rec Equations'!$B$60)+('Res-Rec Equations'!$B$28*'Chemical Info'!J194*'Res-Rec Equations'!$B$61))*'Res-Rec Calculations'!C193,IF(AND(F193="NA",'Chemical Info'!D194=""),'Res-Rec Equations'!$B$22*1000*'Res-Rec Equations'!$B$25*'Chemical Info'!J194*'Res-Rec Calculations'!C193,IF(AND('Chemical Info'!F194="Yes",'Chemical Info'!D194="Yes"),'Res-Rec Equations'!$B$22*1000*(('Res-Rec Equations'!$B$26*'Chemical Info'!J194*'Res-Rec Equations'!$B$59)+('Res-Rec Equations'!$B$27*'Chemical Info'!J194*'Res-Rec Equations'!$B$60)+('Res-Rec Equations'!$B$28*'Chemical Info'!J194*'Res-Rec Equations'!$B$61))*'Res-Rec Calculations'!F193,IF(AND('Chemical Info'!F194="Yes",'Chemical Info'!D194=""),'Res-Rec Equations'!$B$22*1000*'Res-Rec Equations'!$B$25*'Chemical Info'!J194*'Res-Rec Calculations'!F193,IF('Chemical Info'!D194="Yes",'Res-Rec Equations'!$B$22*1000*(('Res-Rec Equations'!$B$26*'Chemical Info'!J194*'Res-Rec Equations'!$B$59)+('Res-Rec Equations'!$B$27*'Chemical Info'!J194*'Res-Rec Equations'!$B$60)+('Res-Rec Equations'!$B$28*'Chemical Info'!J194*'Res-Rec Equations'!$B$61))*('Res-Rec Calculations'!C193+'Res-Rec Calculations'!F193),IF('Chemical Info'!D194="",'Res-Rec Equations'!$B$22*1000*'Res-Rec Equations'!$B$25*'Chemical Info'!J194*('Res-Rec Calculations'!C193+'Res-Rec Calculations'!F193))))))))</f>
        <v>NA</v>
      </c>
      <c r="L193" s="167" t="str">
        <f>IF(AND(H193="NA",I193="NA",J193="NA"),"NA",IF(H193="NA",'Res-Rec Equations'!$B$15*'Res-Rec Equations'!$B$16/J193,IF(J193="NA",'Res-Rec Equations'!$B$15*'Res-Rec Equations'!$B$16/(H193+I193),'Res-Rec Equations'!$B$15*'Res-Rec Equations'!$B$16/(H193+I193+J193))))</f>
        <v>NA</v>
      </c>
      <c r="M193" s="167" t="str">
        <f>IF(AND(H193="NA",I193="NA",K193="NA"),"NA",IF(H193="NA",'Res-Rec Equations'!$B$15*'Res-Rec Equations'!$B$16/K193,IF(K193="NA",'Res-Rec Equations'!$B$15*'Res-Rec Equations'!$B$16/(H193+I193),'Res-Rec Equations'!$B$15*'Res-Rec Equations'!$B$16/(H193+I193+K193))))</f>
        <v>NA</v>
      </c>
      <c r="N193" s="167" t="str">
        <f t="shared" si="266"/>
        <v>NA</v>
      </c>
      <c r="O193" s="371">
        <f>IF('Chemical Info'!L194="NA","NA",IF('Chemical Info'!E194="Yes",(('Res-Rec Equations'!$B$76*'Chemical Info'!AD194*'Res-Rec Equations'!$B$78*'Res-Rec Equations'!$B$79*'Res-Rec Equations'!$B$81)/('Res-Rec Equations'!$B$84*'Res-Rec Equations'!$B$85))/'Chemical Info'!L194,(('Res-Rec Equations'!$B$76*'Chemical Info'!AD194*'Res-Rec Equations'!$B$78*'Res-Rec Equations'!$B$79*'Res-Rec Equations'!$B$80)/('Res-Rec Equations'!$B$84*'Res-Rec Equations'!$B$85))/'Chemical Info'!L194))</f>
        <v>1.5220700152207001E-3</v>
      </c>
      <c r="P193" s="166">
        <f>IF('Chemical Info'!L194="NA","NA", IF('Chemical Info'!E194="Yes",0,((('Res-Rec Equations'!$B$87*'Res-Rec Equations'!$B$88*'Res-Rec Equations'!$B$78*'Res-Rec Equations'!$B$82*'Res-Rec Equations'!$B$79*'Chemical Info'!AB194)/('Res-Rec Equations'!$B$84*'Res-Rec Equations'!$B$85))/('Chemical Info'!L194*'Chemical Info'!AF194))))</f>
        <v>0</v>
      </c>
      <c r="Q193" s="166" t="str">
        <f>IF('Chemical Info'!N194="NA","NA",IF('Res-Rec Calculations'!E193="NA",(('Res-Rec Equations'!$B$83*'Res-Rec Equations'!$B$79*'Res-Rec Calculations'!C193)/('Res-Rec Equations'!$B$85))/('Chemical Info'!N194),IF('Chemical Info'!E194="Yes",(('Res-Rec Equations'!$B$83*'Res-Rec Equations'!$B$79*'Res-Rec Calculations'!E193)/('Res-Rec Equations'!$B$85))/('Chemical Info'!N194),(('Res-Rec Equations'!$B$83*'Res-Rec Equations'!$B$79*('Res-Rec Calculations'!C193+'Res-Rec Calculations'!E193))/('Res-Rec Equations'!$B$85))/('Chemical Info'!N194))))</f>
        <v>NA</v>
      </c>
      <c r="R193" s="166" t="str">
        <f>IF('Chemical Info'!N194="NA","NA",IF('Res-Rec Calculations'!F193="NA",(('Res-Rec Equations'!$B$83*'Res-Rec Equations'!$B$79*'Res-Rec Calculations'!C193)/('Res-Rec Equations'!$B$85))/('Chemical Info'!N194),IF('Chemical Info'!E194="Yes",(('Res-Rec Equations'!$B$83*'Res-Rec Equations'!$B$79*'Res-Rec Calculations'!F193)/('Res-Rec Equations'!$B$85))/('Chemical Info'!N194),(('Res-Rec Equations'!$B$83*'Res-Rec Equations'!$B$79*('Res-Rec Calculations'!C193+'Res-Rec Calculations'!F193))/('Res-Rec Equations'!$B$85))/('Chemical Info'!N194))))</f>
        <v>NA</v>
      </c>
      <c r="S193" s="167">
        <f>IF(AND(O193="NA",P193="NA",Q193="NA"),"NA",IF(O193="NA",'Res-Rec Equations'!$B$75/Q193,IF(Q193="NA",'Res-Rec Equations'!$B$75/(O193+P193),'Res-Rec Equations'!$B$75/(O193+P193+Q193))))</f>
        <v>131.4</v>
      </c>
      <c r="T193" s="167">
        <f>IF(AND(O193="NA",P193="NA",R193="NA"),"NA",IF(O193="NA",'Res-Rec Equations'!$B$75/R193,IF(R193="NA",'Res-Rec Equations'!$B$75/(O193+P193),'Res-Rec Equations'!$B$75/(O193+P193+R193))))</f>
        <v>131.4</v>
      </c>
      <c r="U193" s="168">
        <f t="shared" si="267"/>
        <v>131.4</v>
      </c>
      <c r="V193" s="167" t="str">
        <f>IF('Chemical Info'!P194="NA","NA",(('Res-Rec Equations'!$B$185*'Res-Rec Equations'!$B$186)/('Res-Rec Equations'!$B$187*'Res-Rec Equations'!$B$188*(1/'Chemical Info'!P194))))</f>
        <v>NA</v>
      </c>
      <c r="W193" s="379" t="str">
        <f t="shared" si="268"/>
        <v>NA</v>
      </c>
      <c r="X193" s="372">
        <f t="shared" si="269"/>
        <v>131.4</v>
      </c>
      <c r="Y193" s="62">
        <f t="shared" si="270"/>
        <v>130</v>
      </c>
      <c r="Z193" s="100" t="str">
        <f t="shared" si="271"/>
        <v>Noncancer</v>
      </c>
      <c r="AA193" s="373"/>
    </row>
    <row r="194" spans="1:27">
      <c r="A194" s="413" t="s">
        <v>136</v>
      </c>
      <c r="B194" s="566" t="s">
        <v>137</v>
      </c>
      <c r="C194" s="367">
        <f>1/(('Res-Rec Equations'!$B$152*3600)/((0.036*(1-'Res-Rec Equations'!$B$153))*('Res-Rec Equations'!$B$154/'Res-Rec Equations'!$B$155)^3*'Res-Rec Equations'!$B$156))</f>
        <v>7.3567680901159717E-10</v>
      </c>
      <c r="D194" s="368">
        <f>(('Res-Rec Equations'!$B$132^(10/3)*'Chemical Info'!$AH195*'Chemical Info'!$AN195*41+'Res-Rec Equations'!$B$135^(10/3)*'Chemical Info'!$AJ195)/'Res-Rec Equations'!$B$137^2)/('Res-Rec Equations'!$B$139*'Chemical Info'!$AL195*'Res-Rec Equations'!$B$142+'Res-Rec Equations'!$B$135+'Res-Rec Equations'!$B$132*'Chemical Info'!$AN195*41)</f>
        <v>7.9460007176839244E-9</v>
      </c>
      <c r="E194" s="368">
        <f>IF(D194=0,"NA",1/(('Res-Rec Equations'!$B$103*(3.14*'Res-Rec Calculations'!$D194*'Res-Rec Equations'!$B$105)^(1/2)*0.0001)/(2*'Res-Rec Equations'!$B$106*'Res-Rec Calculations'!$D194)))</f>
        <v>5.2324234555609037E-7</v>
      </c>
      <c r="F194" s="368">
        <f>IF(D194=0,"NA",(1/('Res-Rec Equations'!$B$117*('Res-Rec Equations'!$B$118*(31500000))/('Res-Rec Equations'!$B$119*'Res-Rec Equations'!$B$120*1000000))))</f>
        <v>6.1914410640015851E-5</v>
      </c>
      <c r="G194" s="167" t="str">
        <f>IF('Chemical Info'!E195="Yes",('Chemical Info'!AP195/'Res-Rec Equations'!$B$168)*((('Chemical Info'!AL195*'Res-Rec Equations'!$B$170)*'Res-Rec Equations'!$B$168)+'Res-Rec Equations'!$B$171+('Chemical Info'!AN195*41)*'Res-Rec Equations'!$B$173),"NA")</f>
        <v>NA</v>
      </c>
      <c r="H194" s="112" t="str">
        <f>IF('Chemical Info'!H195="NA","NA",IF(AND('Chemical Info'!E195="Yes",'Chemical Info'!D195="Yes"),'Chemical Info'!H195*'Chemical Info'!AD195*'Res-Rec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Info'!E195="Yes",'Chemical Info'!D195=""),'Chemical Info'!H195*'Chemical Info'!AD195*'Res-Rec Equations'!$B$20*'Res-Rec Equations'!$B$23*((('Res-Rec Equations'!$B$26*'Res-Rec Equations'!$B$29)/'Res-Rec Equations'!$B$32)+(('Res-Rec Equations'!$B$27*'Res-Rec Equations'!$B$30)/'Res-Rec Equations'!$B$33)+(('Res-Rec Equations'!$B$28*'Res-Rec Equations'!$B$31)/'Res-Rec Equations'!$B$34)),IF(AND('Chemical Info'!E195="No",'Chemical Info'!D195="Yes"),'Chemical Info'!H195*'Chemical Info'!AD195*'Res-Rec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Info'!E195="No",'Chemical Info'!D195=""),'Chemical Info'!H195*'Chemical Info'!AD195*'Res-Rec Equations'!$B$19*'Res-Rec Equations'!$B$23*((('Res-Rec Equations'!$B$26*'Res-Rec Equations'!$B$29)/'Res-Rec Equations'!$B$32)+(('Res-Rec Equations'!$B$27*'Res-Rec Equations'!$B$30)/'Res-Rec Equations'!$B$33)+(('Res-Rec Equations'!$B$28*'Res-Rec Equations'!$B$31)/'Res-Rec Equations'!$B$34)))))))</f>
        <v>NA</v>
      </c>
      <c r="I194" s="166" t="str">
        <f>IF('Chemical Info'!H195="NA","NA",IF('Chemical Info'!E195="Yes",0,IF('Chemical Info'!D195="Yes",'Chemical Info'!H195/'Chemical Info'!AF195*('Res-Rec Equations'!$B$21*'Chemical Info'!AB195*'Res-Rec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Info'!H195/'Chemical Info'!AF195*('Res-Rec Equations'!$B$21*'Chemical Info'!AB195*'Res-Rec Equations'!$B$23)*((('Res-Rec Equations'!$B$26*'Res-Rec Equations'!$B$37*'Res-Rec Equations'!$B$40)/'Res-Rec Equations'!$B$32)+(('Res-Rec Equations'!$B$27*'Res-Rec Equations'!$B$38*'Res-Rec Equations'!$B$41)/'Res-Rec Equations'!$B$33)+(('Res-Rec Equations'!$B$28*'Res-Rec Equations'!$B$39*'Res-Rec Equations'!$B$42)/'Res-Rec Equations'!$B$34)))))</f>
        <v>NA</v>
      </c>
      <c r="J194" s="369" t="str">
        <f>IF('Chemical Info'!J195="NA","NA",IF(AND(E194="NA",'Chemical Info'!D195="Yes"),'Res-Rec Equations'!$B$22*1000*(('Res-Rec Equations'!$B$26*'Chemical Info'!J195*'Res-Rec Equations'!$B$59)+('Res-Rec Equations'!$B$27*'Chemical Info'!J195*'Res-Rec Equations'!$B$60)+('Res-Rec Equations'!$B$28*'Chemical Info'!J195*'Res-Rec Equations'!$B$61))*'Res-Rec Calculations'!C194,IF(AND(E194="NA",'Chemical Info'!D195=""),'Res-Rec Equations'!$B$22*1000*'Res-Rec Equations'!$B$25*'Chemical Info'!J195*'Res-Rec Calculations'!C194,IF(AND('Chemical Info'!E195="Yes",'Chemical Info'!D195="Yes"),'Res-Rec Equations'!$B$22*1000*(('Res-Rec Equations'!$B$26*'Chemical Info'!J195*'Res-Rec Equations'!$B$59)+('Res-Rec Equations'!$B$27*'Chemical Info'!J195*'Res-Rec Equations'!$B$60)+('Res-Rec Equations'!$B$28*'Chemical Info'!J195*'Res-Rec Equations'!$B$61))*'Res-Rec Calculations'!E194,IF(AND('Chemical Info'!E195="Yes",'Chemical Info'!D195=""),'Res-Rec Equations'!$B$22*1000*'Res-Rec Equations'!$B$25*'Chemical Info'!J195*'Res-Rec Calculations'!E194,IF('Chemical Info'!D195="Yes",'Res-Rec Equations'!$B$22*1000*(('Res-Rec Equations'!$B$26*'Chemical Info'!J195*'Res-Rec Equations'!$B$59)+('Res-Rec Equations'!$B$27*'Chemical Info'!J195*'Res-Rec Equations'!$B$60)+('Res-Rec Equations'!$B$28*'Chemical Info'!J195*'Res-Rec Equations'!$B$61))*('Res-Rec Calculations'!C194+'Res-Rec Calculations'!E194),IF('Chemical Info'!D195="",'Res-Rec Equations'!$B$22*1000*'Res-Rec Equations'!$B$25*'Chemical Info'!J195*('Res-Rec Calculations'!C194+'Res-Rec Calculations'!E194))))))))</f>
        <v>NA</v>
      </c>
      <c r="K194" s="370" t="str">
        <f>IF('Chemical Info'!J195="NA","NA",IF(AND(F194="NA",'Chemical Info'!D195="Yes"),'Res-Rec Equations'!$B$22*1000*(('Res-Rec Equations'!$B$26*'Chemical Info'!J195*'Res-Rec Equations'!$B$59)+('Res-Rec Equations'!$B$27*'Chemical Info'!J195*'Res-Rec Equations'!$B$60)+('Res-Rec Equations'!$B$28*'Chemical Info'!J195*'Res-Rec Equations'!$B$61))*'Res-Rec Calculations'!C194,IF(AND(F194="NA",'Chemical Info'!D195=""),'Res-Rec Equations'!$B$22*1000*'Res-Rec Equations'!$B$25*'Chemical Info'!J195*'Res-Rec Calculations'!C194,IF(AND('Chemical Info'!F195="Yes",'Chemical Info'!D195="Yes"),'Res-Rec Equations'!$B$22*1000*(('Res-Rec Equations'!$B$26*'Chemical Info'!J195*'Res-Rec Equations'!$B$59)+('Res-Rec Equations'!$B$27*'Chemical Info'!J195*'Res-Rec Equations'!$B$60)+('Res-Rec Equations'!$B$28*'Chemical Info'!J195*'Res-Rec Equations'!$B$61))*'Res-Rec Calculations'!F194,IF(AND('Chemical Info'!F195="Yes",'Chemical Info'!D195=""),'Res-Rec Equations'!$B$22*1000*'Res-Rec Equations'!$B$25*'Chemical Info'!J195*'Res-Rec Calculations'!F194,IF('Chemical Info'!D195="Yes",'Res-Rec Equations'!$B$22*1000*(('Res-Rec Equations'!$B$26*'Chemical Info'!J195*'Res-Rec Equations'!$B$59)+('Res-Rec Equations'!$B$27*'Chemical Info'!J195*'Res-Rec Equations'!$B$60)+('Res-Rec Equations'!$B$28*'Chemical Info'!J195*'Res-Rec Equations'!$B$61))*('Res-Rec Calculations'!C194+'Res-Rec Calculations'!F194),IF('Chemical Info'!D195="",'Res-Rec Equations'!$B$22*1000*'Res-Rec Equations'!$B$25*'Chemical Info'!J195*('Res-Rec Calculations'!C194+'Res-Rec Calculations'!F194))))))))</f>
        <v>NA</v>
      </c>
      <c r="L194" s="167" t="str">
        <f>IF(AND(H194="NA",I194="NA",J194="NA"),"NA",IF(H194="NA",'Res-Rec Equations'!$B$15*'Res-Rec Equations'!$B$16/J194,IF(J194="NA",'Res-Rec Equations'!$B$15*'Res-Rec Equations'!$B$16/(H194+I194),'Res-Rec Equations'!$B$15*'Res-Rec Equations'!$B$16/(H194+I194+J194))))</f>
        <v>NA</v>
      </c>
      <c r="M194" s="167" t="str">
        <f>IF(AND(H194="NA",I194="NA",K194="NA"),"NA",IF(H194="NA",'Res-Rec Equations'!$B$15*'Res-Rec Equations'!$B$16/K194,IF(K194="NA",'Res-Rec Equations'!$B$15*'Res-Rec Equations'!$B$16/(H194+I194),'Res-Rec Equations'!$B$15*'Res-Rec Equations'!$B$16/(H194+I194+K194))))</f>
        <v>NA</v>
      </c>
      <c r="N194" s="167" t="str">
        <f t="shared" si="266"/>
        <v>NA</v>
      </c>
      <c r="O194" s="371">
        <f>IF('Chemical Info'!L195="NA","NA",IF('Chemical Info'!E195="Yes",(('Res-Rec Equations'!$B$76*'Chemical Info'!AD195*'Res-Rec Equations'!$B$78*'Res-Rec Equations'!$B$79*'Res-Rec Equations'!$B$81)/('Res-Rec Equations'!$B$84*'Res-Rec Equations'!$B$85))/'Chemical Info'!L195,(('Res-Rec Equations'!$B$76*'Chemical Info'!AD195*'Res-Rec Equations'!$B$78*'Res-Rec Equations'!$B$79*'Res-Rec Equations'!$B$80)/('Res-Rec Equations'!$B$84*'Res-Rec Equations'!$B$85))/'Chemical Info'!L195))</f>
        <v>4.2617960426179609E-2</v>
      </c>
      <c r="P194" s="166">
        <f>IF('Chemical Info'!L195="NA","NA", IF('Chemical Info'!E195="Yes",0,((('Res-Rec Equations'!$B$87*'Res-Rec Equations'!$B$88*'Res-Rec Equations'!$B$78*'Res-Rec Equations'!$B$82*'Res-Rec Equations'!$B$79*'Chemical Info'!AB195)/('Res-Rec Equations'!$B$84*'Res-Rec Equations'!$B$85))/('Chemical Info'!L195*'Chemical Info'!AF195))))</f>
        <v>7.2237442922374433E-3</v>
      </c>
      <c r="Q194" s="166" t="str">
        <f>IF('Chemical Info'!N195="NA","NA",IF('Res-Rec Calculations'!E194="NA",(('Res-Rec Equations'!$B$83*'Res-Rec Equations'!$B$79*'Res-Rec Calculations'!C194)/('Res-Rec Equations'!$B$85))/('Chemical Info'!N195),IF('Chemical Info'!E195="Yes",(('Res-Rec Equations'!$B$83*'Res-Rec Equations'!$B$79*'Res-Rec Calculations'!E194)/('Res-Rec Equations'!$B$85))/('Chemical Info'!N195),(('Res-Rec Equations'!$B$83*'Res-Rec Equations'!$B$79*('Res-Rec Calculations'!C194+'Res-Rec Calculations'!E194))/('Res-Rec Equations'!$B$85))/('Chemical Info'!N195))))</f>
        <v>NA</v>
      </c>
      <c r="R194" s="166" t="str">
        <f>IF('Chemical Info'!N195="NA","NA",IF('Res-Rec Calculations'!F194="NA",(('Res-Rec Equations'!$B$83*'Res-Rec Equations'!$B$79*'Res-Rec Calculations'!C194)/('Res-Rec Equations'!$B$85))/('Chemical Info'!N195),IF('Chemical Info'!E195="Yes",(('Res-Rec Equations'!$B$83*'Res-Rec Equations'!$B$79*'Res-Rec Calculations'!F194)/('Res-Rec Equations'!$B$85))/('Chemical Info'!N195),(('Res-Rec Equations'!$B$83*'Res-Rec Equations'!$B$79*('Res-Rec Calculations'!C194+'Res-Rec Calculations'!F194))/('Res-Rec Equations'!$B$85))/('Chemical Info'!N195))))</f>
        <v>NA</v>
      </c>
      <c r="S194" s="167">
        <f>IF(AND(O194="NA",P194="NA",Q194="NA"),"NA",IF(O194="NA",'Res-Rec Equations'!$B$75/Q194,IF(Q194="NA",'Res-Rec Equations'!$B$75/(O194+P194),'Res-Rec Equations'!$B$75/(O194+P194+Q194))))</f>
        <v>4.0127038416905885</v>
      </c>
      <c r="T194" s="167">
        <f>IF(AND(O194="NA",P194="NA",R194="NA"),"NA",IF(O194="NA",'Res-Rec Equations'!$B$75/R194,IF(R194="NA",'Res-Rec Equations'!$B$75/(O194+P194),'Res-Rec Equations'!$B$75/(O194+P194+R194))))</f>
        <v>4.0127038416905885</v>
      </c>
      <c r="U194" s="168">
        <f t="shared" si="267"/>
        <v>4.0127038416905885</v>
      </c>
      <c r="V194" s="167" t="str">
        <f>IF('Chemical Info'!P195="NA","NA",(('Res-Rec Equations'!$B$185*'Res-Rec Equations'!$B$186)/('Res-Rec Equations'!$B$187*'Res-Rec Equations'!$B$188*(1/'Chemical Info'!P195))))</f>
        <v>NA</v>
      </c>
      <c r="W194" s="379" t="str">
        <f t="shared" si="268"/>
        <v>NA</v>
      </c>
      <c r="X194" s="372">
        <f t="shared" si="269"/>
        <v>4.0127038416905885</v>
      </c>
      <c r="Y194" s="62">
        <f t="shared" si="270"/>
        <v>4</v>
      </c>
      <c r="Z194" s="100" t="str">
        <f t="shared" si="271"/>
        <v>Noncancer</v>
      </c>
      <c r="AA194" s="373"/>
    </row>
    <row r="195" spans="1:27" ht="12">
      <c r="A195" s="424" t="s">
        <v>1027</v>
      </c>
      <c r="B195" s="566" t="s">
        <v>13</v>
      </c>
      <c r="C195" s="367">
        <f>1/(('Res-Rec Equations'!$B$152*3600)/((0.036*(1-'Res-Rec Equations'!$B$153))*('Res-Rec Equations'!$B$154/'Res-Rec Equations'!$B$155)^3*'Res-Rec Equations'!$B$156))</f>
        <v>7.3567680901159717E-10</v>
      </c>
      <c r="D195" s="368">
        <f>(('Res-Rec Equations'!$B$132^(10/3)*'Chemical Info'!$AH196*'Chemical Info'!$AN196*41+'Res-Rec Equations'!$B$135^(10/3)*'Chemical Info'!$AJ196)/'Res-Rec Equations'!$B$137^2)/('Res-Rec Equations'!$B$139*'Chemical Info'!$AL196*'Res-Rec Equations'!$B$142+'Res-Rec Equations'!$B$135+'Res-Rec Equations'!$B$132*'Chemical Info'!$AN196*41)</f>
        <v>5.5434201664572051E-8</v>
      </c>
      <c r="E195" s="368">
        <f>IF(D195=0,"NA",1/(('Res-Rec Equations'!$B$103*(3.14*'Res-Rec Calculations'!$D195*'Res-Rec Equations'!$B$105)^(1/2)*0.0001)/(2*'Res-Rec Equations'!$B$106*'Res-Rec Calculations'!$D195)))</f>
        <v>1.3820300385054207E-6</v>
      </c>
      <c r="F195" s="368">
        <f>IF(D195=0,"NA",(1/('Res-Rec Equations'!$B$117*('Res-Rec Equations'!$B$118*(31500000))/('Res-Rec Equations'!$B$119*'Res-Rec Equations'!$B$120*1000000))))</f>
        <v>6.1914410640015851E-5</v>
      </c>
      <c r="G195" s="425"/>
      <c r="H195" s="112">
        <f>IF('Chemical Info'!H196="NA","NA",IF(AND('Chemical Info'!E196="Yes",'Chemical Info'!D196="Yes"),'Chemical Info'!H196*'Chemical Info'!AD196*'Res-Rec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Info'!E196="Yes",'Chemical Info'!D196=""),'Chemical Info'!H196*'Chemical Info'!AD196*'Res-Rec Equations'!$B$20*'Res-Rec Equations'!$B$23*((('Res-Rec Equations'!$B$26*'Res-Rec Equations'!$B$29)/'Res-Rec Equations'!$B$32)+(('Res-Rec Equations'!$B$27*'Res-Rec Equations'!$B$30)/'Res-Rec Equations'!$B$33)+(('Res-Rec Equations'!$B$28*'Res-Rec Equations'!$B$31)/'Res-Rec Equations'!$B$34)),IF(AND('Chemical Info'!E196="No",'Chemical Info'!D196="Yes"),'Chemical Info'!H196*'Chemical Info'!AD196*'Res-Rec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Info'!E196="No",'Chemical Info'!D196=""),'Chemical Info'!H196*'Chemical Info'!AD196*'Res-Rec Equations'!$B$19*'Res-Rec Equations'!$B$23*((('Res-Rec Equations'!$B$26*'Res-Rec Equations'!$B$29)/'Res-Rec Equations'!$B$32)+(('Res-Rec Equations'!$B$27*'Res-Rec Equations'!$B$30)/'Res-Rec Equations'!$B$33)+(('Res-Rec Equations'!$B$28*'Res-Rec Equations'!$B$31)/'Res-Rec Equations'!$B$34)))))))</f>
        <v>0.14493776671408251</v>
      </c>
      <c r="I195" s="166">
        <f>IF('Chemical Info'!H196="NA","NA",IF('Chemical Info'!E196="Yes",0,IF('Chemical Info'!D196="Yes",'Chemical Info'!H196/'Chemical Info'!AF196*('Res-Rec Equations'!$B$21*'Chemical Info'!AB196*'Res-Rec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Info'!H196/'Chemical Info'!AF196*('Res-Rec Equations'!$B$21*'Chemical Info'!AB196*'Res-Rec Equations'!$B$23)*((('Res-Rec Equations'!$B$26*'Res-Rec Equations'!$B$37*'Res-Rec Equations'!$B$40)/'Res-Rec Equations'!$B$32)+(('Res-Rec Equations'!$B$27*'Res-Rec Equations'!$B$38*'Res-Rec Equations'!$B$41)/'Res-Rec Equations'!$B$33)+(('Res-Rec Equations'!$B$28*'Res-Rec Equations'!$B$39*'Res-Rec Equations'!$B$42)/'Res-Rec Equations'!$B$34)))))</f>
        <v>0</v>
      </c>
      <c r="J195" s="369">
        <f>IF('Chemical Info'!J196="NA","NA",IF(AND(E195="NA",'Chemical Info'!D196="Yes"),'Res-Rec Equations'!$B$22*1000*(('Res-Rec Equations'!$B$26*'Chemical Info'!J196*'Res-Rec Equations'!$B$59)+('Res-Rec Equations'!$B$27*'Chemical Info'!J196*'Res-Rec Equations'!$B$60)+('Res-Rec Equations'!$B$28*'Chemical Info'!J196*'Res-Rec Equations'!$B$61))*'Res-Rec Calculations'!C195,IF(AND(E195="NA",'Chemical Info'!D196=""),'Res-Rec Equations'!$B$22*1000*'Res-Rec Equations'!$B$25*'Chemical Info'!J196*'Res-Rec Calculations'!C195,IF(AND('Chemical Info'!E196="Yes",'Chemical Info'!D196="Yes"),'Res-Rec Equations'!$B$22*1000*(('Res-Rec Equations'!$B$26*'Chemical Info'!J196*'Res-Rec Equations'!$B$59)+('Res-Rec Equations'!$B$27*'Chemical Info'!J196*'Res-Rec Equations'!$B$60)+('Res-Rec Equations'!$B$28*'Chemical Info'!J196*'Res-Rec Equations'!$B$61))*'Res-Rec Calculations'!E195,IF(AND('Chemical Info'!E196="Yes",'Chemical Info'!D196=""),'Res-Rec Equations'!$B$22*1000*'Res-Rec Equations'!$B$25*'Chemical Info'!J196*'Res-Rec Calculations'!E195,IF('Chemical Info'!D196="Yes",'Res-Rec Equations'!$B$22*1000*(('Res-Rec Equations'!$B$26*'Chemical Info'!J196*'Res-Rec Equations'!$B$59)+('Res-Rec Equations'!$B$27*'Chemical Info'!J196*'Res-Rec Equations'!$B$60)+('Res-Rec Equations'!$B$28*'Chemical Info'!J196*'Res-Rec Equations'!$B$61))*('Res-Rec Calculations'!C195+'Res-Rec Calculations'!E195),IF('Chemical Info'!D196="",'Res-Rec Equations'!$B$22*1000*'Res-Rec Equations'!$B$25*'Chemical Info'!J196*('Res-Rec Calculations'!C195+'Res-Rec Calculations'!E195))))))))</f>
        <v>1.1678153825370805E-2</v>
      </c>
      <c r="K195" s="370">
        <f>IF('Chemical Info'!J196="NA","NA",IF(AND(F195="NA",'Chemical Info'!D196="Yes"),'Res-Rec Equations'!$B$22*1000*(('Res-Rec Equations'!$B$26*'Chemical Info'!J196*'Res-Rec Equations'!$B$59)+('Res-Rec Equations'!$B$27*'Chemical Info'!J196*'Res-Rec Equations'!$B$60)+('Res-Rec Equations'!$B$28*'Chemical Info'!J196*'Res-Rec Equations'!$B$61))*'Res-Rec Calculations'!C195,IF(AND(F195="NA",'Chemical Info'!D196=""),'Res-Rec Equations'!$B$22*1000*'Res-Rec Equations'!$B$25*'Chemical Info'!J196*'Res-Rec Calculations'!C195,IF(AND('Chemical Info'!F196="Yes",'Chemical Info'!D196="Yes"),'Res-Rec Equations'!$B$22*1000*(('Res-Rec Equations'!$B$26*'Chemical Info'!J196*'Res-Rec Equations'!$B$59)+('Res-Rec Equations'!$B$27*'Chemical Info'!J196*'Res-Rec Equations'!$B$60)+('Res-Rec Equations'!$B$28*'Chemical Info'!J196*'Res-Rec Equations'!$B$61))*'Res-Rec Calculations'!F195,IF(AND('Chemical Info'!F196="Yes",'Chemical Info'!D196=""),'Res-Rec Equations'!$B$22*1000*'Res-Rec Equations'!$B$25*'Chemical Info'!J196*'Res-Rec Calculations'!F195,IF('Chemical Info'!D196="Yes",'Res-Rec Equations'!$B$22*1000*(('Res-Rec Equations'!$B$26*'Chemical Info'!J196*'Res-Rec Equations'!$B$59)+('Res-Rec Equations'!$B$27*'Chemical Info'!J196*'Res-Rec Equations'!$B$60)+('Res-Rec Equations'!$B$28*'Chemical Info'!J196*'Res-Rec Equations'!$B$61))*('Res-Rec Calculations'!C195+'Res-Rec Calculations'!F195),IF('Chemical Info'!D196="",'Res-Rec Equations'!$B$22*1000*'Res-Rec Equations'!$B$25*'Chemical Info'!J196*('Res-Rec Calculations'!C195+'Res-Rec Calculations'!F195))))))))</f>
        <v>0.52318298637717009</v>
      </c>
      <c r="L195" s="167">
        <f>IF(AND(H195="NA",I195="NA",J195="NA"),"NA",IF(H195="NA",'Res-Rec Equations'!$B$15*'Res-Rec Equations'!$B$16/J195,IF(J195="NA",'Res-Rec Equations'!$B$15*'Res-Rec Equations'!$B$16/(H195+I195),'Res-Rec Equations'!$B$15*'Res-Rec Equations'!$B$16/(H195+I195+J195))))</f>
        <v>1.6313794863251894</v>
      </c>
      <c r="M195" s="167">
        <f>IF(AND(H195="NA",I195="NA",K195="NA"),"NA",IF(H195="NA",'Res-Rec Equations'!$B$15*'Res-Rec Equations'!$B$16/K195,IF(K195="NA",'Res-Rec Equations'!$B$15*'Res-Rec Equations'!$B$16/(H195+I195),'Res-Rec Equations'!$B$15*'Res-Rec Equations'!$B$16/(H195+I195+K195))))</f>
        <v>0.38241590134396491</v>
      </c>
      <c r="N195" s="167">
        <f t="shared" si="266"/>
        <v>1.6313794863251894</v>
      </c>
      <c r="O195" s="371">
        <f>IF('Chemical Info'!L196="NA","NA",IF('Chemical Info'!E196="Yes",(('Res-Rec Equations'!$B$76*'Chemical Info'!AD196*'Res-Rec Equations'!$B$78*'Res-Rec Equations'!$B$79*'Res-Rec Equations'!$B$81)/('Res-Rec Equations'!$B$84*'Res-Rec Equations'!$B$85))/'Chemical Info'!L196,(('Res-Rec Equations'!$B$76*'Chemical Info'!AD196*'Res-Rec Equations'!$B$78*'Res-Rec Equations'!$B$79*'Res-Rec Equations'!$B$80)/('Res-Rec Equations'!$B$84*'Res-Rec Equations'!$B$85))/'Chemical Info'!L196))</f>
        <v>9.1324200913242004E-2</v>
      </c>
      <c r="P195" s="166">
        <f>IF('Chemical Info'!L196="NA","NA", IF('Chemical Info'!E196="Yes",0,((('Res-Rec Equations'!$B$87*'Res-Rec Equations'!$B$88*'Res-Rec Equations'!$B$78*'Res-Rec Equations'!$B$82*'Res-Rec Equations'!$B$79*'Chemical Info'!AB196)/('Res-Rec Equations'!$B$84*'Res-Rec Equations'!$B$85))/('Chemical Info'!L196*'Chemical Info'!AF196))))</f>
        <v>0</v>
      </c>
      <c r="Q195" s="166" t="str">
        <f>IF('Chemical Info'!N196="NA","NA",IF('Res-Rec Calculations'!E195="NA",(('Res-Rec Equations'!$B$83*'Res-Rec Equations'!$B$79*'Res-Rec Calculations'!C195)/('Res-Rec Equations'!$B$85))/('Chemical Info'!N196),IF('Chemical Info'!E196="Yes",(('Res-Rec Equations'!$B$83*'Res-Rec Equations'!$B$79*'Res-Rec Calculations'!E195)/('Res-Rec Equations'!$B$85))/('Chemical Info'!N196),(('Res-Rec Equations'!$B$83*'Res-Rec Equations'!$B$79*('Res-Rec Calculations'!C195+'Res-Rec Calculations'!E195))/('Res-Rec Equations'!$B$85))/('Chemical Info'!N196))))</f>
        <v>NA</v>
      </c>
      <c r="R195" s="166" t="str">
        <f>IF('Chemical Info'!N196="NA","NA",IF('Res-Rec Calculations'!F195="NA",(('Res-Rec Equations'!$B$83*'Res-Rec Equations'!$B$79*'Res-Rec Calculations'!C195)/('Res-Rec Equations'!$B$85))/('Chemical Info'!N196),IF('Chemical Info'!E196="Yes",(('Res-Rec Equations'!$B$83*'Res-Rec Equations'!$B$79*'Res-Rec Calculations'!F195)/('Res-Rec Equations'!$B$85))/('Chemical Info'!N196),(('Res-Rec Equations'!$B$83*'Res-Rec Equations'!$B$79*('Res-Rec Calculations'!C195+'Res-Rec Calculations'!F195))/('Res-Rec Equations'!$B$85))/('Chemical Info'!N196))))</f>
        <v>NA</v>
      </c>
      <c r="S195" s="167">
        <f>IF(AND(O195="NA",P195="NA",Q195="NA"),"NA",IF(O195="NA",'Res-Rec Equations'!$B$75/Q195,IF(Q195="NA",'Res-Rec Equations'!$B$75/(O195+P195),'Res-Rec Equations'!$B$75/(O195+P195+Q195))))</f>
        <v>2.1900000000000004</v>
      </c>
      <c r="T195" s="167">
        <f>IF(AND(O195="NA",P195="NA",R195="NA"),"NA",IF(O195="NA",'Res-Rec Equations'!$B$75/R195,IF(R195="NA",'Res-Rec Equations'!$B$75/(O195+P195),'Res-Rec Equations'!$B$75/(O195+P195+R195))))</f>
        <v>2.1900000000000004</v>
      </c>
      <c r="U195" s="168">
        <f t="shared" si="267"/>
        <v>2.1900000000000004</v>
      </c>
      <c r="V195" s="167" t="str">
        <f>IF('Chemical Info'!P196="NA","NA",(('Res-Rec Equations'!$B$185*'Res-Rec Equations'!$B$186)/('Res-Rec Equations'!$B$187*'Res-Rec Equations'!$B$188*(1/'Chemical Info'!P196))))</f>
        <v>NA</v>
      </c>
      <c r="W195" s="379" t="str">
        <f t="shared" si="268"/>
        <v>NA</v>
      </c>
      <c r="X195" s="372">
        <f t="shared" si="269"/>
        <v>1.6313794863251894</v>
      </c>
      <c r="Y195" s="62">
        <f t="shared" si="270"/>
        <v>1.6</v>
      </c>
      <c r="Z195" s="100" t="str">
        <f t="shared" si="271"/>
        <v>Cancer</v>
      </c>
      <c r="AA195" s="373"/>
    </row>
    <row r="196" spans="1:27" ht="12">
      <c r="A196" s="424" t="s">
        <v>1028</v>
      </c>
      <c r="B196" s="566" t="s">
        <v>11</v>
      </c>
      <c r="C196" s="367">
        <f>1/(('Res-Rec Equations'!$B$152*3600)/((0.036*(1-'Res-Rec Equations'!$B$153))*('Res-Rec Equations'!$B$154/'Res-Rec Equations'!$B$155)^3*'Res-Rec Equations'!$B$156))</f>
        <v>7.3567680901159717E-10</v>
      </c>
      <c r="D196" s="368">
        <f>(('Res-Rec Equations'!$B$132^(10/3)*'Chemical Info'!$AH197*'Chemical Info'!$AN197*41+'Res-Rec Equations'!$B$135^(10/3)*'Chemical Info'!$AJ197)/'Res-Rec Equations'!$B$137^2)/('Res-Rec Equations'!$B$139*'Chemical Info'!$AL197*'Res-Rec Equations'!$B$142+'Res-Rec Equations'!$B$135+'Res-Rec Equations'!$B$132*'Chemical Info'!$AN197*41)</f>
        <v>2.6107346780723748E-8</v>
      </c>
      <c r="E196" s="368">
        <f>IF(D196=0,"NA",1/(('Res-Rec Equations'!$B$103*(3.14*'Res-Rec Calculations'!$D196*'Res-Rec Equations'!$B$105)^(1/2)*0.0001)/(2*'Res-Rec Equations'!$B$106*'Res-Rec Calculations'!$D196)))</f>
        <v>9.484401985975914E-7</v>
      </c>
      <c r="F196" s="368">
        <f>IF(D196=0,"NA",(1/('Res-Rec Equations'!$B$117*('Res-Rec Equations'!$B$118*(31500000))/('Res-Rec Equations'!$B$119*'Res-Rec Equations'!$B$120*1000000))))</f>
        <v>6.1914410640015851E-5</v>
      </c>
      <c r="G196" s="425"/>
      <c r="H196" s="112">
        <f>IF('Chemical Info'!H197="NA","NA",IF(AND('Chemical Info'!E197="Yes",'Chemical Info'!D197="Yes"),'Chemical Info'!H197*'Chemical Info'!AD197*'Res-Rec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Info'!E197="Yes",'Chemical Info'!D197=""),'Chemical Info'!H197*'Chemical Info'!AD197*'Res-Rec Equations'!$B$20*'Res-Rec Equations'!$B$23*((('Res-Rec Equations'!$B$26*'Res-Rec Equations'!$B$29)/'Res-Rec Equations'!$B$32)+(('Res-Rec Equations'!$B$27*'Res-Rec Equations'!$B$30)/'Res-Rec Equations'!$B$33)+(('Res-Rec Equations'!$B$28*'Res-Rec Equations'!$B$31)/'Res-Rec Equations'!$B$34)),IF(AND('Chemical Info'!E197="No",'Chemical Info'!D197="Yes"),'Chemical Info'!H197*'Chemical Info'!AD197*'Res-Rec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Info'!E197="No",'Chemical Info'!D197=""),'Chemical Info'!H197*'Chemical Info'!AD197*'Res-Rec Equations'!$B$19*'Res-Rec Equations'!$B$23*((('Res-Rec Equations'!$B$26*'Res-Rec Equations'!$B$29)/'Res-Rec Equations'!$B$32)+(('Res-Rec Equations'!$B$27*'Res-Rec Equations'!$B$30)/'Res-Rec Equations'!$B$33)+(('Res-Rec Equations'!$B$28*'Res-Rec Equations'!$B$31)/'Res-Rec Equations'!$B$34)))))))</f>
        <v>0.29309637268847799</v>
      </c>
      <c r="I196" s="166">
        <f>IF('Chemical Info'!H197="NA","NA",IF('Chemical Info'!E197="Yes",0,IF('Chemical Info'!D197="Yes",'Chemical Info'!H197/'Chemical Info'!AF197*('Res-Rec Equations'!$B$21*'Chemical Info'!AB197*'Res-Rec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Info'!H197/'Chemical Info'!AF197*('Res-Rec Equations'!$B$21*'Chemical Info'!AB197*'Res-Rec Equations'!$B$23)*((('Res-Rec Equations'!$B$26*'Res-Rec Equations'!$B$37*'Res-Rec Equations'!$B$40)/'Res-Rec Equations'!$B$32)+(('Res-Rec Equations'!$B$27*'Res-Rec Equations'!$B$38*'Res-Rec Equations'!$B$41)/'Res-Rec Equations'!$B$33)+(('Res-Rec Equations'!$B$28*'Res-Rec Equations'!$B$39*'Res-Rec Equations'!$B$42)/'Res-Rec Equations'!$B$34)))))</f>
        <v>0</v>
      </c>
      <c r="J196" s="369">
        <f>IF('Chemical Info'!J197="NA","NA",IF(AND(E196="NA",'Chemical Info'!D197="Yes"),'Res-Rec Equations'!$B$22*1000*(('Res-Rec Equations'!$B$26*'Chemical Info'!J197*'Res-Rec Equations'!$B$59)+('Res-Rec Equations'!$B$27*'Chemical Info'!J197*'Res-Rec Equations'!$B$60)+('Res-Rec Equations'!$B$28*'Chemical Info'!J197*'Res-Rec Equations'!$B$61))*'Res-Rec Calculations'!C196,IF(AND(E196="NA",'Chemical Info'!D197=""),'Res-Rec Equations'!$B$22*1000*'Res-Rec Equations'!$B$25*'Chemical Info'!J197*'Res-Rec Calculations'!C196,IF(AND('Chemical Info'!E197="Yes",'Chemical Info'!D197="Yes"),'Res-Rec Equations'!$B$22*1000*(('Res-Rec Equations'!$B$26*'Chemical Info'!J197*'Res-Rec Equations'!$B$59)+('Res-Rec Equations'!$B$27*'Chemical Info'!J197*'Res-Rec Equations'!$B$60)+('Res-Rec Equations'!$B$28*'Chemical Info'!J197*'Res-Rec Equations'!$B$61))*'Res-Rec Calculations'!E196,IF(AND('Chemical Info'!E197="Yes",'Chemical Info'!D197=""),'Res-Rec Equations'!$B$22*1000*'Res-Rec Equations'!$B$25*'Chemical Info'!J197*'Res-Rec Calculations'!E196,IF('Chemical Info'!D197="Yes",'Res-Rec Equations'!$B$22*1000*(('Res-Rec Equations'!$B$26*'Chemical Info'!J197*'Res-Rec Equations'!$B$59)+('Res-Rec Equations'!$B$27*'Chemical Info'!J197*'Res-Rec Equations'!$B$60)+('Res-Rec Equations'!$B$28*'Chemical Info'!J197*'Res-Rec Equations'!$B$61))*('Res-Rec Calculations'!C196+'Res-Rec Calculations'!E196),IF('Chemical Info'!D197="",'Res-Rec Equations'!$B$22*1000*'Res-Rec Equations'!$B$25*'Chemical Info'!J197*('Res-Rec Calculations'!C196+'Res-Rec Calculations'!E196))))))))</f>
        <v>1.6028639356299293E-2</v>
      </c>
      <c r="K196" s="370">
        <f>IF('Chemical Info'!J197="NA","NA",IF(AND(F196="NA",'Chemical Info'!D197="Yes"),'Res-Rec Equations'!$B$22*1000*(('Res-Rec Equations'!$B$26*'Chemical Info'!J197*'Res-Rec Equations'!$B$59)+('Res-Rec Equations'!$B$27*'Chemical Info'!J197*'Res-Rec Equations'!$B$60)+('Res-Rec Equations'!$B$28*'Chemical Info'!J197*'Res-Rec Equations'!$B$61))*'Res-Rec Calculations'!C196,IF(AND(F196="NA",'Chemical Info'!D197=""),'Res-Rec Equations'!$B$22*1000*'Res-Rec Equations'!$B$25*'Chemical Info'!J197*'Res-Rec Calculations'!C196,IF(AND('Chemical Info'!F197="Yes",'Chemical Info'!D197="Yes"),'Res-Rec Equations'!$B$22*1000*(('Res-Rec Equations'!$B$26*'Chemical Info'!J197*'Res-Rec Equations'!$B$59)+('Res-Rec Equations'!$B$27*'Chemical Info'!J197*'Res-Rec Equations'!$B$60)+('Res-Rec Equations'!$B$28*'Chemical Info'!J197*'Res-Rec Equations'!$B$61))*'Res-Rec Calculations'!F196,IF(AND('Chemical Info'!F197="Yes",'Chemical Info'!D197=""),'Res-Rec Equations'!$B$22*1000*'Res-Rec Equations'!$B$25*'Chemical Info'!J197*'Res-Rec Calculations'!F196,IF('Chemical Info'!D197="Yes",'Res-Rec Equations'!$B$22*1000*(('Res-Rec Equations'!$B$26*'Chemical Info'!J197*'Res-Rec Equations'!$B$59)+('Res-Rec Equations'!$B$27*'Chemical Info'!J197*'Res-Rec Equations'!$B$60)+('Res-Rec Equations'!$B$28*'Chemical Info'!J197*'Res-Rec Equations'!$B$61))*('Res-Rec Calculations'!C196+'Res-Rec Calculations'!F196),IF('Chemical Info'!D197="",'Res-Rec Equations'!$B$22*1000*'Res-Rec Equations'!$B$25*'Chemical Info'!J197*('Res-Rec Calculations'!C196+'Res-Rec Calculations'!F196))))))))</f>
        <v>1.0463659727543402</v>
      </c>
      <c r="L196" s="167">
        <f>IF(AND(H196="NA",I196="NA",J196="NA"),"NA",IF(H196="NA",'Res-Rec Equations'!$B$15*'Res-Rec Equations'!$B$16/J196,IF(J196="NA",'Res-Rec Equations'!$B$15*'Res-Rec Equations'!$B$16/(H196+I196),'Res-Rec Equations'!$B$15*'Res-Rec Equations'!$B$16/(H196+I196+J196))))</f>
        <v>0.82652645384447376</v>
      </c>
      <c r="M196" s="167">
        <f>IF(AND(H196="NA",I196="NA",K196="NA"),"NA",IF(H196="NA",'Res-Rec Equations'!$B$15*'Res-Rec Equations'!$B$16/K196,IF(K196="NA",'Res-Rec Equations'!$B$15*'Res-Rec Equations'!$B$16/(H196+I196),'Res-Rec Equations'!$B$15*'Res-Rec Equations'!$B$16/(H196+I196+K196))))</f>
        <v>0.19074817658687768</v>
      </c>
      <c r="N196" s="167">
        <f t="shared" si="266"/>
        <v>0.82652645384447376</v>
      </c>
      <c r="O196" s="371">
        <f>IF('Chemical Info'!L197="NA","NA",IF('Chemical Info'!E197="Yes",(('Res-Rec Equations'!$B$76*'Chemical Info'!AD197*'Res-Rec Equations'!$B$78*'Res-Rec Equations'!$B$79*'Res-Rec Equations'!$B$81)/('Res-Rec Equations'!$B$84*'Res-Rec Equations'!$B$85))/'Chemical Info'!L197,(('Res-Rec Equations'!$B$76*'Chemical Info'!AD197*'Res-Rec Equations'!$B$78*'Res-Rec Equations'!$B$79*'Res-Rec Equations'!$B$80)/('Res-Rec Equations'!$B$84*'Res-Rec Equations'!$B$85))/'Chemical Info'!L197))</f>
        <v>0.70249385317878477</v>
      </c>
      <c r="P196" s="166">
        <f>IF('Chemical Info'!L197="NA","NA", IF('Chemical Info'!E197="Yes",0,((('Res-Rec Equations'!$B$87*'Res-Rec Equations'!$B$88*'Res-Rec Equations'!$B$78*'Res-Rec Equations'!$B$82*'Res-Rec Equations'!$B$79*'Chemical Info'!AB197)/('Res-Rec Equations'!$B$84*'Res-Rec Equations'!$B$85))/('Chemical Info'!L197*'Chemical Info'!AF197))))</f>
        <v>0</v>
      </c>
      <c r="Q196" s="166" t="str">
        <f>IF('Chemical Info'!N197="NA","NA",IF('Res-Rec Calculations'!E196="NA",(('Res-Rec Equations'!$B$83*'Res-Rec Equations'!$B$79*'Res-Rec Calculations'!C196)/('Res-Rec Equations'!$B$85))/('Chemical Info'!N197),IF('Chemical Info'!E197="Yes",(('Res-Rec Equations'!$B$83*'Res-Rec Equations'!$B$79*'Res-Rec Calculations'!E196)/('Res-Rec Equations'!$B$85))/('Chemical Info'!N197),(('Res-Rec Equations'!$B$83*'Res-Rec Equations'!$B$79*('Res-Rec Calculations'!C196+'Res-Rec Calculations'!E196))/('Res-Rec Equations'!$B$85))/('Chemical Info'!N197))))</f>
        <v>NA</v>
      </c>
      <c r="R196" s="166" t="str">
        <f>IF('Chemical Info'!N197="NA","NA",IF('Res-Rec Calculations'!F196="NA",(('Res-Rec Equations'!$B$83*'Res-Rec Equations'!$B$79*'Res-Rec Calculations'!C196)/('Res-Rec Equations'!$B$85))/('Chemical Info'!N197),IF('Chemical Info'!E197="Yes",(('Res-Rec Equations'!$B$83*'Res-Rec Equations'!$B$79*'Res-Rec Calculations'!F196)/('Res-Rec Equations'!$B$85))/('Chemical Info'!N197),(('Res-Rec Equations'!$B$83*'Res-Rec Equations'!$B$79*('Res-Rec Calculations'!C196+'Res-Rec Calculations'!F196))/('Res-Rec Equations'!$B$85))/('Chemical Info'!N197))))</f>
        <v>NA</v>
      </c>
      <c r="S196" s="167">
        <f>IF(AND(O196="NA",P196="NA",Q196="NA"),"NA",IF(O196="NA",'Res-Rec Equations'!$B$75/Q196,IF(Q196="NA",'Res-Rec Equations'!$B$75/(O196+P196),'Res-Rec Equations'!$B$75/(O196+P196+Q196))))</f>
        <v>0.28470000000000001</v>
      </c>
      <c r="T196" s="167">
        <f>IF(AND(O196="NA",P196="NA",R196="NA"),"NA",IF(O196="NA",'Res-Rec Equations'!$B$75/R196,IF(R196="NA",'Res-Rec Equations'!$B$75/(O196+P196),'Res-Rec Equations'!$B$75/(O196+P196+R196))))</f>
        <v>0.28470000000000001</v>
      </c>
      <c r="U196" s="168">
        <f t="shared" si="267"/>
        <v>0.28470000000000001</v>
      </c>
      <c r="V196" s="167" t="str">
        <f>IF('Chemical Info'!P197="NA","NA",(('Res-Rec Equations'!$B$185*'Res-Rec Equations'!$B$186)/('Res-Rec Equations'!$B$187*'Res-Rec Equations'!$B$188*(1/'Chemical Info'!P197))))</f>
        <v>NA</v>
      </c>
      <c r="W196" s="379" t="str">
        <f t="shared" si="268"/>
        <v>NA</v>
      </c>
      <c r="X196" s="372">
        <f t="shared" si="269"/>
        <v>0.28470000000000001</v>
      </c>
      <c r="Y196" s="62">
        <f t="shared" si="270"/>
        <v>0.28000000000000003</v>
      </c>
      <c r="Z196" s="100" t="str">
        <f t="shared" si="271"/>
        <v>Noncancer</v>
      </c>
      <c r="AA196" s="373"/>
    </row>
    <row r="197" spans="1:27" ht="20">
      <c r="A197" s="412" t="s">
        <v>493</v>
      </c>
      <c r="B197" s="566" t="s">
        <v>118</v>
      </c>
      <c r="C197" s="367">
        <f>1/(('Res-Rec Equations'!$B$152*3600)/((0.036*(1-'Res-Rec Equations'!$B$153))*('Res-Rec Equations'!$B$154/'Res-Rec Equations'!$B$155)^3*'Res-Rec Equations'!$B$156))</f>
        <v>7.3567680901159717E-10</v>
      </c>
      <c r="D197" s="368">
        <f>(('Res-Rec Equations'!$B$132^(10/3)*'Chemical Info'!$AH198*'Chemical Info'!$AN198*41+'Res-Rec Equations'!$B$135^(10/3)*'Chemical Info'!$AJ198)/'Res-Rec Equations'!$B$137^2)/('Res-Rec Equations'!$B$139*'Chemical Info'!$AL198*'Res-Rec Equations'!$B$142+'Res-Rec Equations'!$B$135+'Res-Rec Equations'!$B$132*'Chemical Info'!$AN198*41)</f>
        <v>3.7574438109263852E-8</v>
      </c>
      <c r="E197" s="368">
        <f>IF(D197=0,"NA",1/(('Res-Rec Equations'!$B$103*(3.14*'Res-Rec Calculations'!$D197*'Res-Rec Equations'!$B$105)^(1/2)*0.0001)/(2*'Res-Rec Equations'!$B$106*'Res-Rec Calculations'!$D197)))</f>
        <v>1.137823321989492E-6</v>
      </c>
      <c r="F197" s="368">
        <f>IF(D197=0,"NA",(1/('Res-Rec Equations'!$B$117*('Res-Rec Equations'!$B$118*(31500000))/('Res-Rec Equations'!$B$119*'Res-Rec Equations'!$B$120*1000000))))</f>
        <v>6.1914410640015851E-5</v>
      </c>
      <c r="G197" s="167" t="str">
        <f>IF('Chemical Info'!E198="Yes",('Chemical Info'!AP198/'Res-Rec Equations'!$B$168)*((('Chemical Info'!AL198*'Res-Rec Equations'!$B$170)*'Res-Rec Equations'!$B$168)+'Res-Rec Equations'!$B$171+('Chemical Info'!AN198*41)*'Res-Rec Equations'!$B$173),"NA")</f>
        <v>NA</v>
      </c>
      <c r="H197" s="112">
        <f>IF('Chemical Info'!H198="NA","NA",IF(AND('Chemical Info'!E198="Yes",'Chemical Info'!D198="Yes"),'Chemical Info'!H198*'Chemical Info'!AD198*'Res-Rec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Info'!E198="Yes",'Chemical Info'!D198=""),'Chemical Info'!H198*'Chemical Info'!AD198*'Res-Rec Equations'!$B$20*'Res-Rec Equations'!$B$23*((('Res-Rec Equations'!$B$26*'Res-Rec Equations'!$B$29)/'Res-Rec Equations'!$B$32)+(('Res-Rec Equations'!$B$27*'Res-Rec Equations'!$B$30)/'Res-Rec Equations'!$B$33)+(('Res-Rec Equations'!$B$28*'Res-Rec Equations'!$B$31)/'Res-Rec Equations'!$B$34)),IF(AND('Chemical Info'!E198="No",'Chemical Info'!D198="Yes"),'Chemical Info'!H198*'Chemical Info'!AD198*'Res-Rec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Info'!E198="No",'Chemical Info'!D198=""),'Chemical Info'!H198*'Chemical Info'!AD198*'Res-Rec Equations'!$B$19*'Res-Rec Equations'!$B$23*((('Res-Rec Equations'!$B$26*'Res-Rec Equations'!$B$29)/'Res-Rec Equations'!$B$32)+(('Res-Rec Equations'!$B$27*'Res-Rec Equations'!$B$30)/'Res-Rec Equations'!$B$33)+(('Res-Rec Equations'!$B$28*'Res-Rec Equations'!$B$31)/'Res-Rec Equations'!$B$34)))))))</f>
        <v>0.2840780227596017</v>
      </c>
      <c r="I197" s="166">
        <f>IF('Chemical Info'!H198="NA","NA",IF('Chemical Info'!E198="Yes",0,IF('Chemical Info'!D198="Yes",'Chemical Info'!H198/'Chemical Info'!AF198*('Res-Rec Equations'!$B$21*'Chemical Info'!AB198*'Res-Rec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Info'!H198/'Chemical Info'!AF198*('Res-Rec Equations'!$B$21*'Chemical Info'!AB198*'Res-Rec Equations'!$B$23)*((('Res-Rec Equations'!$B$26*'Res-Rec Equations'!$B$37*'Res-Rec Equations'!$B$40)/'Res-Rec Equations'!$B$32)+(('Res-Rec Equations'!$B$27*'Res-Rec Equations'!$B$38*'Res-Rec Equations'!$B$41)/'Res-Rec Equations'!$B$33)+(('Res-Rec Equations'!$B$28*'Res-Rec Equations'!$B$39*'Res-Rec Equations'!$B$42)/'Res-Rec Equations'!$B$34)))))</f>
        <v>6.9288160615220487E-2</v>
      </c>
      <c r="J197" s="369">
        <f>IF('Chemical Info'!J198="NA","NA",IF(AND(E197="NA",'Chemical Info'!D198="Yes"),'Res-Rec Equations'!$B$22*1000*(('Res-Rec Equations'!$B$26*'Chemical Info'!J198*'Res-Rec Equations'!$B$59)+('Res-Rec Equations'!$B$27*'Chemical Info'!J198*'Res-Rec Equations'!$B$60)+('Res-Rec Equations'!$B$28*'Chemical Info'!J198*'Res-Rec Equations'!$B$61))*'Res-Rec Calculations'!C197,IF(AND(E197="NA",'Chemical Info'!D198=""),'Res-Rec Equations'!$B$22*1000*'Res-Rec Equations'!$B$25*'Chemical Info'!J198*'Res-Rec Calculations'!C197,IF(AND('Chemical Info'!E198="Yes",'Chemical Info'!D198="Yes"),'Res-Rec Equations'!$B$22*1000*(('Res-Rec Equations'!$B$26*'Chemical Info'!J198*'Res-Rec Equations'!$B$59)+('Res-Rec Equations'!$B$27*'Chemical Info'!J198*'Res-Rec Equations'!$B$60)+('Res-Rec Equations'!$B$28*'Chemical Info'!J198*'Res-Rec Equations'!$B$61))*'Res-Rec Calculations'!E197,IF(AND('Chemical Info'!E198="Yes",'Chemical Info'!D198=""),'Res-Rec Equations'!$B$22*1000*'Res-Rec Equations'!$B$25*'Chemical Info'!J198*'Res-Rec Calculations'!E197,IF('Chemical Info'!D198="Yes",'Res-Rec Equations'!$B$22*1000*(('Res-Rec Equations'!$B$26*'Chemical Info'!J198*'Res-Rec Equations'!$B$59)+('Res-Rec Equations'!$B$27*'Chemical Info'!J198*'Res-Rec Equations'!$B$60)+('Res-Rec Equations'!$B$28*'Chemical Info'!J198*'Res-Rec Equations'!$B$61))*('Res-Rec Calculations'!C197+'Res-Rec Calculations'!E197),IF('Chemical Info'!D198="",'Res-Rec Equations'!$B$22*1000*'Res-Rec Equations'!$B$25*'Chemical Info'!J198*('Res-Rec Calculations'!C197+'Res-Rec Calculations'!E197))))))))</f>
        <v>1.3321140285942492E-2</v>
      </c>
      <c r="K197" s="370">
        <f>IF('Chemical Info'!J198="NA","NA",IF(AND(F197="NA",'Chemical Info'!D198="Yes"),'Res-Rec Equations'!$B$22*1000*(('Res-Rec Equations'!$B$26*'Chemical Info'!J198*'Res-Rec Equations'!$B$59)+('Res-Rec Equations'!$B$27*'Chemical Info'!J198*'Res-Rec Equations'!$B$60)+('Res-Rec Equations'!$B$28*'Chemical Info'!J198*'Res-Rec Equations'!$B$61))*'Res-Rec Calculations'!C197,IF(AND(F197="NA",'Chemical Info'!D198=""),'Res-Rec Equations'!$B$22*1000*'Res-Rec Equations'!$B$25*'Chemical Info'!J198*'Res-Rec Calculations'!C197,IF(AND('Chemical Info'!F198="Yes",'Chemical Info'!D198="Yes"),'Res-Rec Equations'!$B$22*1000*(('Res-Rec Equations'!$B$26*'Chemical Info'!J198*'Res-Rec Equations'!$B$59)+('Res-Rec Equations'!$B$27*'Chemical Info'!J198*'Res-Rec Equations'!$B$60)+('Res-Rec Equations'!$B$28*'Chemical Info'!J198*'Res-Rec Equations'!$B$61))*'Res-Rec Calculations'!F197,IF(AND('Chemical Info'!F198="Yes",'Chemical Info'!D198=""),'Res-Rec Equations'!$B$22*1000*'Res-Rec Equations'!$B$25*'Chemical Info'!J198*'Res-Rec Calculations'!F197,IF('Chemical Info'!D198="Yes",'Res-Rec Equations'!$B$22*1000*(('Res-Rec Equations'!$B$26*'Chemical Info'!J198*'Res-Rec Equations'!$B$59)+('Res-Rec Equations'!$B$27*'Chemical Info'!J198*'Res-Rec Equations'!$B$60)+('Res-Rec Equations'!$B$28*'Chemical Info'!J198*'Res-Rec Equations'!$B$61))*('Res-Rec Calculations'!C197+'Res-Rec Calculations'!F197),IF('Chemical Info'!D198="",'Res-Rec Equations'!$B$22*1000*'Res-Rec Equations'!$B$25*'Chemical Info'!J198*('Res-Rec Calculations'!C197+'Res-Rec Calculations'!F197))))))))</f>
        <v>0.72440721190685087</v>
      </c>
      <c r="L197" s="167">
        <f>IF(AND(H197="NA",I197="NA",J197="NA"),"NA",IF(H197="NA",'Res-Rec Equations'!$B$15*'Res-Rec Equations'!$B$16/J197,IF(J197="NA",'Res-Rec Equations'!$B$15*'Res-Rec Equations'!$B$16/(H197+I197),'Res-Rec Equations'!$B$15*'Res-Rec Equations'!$B$16/(H197+I197+J197))))</f>
        <v>0.69677892720494483</v>
      </c>
      <c r="M197" s="167">
        <f>IF(AND(H197="NA",I197="NA",K197="NA"),"NA",IF(H197="NA",'Res-Rec Equations'!$B$15*'Res-Rec Equations'!$B$16/K197,IF(K197="NA",'Res-Rec Equations'!$B$15*'Res-Rec Equations'!$B$16/(H197+I197),'Res-Rec Equations'!$B$15*'Res-Rec Equations'!$B$16/(H197+I197+K197))))</f>
        <v>0.23706281962288167</v>
      </c>
      <c r="N197" s="167">
        <f t="shared" si="266"/>
        <v>0.69677892720494483</v>
      </c>
      <c r="O197" s="371">
        <f>IF('Chemical Info'!L198="NA","NA",IF('Chemical Info'!E198="Yes",(('Res-Rec Equations'!$B$76*'Chemical Info'!AD198*'Res-Rec Equations'!$B$78*'Res-Rec Equations'!$B$79*'Res-Rec Equations'!$B$81)/('Res-Rec Equations'!$B$84*'Res-Rec Equations'!$B$85))/'Chemical Info'!L198,(('Res-Rec Equations'!$B$76*'Chemical Info'!AD198*'Res-Rec Equations'!$B$78*'Res-Rec Equations'!$B$79*'Res-Rec Equations'!$B$80)/('Res-Rec Equations'!$B$84*'Res-Rec Equations'!$B$85))/'Chemical Info'!L198))</f>
        <v>1.4205986808726534E-2</v>
      </c>
      <c r="P197" s="166">
        <f>IF('Chemical Info'!L198="NA","NA", IF('Chemical Info'!E198="Yes",0,((('Res-Rec Equations'!$B$87*'Res-Rec Equations'!$B$88*'Res-Rec Equations'!$B$78*'Res-Rec Equations'!$B$82*'Res-Rec Equations'!$B$79*'Chemical Info'!AB198)/('Res-Rec Equations'!$B$84*'Res-Rec Equations'!$B$85))/('Chemical Info'!L198*'Chemical Info'!AF198))))</f>
        <v>2.4079147640791478E-3</v>
      </c>
      <c r="Q197" s="166" t="str">
        <f>IF('Chemical Info'!N198="NA","NA",IF('Res-Rec Calculations'!E197="NA",(('Res-Rec Equations'!$B$83*'Res-Rec Equations'!$B$79*'Res-Rec Calculations'!C197)/('Res-Rec Equations'!$B$85))/('Chemical Info'!N198),IF('Chemical Info'!E198="Yes",(('Res-Rec Equations'!$B$83*'Res-Rec Equations'!$B$79*'Res-Rec Calculations'!E197)/('Res-Rec Equations'!$B$85))/('Chemical Info'!N198),(('Res-Rec Equations'!$B$83*'Res-Rec Equations'!$B$79*('Res-Rec Calculations'!C197+'Res-Rec Calculations'!E197))/('Res-Rec Equations'!$B$85))/('Chemical Info'!N198))))</f>
        <v>NA</v>
      </c>
      <c r="R197" s="166" t="str">
        <f>IF('Chemical Info'!N198="NA","NA",IF('Res-Rec Calculations'!F197="NA",(('Res-Rec Equations'!$B$83*'Res-Rec Equations'!$B$79*'Res-Rec Calculations'!C197)/('Res-Rec Equations'!$B$85))/('Chemical Info'!N198),IF('Chemical Info'!E198="Yes",(('Res-Rec Equations'!$B$83*'Res-Rec Equations'!$B$79*'Res-Rec Calculations'!F197)/('Res-Rec Equations'!$B$85))/('Chemical Info'!N198),(('Res-Rec Equations'!$B$83*'Res-Rec Equations'!$B$79*('Res-Rec Calculations'!C197+'Res-Rec Calculations'!F197))/('Res-Rec Equations'!$B$85))/('Chemical Info'!N198))))</f>
        <v>NA</v>
      </c>
      <c r="S197" s="167">
        <f>IF(AND(O197="NA",P197="NA",Q197="NA"),"NA",IF(O197="NA",'Res-Rec Equations'!$B$75/Q197,IF(Q197="NA",'Res-Rec Equations'!$B$75/(O197+P197),'Res-Rec Equations'!$B$75/(O197+P197+Q197))))</f>
        <v>12.038111525071766</v>
      </c>
      <c r="T197" s="167">
        <f>IF(AND(O197="NA",P197="NA",R197="NA"),"NA",IF(O197="NA",'Res-Rec Equations'!$B$75/R197,IF(R197="NA",'Res-Rec Equations'!$B$75/(O197+P197),'Res-Rec Equations'!$B$75/(O197+P197+R197))))</f>
        <v>12.038111525071766</v>
      </c>
      <c r="U197" s="168">
        <f t="shared" si="267"/>
        <v>12.038111525071766</v>
      </c>
      <c r="V197" s="167" t="str">
        <f>IF('Chemical Info'!P198="NA","NA",(('Res-Rec Equations'!$B$185*'Res-Rec Equations'!$B$186)/('Res-Rec Equations'!$B$187*'Res-Rec Equations'!$B$188*(1/'Chemical Info'!P198))))</f>
        <v>NA</v>
      </c>
      <c r="W197" s="379" t="str">
        <f t="shared" si="268"/>
        <v>NA</v>
      </c>
      <c r="X197" s="666">
        <f t="shared" si="269"/>
        <v>0.69677892720494483</v>
      </c>
      <c r="Y197" s="62">
        <f t="shared" si="270"/>
        <v>0.7</v>
      </c>
      <c r="Z197" s="100" t="str">
        <f t="shared" si="271"/>
        <v>Cancer</v>
      </c>
      <c r="AA197" s="373"/>
    </row>
    <row r="198" spans="1:27">
      <c r="A198" s="413" t="s">
        <v>391</v>
      </c>
      <c r="B198" s="566" t="s">
        <v>119</v>
      </c>
      <c r="C198" s="367">
        <f>1/(('Res-Rec Equations'!$B$152*3600)/((0.036*(1-'Res-Rec Equations'!$B$153))*('Res-Rec Equations'!$B$154/'Res-Rec Equations'!$B$155)^3*'Res-Rec Equations'!$B$156))</f>
        <v>7.3567680901159717E-10</v>
      </c>
      <c r="D198" s="368">
        <f>(('Res-Rec Equations'!$B$132^(10/3)*'Chemical Info'!$AH199*'Chemical Info'!$AN199*41+'Res-Rec Equations'!$B$135^(10/3)*'Chemical Info'!$AJ199)/'Res-Rec Equations'!$B$137^2)/('Res-Rec Equations'!$B$139*'Chemical Info'!$AL199*'Res-Rec Equations'!$B$142+'Res-Rec Equations'!$B$135+'Res-Rec Equations'!$B$132*'Chemical Info'!$AN199*41)</f>
        <v>4.2687906587918408E-9</v>
      </c>
      <c r="E198" s="368">
        <f>IF(D198=0,"NA",1/(('Res-Rec Equations'!$B$103*(3.14*'Res-Rec Calculations'!$D198*'Res-Rec Equations'!$B$105)^(1/2)*0.0001)/(2*'Res-Rec Equations'!$B$106*'Res-Rec Calculations'!$D198)))</f>
        <v>3.8351381484795154E-7</v>
      </c>
      <c r="F198" s="368">
        <f>IF(D198=0,"NA",(1/('Res-Rec Equations'!$B$117*('Res-Rec Equations'!$B$118*(31500000))/('Res-Rec Equations'!$B$119*'Res-Rec Equations'!$B$120*1000000))))</f>
        <v>6.1914410640015851E-5</v>
      </c>
      <c r="G198" s="167" t="str">
        <f>IF('Chemical Info'!E199="Yes",('Chemical Info'!AP199/'Res-Rec Equations'!$B$168)*((('Chemical Info'!AL199*'Res-Rec Equations'!$B$170)*'Res-Rec Equations'!$B$168)+'Res-Rec Equations'!$B$171+('Chemical Info'!AN199*41)*'Res-Rec Equations'!$B$173),"NA")</f>
        <v>NA</v>
      </c>
      <c r="H198" s="112">
        <f>IF('Chemical Info'!H199="NA","NA",IF(AND('Chemical Info'!E199="Yes",'Chemical Info'!D199="Yes"),'Chemical Info'!H199*'Chemical Info'!AD199*'Res-Rec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Info'!E199="Yes",'Chemical Info'!D199=""),'Chemical Info'!H199*'Chemical Info'!AD199*'Res-Rec Equations'!$B$20*'Res-Rec Equations'!$B$23*((('Res-Rec Equations'!$B$26*'Res-Rec Equations'!$B$29)/'Res-Rec Equations'!$B$32)+(('Res-Rec Equations'!$B$27*'Res-Rec Equations'!$B$30)/'Res-Rec Equations'!$B$33)+(('Res-Rec Equations'!$B$28*'Res-Rec Equations'!$B$31)/'Res-Rec Equations'!$B$34)),IF(AND('Chemical Info'!E199="No",'Chemical Info'!D199="Yes"),'Chemical Info'!H199*'Chemical Info'!AD199*'Res-Rec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Info'!E199="No",'Chemical Info'!D199=""),'Chemical Info'!H199*'Chemical Info'!AD199*'Res-Rec Equations'!$B$19*'Res-Rec Equations'!$B$23*((('Res-Rec Equations'!$B$26*'Res-Rec Equations'!$B$29)/'Res-Rec Equations'!$B$32)+(('Res-Rec Equations'!$B$27*'Res-Rec Equations'!$B$30)/'Res-Rec Equations'!$B$33)+(('Res-Rec Equations'!$B$28*'Res-Rec Equations'!$B$31)/'Res-Rec Equations'!$B$34)))))))</f>
        <v>8.1165149359886196E-2</v>
      </c>
      <c r="I198" s="166">
        <f>IF('Chemical Info'!H199="NA","NA",IF('Chemical Info'!E199="Yes",0,IF('Chemical Info'!D199="Yes",'Chemical Info'!H199/'Chemical Info'!AF199*('Res-Rec Equations'!$B$21*'Chemical Info'!AB199*'Res-Rec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Info'!H199/'Chemical Info'!AF199*('Res-Rec Equations'!$B$21*'Chemical Info'!AB199*'Res-Rec Equations'!$B$23)*((('Res-Rec Equations'!$B$26*'Res-Rec Equations'!$B$37*'Res-Rec Equations'!$B$40)/'Res-Rec Equations'!$B$32)+(('Res-Rec Equations'!$B$27*'Res-Rec Equations'!$B$38*'Res-Rec Equations'!$B$41)/'Res-Rec Equations'!$B$33)+(('Res-Rec Equations'!$B$28*'Res-Rec Equations'!$B$39*'Res-Rec Equations'!$B$42)/'Res-Rec Equations'!$B$34)))))</f>
        <v>1.9796617318634423E-2</v>
      </c>
      <c r="J198" s="369">
        <f>IF('Chemical Info'!J199="NA","NA",IF(AND(E198="NA",'Chemical Info'!D199="Yes"),'Res-Rec Equations'!$B$22*1000*(('Res-Rec Equations'!$B$26*'Chemical Info'!J199*'Res-Rec Equations'!$B$59)+('Res-Rec Equations'!$B$27*'Chemical Info'!J199*'Res-Rec Equations'!$B$60)+('Res-Rec Equations'!$B$28*'Chemical Info'!J199*'Res-Rec Equations'!$B$61))*'Res-Rec Calculations'!C198,IF(AND(E198="NA",'Chemical Info'!D199=""),'Res-Rec Equations'!$B$22*1000*'Res-Rec Equations'!$B$25*'Chemical Info'!J199*'Res-Rec Calculations'!C198,IF(AND('Chemical Info'!E199="Yes",'Chemical Info'!D199="Yes"),'Res-Rec Equations'!$B$22*1000*(('Res-Rec Equations'!$B$26*'Chemical Info'!J199*'Res-Rec Equations'!$B$59)+('Res-Rec Equations'!$B$27*'Chemical Info'!J199*'Res-Rec Equations'!$B$60)+('Res-Rec Equations'!$B$28*'Chemical Info'!J199*'Res-Rec Equations'!$B$61))*'Res-Rec Calculations'!E198,IF(AND('Chemical Info'!E199="Yes",'Chemical Info'!D199=""),'Res-Rec Equations'!$B$22*1000*'Res-Rec Equations'!$B$25*'Chemical Info'!J199*'Res-Rec Calculations'!E198,IF('Chemical Info'!D199="Yes",'Res-Rec Equations'!$B$22*1000*(('Res-Rec Equations'!$B$26*'Chemical Info'!J199*'Res-Rec Equations'!$B$59)+('Res-Rec Equations'!$B$27*'Chemical Info'!J199*'Res-Rec Equations'!$B$60)+('Res-Rec Equations'!$B$28*'Chemical Info'!J199*'Res-Rec Equations'!$B$61))*('Res-Rec Calculations'!C198+'Res-Rec Calculations'!E198),IF('Chemical Info'!D199="",'Res-Rec Equations'!$B$22*1000*'Res-Rec Equations'!$B$25*'Chemical Info'!J199*('Res-Rec Calculations'!C198+'Res-Rec Calculations'!E198))))))))</f>
        <v>1.323739498758238E-3</v>
      </c>
      <c r="K198" s="370">
        <f>IF('Chemical Info'!J199="NA","NA",IF(AND(F198="NA",'Chemical Info'!D199="Yes"),'Res-Rec Equations'!$B$22*1000*(('Res-Rec Equations'!$B$26*'Chemical Info'!J199*'Res-Rec Equations'!$B$59)+('Res-Rec Equations'!$B$27*'Chemical Info'!J199*'Res-Rec Equations'!$B$60)+('Res-Rec Equations'!$B$28*'Chemical Info'!J199*'Res-Rec Equations'!$B$61))*'Res-Rec Calculations'!C198,IF(AND(F198="NA",'Chemical Info'!D199=""),'Res-Rec Equations'!$B$22*1000*'Res-Rec Equations'!$B$25*'Chemical Info'!J199*'Res-Rec Calculations'!C198,IF(AND('Chemical Info'!F199="Yes",'Chemical Info'!D199="Yes"),'Res-Rec Equations'!$B$22*1000*(('Res-Rec Equations'!$B$26*'Chemical Info'!J199*'Res-Rec Equations'!$B$59)+('Res-Rec Equations'!$B$27*'Chemical Info'!J199*'Res-Rec Equations'!$B$60)+('Res-Rec Equations'!$B$28*'Chemical Info'!J199*'Res-Rec Equations'!$B$61))*'Res-Rec Calculations'!F198,IF(AND('Chemical Info'!F199="Yes",'Chemical Info'!D199=""),'Res-Rec Equations'!$B$22*1000*'Res-Rec Equations'!$B$25*'Chemical Info'!J199*'Res-Rec Calculations'!F198,IF('Chemical Info'!D199="Yes",'Res-Rec Equations'!$B$22*1000*(('Res-Rec Equations'!$B$26*'Chemical Info'!J199*'Res-Rec Equations'!$B$59)+('Res-Rec Equations'!$B$27*'Chemical Info'!J199*'Res-Rec Equations'!$B$60)+('Res-Rec Equations'!$B$28*'Chemical Info'!J199*'Res-Rec Equations'!$B$61))*('Res-Rec Calculations'!C198+'Res-Rec Calculations'!F198),IF('Chemical Info'!D199="",'Res-Rec Equations'!$B$22*1000*'Res-Rec Equations'!$B$25*'Chemical Info'!J199*('Res-Rec Calculations'!C198+'Res-Rec Calculations'!F198))))))))</f>
        <v>0.21329767906146163</v>
      </c>
      <c r="L198" s="167">
        <f>IF(AND(H198="NA",I198="NA",J198="NA"),"NA",IF(H198="NA",'Res-Rec Equations'!$B$15*'Res-Rec Equations'!$B$16/J198,IF(J198="NA",'Res-Rec Equations'!$B$15*'Res-Rec Equations'!$B$16/(H198+I198),'Res-Rec Equations'!$B$15*'Res-Rec Equations'!$B$16/(H198+I198+J198))))</f>
        <v>2.4979101101301033</v>
      </c>
      <c r="M198" s="167">
        <f>IF(AND(H198="NA",I198="NA",K198="NA"),"NA",IF(H198="NA",'Res-Rec Equations'!$B$15*'Res-Rec Equations'!$B$16/K198,IF(K198="NA",'Res-Rec Equations'!$B$15*'Res-Rec Equations'!$B$16/(H198+I198),'Res-Rec Equations'!$B$15*'Res-Rec Equations'!$B$16/(H198+I198+K198))))</f>
        <v>0.81302249928678438</v>
      </c>
      <c r="N198" s="167">
        <f t="shared" si="266"/>
        <v>2.4979101101301033</v>
      </c>
      <c r="O198" s="371" t="str">
        <f>IF('Chemical Info'!L199="NA","NA",IF('Chemical Info'!E199="Yes",(('Res-Rec Equations'!$B$76*'Chemical Info'!AD199*'Res-Rec Equations'!$B$78*'Res-Rec Equations'!$B$79*'Res-Rec Equations'!$B$81)/('Res-Rec Equations'!$B$84*'Res-Rec Equations'!$B$85))/'Chemical Info'!L199,(('Res-Rec Equations'!$B$76*'Chemical Info'!AD199*'Res-Rec Equations'!$B$78*'Res-Rec Equations'!$B$79*'Res-Rec Equations'!$B$80)/('Res-Rec Equations'!$B$84*'Res-Rec Equations'!$B$85))/'Chemical Info'!L199))</f>
        <v>NA</v>
      </c>
      <c r="P198" s="166" t="str">
        <f>IF('Chemical Info'!L199="NA","NA", IF('Chemical Info'!E199="Yes",0,((('Res-Rec Equations'!$B$87*'Res-Rec Equations'!$B$88*'Res-Rec Equations'!$B$78*'Res-Rec Equations'!$B$82*'Res-Rec Equations'!$B$79*'Chemical Info'!AB199)/('Res-Rec Equations'!$B$84*'Res-Rec Equations'!$B$85))/('Chemical Info'!L199*'Chemical Info'!AF199))))</f>
        <v>NA</v>
      </c>
      <c r="Q198" s="166" t="str">
        <f>IF('Chemical Info'!N199="NA","NA",IF('Res-Rec Calculations'!E198="NA",(('Res-Rec Equations'!$B$83*'Res-Rec Equations'!$B$79*'Res-Rec Calculations'!C198)/('Res-Rec Equations'!$B$85))/('Chemical Info'!N199),IF('Chemical Info'!E199="Yes",(('Res-Rec Equations'!$B$83*'Res-Rec Equations'!$B$79*'Res-Rec Calculations'!E198)/('Res-Rec Equations'!$B$85))/('Chemical Info'!N199),(('Res-Rec Equations'!$B$83*'Res-Rec Equations'!$B$79*('Res-Rec Calculations'!C198+'Res-Rec Calculations'!E198))/('Res-Rec Equations'!$B$85))/('Chemical Info'!N199))))</f>
        <v>NA</v>
      </c>
      <c r="R198" s="166" t="str">
        <f>IF('Chemical Info'!N199="NA","NA",IF('Res-Rec Calculations'!F198="NA",(('Res-Rec Equations'!$B$83*'Res-Rec Equations'!$B$79*'Res-Rec Calculations'!C198)/('Res-Rec Equations'!$B$85))/('Chemical Info'!N199),IF('Chemical Info'!E199="Yes",(('Res-Rec Equations'!$B$83*'Res-Rec Equations'!$B$79*'Res-Rec Calculations'!F198)/('Res-Rec Equations'!$B$85))/('Chemical Info'!N199),(('Res-Rec Equations'!$B$83*'Res-Rec Equations'!$B$79*('Res-Rec Calculations'!C198+'Res-Rec Calculations'!F198))/('Res-Rec Equations'!$B$85))/('Chemical Info'!N199))))</f>
        <v>NA</v>
      </c>
      <c r="S198" s="167" t="str">
        <f>IF(AND(O198="NA",P198="NA",Q198="NA"),"NA",IF(O198="NA",'Res-Rec Equations'!$B$75/Q198,IF(Q198="NA",'Res-Rec Equations'!$B$75/(O198+P198),'Res-Rec Equations'!$B$75/(O198+P198+Q198))))</f>
        <v>NA</v>
      </c>
      <c r="T198" s="167" t="str">
        <f>IF(AND(O198="NA",P198="NA",R198="NA"),"NA",IF(O198="NA",'Res-Rec Equations'!$B$75/R198,IF(R198="NA",'Res-Rec Equations'!$B$75/(O198+P198),'Res-Rec Equations'!$B$75/(O198+P198+R198))))</f>
        <v>NA</v>
      </c>
      <c r="U198" s="168" t="str">
        <f t="shared" si="267"/>
        <v>NA</v>
      </c>
      <c r="V198" s="167" t="str">
        <f>IF('Chemical Info'!P199="NA","NA",(('Res-Rec Equations'!$B$185*'Res-Rec Equations'!$B$186)/('Res-Rec Equations'!$B$187*'Res-Rec Equations'!$B$188*(1/'Chemical Info'!P199))))</f>
        <v>NA</v>
      </c>
      <c r="W198" s="379" t="str">
        <f t="shared" si="268"/>
        <v>NA</v>
      </c>
      <c r="X198" s="372">
        <f t="shared" si="269"/>
        <v>2.4979101101301033</v>
      </c>
      <c r="Y198" s="62">
        <f t="shared" si="270"/>
        <v>2.5</v>
      </c>
      <c r="Z198" s="100" t="str">
        <f t="shared" si="271"/>
        <v>Cancer</v>
      </c>
      <c r="AA198" s="373"/>
    </row>
    <row r="199" spans="1:27">
      <c r="A199" s="413" t="s">
        <v>392</v>
      </c>
      <c r="B199" s="566" t="s">
        <v>120</v>
      </c>
      <c r="C199" s="367">
        <f>1/(('Res-Rec Equations'!$B$152*3600)/((0.036*(1-'Res-Rec Equations'!$B$153))*('Res-Rec Equations'!$B$154/'Res-Rec Equations'!$B$155)^3*'Res-Rec Equations'!$B$156))</f>
        <v>7.3567680901159717E-10</v>
      </c>
      <c r="D199" s="368">
        <f>(('Res-Rec Equations'!$B$132^(10/3)*'Chemical Info'!$AH200*'Chemical Info'!$AN200*41+'Res-Rec Equations'!$B$135^(10/3)*'Chemical Info'!$AJ200)/'Res-Rec Equations'!$B$137^2)/('Res-Rec Equations'!$B$139*'Chemical Info'!$AL200*'Res-Rec Equations'!$B$142+'Res-Rec Equations'!$B$135+'Res-Rec Equations'!$B$132*'Chemical Info'!$AN200*41)</f>
        <v>2.9267001820316096E-8</v>
      </c>
      <c r="E199" s="368">
        <f>IF(D199=0,"NA",1/(('Res-Rec Equations'!$B$103*(3.14*'Res-Rec Calculations'!$D199*'Res-Rec Equations'!$B$105)^(1/2)*0.0001)/(2*'Res-Rec Equations'!$B$106*'Res-Rec Calculations'!$D199)))</f>
        <v>1.004194182606106E-6</v>
      </c>
      <c r="F199" s="368">
        <f>IF(D199=0,"NA",(1/('Res-Rec Equations'!$B$117*('Res-Rec Equations'!$B$118*(31500000))/('Res-Rec Equations'!$B$119*'Res-Rec Equations'!$B$120*1000000))))</f>
        <v>6.1914410640015851E-5</v>
      </c>
      <c r="G199" s="167" t="str">
        <f>IF('Chemical Info'!E200="Yes",('Chemical Info'!AP200/'Res-Rec Equations'!$B$168)*((('Chemical Info'!AL200*'Res-Rec Equations'!$B$170)*'Res-Rec Equations'!$B$168)+'Res-Rec Equations'!$B$171+('Chemical Info'!AN200*41)*'Res-Rec Equations'!$B$173),"NA")</f>
        <v>NA</v>
      </c>
      <c r="H199" s="112">
        <f>IF('Chemical Info'!H200="NA","NA",IF(AND('Chemical Info'!E200="Yes",'Chemical Info'!D200="Yes"),'Chemical Info'!H200*'Chemical Info'!AD200*'Res-Rec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Info'!E200="Yes",'Chemical Info'!D200=""),'Chemical Info'!H200*'Chemical Info'!AD200*'Res-Rec Equations'!$B$20*'Res-Rec Equations'!$B$23*((('Res-Rec Equations'!$B$26*'Res-Rec Equations'!$B$29)/'Res-Rec Equations'!$B$32)+(('Res-Rec Equations'!$B$27*'Res-Rec Equations'!$B$30)/'Res-Rec Equations'!$B$33)+(('Res-Rec Equations'!$B$28*'Res-Rec Equations'!$B$31)/'Res-Rec Equations'!$B$34)),IF(AND('Chemical Info'!E200="No",'Chemical Info'!D200="Yes"),'Chemical Info'!H200*'Chemical Info'!AD200*'Res-Rec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Info'!E200="No",'Chemical Info'!D200=""),'Chemical Info'!H200*'Chemical Info'!AD200*'Res-Rec Equations'!$B$19*'Res-Rec Equations'!$B$23*((('Res-Rec Equations'!$B$26*'Res-Rec Equations'!$B$29)/'Res-Rec Equations'!$B$32)+(('Res-Rec Equations'!$B$27*'Res-Rec Equations'!$B$30)/'Res-Rec Equations'!$B$33)+(('Res-Rec Equations'!$B$28*'Res-Rec Equations'!$B$31)/'Res-Rec Equations'!$B$34)))))))</f>
        <v>4.9600924608819354E-2</v>
      </c>
      <c r="I199" s="166">
        <f>IF('Chemical Info'!H200="NA","NA",IF('Chemical Info'!E200="Yes",0,IF('Chemical Info'!D200="Yes",'Chemical Info'!H200/'Chemical Info'!AF200*('Res-Rec Equations'!$B$21*'Chemical Info'!AB200*'Res-Rec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Info'!H200/'Chemical Info'!AF200*('Res-Rec Equations'!$B$21*'Chemical Info'!AB200*'Res-Rec Equations'!$B$23)*((('Res-Rec Equations'!$B$26*'Res-Rec Equations'!$B$37*'Res-Rec Equations'!$B$40)/'Res-Rec Equations'!$B$32)+(('Res-Rec Equations'!$B$27*'Res-Rec Equations'!$B$38*'Res-Rec Equations'!$B$41)/'Res-Rec Equations'!$B$33)+(('Res-Rec Equations'!$B$28*'Res-Rec Equations'!$B$39*'Res-Rec Equations'!$B$42)/'Res-Rec Equations'!$B$34)))))</f>
        <v>4.8391731223328596E-3</v>
      </c>
      <c r="J199" s="369">
        <f>IF('Chemical Info'!J200="NA","NA",IF(AND(E199="NA",'Chemical Info'!D200="Yes"),'Res-Rec Equations'!$B$22*1000*(('Res-Rec Equations'!$B$26*'Chemical Info'!J200*'Res-Rec Equations'!$B$59)+('Res-Rec Equations'!$B$27*'Chemical Info'!J200*'Res-Rec Equations'!$B$60)+('Res-Rec Equations'!$B$28*'Chemical Info'!J200*'Res-Rec Equations'!$B$61))*'Res-Rec Calculations'!C199,IF(AND(E199="NA",'Chemical Info'!D200=""),'Res-Rec Equations'!$B$22*1000*'Res-Rec Equations'!$B$25*'Chemical Info'!J200*'Res-Rec Calculations'!C199,IF(AND('Chemical Info'!E200="Yes",'Chemical Info'!D200="Yes"),'Res-Rec Equations'!$B$22*1000*(('Res-Rec Equations'!$B$26*'Chemical Info'!J200*'Res-Rec Equations'!$B$59)+('Res-Rec Equations'!$B$27*'Chemical Info'!J200*'Res-Rec Equations'!$B$60)+('Res-Rec Equations'!$B$28*'Chemical Info'!J200*'Res-Rec Equations'!$B$61))*'Res-Rec Calculations'!E199,IF(AND('Chemical Info'!E200="Yes",'Chemical Info'!D200=""),'Res-Rec Equations'!$B$22*1000*'Res-Rec Equations'!$B$25*'Chemical Info'!J200*'Res-Rec Calculations'!E199,IF('Chemical Info'!D200="Yes",'Res-Rec Equations'!$B$22*1000*(('Res-Rec Equations'!$B$26*'Chemical Info'!J200*'Res-Rec Equations'!$B$59)+('Res-Rec Equations'!$B$27*'Chemical Info'!J200*'Res-Rec Equations'!$B$60)+('Res-Rec Equations'!$B$28*'Chemical Info'!J200*'Res-Rec Equations'!$B$61))*('Res-Rec Calculations'!C199+'Res-Rec Calculations'!E199),IF('Chemical Info'!D200="",'Res-Rec Equations'!$B$22*1000*'Res-Rec Equations'!$B$25*'Chemical Info'!J200*('Res-Rec Calculations'!C199+'Res-Rec Calculations'!E199))))))))</f>
        <v>2.0249336667214619E-3</v>
      </c>
      <c r="K199" s="370">
        <f>IF('Chemical Info'!J200="NA","NA",IF(AND(F199="NA",'Chemical Info'!D200="Yes"),'Res-Rec Equations'!$B$22*1000*(('Res-Rec Equations'!$B$26*'Chemical Info'!J200*'Res-Rec Equations'!$B$59)+('Res-Rec Equations'!$B$27*'Chemical Info'!J200*'Res-Rec Equations'!$B$60)+('Res-Rec Equations'!$B$28*'Chemical Info'!J200*'Res-Rec Equations'!$B$61))*'Res-Rec Calculations'!C199,IF(AND(F199="NA",'Chemical Info'!D200=""),'Res-Rec Equations'!$B$22*1000*'Res-Rec Equations'!$B$25*'Chemical Info'!J200*'Res-Rec Calculations'!C199,IF(AND('Chemical Info'!F200="Yes",'Chemical Info'!D200="Yes"),'Res-Rec Equations'!$B$22*1000*(('Res-Rec Equations'!$B$26*'Chemical Info'!J200*'Res-Rec Equations'!$B$59)+('Res-Rec Equations'!$B$27*'Chemical Info'!J200*'Res-Rec Equations'!$B$60)+('Res-Rec Equations'!$B$28*'Chemical Info'!J200*'Res-Rec Equations'!$B$61))*'Res-Rec Calculations'!F199,IF(AND('Chemical Info'!F200="Yes",'Chemical Info'!D200=""),'Res-Rec Equations'!$B$22*1000*'Res-Rec Equations'!$B$25*'Chemical Info'!J200*'Res-Rec Calculations'!F199,IF('Chemical Info'!D200="Yes",'Res-Rec Equations'!$B$22*1000*(('Res-Rec Equations'!$B$26*'Chemical Info'!J200*'Res-Rec Equations'!$B$59)+('Res-Rec Equations'!$B$27*'Chemical Info'!J200*'Res-Rec Equations'!$B$60)+('Res-Rec Equations'!$B$28*'Chemical Info'!J200*'Res-Rec Equations'!$B$61))*('Res-Rec Calculations'!C199+'Res-Rec Calculations'!F199),IF('Chemical Info'!D200="",'Res-Rec Equations'!$B$22*1000*'Res-Rec Equations'!$B$25*'Chemical Info'!J200*('Res-Rec Calculations'!C199+'Res-Rec Calculations'!F199))))))))</f>
        <v>0.1247590198284021</v>
      </c>
      <c r="L199" s="167">
        <f>IF(AND(H199="NA",I199="NA",J199="NA"),"NA",IF(H199="NA",'Res-Rec Equations'!$B$15*'Res-Rec Equations'!$B$16/J199,IF(J199="NA",'Res-Rec Equations'!$B$15*'Res-Rec Equations'!$B$16/(H199+I199),'Res-Rec Equations'!$B$15*'Res-Rec Equations'!$B$16/(H199+I199+J199))))</f>
        <v>4.5249244297705546</v>
      </c>
      <c r="M199" s="167">
        <f>IF(AND(H199="NA",I199="NA",K199="NA"),"NA",IF(H199="NA",'Res-Rec Equations'!$B$15*'Res-Rec Equations'!$B$16/K199,IF(K199="NA",'Res-Rec Equations'!$B$15*'Res-Rec Equations'!$B$16/(H199+I199),'Res-Rec Equations'!$B$15*'Res-Rec Equations'!$B$16/(H199+I199+K199))))</f>
        <v>1.4257882710560121</v>
      </c>
      <c r="N199" s="167">
        <f t="shared" si="266"/>
        <v>4.5249244297705546</v>
      </c>
      <c r="O199" s="371">
        <f>IF('Chemical Info'!L200="NA","NA",IF('Chemical Info'!E200="Yes",(('Res-Rec Equations'!$B$76*'Chemical Info'!AD200*'Res-Rec Equations'!$B$78*'Res-Rec Equations'!$B$79*'Res-Rec Equations'!$B$81)/('Res-Rec Equations'!$B$84*'Res-Rec Equations'!$B$85))/'Chemical Info'!L200,(('Res-Rec Equations'!$B$76*'Chemical Info'!AD200*'Res-Rec Equations'!$B$78*'Res-Rec Equations'!$B$79*'Res-Rec Equations'!$B$80)/('Res-Rec Equations'!$B$84*'Res-Rec Equations'!$B$85))/'Chemical Info'!L200))</f>
        <v>15.981735159817351</v>
      </c>
      <c r="P199" s="166">
        <f>IF('Chemical Info'!L200="NA","NA", IF('Chemical Info'!E200="Yes",0,((('Res-Rec Equations'!$B$87*'Res-Rec Equations'!$B$88*'Res-Rec Equations'!$B$78*'Res-Rec Equations'!$B$82*'Res-Rec Equations'!$B$79*'Chemical Info'!AB200)/('Res-Rec Equations'!$B$84*'Res-Rec Equations'!$B$85))/('Chemical Info'!L200*'Chemical Info'!AF200))))</f>
        <v>1.0835616438356166</v>
      </c>
      <c r="Q199" s="166" t="str">
        <f>IF('Chemical Info'!N200="NA","NA",IF('Res-Rec Calculations'!E199="NA",(('Res-Rec Equations'!$B$83*'Res-Rec Equations'!$B$79*'Res-Rec Calculations'!C199)/('Res-Rec Equations'!$B$85))/('Chemical Info'!N200),IF('Chemical Info'!E200="Yes",(('Res-Rec Equations'!$B$83*'Res-Rec Equations'!$B$79*'Res-Rec Calculations'!E199)/('Res-Rec Equations'!$B$85))/('Chemical Info'!N200),(('Res-Rec Equations'!$B$83*'Res-Rec Equations'!$B$79*('Res-Rec Calculations'!C199+'Res-Rec Calculations'!E199))/('Res-Rec Equations'!$B$85))/('Chemical Info'!N200))))</f>
        <v>NA</v>
      </c>
      <c r="R199" s="166" t="str">
        <f>IF('Chemical Info'!N200="NA","NA",IF('Res-Rec Calculations'!F199="NA",(('Res-Rec Equations'!$B$83*'Res-Rec Equations'!$B$79*'Res-Rec Calculations'!C199)/('Res-Rec Equations'!$B$85))/('Chemical Info'!N200),IF('Chemical Info'!E200="Yes",(('Res-Rec Equations'!$B$83*'Res-Rec Equations'!$B$79*'Res-Rec Calculations'!F199)/('Res-Rec Equations'!$B$85))/('Chemical Info'!N200),(('Res-Rec Equations'!$B$83*'Res-Rec Equations'!$B$79*('Res-Rec Calculations'!C199+'Res-Rec Calculations'!F199))/('Res-Rec Equations'!$B$85))/('Chemical Info'!N200))))</f>
        <v>NA</v>
      </c>
      <c r="S199" s="167">
        <f>IF(AND(O199="NA",P199="NA",Q199="NA"),"NA",IF(O199="NA",'Res-Rec Equations'!$B$75/Q199,IF(Q199="NA",'Res-Rec Equations'!$B$75/(O199+P199),'Res-Rec Equations'!$B$75/(O199+P199+Q199))))</f>
        <v>1.1719690685789208E-2</v>
      </c>
      <c r="T199" s="167">
        <f>IF(AND(O199="NA",P199="NA",R199="NA"),"NA",IF(O199="NA",'Res-Rec Equations'!$B$75/R199,IF(R199="NA",'Res-Rec Equations'!$B$75/(O199+P199),'Res-Rec Equations'!$B$75/(O199+P199+R199))))</f>
        <v>1.1719690685789208E-2</v>
      </c>
      <c r="U199" s="168">
        <f t="shared" si="267"/>
        <v>1.1719690685789208E-2</v>
      </c>
      <c r="V199" s="167" t="str">
        <f>IF('Chemical Info'!P200="NA","NA",(('Res-Rec Equations'!$B$185*'Res-Rec Equations'!$B$186)/('Res-Rec Equations'!$B$187*'Res-Rec Equations'!$B$188*(1/'Chemical Info'!P200))))</f>
        <v>NA</v>
      </c>
      <c r="W199" s="379" t="str">
        <f t="shared" si="268"/>
        <v>NA</v>
      </c>
      <c r="X199" s="372">
        <f t="shared" si="269"/>
        <v>1.1719690685789208E-2</v>
      </c>
      <c r="Y199" s="62">
        <f t="shared" si="270"/>
        <v>1.2E-2</v>
      </c>
      <c r="Z199" s="100" t="str">
        <f t="shared" si="271"/>
        <v>Noncancer</v>
      </c>
      <c r="AA199" s="373"/>
    </row>
    <row r="200" spans="1:27">
      <c r="A200" s="413" t="s">
        <v>122</v>
      </c>
      <c r="B200" s="566" t="s">
        <v>208</v>
      </c>
      <c r="C200" s="367">
        <f>1/(('Res-Rec Equations'!$B$152*3600)/((0.036*(1-'Res-Rec Equations'!$B$153))*('Res-Rec Equations'!$B$154/'Res-Rec Equations'!$B$155)^3*'Res-Rec Equations'!$B$156))</f>
        <v>7.3567680901159717E-10</v>
      </c>
      <c r="D200" s="368">
        <f>(('Res-Rec Equations'!$B$132^(10/3)*'Chemical Info'!$AH201*'Chemical Info'!$AN201*41+'Res-Rec Equations'!$B$135^(10/3)*'Chemical Info'!$AJ201)/'Res-Rec Equations'!$B$137^2)/('Res-Rec Equations'!$B$139*'Chemical Info'!$AL201*'Res-Rec Equations'!$B$142+'Res-Rec Equations'!$B$135+'Res-Rec Equations'!$B$132*'Chemical Info'!$AN201*41)</f>
        <v>2.9267001820316096E-8</v>
      </c>
      <c r="E200" s="368">
        <f>IF(D200=0,"NA",1/(('Res-Rec Equations'!$B$103*(3.14*'Res-Rec Calculations'!$D200*'Res-Rec Equations'!$B$105)^(1/2)*0.0001)/(2*'Res-Rec Equations'!$B$106*'Res-Rec Calculations'!$D200)))</f>
        <v>1.004194182606106E-6</v>
      </c>
      <c r="F200" s="368">
        <f>IF(D200=0,"NA",(1/('Res-Rec Equations'!$B$117*('Res-Rec Equations'!$B$118*(31500000))/('Res-Rec Equations'!$B$119*'Res-Rec Equations'!$B$120*1000000))))</f>
        <v>6.1914410640015851E-5</v>
      </c>
      <c r="G200" s="167" t="str">
        <f>IF('Chemical Info'!E201="Yes",('Chemical Info'!AP201/'Res-Rec Equations'!$B$168)*((('Chemical Info'!AL201*'Res-Rec Equations'!$B$170)*'Res-Rec Equations'!$B$168)+'Res-Rec Equations'!$B$171+('Chemical Info'!AN201*41)*'Res-Rec Equations'!$B$173),"NA")</f>
        <v>NA</v>
      </c>
      <c r="H200" s="112">
        <f>IF('Chemical Info'!H201="NA","NA",IF(AND('Chemical Info'!E201="Yes",'Chemical Info'!D201="Yes"),'Chemical Info'!H201*'Chemical Info'!AD201*'Res-Rec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Info'!E201="Yes",'Chemical Info'!D201=""),'Chemical Info'!H201*'Chemical Info'!AD201*'Res-Rec Equations'!$B$20*'Res-Rec Equations'!$B$23*((('Res-Rec Equations'!$B$26*'Res-Rec Equations'!$B$29)/'Res-Rec Equations'!$B$32)+(('Res-Rec Equations'!$B$27*'Res-Rec Equations'!$B$30)/'Res-Rec Equations'!$B$33)+(('Res-Rec Equations'!$B$28*'Res-Rec Equations'!$B$31)/'Res-Rec Equations'!$B$34)),IF(AND('Chemical Info'!E201="No",'Chemical Info'!D201="Yes"),'Chemical Info'!H201*'Chemical Info'!AD201*'Res-Rec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Info'!E201="No",'Chemical Info'!D201=""),'Chemical Info'!H201*'Chemical Info'!AD201*'Res-Rec Equations'!$B$19*'Res-Rec Equations'!$B$23*((('Res-Rec Equations'!$B$26*'Res-Rec Equations'!$B$29)/'Res-Rec Equations'!$B$32)+(('Res-Rec Equations'!$B$27*'Res-Rec Equations'!$B$30)/'Res-Rec Equations'!$B$33)+(('Res-Rec Equations'!$B$28*'Res-Rec Equations'!$B$31)/'Res-Rec Equations'!$B$34)))))))</f>
        <v>0.18036699857752489</v>
      </c>
      <c r="I200" s="166">
        <f>IF('Chemical Info'!H201="NA","NA",IF('Chemical Info'!E201="Yes",0,IF('Chemical Info'!D201="Yes",'Chemical Info'!H201/'Chemical Info'!AF201*('Res-Rec Equations'!$B$21*'Chemical Info'!AB201*'Res-Rec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Info'!H201/'Chemical Info'!AF201*('Res-Rec Equations'!$B$21*'Chemical Info'!AB201*'Res-Rec Equations'!$B$23)*((('Res-Rec Equations'!$B$26*'Res-Rec Equations'!$B$37*'Res-Rec Equations'!$B$40)/'Res-Rec Equations'!$B$32)+(('Res-Rec Equations'!$B$27*'Res-Rec Equations'!$B$38*'Res-Rec Equations'!$B$41)/'Res-Rec Equations'!$B$33)+(('Res-Rec Equations'!$B$28*'Res-Rec Equations'!$B$39*'Res-Rec Equations'!$B$42)/'Res-Rec Equations'!$B$34)))))</f>
        <v>4.3992482930298719E-2</v>
      </c>
      <c r="J200" s="369">
        <f>IF('Chemical Info'!J201="NA","NA",IF(AND(E200="NA",'Chemical Info'!D201="Yes"),'Res-Rec Equations'!$B$22*1000*(('Res-Rec Equations'!$B$26*'Chemical Info'!J201*'Res-Rec Equations'!$B$59)+('Res-Rec Equations'!$B$27*'Chemical Info'!J201*'Res-Rec Equations'!$B$60)+('Res-Rec Equations'!$B$28*'Chemical Info'!J201*'Res-Rec Equations'!$B$61))*'Res-Rec Calculations'!C200,IF(AND(E200="NA",'Chemical Info'!D201=""),'Res-Rec Equations'!$B$22*1000*'Res-Rec Equations'!$B$25*'Chemical Info'!J201*'Res-Rec Calculations'!C200,IF(AND('Chemical Info'!E201="Yes",'Chemical Info'!D201="Yes"),'Res-Rec Equations'!$B$22*1000*(('Res-Rec Equations'!$B$26*'Chemical Info'!J201*'Res-Rec Equations'!$B$59)+('Res-Rec Equations'!$B$27*'Chemical Info'!J201*'Res-Rec Equations'!$B$60)+('Res-Rec Equations'!$B$28*'Chemical Info'!J201*'Res-Rec Equations'!$B$61))*'Res-Rec Calculations'!E200,IF(AND('Chemical Info'!E201="Yes",'Chemical Info'!D201=""),'Res-Rec Equations'!$B$22*1000*'Res-Rec Equations'!$B$25*'Chemical Info'!J201*'Res-Rec Calculations'!E200,IF('Chemical Info'!D201="Yes",'Res-Rec Equations'!$B$22*1000*(('Res-Rec Equations'!$B$26*'Chemical Info'!J201*'Res-Rec Equations'!$B$59)+('Res-Rec Equations'!$B$27*'Chemical Info'!J201*'Res-Rec Equations'!$B$60)+('Res-Rec Equations'!$B$28*'Chemical Info'!J201*'Res-Rec Equations'!$B$61))*('Res-Rec Calculations'!C200+'Res-Rec Calculations'!E200),IF('Chemical Info'!D201="",'Res-Rec Equations'!$B$22*1000*'Res-Rec Equations'!$B$25*'Chemical Info'!J201*('Res-Rec Calculations'!C200+'Res-Rec Calculations'!E200))))))))</f>
        <v>3.3313424839611153E-3</v>
      </c>
      <c r="K200" s="370">
        <f>IF('Chemical Info'!J201="NA","NA",IF(AND(F200="NA",'Chemical Info'!D201="Yes"),'Res-Rec Equations'!$B$22*1000*(('Res-Rec Equations'!$B$26*'Chemical Info'!J201*'Res-Rec Equations'!$B$59)+('Res-Rec Equations'!$B$27*'Chemical Info'!J201*'Res-Rec Equations'!$B$60)+('Res-Rec Equations'!$B$28*'Chemical Info'!J201*'Res-Rec Equations'!$B$61))*'Res-Rec Calculations'!C200,IF(AND(F200="NA",'Chemical Info'!D201=""),'Res-Rec Equations'!$B$22*1000*'Res-Rec Equations'!$B$25*'Chemical Info'!J201*'Res-Rec Calculations'!C200,IF(AND('Chemical Info'!F201="Yes",'Chemical Info'!D201="Yes"),'Res-Rec Equations'!$B$22*1000*(('Res-Rec Equations'!$B$26*'Chemical Info'!J201*'Res-Rec Equations'!$B$59)+('Res-Rec Equations'!$B$27*'Chemical Info'!J201*'Res-Rec Equations'!$B$60)+('Res-Rec Equations'!$B$28*'Chemical Info'!J201*'Res-Rec Equations'!$B$61))*'Res-Rec Calculations'!F200,IF(AND('Chemical Info'!F201="Yes",'Chemical Info'!D201=""),'Res-Rec Equations'!$B$22*1000*'Res-Rec Equations'!$B$25*'Chemical Info'!J201*'Res-Rec Calculations'!F200,IF('Chemical Info'!D201="Yes",'Res-Rec Equations'!$B$22*1000*(('Res-Rec Equations'!$B$26*'Chemical Info'!J201*'Res-Rec Equations'!$B$59)+('Res-Rec Equations'!$B$27*'Chemical Info'!J201*'Res-Rec Equations'!$B$60)+('Res-Rec Equations'!$B$28*'Chemical Info'!J201*'Res-Rec Equations'!$B$61))*('Res-Rec Calculations'!C200+'Res-Rec Calculations'!F200),IF('Chemical Info'!D201="",'Res-Rec Equations'!$B$22*1000*'Res-Rec Equations'!$B$25*'Chemical Info'!J201*('Res-Rec Calculations'!C200+'Res-Rec Calculations'!F200))))))))</f>
        <v>0.20524871004027445</v>
      </c>
      <c r="L200" s="167">
        <f>IF(AND(H200="NA",I200="NA",J200="NA"),"NA",IF(H200="NA",'Res-Rec Equations'!$B$15*'Res-Rec Equations'!$B$16/J200,IF(J200="NA",'Res-Rec Equations'!$B$15*'Res-Rec Equations'!$B$16/(H200+I200),'Res-Rec Equations'!$B$15*'Res-Rec Equations'!$B$16/(H200+I200+J200))))</f>
        <v>1.1221356904976489</v>
      </c>
      <c r="M200" s="167">
        <f>IF(AND(H200="NA",I200="NA",K200="NA"),"NA",IF(H200="NA",'Res-Rec Equations'!$B$15*'Res-Rec Equations'!$B$16/K200,IF(K200="NA",'Res-Rec Equations'!$B$15*'Res-Rec Equations'!$B$16/(H200+I200),'Res-Rec Equations'!$B$15*'Res-Rec Equations'!$B$16/(H200+I200+K200))))</f>
        <v>0.59472795218197039</v>
      </c>
      <c r="N200" s="167">
        <f t="shared" si="266"/>
        <v>1.1221356904976489</v>
      </c>
      <c r="O200" s="371" t="str">
        <f>IF('Chemical Info'!L201="NA","NA",IF('Chemical Info'!E201="Yes",(('Res-Rec Equations'!$B$76*'Chemical Info'!AD201*'Res-Rec Equations'!$B$78*'Res-Rec Equations'!$B$79*'Res-Rec Equations'!$B$81)/('Res-Rec Equations'!$B$84*'Res-Rec Equations'!$B$85))/'Chemical Info'!L201,(('Res-Rec Equations'!$B$76*'Chemical Info'!AD201*'Res-Rec Equations'!$B$78*'Res-Rec Equations'!$B$79*'Res-Rec Equations'!$B$80)/('Res-Rec Equations'!$B$84*'Res-Rec Equations'!$B$85))/'Chemical Info'!L201))</f>
        <v>NA</v>
      </c>
      <c r="P200" s="166" t="str">
        <f>IF('Chemical Info'!L201="NA","NA", IF('Chemical Info'!E201="Yes",0,((('Res-Rec Equations'!$B$87*'Res-Rec Equations'!$B$88*'Res-Rec Equations'!$B$78*'Res-Rec Equations'!$B$82*'Res-Rec Equations'!$B$79*'Chemical Info'!AB201)/('Res-Rec Equations'!$B$84*'Res-Rec Equations'!$B$85))/('Chemical Info'!L201*'Chemical Info'!AF201))))</f>
        <v>NA</v>
      </c>
      <c r="Q200" s="166" t="str">
        <f>IF('Chemical Info'!N201="NA","NA",IF('Res-Rec Calculations'!E200="NA",(('Res-Rec Equations'!$B$83*'Res-Rec Equations'!$B$79*'Res-Rec Calculations'!C200)/('Res-Rec Equations'!$B$85))/('Chemical Info'!N201),IF('Chemical Info'!E201="Yes",(('Res-Rec Equations'!$B$83*'Res-Rec Equations'!$B$79*'Res-Rec Calculations'!E200)/('Res-Rec Equations'!$B$85))/('Chemical Info'!N201),(('Res-Rec Equations'!$B$83*'Res-Rec Equations'!$B$79*('Res-Rec Calculations'!C200+'Res-Rec Calculations'!E200))/('Res-Rec Equations'!$B$85))/('Chemical Info'!N201))))</f>
        <v>NA</v>
      </c>
      <c r="R200" s="166" t="str">
        <f>IF('Chemical Info'!N201="NA","NA",IF('Res-Rec Calculations'!F200="NA",(('Res-Rec Equations'!$B$83*'Res-Rec Equations'!$B$79*'Res-Rec Calculations'!C200)/('Res-Rec Equations'!$B$85))/('Chemical Info'!N201),IF('Chemical Info'!E201="Yes",(('Res-Rec Equations'!$B$83*'Res-Rec Equations'!$B$79*'Res-Rec Calculations'!F200)/('Res-Rec Equations'!$B$85))/('Chemical Info'!N201),(('Res-Rec Equations'!$B$83*'Res-Rec Equations'!$B$79*('Res-Rec Calculations'!C200+'Res-Rec Calculations'!F200))/('Res-Rec Equations'!$B$85))/('Chemical Info'!N201))))</f>
        <v>NA</v>
      </c>
      <c r="S200" s="167" t="str">
        <f>IF(AND(O200="NA",P200="NA",Q200="NA"),"NA",IF(O200="NA",'Res-Rec Equations'!$B$75/Q200,IF(Q200="NA",'Res-Rec Equations'!$B$75/(O200+P200),'Res-Rec Equations'!$B$75/(O200+P200+Q200))))</f>
        <v>NA</v>
      </c>
      <c r="T200" s="167" t="str">
        <f>IF(AND(O200="NA",P200="NA",R200="NA"),"NA",IF(O200="NA",'Res-Rec Equations'!$B$75/R200,IF(R200="NA",'Res-Rec Equations'!$B$75/(O200+P200),'Res-Rec Equations'!$B$75/(O200+P200+R200))))</f>
        <v>NA</v>
      </c>
      <c r="U200" s="168" t="str">
        <f t="shared" si="267"/>
        <v>NA</v>
      </c>
      <c r="V200" s="167" t="str">
        <f>IF('Chemical Info'!P201="NA","NA",(('Res-Rec Equations'!$B$185*'Res-Rec Equations'!$B$186)/('Res-Rec Equations'!$B$187*'Res-Rec Equations'!$B$188*(1/'Chemical Info'!P201))))</f>
        <v>NA</v>
      </c>
      <c r="W200" s="379" t="str">
        <f t="shared" si="268"/>
        <v>NA</v>
      </c>
      <c r="X200" s="372">
        <f t="shared" si="269"/>
        <v>1.1221356904976489</v>
      </c>
      <c r="Y200" s="62">
        <f t="shared" si="270"/>
        <v>1.1000000000000001</v>
      </c>
      <c r="Z200" s="100" t="str">
        <f t="shared" si="271"/>
        <v>Cancer</v>
      </c>
      <c r="AA200" s="373"/>
    </row>
    <row r="201" spans="1:27">
      <c r="A201" s="373" t="s">
        <v>393</v>
      </c>
      <c r="B201" s="566" t="s">
        <v>79</v>
      </c>
      <c r="C201" s="367">
        <f>1/(('Res-Rec Equations'!$B$152*3600)/((0.036*(1-'Res-Rec Equations'!$B$153))*('Res-Rec Equations'!$B$154/'Res-Rec Equations'!$B$155)^3*'Res-Rec Equations'!$B$156))</f>
        <v>7.3567680901159717E-10</v>
      </c>
      <c r="D201" s="368">
        <f>(('Res-Rec Equations'!$B$132^(10/3)*'Chemical Info'!$AH202*'Chemical Info'!$AN202*41+'Res-Rec Equations'!$B$135^(10/3)*'Chemical Info'!$AJ202)/'Res-Rec Equations'!$B$137^2)/('Res-Rec Equations'!$B$139*'Chemical Info'!$AL202*'Res-Rec Equations'!$B$142+'Res-Rec Equations'!$B$135+'Res-Rec Equations'!$B$132*'Chemical Info'!$AN202*41)</f>
        <v>1.0566418814571043E-7</v>
      </c>
      <c r="E201" s="368">
        <f>IF(D201=0,"NA",1/(('Res-Rec Equations'!$B$103*(3.14*'Res-Rec Calculations'!$D201*'Res-Rec Equations'!$B$105)^(1/2)*0.0001)/(2*'Res-Rec Equations'!$B$106*'Res-Rec Calculations'!$D201)))</f>
        <v>1.9080620513615603E-6</v>
      </c>
      <c r="F201" s="368">
        <f>IF(D201=0,"NA",(1/('Res-Rec Equations'!$B$117*('Res-Rec Equations'!$B$118*(31500000))/('Res-Rec Equations'!$B$119*'Res-Rec Equations'!$B$120*1000000))))</f>
        <v>6.1914410640015851E-5</v>
      </c>
      <c r="G201" s="167" t="str">
        <f>IF('Chemical Info'!E202="Yes",('Chemical Info'!AP202/'Res-Rec Equations'!$B$168)*((('Chemical Info'!AL202*'Res-Rec Equations'!$B$170)*'Res-Rec Equations'!$B$168)+'Res-Rec Equations'!$B$171+('Chemical Info'!AN202*41)*'Res-Rec Equations'!$B$173),"NA")</f>
        <v>NA</v>
      </c>
      <c r="H201" s="112" t="str">
        <f>IF('Chemical Info'!H202="NA","NA",IF(AND('Chemical Info'!E202="Yes",'Chemical Info'!D202="Yes"),'Chemical Info'!H202*'Chemical Info'!AD202*'Res-Rec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Info'!E202="Yes",'Chemical Info'!D202=""),'Chemical Info'!H202*'Chemical Info'!AD202*'Res-Rec Equations'!$B$20*'Res-Rec Equations'!$B$23*((('Res-Rec Equations'!$B$26*'Res-Rec Equations'!$B$29)/'Res-Rec Equations'!$B$32)+(('Res-Rec Equations'!$B$27*'Res-Rec Equations'!$B$30)/'Res-Rec Equations'!$B$33)+(('Res-Rec Equations'!$B$28*'Res-Rec Equations'!$B$31)/'Res-Rec Equations'!$B$34)),IF(AND('Chemical Info'!E202="No",'Chemical Info'!D202="Yes"),'Chemical Info'!H202*'Chemical Info'!AD202*'Res-Rec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Info'!E202="No",'Chemical Info'!D202=""),'Chemical Info'!H202*'Chemical Info'!AD202*'Res-Rec Equations'!$B$19*'Res-Rec Equations'!$B$23*((('Res-Rec Equations'!$B$26*'Res-Rec Equations'!$B$29)/'Res-Rec Equations'!$B$32)+(('Res-Rec Equations'!$B$27*'Res-Rec Equations'!$B$30)/'Res-Rec Equations'!$B$33)+(('Res-Rec Equations'!$B$28*'Res-Rec Equations'!$B$31)/'Res-Rec Equations'!$B$34)))))))</f>
        <v>NA</v>
      </c>
      <c r="I201" s="166" t="str">
        <f>IF('Chemical Info'!H202="NA","NA",IF('Chemical Info'!E202="Yes",0,IF('Chemical Info'!D202="Yes",'Chemical Info'!H202/'Chemical Info'!AF202*('Res-Rec Equations'!$B$21*'Chemical Info'!AB202*'Res-Rec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Info'!H202/'Chemical Info'!AF202*('Res-Rec Equations'!$B$21*'Chemical Info'!AB202*'Res-Rec Equations'!$B$23)*((('Res-Rec Equations'!$B$26*'Res-Rec Equations'!$B$37*'Res-Rec Equations'!$B$40)/'Res-Rec Equations'!$B$32)+(('Res-Rec Equations'!$B$27*'Res-Rec Equations'!$B$38*'Res-Rec Equations'!$B$41)/'Res-Rec Equations'!$B$33)+(('Res-Rec Equations'!$B$28*'Res-Rec Equations'!$B$39*'Res-Rec Equations'!$B$42)/'Res-Rec Equations'!$B$34)))))</f>
        <v>NA</v>
      </c>
      <c r="J201" s="369" t="str">
        <f>IF('Chemical Info'!J202="NA","NA",IF(AND(E201="NA",'Chemical Info'!D202="Yes"),'Res-Rec Equations'!$B$22*1000*(('Res-Rec Equations'!$B$26*'Chemical Info'!J202*'Res-Rec Equations'!$B$59)+('Res-Rec Equations'!$B$27*'Chemical Info'!J202*'Res-Rec Equations'!$B$60)+('Res-Rec Equations'!$B$28*'Chemical Info'!J202*'Res-Rec Equations'!$B$61))*'Res-Rec Calculations'!C201,IF(AND(E201="NA",'Chemical Info'!D202=""),'Res-Rec Equations'!$B$22*1000*'Res-Rec Equations'!$B$25*'Chemical Info'!J202*'Res-Rec Calculations'!C201,IF(AND('Chemical Info'!E202="Yes",'Chemical Info'!D202="Yes"),'Res-Rec Equations'!$B$22*1000*(('Res-Rec Equations'!$B$26*'Chemical Info'!J202*'Res-Rec Equations'!$B$59)+('Res-Rec Equations'!$B$27*'Chemical Info'!J202*'Res-Rec Equations'!$B$60)+('Res-Rec Equations'!$B$28*'Chemical Info'!J202*'Res-Rec Equations'!$B$61))*'Res-Rec Calculations'!E201,IF(AND('Chemical Info'!E202="Yes",'Chemical Info'!D202=""),'Res-Rec Equations'!$B$22*1000*'Res-Rec Equations'!$B$25*'Chemical Info'!J202*'Res-Rec Calculations'!E201,IF('Chemical Info'!D202="Yes",'Res-Rec Equations'!$B$22*1000*(('Res-Rec Equations'!$B$26*'Chemical Info'!J202*'Res-Rec Equations'!$B$59)+('Res-Rec Equations'!$B$27*'Chemical Info'!J202*'Res-Rec Equations'!$B$60)+('Res-Rec Equations'!$B$28*'Chemical Info'!J202*'Res-Rec Equations'!$B$61))*('Res-Rec Calculations'!C201+'Res-Rec Calculations'!E201),IF('Chemical Info'!D202="",'Res-Rec Equations'!$B$22*1000*'Res-Rec Equations'!$B$25*'Chemical Info'!J202*('Res-Rec Calculations'!C201+'Res-Rec Calculations'!E201))))))))</f>
        <v>NA</v>
      </c>
      <c r="K201" s="370" t="str">
        <f>IF('Chemical Info'!J202="NA","NA",IF(AND(F201="NA",'Chemical Info'!D202="Yes"),'Res-Rec Equations'!$B$22*1000*(('Res-Rec Equations'!$B$26*'Chemical Info'!J202*'Res-Rec Equations'!$B$59)+('Res-Rec Equations'!$B$27*'Chemical Info'!J202*'Res-Rec Equations'!$B$60)+('Res-Rec Equations'!$B$28*'Chemical Info'!J202*'Res-Rec Equations'!$B$61))*'Res-Rec Calculations'!C201,IF(AND(F201="NA",'Chemical Info'!D202=""),'Res-Rec Equations'!$B$22*1000*'Res-Rec Equations'!$B$25*'Chemical Info'!J202*'Res-Rec Calculations'!C201,IF(AND('Chemical Info'!F202="Yes",'Chemical Info'!D202="Yes"),'Res-Rec Equations'!$B$22*1000*(('Res-Rec Equations'!$B$26*'Chemical Info'!J202*'Res-Rec Equations'!$B$59)+('Res-Rec Equations'!$B$27*'Chemical Info'!J202*'Res-Rec Equations'!$B$60)+('Res-Rec Equations'!$B$28*'Chemical Info'!J202*'Res-Rec Equations'!$B$61))*'Res-Rec Calculations'!F201,IF(AND('Chemical Info'!F202="Yes",'Chemical Info'!D202=""),'Res-Rec Equations'!$B$22*1000*'Res-Rec Equations'!$B$25*'Chemical Info'!J202*'Res-Rec Calculations'!F201,IF('Chemical Info'!D202="Yes",'Res-Rec Equations'!$B$22*1000*(('Res-Rec Equations'!$B$26*'Chemical Info'!J202*'Res-Rec Equations'!$B$59)+('Res-Rec Equations'!$B$27*'Chemical Info'!J202*'Res-Rec Equations'!$B$60)+('Res-Rec Equations'!$B$28*'Chemical Info'!J202*'Res-Rec Equations'!$B$61))*('Res-Rec Calculations'!C201+'Res-Rec Calculations'!F201),IF('Chemical Info'!D202="",'Res-Rec Equations'!$B$22*1000*'Res-Rec Equations'!$B$25*'Chemical Info'!J202*('Res-Rec Calculations'!C201+'Res-Rec Calculations'!F201))))))))</f>
        <v>NA</v>
      </c>
      <c r="L201" s="167" t="str">
        <f>IF(AND(H201="NA",I201="NA",J201="NA"),"NA",IF(H201="NA",'Res-Rec Equations'!$B$15*'Res-Rec Equations'!$B$16/J201,IF(J201="NA",'Res-Rec Equations'!$B$15*'Res-Rec Equations'!$B$16/(H201+I201),'Res-Rec Equations'!$B$15*'Res-Rec Equations'!$B$16/(H201+I201+J201))))</f>
        <v>NA</v>
      </c>
      <c r="M201" s="167" t="str">
        <f>IF(AND(H201="NA",I201="NA",K201="NA"),"NA",IF(H201="NA",'Res-Rec Equations'!$B$15*'Res-Rec Equations'!$B$16/K201,IF(K201="NA",'Res-Rec Equations'!$B$15*'Res-Rec Equations'!$B$16/(H201+I201),'Res-Rec Equations'!$B$15*'Res-Rec Equations'!$B$16/(H201+I201+K201))))</f>
        <v>NA</v>
      </c>
      <c r="N201" s="167" t="str">
        <f t="shared" si="266"/>
        <v>NA</v>
      </c>
      <c r="O201" s="371">
        <f>IF('Chemical Info'!L202="NA","NA",IF('Chemical Info'!E202="Yes",(('Res-Rec Equations'!$B$76*'Chemical Info'!AD202*'Res-Rec Equations'!$B$78*'Res-Rec Equations'!$B$79*'Res-Rec Equations'!$B$81)/('Res-Rec Equations'!$B$84*'Res-Rec Equations'!$B$85))/'Chemical Info'!L202,(('Res-Rec Equations'!$B$76*'Chemical Info'!AD202*'Res-Rec Equations'!$B$78*'Res-Rec Equations'!$B$79*'Res-Rec Equations'!$B$80)/('Res-Rec Equations'!$B$84*'Res-Rec Equations'!$B$85))/'Chemical Info'!L202))</f>
        <v>1.278538812785388E-2</v>
      </c>
      <c r="P201" s="166">
        <f>IF('Chemical Info'!L202="NA","NA", IF('Chemical Info'!E202="Yes",0,((('Res-Rec Equations'!$B$87*'Res-Rec Equations'!$B$88*'Res-Rec Equations'!$B$78*'Res-Rec Equations'!$B$82*'Res-Rec Equations'!$B$79*'Chemical Info'!AB202)/('Res-Rec Equations'!$B$84*'Res-Rec Equations'!$B$85))/('Chemical Info'!L202*'Chemical Info'!AF202))))</f>
        <v>2.1671232876712327E-3</v>
      </c>
      <c r="Q201" s="166" t="str">
        <f>IF('Chemical Info'!N202="NA","NA",IF('Res-Rec Calculations'!E201="NA",(('Res-Rec Equations'!$B$83*'Res-Rec Equations'!$B$79*'Res-Rec Calculations'!C201)/('Res-Rec Equations'!$B$85))/('Chemical Info'!N202),IF('Chemical Info'!E202="Yes",(('Res-Rec Equations'!$B$83*'Res-Rec Equations'!$B$79*'Res-Rec Calculations'!E201)/('Res-Rec Equations'!$B$85))/('Chemical Info'!N202),(('Res-Rec Equations'!$B$83*'Res-Rec Equations'!$B$79*('Res-Rec Calculations'!C201+'Res-Rec Calculations'!E201))/('Res-Rec Equations'!$B$85))/('Chemical Info'!N202))))</f>
        <v>NA</v>
      </c>
      <c r="R201" s="166" t="str">
        <f>IF('Chemical Info'!N202="NA","NA",IF('Res-Rec Calculations'!F201="NA",(('Res-Rec Equations'!$B$83*'Res-Rec Equations'!$B$79*'Res-Rec Calculations'!C201)/('Res-Rec Equations'!$B$85))/('Chemical Info'!N202),IF('Chemical Info'!E202="Yes",(('Res-Rec Equations'!$B$83*'Res-Rec Equations'!$B$79*'Res-Rec Calculations'!F201)/('Res-Rec Equations'!$B$85))/('Chemical Info'!N202),(('Res-Rec Equations'!$B$83*'Res-Rec Equations'!$B$79*('Res-Rec Calculations'!C201+'Res-Rec Calculations'!F201))/('Res-Rec Equations'!$B$85))/('Chemical Info'!N202))))</f>
        <v>NA</v>
      </c>
      <c r="S201" s="167">
        <f>IF(AND(O201="NA",P201="NA",Q201="NA"),"NA",IF(O201="NA",'Res-Rec Equations'!$B$75/Q201,IF(Q201="NA",'Res-Rec Equations'!$B$75/(O201+P201),'Res-Rec Equations'!$B$75/(O201+P201+Q201))))</f>
        <v>13.375679472301963</v>
      </c>
      <c r="T201" s="167">
        <f>IF(AND(O201="NA",P201="NA",R201="NA"),"NA",IF(O201="NA",'Res-Rec Equations'!$B$75/R201,IF(R201="NA",'Res-Rec Equations'!$B$75/(O201+P201),'Res-Rec Equations'!$B$75/(O201+P201+R201))))</f>
        <v>13.375679472301963</v>
      </c>
      <c r="U201" s="168">
        <f t="shared" si="267"/>
        <v>13.375679472301963</v>
      </c>
      <c r="V201" s="167" t="str">
        <f>IF('Chemical Info'!P202="NA","NA",(('Res-Rec Equations'!$B$185*'Res-Rec Equations'!$B$186)/('Res-Rec Equations'!$B$187*'Res-Rec Equations'!$B$188*(1/'Chemical Info'!P202))))</f>
        <v>NA</v>
      </c>
      <c r="W201" s="379" t="str">
        <f t="shared" si="268"/>
        <v>NA</v>
      </c>
      <c r="X201" s="372">
        <f t="shared" si="269"/>
        <v>13.375679472301963</v>
      </c>
      <c r="Y201" s="62">
        <f t="shared" si="270"/>
        <v>13</v>
      </c>
      <c r="Z201" s="100" t="str">
        <f t="shared" si="271"/>
        <v>Noncancer</v>
      </c>
      <c r="AA201" s="373"/>
    </row>
    <row r="202" spans="1:27">
      <c r="A202" s="413" t="s">
        <v>116</v>
      </c>
      <c r="B202" s="566" t="s">
        <v>117</v>
      </c>
      <c r="C202" s="367">
        <f>1/(('Res-Rec Equations'!$B$152*3600)/((0.036*(1-'Res-Rec Equations'!$B$153))*('Res-Rec Equations'!$B$154/'Res-Rec Equations'!$B$155)^3*'Res-Rec Equations'!$B$156))</f>
        <v>7.3567680901159717E-10</v>
      </c>
      <c r="D202" s="368">
        <f>(('Res-Rec Equations'!$B$132^(10/3)*'Chemical Info'!$AH203*'Chemical Info'!$AN203*41+'Res-Rec Equations'!$B$135^(10/3)*'Chemical Info'!$AJ203)/'Res-Rec Equations'!$B$137^2)/('Res-Rec Equations'!$B$139*'Chemical Info'!$AL203*'Res-Rec Equations'!$B$142+'Res-Rec Equations'!$B$135+'Res-Rec Equations'!$B$132*'Chemical Info'!$AN203*41)</f>
        <v>9.7837560617975131E-10</v>
      </c>
      <c r="E202" s="368">
        <f>IF(D202=0,"NA",1/(('Res-Rec Equations'!$B$103*(3.14*'Res-Rec Calculations'!$D202*'Res-Rec Equations'!$B$105)^(1/2)*0.0001)/(2*'Res-Rec Equations'!$B$106*'Res-Rec Calculations'!$D202)))</f>
        <v>1.8360368431640908E-7</v>
      </c>
      <c r="F202" s="368">
        <f>IF(D202=0,"NA",(1/('Res-Rec Equations'!$B$117*('Res-Rec Equations'!$B$118*(31500000))/('Res-Rec Equations'!$B$119*'Res-Rec Equations'!$B$120*1000000))))</f>
        <v>6.1914410640015851E-5</v>
      </c>
      <c r="G202" s="167" t="str">
        <f>IF('Chemical Info'!E203="Yes",('Chemical Info'!AP203/'Res-Rec Equations'!$B$168)*((('Chemical Info'!AL203*'Res-Rec Equations'!$B$170)*'Res-Rec Equations'!$B$168)+'Res-Rec Equations'!$B$171+('Chemical Info'!AN203*41)*'Res-Rec Equations'!$B$173),"NA")</f>
        <v>NA</v>
      </c>
      <c r="H202" s="112">
        <f>IF('Chemical Info'!H203="NA","NA",IF(AND('Chemical Info'!E203="Yes",'Chemical Info'!D203="Yes"),'Chemical Info'!H203*'Chemical Info'!AD203*'Res-Rec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Info'!E203="Yes",'Chemical Info'!D203=""),'Chemical Info'!H203*'Chemical Info'!AD203*'Res-Rec Equations'!$B$20*'Res-Rec Equations'!$B$23*((('Res-Rec Equations'!$B$26*'Res-Rec Equations'!$B$29)/'Res-Rec Equations'!$B$32)+(('Res-Rec Equations'!$B$27*'Res-Rec Equations'!$B$30)/'Res-Rec Equations'!$B$33)+(('Res-Rec Equations'!$B$28*'Res-Rec Equations'!$B$31)/'Res-Rec Equations'!$B$34)),IF(AND('Chemical Info'!E203="No",'Chemical Info'!D203="Yes"),'Chemical Info'!H203*'Chemical Info'!AD203*'Res-Rec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Info'!E203="No",'Chemical Info'!D203=""),'Chemical Info'!H203*'Chemical Info'!AD203*'Res-Rec Equations'!$B$19*'Res-Rec Equations'!$B$23*((('Res-Rec Equations'!$B$26*'Res-Rec Equations'!$B$29)/'Res-Rec Equations'!$B$32)+(('Res-Rec Equations'!$B$27*'Res-Rec Equations'!$B$30)/'Res-Rec Equations'!$B$33)+(('Res-Rec Equations'!$B$28*'Res-Rec Equations'!$B$31)/'Res-Rec Equations'!$B$34)))))))</f>
        <v>4.9600924608819354E-2</v>
      </c>
      <c r="I202" s="166">
        <f>IF('Chemical Info'!H203="NA","NA",IF('Chemical Info'!E203="Yes",0,IF('Chemical Info'!D203="Yes",'Chemical Info'!H203/'Chemical Info'!AF203*('Res-Rec Equations'!$B$21*'Chemical Info'!AB203*'Res-Rec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Info'!H203/'Chemical Info'!AF203*('Res-Rec Equations'!$B$21*'Chemical Info'!AB203*'Res-Rec Equations'!$B$23)*((('Res-Rec Equations'!$B$26*'Res-Rec Equations'!$B$37*'Res-Rec Equations'!$B$40)/'Res-Rec Equations'!$B$32)+(('Res-Rec Equations'!$B$27*'Res-Rec Equations'!$B$38*'Res-Rec Equations'!$B$41)/'Res-Rec Equations'!$B$33)+(('Res-Rec Equations'!$B$28*'Res-Rec Equations'!$B$39*'Res-Rec Equations'!$B$42)/'Res-Rec Equations'!$B$34)))))</f>
        <v>1.209793280583215E-2</v>
      </c>
      <c r="J202" s="369">
        <f>IF('Chemical Info'!J203="NA","NA",IF(AND(E202="NA",'Chemical Info'!D203="Yes"),'Res-Rec Equations'!$B$22*1000*(('Res-Rec Equations'!$B$26*'Chemical Info'!J203*'Res-Rec Equations'!$B$59)+('Res-Rec Equations'!$B$27*'Chemical Info'!J203*'Res-Rec Equations'!$B$60)+('Res-Rec Equations'!$B$28*'Chemical Info'!J203*'Res-Rec Equations'!$B$61))*'Res-Rec Calculations'!C202,IF(AND(E202="NA",'Chemical Info'!D203=""),'Res-Rec Equations'!$B$22*1000*'Res-Rec Equations'!$B$25*'Chemical Info'!J203*'Res-Rec Calculations'!C202,IF(AND('Chemical Info'!E203="Yes",'Chemical Info'!D203="Yes"),'Res-Rec Equations'!$B$22*1000*(('Res-Rec Equations'!$B$26*'Chemical Info'!J203*'Res-Rec Equations'!$B$59)+('Res-Rec Equations'!$B$27*'Chemical Info'!J203*'Res-Rec Equations'!$B$60)+('Res-Rec Equations'!$B$28*'Chemical Info'!J203*'Res-Rec Equations'!$B$61))*'Res-Rec Calculations'!E202,IF(AND('Chemical Info'!E203="Yes",'Chemical Info'!D203=""),'Res-Rec Equations'!$B$22*1000*'Res-Rec Equations'!$B$25*'Chemical Info'!J203*'Res-Rec Calculations'!E202,IF('Chemical Info'!D203="Yes",'Res-Rec Equations'!$B$22*1000*(('Res-Rec Equations'!$B$26*'Chemical Info'!J203*'Res-Rec Equations'!$B$59)+('Res-Rec Equations'!$B$27*'Chemical Info'!J203*'Res-Rec Equations'!$B$60)+('Res-Rec Equations'!$B$28*'Chemical Info'!J203*'Res-Rec Equations'!$B$61))*('Res-Rec Calculations'!C202+'Res-Rec Calculations'!E202),IF('Chemical Info'!D203="",'Res-Rec Equations'!$B$22*1000*'Res-Rec Equations'!$B$25*'Chemical Info'!J203*('Res-Rec Calculations'!C202+'Res-Rec Calculations'!E202))))))))</f>
        <v>3.8342587114087499E-4</v>
      </c>
      <c r="K202" s="370">
        <f>IF('Chemical Info'!J203="NA","NA",IF(AND(F202="NA",'Chemical Info'!D203="Yes"),'Res-Rec Equations'!$B$22*1000*(('Res-Rec Equations'!$B$26*'Chemical Info'!J203*'Res-Rec Equations'!$B$59)+('Res-Rec Equations'!$B$27*'Chemical Info'!J203*'Res-Rec Equations'!$B$60)+('Res-Rec Equations'!$B$28*'Chemical Info'!J203*'Res-Rec Equations'!$B$61))*'Res-Rec Calculations'!C202,IF(AND(F202="NA",'Chemical Info'!D203=""),'Res-Rec Equations'!$B$22*1000*'Res-Rec Equations'!$B$25*'Chemical Info'!J203*'Res-Rec Calculations'!C202,IF(AND('Chemical Info'!F203="Yes",'Chemical Info'!D203="Yes"),'Res-Rec Equations'!$B$22*1000*(('Res-Rec Equations'!$B$26*'Chemical Info'!J203*'Res-Rec Equations'!$B$59)+('Res-Rec Equations'!$B$27*'Chemical Info'!J203*'Res-Rec Equations'!$B$60)+('Res-Rec Equations'!$B$28*'Chemical Info'!J203*'Res-Rec Equations'!$B$61))*'Res-Rec Calculations'!F202,IF(AND('Chemical Info'!F203="Yes",'Chemical Info'!D203=""),'Res-Rec Equations'!$B$22*1000*'Res-Rec Equations'!$B$25*'Chemical Info'!J203*'Res-Rec Calculations'!F202,IF('Chemical Info'!D203="Yes",'Res-Rec Equations'!$B$22*1000*(('Res-Rec Equations'!$B$26*'Chemical Info'!J203*'Res-Rec Equations'!$B$59)+('Res-Rec Equations'!$B$27*'Chemical Info'!J203*'Res-Rec Equations'!$B$60)+('Res-Rec Equations'!$B$28*'Chemical Info'!J203*'Res-Rec Equations'!$B$61))*('Res-Rec Calculations'!C202+'Res-Rec Calculations'!F202),IF('Chemical Info'!D203="",'Res-Rec Equations'!$B$22*1000*'Res-Rec Equations'!$B$25*'Chemical Info'!J203*('Res-Rec Calculations'!C202+'Res-Rec Calculations'!F202))))))))</f>
        <v>0.12878350433899571</v>
      </c>
      <c r="L202" s="167">
        <f>IF(AND(H202="NA",I202="NA",J202="NA"),"NA",IF(H202="NA",'Res-Rec Equations'!$B$15*'Res-Rec Equations'!$B$16/J202,IF(J202="NA",'Res-Rec Equations'!$B$15*'Res-Rec Equations'!$B$16/(H202+I202),'Res-Rec Equations'!$B$15*'Res-Rec Equations'!$B$16/(H202+I202+J202))))</f>
        <v>4.1155058492906873</v>
      </c>
      <c r="M202" s="167">
        <f>IF(AND(H202="NA",I202="NA",K202="NA"),"NA",IF(H202="NA",'Res-Rec Equations'!$B$15*'Res-Rec Equations'!$B$16/K202,IF(K202="NA",'Res-Rec Equations'!$B$15*'Res-Rec Equations'!$B$16/(H202+I202),'Res-Rec Equations'!$B$15*'Res-Rec Equations'!$B$16/(H202+I202+K202))))</f>
        <v>1.3413315419221901</v>
      </c>
      <c r="N202" s="167">
        <f t="shared" si="266"/>
        <v>4.1155058492906873</v>
      </c>
      <c r="O202" s="371">
        <f>IF('Chemical Info'!L203="NA","NA",IF('Chemical Info'!E203="Yes",(('Res-Rec Equations'!$B$76*'Chemical Info'!AD203*'Res-Rec Equations'!$B$78*'Res-Rec Equations'!$B$79*'Res-Rec Equations'!$B$81)/('Res-Rec Equations'!$B$84*'Res-Rec Equations'!$B$85))/'Chemical Info'!L203,(('Res-Rec Equations'!$B$76*'Chemical Info'!AD203*'Res-Rec Equations'!$B$78*'Res-Rec Equations'!$B$79*'Res-Rec Equations'!$B$80)/('Res-Rec Equations'!$B$84*'Res-Rec Equations'!$B$85))/'Chemical Info'!L203))</f>
        <v>0.14205986808726534</v>
      </c>
      <c r="P202" s="166">
        <f>IF('Chemical Info'!L203="NA","NA", IF('Chemical Info'!E203="Yes",0,((('Res-Rec Equations'!$B$87*'Res-Rec Equations'!$B$88*'Res-Rec Equations'!$B$78*'Res-Rec Equations'!$B$82*'Res-Rec Equations'!$B$79*'Chemical Info'!AB203)/('Res-Rec Equations'!$B$84*'Res-Rec Equations'!$B$85))/('Chemical Info'!L203*'Chemical Info'!AF203))))</f>
        <v>2.4079147640791474E-2</v>
      </c>
      <c r="Q202" s="166" t="str">
        <f>IF('Chemical Info'!N203="NA","NA",IF('Res-Rec Calculations'!E202="NA",(('Res-Rec Equations'!$B$83*'Res-Rec Equations'!$B$79*'Res-Rec Calculations'!C202)/('Res-Rec Equations'!$B$85))/('Chemical Info'!N203),IF('Chemical Info'!E203="Yes",(('Res-Rec Equations'!$B$83*'Res-Rec Equations'!$B$79*'Res-Rec Calculations'!E202)/('Res-Rec Equations'!$B$85))/('Chemical Info'!N203),(('Res-Rec Equations'!$B$83*'Res-Rec Equations'!$B$79*('Res-Rec Calculations'!C202+'Res-Rec Calculations'!E202))/('Res-Rec Equations'!$B$85))/('Chemical Info'!N203))))</f>
        <v>NA</v>
      </c>
      <c r="R202" s="166" t="str">
        <f>IF('Chemical Info'!N203="NA","NA",IF('Res-Rec Calculations'!F202="NA",(('Res-Rec Equations'!$B$83*'Res-Rec Equations'!$B$79*'Res-Rec Calculations'!C202)/('Res-Rec Equations'!$B$85))/('Chemical Info'!N203),IF('Chemical Info'!E203="Yes",(('Res-Rec Equations'!$B$83*'Res-Rec Equations'!$B$79*'Res-Rec Calculations'!F202)/('Res-Rec Equations'!$B$85))/('Chemical Info'!N203),(('Res-Rec Equations'!$B$83*'Res-Rec Equations'!$B$79*('Res-Rec Calculations'!C202+'Res-Rec Calculations'!F202))/('Res-Rec Equations'!$B$85))/('Chemical Info'!N203))))</f>
        <v>NA</v>
      </c>
      <c r="S202" s="167">
        <f>IF(AND(O202="NA",P202="NA",Q202="NA"),"NA",IF(O202="NA",'Res-Rec Equations'!$B$75/Q202,IF(Q202="NA",'Res-Rec Equations'!$B$75/(O202+P202),'Res-Rec Equations'!$B$75/(O202+P202+Q202))))</f>
        <v>1.2038111525071766</v>
      </c>
      <c r="T202" s="167">
        <f>IF(AND(O202="NA",P202="NA",R202="NA"),"NA",IF(O202="NA",'Res-Rec Equations'!$B$75/R202,IF(R202="NA",'Res-Rec Equations'!$B$75/(O202+P202),'Res-Rec Equations'!$B$75/(O202+P202+R202))))</f>
        <v>1.2038111525071766</v>
      </c>
      <c r="U202" s="168">
        <f t="shared" si="267"/>
        <v>1.2038111525071766</v>
      </c>
      <c r="V202" s="167" t="str">
        <f>IF('Chemical Info'!P203="NA","NA",(('Res-Rec Equations'!$B$185*'Res-Rec Equations'!$B$186)/('Res-Rec Equations'!$B$187*'Res-Rec Equations'!$B$188*(1/'Chemical Info'!P203))))</f>
        <v>NA</v>
      </c>
      <c r="W202" s="379" t="str">
        <f t="shared" si="268"/>
        <v>NA</v>
      </c>
      <c r="X202" s="372">
        <f t="shared" si="269"/>
        <v>1.2038111525071766</v>
      </c>
      <c r="Y202" s="62">
        <f t="shared" si="270"/>
        <v>1.2</v>
      </c>
      <c r="Z202" s="100" t="str">
        <f t="shared" si="271"/>
        <v>Noncancer</v>
      </c>
      <c r="AA202" s="373"/>
    </row>
    <row r="203" spans="1:27">
      <c r="A203" s="638" t="s">
        <v>394</v>
      </c>
      <c r="B203" s="593"/>
      <c r="C203" s="386"/>
      <c r="D203" s="406"/>
      <c r="E203" s="406"/>
      <c r="F203" s="406"/>
      <c r="G203" s="386"/>
      <c r="H203" s="386"/>
      <c r="I203" s="386"/>
      <c r="J203" s="386"/>
      <c r="K203" s="386"/>
      <c r="L203" s="386"/>
      <c r="M203" s="386"/>
      <c r="N203" s="386"/>
      <c r="O203" s="386"/>
      <c r="P203" s="386"/>
      <c r="Q203" s="386"/>
      <c r="R203" s="386"/>
      <c r="S203" s="386"/>
      <c r="T203" s="386"/>
      <c r="U203" s="386"/>
      <c r="V203" s="386"/>
      <c r="W203" s="423"/>
      <c r="X203" s="409"/>
      <c r="Y203" s="400"/>
      <c r="Z203" s="400"/>
      <c r="AA203" s="410"/>
    </row>
    <row r="204" spans="1:27" ht="22">
      <c r="A204" s="559" t="s">
        <v>953</v>
      </c>
      <c r="B204" s="566" t="s">
        <v>104</v>
      </c>
      <c r="C204" s="367">
        <f>1/(('Res-Rec Equations'!$B$152*3600)/((0.036*(1-'Res-Rec Equations'!$B$153))*('Res-Rec Equations'!$B$154/'Res-Rec Equations'!$B$155)^3*'Res-Rec Equations'!$B$156))</f>
        <v>7.3567680901159717E-10</v>
      </c>
      <c r="D204" s="368">
        <f>(('Res-Rec Equations'!$B$132^(10/3)*'Chemical Info'!$AH205*'Chemical Info'!$AN205*41+'Res-Rec Equations'!$B$135^(10/3)*'Chemical Info'!$AJ205)/'Res-Rec Equations'!$B$137^2)/('Res-Rec Equations'!$B$139*'Chemical Info'!$AL205*'Res-Rec Equations'!$B$142+'Res-Rec Equations'!$B$135+'Res-Rec Equations'!$B$132*'Chemical Info'!$AN205*41)</f>
        <v>3.2991549391315305E-9</v>
      </c>
      <c r="E204" s="368">
        <f>IF(D204=0,"NA",1/(('Res-Rec Equations'!$B$103*(3.14*'Res-Rec Calculations'!$D204*'Res-Rec Equations'!$B$105)^(1/2)*0.0001)/(2*'Res-Rec Equations'!$B$106*'Res-Rec Calculations'!$D204)))</f>
        <v>3.3715526020161538E-7</v>
      </c>
      <c r="F204" s="368">
        <f>IF(D204=0,"NA",(1/('Res-Rec Equations'!$B$117*('Res-Rec Equations'!$B$118*(31500000))/('Res-Rec Equations'!$B$119*'Res-Rec Equations'!$B$120*1000000))))</f>
        <v>6.1914410640015851E-5</v>
      </c>
      <c r="G204" s="167">
        <f>IF('Chemical Info'!E205="Yes",('Chemical Info'!AP205/'Res-Rec Equations'!$B$168)*((('Chemical Info'!AL205*'Res-Rec Equations'!$B$170)*'Res-Rec Equations'!$B$168)+'Res-Rec Equations'!$B$171+('Chemical Info'!AN205*41)*'Res-Rec Equations'!$B$173),"NA")</f>
        <v>0.29894007653333338</v>
      </c>
      <c r="H204" s="112">
        <f>IF('Chemical Info'!H205="NA","NA",IF(AND('Chemical Info'!E205="Yes",'Chemical Info'!D205="Yes"),'Chemical Info'!H205*'Chemical Info'!AD205*'Res-Rec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Info'!E205="Yes",'Chemical Info'!D205=""),'Chemical Info'!H205*'Chemical Info'!AD205*'Res-Rec Equations'!$B$20*'Res-Rec Equations'!$B$23*((('Res-Rec Equations'!$B$26*'Res-Rec Equations'!$B$29)/'Res-Rec Equations'!$B$32)+(('Res-Rec Equations'!$B$27*'Res-Rec Equations'!$B$30)/'Res-Rec Equations'!$B$33)+(('Res-Rec Equations'!$B$28*'Res-Rec Equations'!$B$31)/'Res-Rec Equations'!$B$34)),IF(AND('Chemical Info'!E205="No",'Chemical Info'!D205="Yes"),'Chemical Info'!H205*'Chemical Info'!AD205*'Res-Rec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Info'!E205="No",'Chemical Info'!D205=""),'Chemical Info'!H205*'Chemical Info'!AD205*'Res-Rec Equations'!$B$19*'Res-Rec Equations'!$B$23*((('Res-Rec Equations'!$B$26*'Res-Rec Equations'!$B$29)/'Res-Rec Equations'!$B$32)+(('Res-Rec Equations'!$B$27*'Res-Rec Equations'!$B$30)/'Res-Rec Equations'!$B$33)+(('Res-Rec Equations'!$B$28*'Res-Rec Equations'!$B$31)/'Res-Rec Equations'!$B$34)))))))</f>
        <v>45091.749644381227</v>
      </c>
      <c r="I204" s="561">
        <f>IF('Chemical Info'!H205="NA","NA",IF('Chemical Info'!D205="Yes",'Chemical Info'!H205/'Chemical Info'!AF205*('Res-Rec Equations'!$B$21*'Chemical Info'!AB205*'Res-Rec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Info'!H205/'Chemical Info'!AF205*('Res-Rec Equations'!$B$21*'Chemical Info'!AB205*'Res-Rec Equations'!$B$23)*((('Res-Rec Equations'!$B$26*'Res-Rec Equations'!$B$37*'Res-Rec Equations'!$B$40)/'Res-Rec Equations'!$B$32)+(('Res-Rec Equations'!$B$27*'Res-Rec Equations'!$B$38*'Res-Rec Equations'!$B$41)/'Res-Rec Equations'!$B$33)+(('Res-Rec Equations'!$B$28*'Res-Rec Equations'!$B$39*'Res-Rec Equations'!$B$42)/'Res-Rec Equations'!$B$34))))</f>
        <v>4619.2107076813654</v>
      </c>
      <c r="J204" s="369">
        <f>IF('Chemical Info'!J205="NA","NA",IF(AND(E204="NA",'Chemical Info'!D205="Yes"),'Res-Rec Equations'!$B$22*1000*(('Res-Rec Equations'!$B$26*'Chemical Info'!J205*'Res-Rec Equations'!$B$59)+('Res-Rec Equations'!$B$27*'Chemical Info'!J205*'Res-Rec Equations'!$B$60)+('Res-Rec Equations'!$B$28*'Chemical Info'!J205*'Res-Rec Equations'!$B$61))*'Res-Rec Calculations'!C204,IF(AND(E204="NA",'Chemical Info'!D205=""),'Res-Rec Equations'!$B$22*1000*'Res-Rec Equations'!$B$25*'Chemical Info'!J205*'Res-Rec Calculations'!C204,IF(AND('Chemical Info'!E205="Yes",'Chemical Info'!D205="Yes"),'Res-Rec Equations'!$B$22*1000*(('Res-Rec Equations'!$B$26*'Chemical Info'!J205*'Res-Rec Equations'!$B$59)+('Res-Rec Equations'!$B$27*'Chemical Info'!J205*'Res-Rec Equations'!$B$60)+('Res-Rec Equations'!$B$28*'Chemical Info'!J205*'Res-Rec Equations'!$B$61))*'Res-Rec Calculations'!E204,IF(AND('Chemical Info'!E205="Yes",'Chemical Info'!D205=""),'Res-Rec Equations'!$B$22*1000*'Res-Rec Equations'!$B$25*'Chemical Info'!J205*'Res-Rec Calculations'!E204,IF('Chemical Info'!D205="Yes",'Res-Rec Equations'!$B$22*1000*(('Res-Rec Equations'!$B$26*'Chemical Info'!J205*'Res-Rec Equations'!$B$59)+('Res-Rec Equations'!$B$27*'Chemical Info'!J205*'Res-Rec Equations'!$B$60)+('Res-Rec Equations'!$B$28*'Chemical Info'!J205*'Res-Rec Equations'!$B$61))*('Res-Rec Calculations'!C204+'Res-Rec Calculations'!E204),IF('Chemical Info'!D205="",'Res-Rec Equations'!$B$22*1000*'Res-Rec Equations'!$B$25*'Chemical Info'!J205*('Res-Rec Calculations'!C204+'Res-Rec Calculations'!E204))))))))</f>
        <v>876.60367652419995</v>
      </c>
      <c r="K204" s="370">
        <f>IF('Chemical Info'!J205="NA","NA",IF(AND(F204="NA",'Chemical Info'!D205="Yes"),'Res-Rec Equations'!$B$22*1000*(('Res-Rec Equations'!$B$26*'Chemical Info'!J205*'Res-Rec Equations'!$B$59)+('Res-Rec Equations'!$B$27*'Chemical Info'!J205*'Res-Rec Equations'!$B$60)+('Res-Rec Equations'!$B$28*'Chemical Info'!J205*'Res-Rec Equations'!$B$61))*'Res-Rec Calculations'!C204,IF(AND(F204="NA",'Chemical Info'!D205=""),'Res-Rec Equations'!$B$22*1000*'Res-Rec Equations'!$B$25*'Chemical Info'!J205*'Res-Rec Calculations'!C204,IF(AND('Chemical Info'!F205="Yes",'Chemical Info'!D205="Yes"),'Res-Rec Equations'!$B$22*1000*(('Res-Rec Equations'!$B$26*'Chemical Info'!J205*'Res-Rec Equations'!$B$59)+('Res-Rec Equations'!$B$27*'Chemical Info'!J205*'Res-Rec Equations'!$B$60)+('Res-Rec Equations'!$B$28*'Chemical Info'!J205*'Res-Rec Equations'!$B$61))*'Res-Rec Calculations'!F204,IF(AND('Chemical Info'!F205="Yes",'Chemical Info'!D205=""),'Res-Rec Equations'!$B$22*1000*'Res-Rec Equations'!$B$25*'Chemical Info'!J205*'Res-Rec Calculations'!F204,IF('Chemical Info'!D205="Yes",'Res-Rec Equations'!$B$22*1000*(('Res-Rec Equations'!$B$26*'Chemical Info'!J205*'Res-Rec Equations'!$B$59)+('Res-Rec Equations'!$B$27*'Chemical Info'!J205*'Res-Rec Equations'!$B$60)+('Res-Rec Equations'!$B$28*'Chemical Info'!J205*'Res-Rec Equations'!$B$61))*('Res-Rec Calculations'!C204+'Res-Rec Calculations'!F204),IF('Chemical Info'!D205="",'Res-Rec Equations'!$B$22*1000*'Res-Rec Equations'!$B$25*'Chemical Info'!J205*('Res-Rec Calculations'!C204+'Res-Rec Calculations'!F204))))))))</f>
        <v>160979.38042374465</v>
      </c>
      <c r="L204" s="167">
        <f>IF(AND(H204="NA",I204="NA",J204="NA"),"NA",IF(H204="NA",'Res-Rec Equations'!$B$15*'Res-Rec Equations'!$B$16/J204,IF(J204="NA",'Res-Rec Equations'!$B$15*'Res-Rec Equations'!$B$16/(H204+I204),'Res-Rec Equations'!$B$15*'Res-Rec Equations'!$B$16/(H204+I204+J204))))</f>
        <v>5.0506484134246546E-6</v>
      </c>
      <c r="M204" s="167">
        <f>IF(AND(H204="NA",I204="NA",K204="NA"),"NA",IF(H204="NA",'Res-Rec Equations'!$B$15*'Res-Rec Equations'!$B$16/K204,IF(K204="NA",'Res-Rec Equations'!$B$15*'Res-Rec Equations'!$B$16/(H204+I204),'Res-Rec Equations'!$B$15*'Res-Rec Equations'!$B$16/(H204+I204+K204))))</f>
        <v>1.2126801782141218E-6</v>
      </c>
      <c r="N204" s="167">
        <f>IF(AND(L204="NA",M204="NA"),"NA",MAX(L204,M204))</f>
        <v>5.0506484134246546E-6</v>
      </c>
      <c r="O204" s="371">
        <f>IF('Chemical Info'!L205="NA","NA",IF('Chemical Info'!E205="Yes",(('Res-Rec Equations'!$B$76*'Chemical Info'!AD205*'Res-Rec Equations'!$B$78*'Res-Rec Equations'!$B$79*'Res-Rec Equations'!$B$81)/('Res-Rec Equations'!$B$84*'Res-Rec Equations'!$B$85))/'Chemical Info'!L205,(('Res-Rec Equations'!$B$76*'Chemical Info'!AD205*'Res-Rec Equations'!$B$78*'Res-Rec Equations'!$B$79*'Res-Rec Equations'!$B$80)/('Res-Rec Equations'!$B$84*'Res-Rec Equations'!$B$85))/'Chemical Info'!L205))</f>
        <v>13046.314416177431</v>
      </c>
      <c r="P204" s="561">
        <f>IF('Chemical Info'!L205="NA","NA", ((('Res-Rec Equations'!$B$87*'Res-Rec Equations'!$B$88*'Res-Rec Equations'!$B$78*'Res-Rec Equations'!$B$82*'Res-Rec Equations'!$B$79*'Chemical Info'!AB205)/('Res-Rec Equations'!$B$84*'Res-Rec Equations'!$B$85))/('Chemical Info'!L205*'Chemical Info'!AF205)))</f>
        <v>928.76712328767121</v>
      </c>
      <c r="Q204" s="166">
        <f>IF('Chemical Info'!N205="NA","NA",IF('Res-Rec Calculations'!E204="NA",(('Res-Rec Equations'!$B$83*'Res-Rec Equations'!$B$79*'Res-Rec Calculations'!C204)/('Res-Rec Equations'!$B$85))/('Chemical Info'!N205),IF('Chemical Info'!E205="Yes",(('Res-Rec Equations'!$B$83*'Res-Rec Equations'!$B$79*'Res-Rec Calculations'!E204)/('Res-Rec Equations'!$B$85))/('Chemical Info'!N205),(('Res-Rec Equations'!$B$83*'Res-Rec Equations'!$B$79*('Res-Rec Calculations'!C204+'Res-Rec Calculations'!E204))/('Res-Rec Equations'!$B$85))/('Chemical Info'!N205))))</f>
        <v>5.773206510301633</v>
      </c>
      <c r="R204" s="166">
        <f>IF('Chemical Info'!N205="NA","NA",IF('Res-Rec Calculations'!F204="NA",(('Res-Rec Equations'!$B$83*'Res-Rec Equations'!$B$79*'Res-Rec Calculations'!C204)/('Res-Rec Equations'!$B$85))/('Chemical Info'!N205),IF('Chemical Info'!E205="Yes",(('Res-Rec Equations'!$B$83*'Res-Rec Equations'!$B$79*'Res-Rec Calculations'!F204)/('Res-Rec Equations'!$B$85))/('Chemical Info'!N205),(('Res-Rec Equations'!$B$83*'Res-Rec Equations'!$B$79*('Res-Rec Calculations'!C204+'Res-Rec Calculations'!F204))/('Res-Rec Equations'!$B$85))/('Chemical Info'!N205))))</f>
        <v>1060.178264383833</v>
      </c>
      <c r="S204" s="167">
        <f>IF(AND(O204="NA",P204="NA",Q204="NA"),"NA",IF(O204="NA",'Res-Rec Equations'!$B$75/Q204,IF(Q204="NA",'Res-Rec Equations'!$B$75/(O204+P204),'Res-Rec Equations'!$B$75/(O204+P204+Q204))))</f>
        <v>1.4305277011591369E-5</v>
      </c>
      <c r="T204" s="167">
        <f>IF(AND(O204="NA",P204="NA",R204="NA"),"NA",IF(O204="NA",'Res-Rec Equations'!$B$75/R204,IF(R204="NA",'Res-Rec Equations'!$B$75/(O204+P204),'Res-Rec Equations'!$B$75/(O204+P204+R204))))</f>
        <v>1.3302064786988332E-5</v>
      </c>
      <c r="U204" s="168">
        <f>IF(AND(S204="NA",T204="NA"),"NA",MAX(S204,T204))</f>
        <v>1.4305277011591369E-5</v>
      </c>
      <c r="V204" s="167" t="str">
        <f>IF('Chemical Info'!P205="NA","NA",(('Res-Rec Equations'!$B$185*'Res-Rec Equations'!$B$186)/('Res-Rec Equations'!$B$187*'Res-Rec Equations'!$B$188*(1/'Chemical Info'!P205))))</f>
        <v>NA</v>
      </c>
      <c r="W204" s="379" t="str">
        <f>IF(V204="NA","NA",IF(V204&gt;100000,100000,IF(ISNUMBER(ROUND(V204*1000000,2-LEN(INT(V204*1000000)))/1000000),ROUND(V204*1000000,2-LEN(INT(V204*1000000)))/1000000,"NA")))</f>
        <v>NA</v>
      </c>
      <c r="X204" s="371">
        <f>IF(AND(N204="NA",U204="NA",G204="NA"),"NA",MIN(N204,U204,G204))</f>
        <v>5.0506484134246546E-6</v>
      </c>
      <c r="Y204" s="369">
        <f>IF(X204&gt;100000,100000,IF(ISNUMBER(ROUND(X204*1000000,2-LEN(INT(X204*1000000)))/1000000),ROUND(X204*1000000,2-LEN(INT(X204*1000000)))/1000000,"NA"))</f>
        <v>5.0999999999999995E-6</v>
      </c>
      <c r="Z204" s="100" t="str">
        <f>IF(Y204=100000,"Max Limit",IF(X204=G204,"Csat",IF(X204=N204,"Cancer",IF(X204=V204,"Acute",IF(X204=U204,"Noncancer","")))))</f>
        <v>Cancer</v>
      </c>
      <c r="AA204" s="373"/>
    </row>
    <row r="205" spans="1:27">
      <c r="A205" s="638" t="s">
        <v>395</v>
      </c>
      <c r="B205" s="593"/>
      <c r="C205" s="386"/>
      <c r="D205" s="406"/>
      <c r="E205" s="406"/>
      <c r="F205" s="406"/>
      <c r="G205" s="386"/>
      <c r="H205" s="386"/>
      <c r="I205" s="386"/>
      <c r="J205" s="386"/>
      <c r="K205" s="386"/>
      <c r="L205" s="386"/>
      <c r="M205" s="386"/>
      <c r="N205" s="386"/>
      <c r="O205" s="386"/>
      <c r="P205" s="386"/>
      <c r="Q205" s="386"/>
      <c r="R205" s="386"/>
      <c r="S205" s="386"/>
      <c r="T205" s="386"/>
      <c r="U205" s="386"/>
      <c r="V205" s="386"/>
      <c r="W205" s="423"/>
      <c r="X205" s="409"/>
      <c r="Y205" s="400"/>
      <c r="Z205" s="400"/>
      <c r="AA205" s="410"/>
    </row>
    <row r="206" spans="1:27">
      <c r="A206" s="413" t="s">
        <v>413</v>
      </c>
      <c r="B206" s="566" t="s">
        <v>130</v>
      </c>
      <c r="C206" s="367">
        <f>1/(('Res-Rec Equations'!$B$152*3600)/((0.036*(1-'Res-Rec Equations'!$B$153))*('Res-Rec Equations'!$B$154/'Res-Rec Equations'!$B$155)^3*'Res-Rec Equations'!$B$156))</f>
        <v>7.3567680901159717E-10</v>
      </c>
      <c r="D206" s="368">
        <f>(('Res-Rec Equations'!$B$132^(10/3)*'Chemical Info'!$AH207*'Chemical Info'!$AN207*41+'Res-Rec Equations'!$B$135^(10/3)*'Chemical Info'!$AJ207)/'Res-Rec Equations'!$B$137^2)/('Res-Rec Equations'!$B$139*'Chemical Info'!$AL207*'Res-Rec Equations'!$B$142+'Res-Rec Equations'!$B$135+'Res-Rec Equations'!$B$132*'Chemical Info'!$AN207*41)</f>
        <v>8.5043024772143109E-8</v>
      </c>
      <c r="E206" s="368">
        <f>IF(D206=0,"NA",1/(('Res-Rec Equations'!$B$103*(3.14*'Res-Rec Calculations'!$D206*'Res-Rec Equations'!$B$105)^(1/2)*0.0001)/(2*'Res-Rec Equations'!$B$106*'Res-Rec Calculations'!$D206)))</f>
        <v>1.7117799418763001E-6</v>
      </c>
      <c r="F206" s="368">
        <f>IF(D206=0,"NA",(1/('Res-Rec Equations'!$B$117*('Res-Rec Equations'!$B$118*(31500000))/('Res-Rec Equations'!$B$119*'Res-Rec Equations'!$B$120*1000000))))</f>
        <v>6.1914410640015851E-5</v>
      </c>
      <c r="G206" s="167" t="str">
        <f>IF('Chemical Info'!E207="Yes",('Chemical Info'!AP207/'Res-Rec Equations'!$B$168)*((('Chemical Info'!AL207*'Res-Rec Equations'!$B$170)*'Res-Rec Equations'!$B$168)+'Res-Rec Equations'!$B$171+('Chemical Info'!AN207*41)*'Res-Rec Equations'!$B$173),"NA")</f>
        <v>NA</v>
      </c>
      <c r="H206" s="112">
        <f>IF('Chemical Info'!H207="NA","NA",IF(AND('Chemical Info'!E207="Yes",'Chemical Info'!D207="Yes"),'Chemical Info'!H207*'Chemical Info'!AD207*'Res-Rec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Info'!E207="Yes",'Chemical Info'!D207=""),'Chemical Info'!H207*'Chemical Info'!AD207*'Res-Rec Equations'!$B$20*'Res-Rec Equations'!$B$23*((('Res-Rec Equations'!$B$26*'Res-Rec Equations'!$B$29)/'Res-Rec Equations'!$B$32)+(('Res-Rec Equations'!$B$27*'Res-Rec Equations'!$B$30)/'Res-Rec Equations'!$B$33)+(('Res-Rec Equations'!$B$28*'Res-Rec Equations'!$B$31)/'Res-Rec Equations'!$B$34)),IF(AND('Chemical Info'!E207="No",'Chemical Info'!D207="Yes"),'Chemical Info'!H207*'Chemical Info'!AD207*'Res-Rec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Info'!E207="No",'Chemical Info'!D207=""),'Chemical Info'!H207*'Chemical Info'!AD207*'Res-Rec Equations'!$B$19*'Res-Rec Equations'!$B$23*((('Res-Rec Equations'!$B$26*'Res-Rec Equations'!$B$29)/'Res-Rec Equations'!$B$32)+(('Res-Rec Equations'!$B$27*'Res-Rec Equations'!$B$30)/'Res-Rec Equations'!$B$33)+(('Res-Rec Equations'!$B$28*'Res-Rec Equations'!$B$31)/'Res-Rec Equations'!$B$34)))))))</f>
        <v>3.6073399715504978E-3</v>
      </c>
      <c r="I206" s="166">
        <f>IF('Chemical Info'!H207="NA","NA",IF('Chemical Info'!E207="Yes",0,IF('Chemical Info'!D207="Yes",'Chemical Info'!H207/'Chemical Info'!AF207*('Res-Rec Equations'!$B$21*'Chemical Info'!AB207*'Res-Rec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Info'!H207/'Chemical Info'!AF207*('Res-Rec Equations'!$B$21*'Chemical Info'!AB207*'Res-Rec Equations'!$B$23)*((('Res-Rec Equations'!$B$26*'Res-Rec Equations'!$B$37*'Res-Rec Equations'!$B$40)/'Res-Rec Equations'!$B$32)+(('Res-Rec Equations'!$B$27*'Res-Rec Equations'!$B$38*'Res-Rec Equations'!$B$41)/'Res-Rec Equations'!$B$33)+(('Res-Rec Equations'!$B$28*'Res-Rec Equations'!$B$39*'Res-Rec Equations'!$B$42)/'Res-Rec Equations'!$B$34)))))</f>
        <v>1.3197744879089616E-4</v>
      </c>
      <c r="J206" s="369" t="str">
        <f>IF('Chemical Info'!J207="NA","NA",IF(AND(E206="NA",'Chemical Info'!D207="Yes"),'Res-Rec Equations'!$B$22*1000*(('Res-Rec Equations'!$B$26*'Chemical Info'!J207*'Res-Rec Equations'!$B$59)+('Res-Rec Equations'!$B$27*'Chemical Info'!J207*'Res-Rec Equations'!$B$60)+('Res-Rec Equations'!$B$28*'Chemical Info'!J207*'Res-Rec Equations'!$B$61))*'Res-Rec Calculations'!C206,IF(AND(E206="NA",'Chemical Info'!D207=""),'Res-Rec Equations'!$B$22*1000*'Res-Rec Equations'!$B$25*'Chemical Info'!J207*'Res-Rec Calculations'!C206,IF(AND('Chemical Info'!E207="Yes",'Chemical Info'!D207="Yes"),'Res-Rec Equations'!$B$22*1000*(('Res-Rec Equations'!$B$26*'Chemical Info'!J207*'Res-Rec Equations'!$B$59)+('Res-Rec Equations'!$B$27*'Chemical Info'!J207*'Res-Rec Equations'!$B$60)+('Res-Rec Equations'!$B$28*'Chemical Info'!J207*'Res-Rec Equations'!$B$61))*'Res-Rec Calculations'!E206,IF(AND('Chemical Info'!E207="Yes",'Chemical Info'!D207=""),'Res-Rec Equations'!$B$22*1000*'Res-Rec Equations'!$B$25*'Chemical Info'!J207*'Res-Rec Calculations'!E206,IF('Chemical Info'!D207="Yes",'Res-Rec Equations'!$B$22*1000*(('Res-Rec Equations'!$B$26*'Chemical Info'!J207*'Res-Rec Equations'!$B$59)+('Res-Rec Equations'!$B$27*'Chemical Info'!J207*'Res-Rec Equations'!$B$60)+('Res-Rec Equations'!$B$28*'Chemical Info'!J207*'Res-Rec Equations'!$B$61))*('Res-Rec Calculations'!C206+'Res-Rec Calculations'!E206),IF('Chemical Info'!D207="",'Res-Rec Equations'!$B$22*1000*'Res-Rec Equations'!$B$25*'Chemical Info'!J207*('Res-Rec Calculations'!C206+'Res-Rec Calculations'!E206))))))))</f>
        <v>NA</v>
      </c>
      <c r="K206" s="370" t="str">
        <f>IF('Chemical Info'!J207="NA","NA",IF(AND(F206="NA",'Chemical Info'!D207="Yes"),'Res-Rec Equations'!$B$22*1000*(('Res-Rec Equations'!$B$26*'Chemical Info'!J207*'Res-Rec Equations'!$B$59)+('Res-Rec Equations'!$B$27*'Chemical Info'!J207*'Res-Rec Equations'!$B$60)+('Res-Rec Equations'!$B$28*'Chemical Info'!J207*'Res-Rec Equations'!$B$61))*'Res-Rec Calculations'!C206,IF(AND(F206="NA",'Chemical Info'!D207=""),'Res-Rec Equations'!$B$22*1000*'Res-Rec Equations'!$B$25*'Chemical Info'!J207*'Res-Rec Calculations'!C206,IF(AND('Chemical Info'!F207="Yes",'Chemical Info'!D207="Yes"),'Res-Rec Equations'!$B$22*1000*(('Res-Rec Equations'!$B$26*'Chemical Info'!J207*'Res-Rec Equations'!$B$59)+('Res-Rec Equations'!$B$27*'Chemical Info'!J207*'Res-Rec Equations'!$B$60)+('Res-Rec Equations'!$B$28*'Chemical Info'!J207*'Res-Rec Equations'!$B$61))*'Res-Rec Calculations'!F206,IF(AND('Chemical Info'!F207="Yes",'Chemical Info'!D207=""),'Res-Rec Equations'!$B$22*1000*'Res-Rec Equations'!$B$25*'Chemical Info'!J207*'Res-Rec Calculations'!F206,IF('Chemical Info'!D207="Yes",'Res-Rec Equations'!$B$22*1000*(('Res-Rec Equations'!$B$26*'Chemical Info'!J207*'Res-Rec Equations'!$B$59)+('Res-Rec Equations'!$B$27*'Chemical Info'!J207*'Res-Rec Equations'!$B$60)+('Res-Rec Equations'!$B$28*'Chemical Info'!J207*'Res-Rec Equations'!$B$61))*('Res-Rec Calculations'!C206+'Res-Rec Calculations'!F206),IF('Chemical Info'!D207="",'Res-Rec Equations'!$B$22*1000*'Res-Rec Equations'!$B$25*'Chemical Info'!J207*('Res-Rec Calculations'!C206+'Res-Rec Calculations'!F206))))))))</f>
        <v>NA</v>
      </c>
      <c r="L206" s="167">
        <f>IF(AND(H206="NA",I206="NA",J206="NA"),"NA",IF(H206="NA",'Res-Rec Equations'!$B$15*'Res-Rec Equations'!$B$16/J206,IF(J206="NA",'Res-Rec Equations'!$B$15*'Res-Rec Equations'!$B$16/(H206+I206),'Res-Rec Equations'!$B$15*'Res-Rec Equations'!$B$16/(H206+I206+J206))))</f>
        <v>68.32797841930018</v>
      </c>
      <c r="M206" s="167">
        <f>IF(AND(H206="NA",I206="NA",K206="NA"),"NA",IF(H206="NA",'Res-Rec Equations'!$B$15*'Res-Rec Equations'!$B$16/K206,IF(K206="NA",'Res-Rec Equations'!$B$15*'Res-Rec Equations'!$B$16/(H206+I206),'Res-Rec Equations'!$B$15*'Res-Rec Equations'!$B$16/(H206+I206+K206))))</f>
        <v>68.32797841930018</v>
      </c>
      <c r="N206" s="167">
        <f>IF(AND(L206="NA",M206="NA"),"NA",MAX(L206,M206))</f>
        <v>68.32797841930018</v>
      </c>
      <c r="O206" s="371">
        <f>IF('Chemical Info'!L207="NA","NA",IF('Chemical Info'!E207="Yes",(('Res-Rec Equations'!$B$76*'Chemical Info'!AD207*'Res-Rec Equations'!$B$78*'Res-Rec Equations'!$B$79*'Res-Rec Equations'!$B$81)/('Res-Rec Equations'!$B$84*'Res-Rec Equations'!$B$85))/'Chemical Info'!L207,(('Res-Rec Equations'!$B$76*'Chemical Info'!AD207*'Res-Rec Equations'!$B$78*'Res-Rec Equations'!$B$79*'Res-Rec Equations'!$B$80)/('Res-Rec Equations'!$B$84*'Res-Rec Equations'!$B$85))/'Chemical Info'!L207))</f>
        <v>3.1963470319634701E-3</v>
      </c>
      <c r="P206" s="166">
        <f>IF('Chemical Info'!L207="NA","NA", IF('Chemical Info'!E207="Yes",0,((('Res-Rec Equations'!$B$87*'Res-Rec Equations'!$B$88*'Res-Rec Equations'!$B$78*'Res-Rec Equations'!$B$82*'Res-Rec Equations'!$B$79*'Chemical Info'!AB207)/('Res-Rec Equations'!$B$84*'Res-Rec Equations'!$B$85))/('Chemical Info'!L207*'Chemical Info'!AF207))))</f>
        <v>8.126712328767123E-5</v>
      </c>
      <c r="Q206" s="166" t="str">
        <f>IF('Chemical Info'!N207="NA","NA",IF('Res-Rec Calculations'!E206="NA",(('Res-Rec Equations'!$B$83*'Res-Rec Equations'!$B$79*'Res-Rec Calculations'!C206)/('Res-Rec Equations'!$B$85))/('Chemical Info'!N207),IF('Chemical Info'!E207="Yes",(('Res-Rec Equations'!$B$83*'Res-Rec Equations'!$B$79*'Res-Rec Calculations'!E206)/('Res-Rec Equations'!$B$85))/('Chemical Info'!N207),(('Res-Rec Equations'!$B$83*'Res-Rec Equations'!$B$79*('Res-Rec Calculations'!C206+'Res-Rec Calculations'!E206))/('Res-Rec Equations'!$B$85))/('Chemical Info'!N207))))</f>
        <v>NA</v>
      </c>
      <c r="R206" s="166" t="str">
        <f>IF('Chemical Info'!N207="NA","NA",IF('Res-Rec Calculations'!F206="NA",(('Res-Rec Equations'!$B$83*'Res-Rec Equations'!$B$79*'Res-Rec Calculations'!C206)/('Res-Rec Equations'!$B$85))/('Chemical Info'!N207),IF('Chemical Info'!E207="Yes",(('Res-Rec Equations'!$B$83*'Res-Rec Equations'!$B$79*'Res-Rec Calculations'!F206)/('Res-Rec Equations'!$B$85))/('Chemical Info'!N207),(('Res-Rec Equations'!$B$83*'Res-Rec Equations'!$B$79*('Res-Rec Calculations'!C206+'Res-Rec Calculations'!F206))/('Res-Rec Equations'!$B$85))/('Chemical Info'!N207))))</f>
        <v>NA</v>
      </c>
      <c r="S206" s="167">
        <f>IF(AND(O206="NA",P206="NA",Q206="NA"),"NA",IF(O206="NA",'Res-Rec Equations'!$B$75/Q206,IF(Q206="NA",'Res-Rec Equations'!$B$75/(O206+P206),'Res-Rec Equations'!$B$75/(O206+P206+Q206))))</f>
        <v>61.019995193630521</v>
      </c>
      <c r="T206" s="167">
        <f>IF(AND(O206="NA",P206="NA",R206="NA"),"NA",IF(O206="NA",'Res-Rec Equations'!$B$75/R206,IF(R206="NA",'Res-Rec Equations'!$B$75/(O206+P206),'Res-Rec Equations'!$B$75/(O206+P206+R206))))</f>
        <v>61.019995193630521</v>
      </c>
      <c r="U206" s="168">
        <f>IF(AND(S206="NA",T206="NA"),"NA",MAX(S206,T206))</f>
        <v>61.019995193630521</v>
      </c>
      <c r="V206" s="167" t="str">
        <f>IF('Chemical Info'!P207="NA","NA",(('Res-Rec Equations'!$B$185*'Res-Rec Equations'!$B$186)/('Res-Rec Equations'!$B$187*'Res-Rec Equations'!$B$188*(1/'Chemical Info'!P207))))</f>
        <v>NA</v>
      </c>
      <c r="W206" s="379" t="str">
        <f t="shared" ref="W206:W213" si="272">IF(V206="NA","NA",IF(V206&gt;100000,100000,IF(ISNUMBER(ROUND(V206*1000000,2-LEN(INT(V206*1000000)))/1000000),ROUND(V206*1000000,2-LEN(INT(V206*1000000)))/1000000,"NA")))</f>
        <v>NA</v>
      </c>
      <c r="X206" s="372">
        <f t="shared" ref="X206:X213" si="273">IF(AND(N206="NA",U206="NA",G206="NA"),"NA",MIN(N206,U206,G206))</f>
        <v>61.019995193630521</v>
      </c>
      <c r="Y206" s="62">
        <f t="shared" ref="Y206:Y213" si="274">IF(X206&gt;100000,100000,IF(ISNUMBER(ROUND(X206*1000000,2-LEN(INT(X206*1000000)))/1000000),ROUND(X206*1000000,2-LEN(INT(X206*1000000)))/1000000,"NA"))</f>
        <v>61</v>
      </c>
      <c r="Z206" s="100" t="str">
        <f t="shared" ref="Z206:Z213" si="275">IF(Y206=100000,"Max Limit",IF(X206=G206,"Csat",IF(X206=N206,"Cancer",IF(X206=V206,"Acute",IF(X206=U206,"Noncancer","")))))</f>
        <v>Noncancer</v>
      </c>
      <c r="AA206" s="373"/>
    </row>
    <row r="207" spans="1:27">
      <c r="A207" s="373" t="s">
        <v>411</v>
      </c>
      <c r="B207" s="566" t="s">
        <v>91</v>
      </c>
      <c r="C207" s="367">
        <f>1/(('Res-Rec Equations'!$B$152*3600)/((0.036*(1-'Res-Rec Equations'!$B$153))*('Res-Rec Equations'!$B$154/'Res-Rec Equations'!$B$155)^3*'Res-Rec Equations'!$B$156))</f>
        <v>7.3567680901159717E-10</v>
      </c>
      <c r="D207" s="368">
        <f>(('Res-Rec Equations'!$B$132^(10/3)*'Chemical Info'!$AH208*'Chemical Info'!$AN208*41+'Res-Rec Equations'!$B$135^(10/3)*'Chemical Info'!$AJ208)/'Res-Rec Equations'!$B$137^2)/('Res-Rec Equations'!$B$139*'Chemical Info'!$AL208*'Res-Rec Equations'!$B$142+'Res-Rec Equations'!$B$135+'Res-Rec Equations'!$B$132*'Chemical Info'!$AN208*41)</f>
        <v>2.8704275818916034E-8</v>
      </c>
      <c r="E207" s="368">
        <f>IF(D207=0,"NA",1/(('Res-Rec Equations'!$B$103*(3.14*'Res-Rec Calculations'!$D207*'Res-Rec Equations'!$B$105)^(1/2)*0.0001)/(2*'Res-Rec Equations'!$B$106*'Res-Rec Calculations'!$D207)))</f>
        <v>9.9449334469554615E-7</v>
      </c>
      <c r="F207" s="368">
        <f>IF(D207=0,"NA",(1/('Res-Rec Equations'!$B$117*('Res-Rec Equations'!$B$118*(31500000))/('Res-Rec Equations'!$B$119*'Res-Rec Equations'!$B$120*1000000))))</f>
        <v>6.1914410640015851E-5</v>
      </c>
      <c r="G207" s="167" t="str">
        <f>IF('Chemical Info'!E208="Yes",('Chemical Info'!AP208/'Res-Rec Equations'!$B$168)*((('Chemical Info'!AL208*'Res-Rec Equations'!$B$170)*'Res-Rec Equations'!$B$168)+'Res-Rec Equations'!$B$171+('Chemical Info'!AN208*41)*'Res-Rec Equations'!$B$173),"NA")</f>
        <v>NA</v>
      </c>
      <c r="H207" s="112" t="str">
        <f>IF('Chemical Info'!H208="NA","NA",IF(AND('Chemical Info'!E208="Yes",'Chemical Info'!D208="Yes"),'Chemical Info'!H208*'Chemical Info'!AD208*'Res-Rec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Info'!E208="Yes",'Chemical Info'!D208=""),'Chemical Info'!H208*'Chemical Info'!AD208*'Res-Rec Equations'!$B$20*'Res-Rec Equations'!$B$23*((('Res-Rec Equations'!$B$26*'Res-Rec Equations'!$B$29)/'Res-Rec Equations'!$B$32)+(('Res-Rec Equations'!$B$27*'Res-Rec Equations'!$B$30)/'Res-Rec Equations'!$B$33)+(('Res-Rec Equations'!$B$28*'Res-Rec Equations'!$B$31)/'Res-Rec Equations'!$B$34)),IF(AND('Chemical Info'!E208="No",'Chemical Info'!D208="Yes"),'Chemical Info'!H208*'Chemical Info'!AD208*'Res-Rec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Info'!E208="No",'Chemical Info'!D208=""),'Chemical Info'!H208*'Chemical Info'!AD208*'Res-Rec Equations'!$B$19*'Res-Rec Equations'!$B$23*((('Res-Rec Equations'!$B$26*'Res-Rec Equations'!$B$29)/'Res-Rec Equations'!$B$32)+(('Res-Rec Equations'!$B$27*'Res-Rec Equations'!$B$30)/'Res-Rec Equations'!$B$33)+(('Res-Rec Equations'!$B$28*'Res-Rec Equations'!$B$31)/'Res-Rec Equations'!$B$34)))))))</f>
        <v>NA</v>
      </c>
      <c r="I207" s="166" t="str">
        <f>IF('Chemical Info'!H208="NA","NA",IF('Chemical Info'!E208="Yes",0,IF('Chemical Info'!D208="Yes",'Chemical Info'!H208/'Chemical Info'!AF208*('Res-Rec Equations'!$B$21*'Chemical Info'!AB208*'Res-Rec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Info'!H208/'Chemical Info'!AF208*('Res-Rec Equations'!$B$21*'Chemical Info'!AB208*'Res-Rec Equations'!$B$23)*((('Res-Rec Equations'!$B$26*'Res-Rec Equations'!$B$37*'Res-Rec Equations'!$B$40)/'Res-Rec Equations'!$B$32)+(('Res-Rec Equations'!$B$27*'Res-Rec Equations'!$B$38*'Res-Rec Equations'!$B$41)/'Res-Rec Equations'!$B$33)+(('Res-Rec Equations'!$B$28*'Res-Rec Equations'!$B$39*'Res-Rec Equations'!$B$42)/'Res-Rec Equations'!$B$34)))))</f>
        <v>NA</v>
      </c>
      <c r="J207" s="369" t="str">
        <f>IF('Chemical Info'!J208="NA","NA",IF(AND(E207="NA",'Chemical Info'!D208="Yes"),'Res-Rec Equations'!$B$22*1000*(('Res-Rec Equations'!$B$26*'Chemical Info'!J208*'Res-Rec Equations'!$B$59)+('Res-Rec Equations'!$B$27*'Chemical Info'!J208*'Res-Rec Equations'!$B$60)+('Res-Rec Equations'!$B$28*'Chemical Info'!J208*'Res-Rec Equations'!$B$61))*'Res-Rec Calculations'!C207,IF(AND(E207="NA",'Chemical Info'!D208=""),'Res-Rec Equations'!$B$22*1000*'Res-Rec Equations'!$B$25*'Chemical Info'!J208*'Res-Rec Calculations'!C207,IF(AND('Chemical Info'!E208="Yes",'Chemical Info'!D208="Yes"),'Res-Rec Equations'!$B$22*1000*(('Res-Rec Equations'!$B$26*'Chemical Info'!J208*'Res-Rec Equations'!$B$59)+('Res-Rec Equations'!$B$27*'Chemical Info'!J208*'Res-Rec Equations'!$B$60)+('Res-Rec Equations'!$B$28*'Chemical Info'!J208*'Res-Rec Equations'!$B$61))*'Res-Rec Calculations'!E207,IF(AND('Chemical Info'!E208="Yes",'Chemical Info'!D208=""),'Res-Rec Equations'!$B$22*1000*'Res-Rec Equations'!$B$25*'Chemical Info'!J208*'Res-Rec Calculations'!E207,IF('Chemical Info'!D208="Yes",'Res-Rec Equations'!$B$22*1000*(('Res-Rec Equations'!$B$26*'Chemical Info'!J208*'Res-Rec Equations'!$B$59)+('Res-Rec Equations'!$B$27*'Chemical Info'!J208*'Res-Rec Equations'!$B$60)+('Res-Rec Equations'!$B$28*'Chemical Info'!J208*'Res-Rec Equations'!$B$61))*('Res-Rec Calculations'!C207+'Res-Rec Calculations'!E207),IF('Chemical Info'!D208="",'Res-Rec Equations'!$B$22*1000*'Res-Rec Equations'!$B$25*'Chemical Info'!J208*('Res-Rec Calculations'!C207+'Res-Rec Calculations'!E207))))))))</f>
        <v>NA</v>
      </c>
      <c r="K207" s="370" t="str">
        <f>IF('Chemical Info'!J208="NA","NA",IF(AND(F207="NA",'Chemical Info'!D208="Yes"),'Res-Rec Equations'!$B$22*1000*(('Res-Rec Equations'!$B$26*'Chemical Info'!J208*'Res-Rec Equations'!$B$59)+('Res-Rec Equations'!$B$27*'Chemical Info'!J208*'Res-Rec Equations'!$B$60)+('Res-Rec Equations'!$B$28*'Chemical Info'!J208*'Res-Rec Equations'!$B$61))*'Res-Rec Calculations'!C207,IF(AND(F207="NA",'Chemical Info'!D208=""),'Res-Rec Equations'!$B$22*1000*'Res-Rec Equations'!$B$25*'Chemical Info'!J208*'Res-Rec Calculations'!C207,IF(AND('Chemical Info'!F208="Yes",'Chemical Info'!D208="Yes"),'Res-Rec Equations'!$B$22*1000*(('Res-Rec Equations'!$B$26*'Chemical Info'!J208*'Res-Rec Equations'!$B$59)+('Res-Rec Equations'!$B$27*'Chemical Info'!J208*'Res-Rec Equations'!$B$60)+('Res-Rec Equations'!$B$28*'Chemical Info'!J208*'Res-Rec Equations'!$B$61))*'Res-Rec Calculations'!F207,IF(AND('Chemical Info'!F208="Yes",'Chemical Info'!D208=""),'Res-Rec Equations'!$B$22*1000*'Res-Rec Equations'!$B$25*'Chemical Info'!J208*'Res-Rec Calculations'!F207,IF('Chemical Info'!D208="Yes",'Res-Rec Equations'!$B$22*1000*(('Res-Rec Equations'!$B$26*'Chemical Info'!J208*'Res-Rec Equations'!$B$59)+('Res-Rec Equations'!$B$27*'Chemical Info'!J208*'Res-Rec Equations'!$B$60)+('Res-Rec Equations'!$B$28*'Chemical Info'!J208*'Res-Rec Equations'!$B$61))*('Res-Rec Calculations'!C207+'Res-Rec Calculations'!F207),IF('Chemical Info'!D208="",'Res-Rec Equations'!$B$22*1000*'Res-Rec Equations'!$B$25*'Chemical Info'!J208*('Res-Rec Calculations'!C207+'Res-Rec Calculations'!F207))))))))</f>
        <v>NA</v>
      </c>
      <c r="L207" s="167" t="str">
        <f>IF(AND(H207="NA",I207="NA",J207="NA"),"NA",IF(H207="NA",'Res-Rec Equations'!$B$15*'Res-Rec Equations'!$B$16/J207,IF(J207="NA",'Res-Rec Equations'!$B$15*'Res-Rec Equations'!$B$16/(H207+I207),'Res-Rec Equations'!$B$15*'Res-Rec Equations'!$B$16/(H207+I207+J207))))</f>
        <v>NA</v>
      </c>
      <c r="M207" s="167" t="str">
        <f>IF(AND(H207="NA",I207="NA",K207="NA"),"NA",IF(H207="NA",'Res-Rec Equations'!$B$15*'Res-Rec Equations'!$B$16/K207,IF(K207="NA",'Res-Rec Equations'!$B$15*'Res-Rec Equations'!$B$16/(H207+I207),'Res-Rec Equations'!$B$15*'Res-Rec Equations'!$B$16/(H207+I207+K207))))</f>
        <v>NA</v>
      </c>
      <c r="N207" s="167" t="str">
        <f t="shared" ref="N207:N213" si="276">IF(AND(L207="NA",M207="NA"),"NA",MAX(L207,M207))</f>
        <v>NA</v>
      </c>
      <c r="O207" s="371">
        <f>IF('Chemical Info'!L208="NA","NA",IF('Chemical Info'!E208="Yes",(('Res-Rec Equations'!$B$76*'Chemical Info'!AD208*'Res-Rec Equations'!$B$78*'Res-Rec Equations'!$B$79*'Res-Rec Equations'!$B$81)/('Res-Rec Equations'!$B$84*'Res-Rec Equations'!$B$85))/'Chemical Info'!L208,(('Res-Rec Equations'!$B$76*'Chemical Info'!AD208*'Res-Rec Equations'!$B$78*'Res-Rec Equations'!$B$79*'Res-Rec Equations'!$B$80)/('Res-Rec Equations'!$B$84*'Res-Rec Equations'!$B$85))/'Chemical Info'!L208))</f>
        <v>0.12785388127853881</v>
      </c>
      <c r="P207" s="166">
        <f>IF('Chemical Info'!L208="NA","NA", IF('Chemical Info'!E208="Yes",0,((('Res-Rec Equations'!$B$87*'Res-Rec Equations'!$B$88*'Res-Rec Equations'!$B$78*'Res-Rec Equations'!$B$82*'Res-Rec Equations'!$B$79*'Chemical Info'!AB208)/('Res-Rec Equations'!$B$84*'Res-Rec Equations'!$B$85))/('Chemical Info'!L208*'Chemical Info'!AF208))))</f>
        <v>2.1671232876712326E-2</v>
      </c>
      <c r="Q207" s="166" t="str">
        <f>IF('Chemical Info'!N208="NA","NA",IF('Res-Rec Calculations'!E207="NA",(('Res-Rec Equations'!$B$83*'Res-Rec Equations'!$B$79*'Res-Rec Calculations'!C207)/('Res-Rec Equations'!$B$85))/('Chemical Info'!N208),IF('Chemical Info'!E208="Yes",(('Res-Rec Equations'!$B$83*'Res-Rec Equations'!$B$79*'Res-Rec Calculations'!E207)/('Res-Rec Equations'!$B$85))/('Chemical Info'!N208),(('Res-Rec Equations'!$B$83*'Res-Rec Equations'!$B$79*('Res-Rec Calculations'!C207+'Res-Rec Calculations'!E207))/('Res-Rec Equations'!$B$85))/('Chemical Info'!N208))))</f>
        <v>NA</v>
      </c>
      <c r="R207" s="166" t="str">
        <f>IF('Chemical Info'!N208="NA","NA",IF('Res-Rec Calculations'!F207="NA",(('Res-Rec Equations'!$B$83*'Res-Rec Equations'!$B$79*'Res-Rec Calculations'!C207)/('Res-Rec Equations'!$B$85))/('Chemical Info'!N208),IF('Chemical Info'!E208="Yes",(('Res-Rec Equations'!$B$83*'Res-Rec Equations'!$B$79*'Res-Rec Calculations'!F207)/('Res-Rec Equations'!$B$85))/('Chemical Info'!N208),(('Res-Rec Equations'!$B$83*'Res-Rec Equations'!$B$79*('Res-Rec Calculations'!C207+'Res-Rec Calculations'!F207))/('Res-Rec Equations'!$B$85))/('Chemical Info'!N208))))</f>
        <v>NA</v>
      </c>
      <c r="S207" s="167">
        <f>IF(AND(O207="NA",P207="NA",Q207="NA"),"NA",IF(O207="NA",'Res-Rec Equations'!$B$75/Q207,IF(Q207="NA",'Res-Rec Equations'!$B$75/(O207+P207),'Res-Rec Equations'!$B$75/(O207+P207+Q207))))</f>
        <v>1.3375679472301962</v>
      </c>
      <c r="T207" s="167">
        <f>IF(AND(O207="NA",P207="NA",R207="NA"),"NA",IF(O207="NA",'Res-Rec Equations'!$B$75/R207,IF(R207="NA",'Res-Rec Equations'!$B$75/(O207+P207),'Res-Rec Equations'!$B$75/(O207+P207+R207))))</f>
        <v>1.3375679472301962</v>
      </c>
      <c r="U207" s="168">
        <f t="shared" ref="U207:U213" si="277">IF(AND(S207="NA",T207="NA"),"NA",MAX(S207,T207))</f>
        <v>1.3375679472301962</v>
      </c>
      <c r="V207" s="167" t="str">
        <f>IF('Chemical Info'!P208="NA","NA",(('Res-Rec Equations'!$B$185*'Res-Rec Equations'!$B$186)/('Res-Rec Equations'!$B$187*'Res-Rec Equations'!$B$188*(1/'Chemical Info'!P208))))</f>
        <v>NA</v>
      </c>
      <c r="W207" s="379" t="str">
        <f t="shared" si="272"/>
        <v>NA</v>
      </c>
      <c r="X207" s="372">
        <f t="shared" si="273"/>
        <v>1.3375679472301962</v>
      </c>
      <c r="Y207" s="62">
        <f t="shared" si="274"/>
        <v>1.3</v>
      </c>
      <c r="Z207" s="100" t="str">
        <f t="shared" si="275"/>
        <v>Noncancer</v>
      </c>
      <c r="AA207" s="373"/>
    </row>
    <row r="208" spans="1:27">
      <c r="A208" s="373" t="s">
        <v>1096</v>
      </c>
      <c r="B208" s="566" t="s">
        <v>92</v>
      </c>
      <c r="C208" s="367">
        <f>1/(('Res-Rec Equations'!$B$152*3600)/((0.036*(1-'Res-Rec Equations'!$B$153))*('Res-Rec Equations'!$B$154/'Res-Rec Equations'!$B$155)^3*'Res-Rec Equations'!$B$156))</f>
        <v>7.3567680901159717E-10</v>
      </c>
      <c r="D208" s="368">
        <f>(('Res-Rec Equations'!$B$132^(10/3)*'Chemical Info'!$AH209*'Chemical Info'!$AN209*41+'Res-Rec Equations'!$B$135^(10/3)*'Chemical Info'!$AJ209)/'Res-Rec Equations'!$B$137^2)/('Res-Rec Equations'!$B$139*'Chemical Info'!$AL209*'Res-Rec Equations'!$B$142+'Res-Rec Equations'!$B$135+'Res-Rec Equations'!$B$132*'Chemical Info'!$AN209*41)</f>
        <v>1.5297334402203651E-8</v>
      </c>
      <c r="E208" s="368">
        <f>IF(D208=0,"NA",1/(('Res-Rec Equations'!$B$103*(3.14*'Res-Rec Calculations'!$D208*'Res-Rec Equations'!$B$105)^(1/2)*0.0001)/(2*'Res-Rec Equations'!$B$106*'Res-Rec Calculations'!$D208)))</f>
        <v>7.25999738243342E-7</v>
      </c>
      <c r="F208" s="368">
        <f>IF(D208=0,"NA",(1/('Res-Rec Equations'!$B$117*('Res-Rec Equations'!$B$118*(31500000))/('Res-Rec Equations'!$B$119*'Res-Rec Equations'!$B$120*1000000))))</f>
        <v>6.1914410640015851E-5</v>
      </c>
      <c r="G208" s="167" t="str">
        <f>IF('Chemical Info'!E209="Yes",('Chemical Info'!AP209/'Res-Rec Equations'!$B$168)*((('Chemical Info'!AL209*'Res-Rec Equations'!$B$170)*'Res-Rec Equations'!$B$168)+'Res-Rec Equations'!$B$171+('Chemical Info'!AN209*41)*'Res-Rec Equations'!$B$173),"NA")</f>
        <v>NA</v>
      </c>
      <c r="H208" s="112">
        <f>IF('Chemical Info'!H209="NA","NA",IF(AND('Chemical Info'!E209="Yes",'Chemical Info'!D209="Yes"),'Chemical Info'!H209*'Chemical Info'!AD209*'Res-Rec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Info'!E209="Yes",'Chemical Info'!D209=""),'Chemical Info'!H209*'Chemical Info'!AD209*'Res-Rec Equations'!$B$20*'Res-Rec Equations'!$B$23*((('Res-Rec Equations'!$B$26*'Res-Rec Equations'!$B$29)/'Res-Rec Equations'!$B$32)+(('Res-Rec Equations'!$B$27*'Res-Rec Equations'!$B$30)/'Res-Rec Equations'!$B$33)+(('Res-Rec Equations'!$B$28*'Res-Rec Equations'!$B$31)/'Res-Rec Equations'!$B$34)),IF(AND('Chemical Info'!E209="No",'Chemical Info'!D209="Yes"),'Chemical Info'!H209*'Chemical Info'!AD209*'Res-Rec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Info'!E209="No",'Chemical Info'!D209=""),'Chemical Info'!H209*'Chemical Info'!AD209*'Res-Rec Equations'!$B$19*'Res-Rec Equations'!$B$23*((('Res-Rec Equations'!$B$26*'Res-Rec Equations'!$B$29)/'Res-Rec Equations'!$B$32)+(('Res-Rec Equations'!$B$27*'Res-Rec Equations'!$B$30)/'Res-Rec Equations'!$B$33)+(('Res-Rec Equations'!$B$28*'Res-Rec Equations'!$B$31)/'Res-Rec Equations'!$B$34)))))))</f>
        <v>1.397844238975818E-2</v>
      </c>
      <c r="I208" s="166">
        <f>IF('Chemical Info'!H209="NA","NA",IF('Chemical Info'!E209="Yes",0,IF('Chemical Info'!D209="Yes",'Chemical Info'!H209/'Chemical Info'!AF209*('Res-Rec Equations'!$B$21*'Chemical Info'!AB209*'Res-Rec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Info'!H209/'Chemical Info'!AF209*('Res-Rec Equations'!$B$21*'Chemical Info'!AB209*'Res-Rec Equations'!$B$23)*((('Res-Rec Equations'!$B$26*'Res-Rec Equations'!$B$37*'Res-Rec Equations'!$B$40)/'Res-Rec Equations'!$B$32)+(('Res-Rec Equations'!$B$27*'Res-Rec Equations'!$B$38*'Res-Rec Equations'!$B$41)/'Res-Rec Equations'!$B$33)+(('Res-Rec Equations'!$B$28*'Res-Rec Equations'!$B$39*'Res-Rec Equations'!$B$42)/'Res-Rec Equations'!$B$34)))))</f>
        <v>3.4776057756401141E-3</v>
      </c>
      <c r="J208" s="369">
        <f>IF('Chemical Info'!J209="NA","NA",IF(AND(E208="NA",'Chemical Info'!D209="Yes"),'Res-Rec Equations'!$B$22*1000*(('Res-Rec Equations'!$B$26*'Chemical Info'!J209*'Res-Rec Equations'!$B$59)+('Res-Rec Equations'!$B$27*'Chemical Info'!J209*'Res-Rec Equations'!$B$60)+('Res-Rec Equations'!$B$28*'Chemical Info'!J209*'Res-Rec Equations'!$B$61))*'Res-Rec Calculations'!C208,IF(AND(E208="NA",'Chemical Info'!D209=""),'Res-Rec Equations'!$B$22*1000*'Res-Rec Equations'!$B$25*'Chemical Info'!J209*'Res-Rec Calculations'!C208,IF(AND('Chemical Info'!E209="Yes",'Chemical Info'!D209="Yes"),'Res-Rec Equations'!$B$22*1000*(('Res-Rec Equations'!$B$26*'Chemical Info'!J209*'Res-Rec Equations'!$B$59)+('Res-Rec Equations'!$B$27*'Chemical Info'!J209*'Res-Rec Equations'!$B$60)+('Res-Rec Equations'!$B$28*'Chemical Info'!J209*'Res-Rec Equations'!$B$61))*'Res-Rec Calculations'!E208,IF(AND('Chemical Info'!E209="Yes",'Chemical Info'!D209=""),'Res-Rec Equations'!$B$22*1000*'Res-Rec Equations'!$B$25*'Chemical Info'!J209*'Res-Rec Calculations'!E208,IF('Chemical Info'!D209="Yes",'Res-Rec Equations'!$B$22*1000*(('Res-Rec Equations'!$B$26*'Chemical Info'!J209*'Res-Rec Equations'!$B$59)+('Res-Rec Equations'!$B$27*'Chemical Info'!J209*'Res-Rec Equations'!$B$60)+('Res-Rec Equations'!$B$28*'Chemical Info'!J209*'Res-Rec Equations'!$B$61))*('Res-Rec Calculations'!C208+'Res-Rec Calculations'!E208),IF('Chemical Info'!D209="",'Res-Rec Equations'!$B$22*1000*'Res-Rec Equations'!$B$25*'Chemical Info'!J209*('Res-Rec Calculations'!C208+'Res-Rec Calculations'!E208))))))))</f>
        <v>4.2041643760778655E-4</v>
      </c>
      <c r="K208" s="370">
        <f>IF('Chemical Info'!J209="NA","NA",IF(AND(F208="NA",'Chemical Info'!D209="Yes"),'Res-Rec Equations'!$B$22*1000*(('Res-Rec Equations'!$B$26*'Chemical Info'!J209*'Res-Rec Equations'!$B$59)+('Res-Rec Equations'!$B$27*'Chemical Info'!J209*'Res-Rec Equations'!$B$60)+('Res-Rec Equations'!$B$28*'Chemical Info'!J209*'Res-Rec Equations'!$B$61))*'Res-Rec Calculations'!C208,IF(AND(F208="NA",'Chemical Info'!D209=""),'Res-Rec Equations'!$B$22*1000*'Res-Rec Equations'!$B$25*'Chemical Info'!J209*'Res-Rec Calculations'!C208,IF(AND('Chemical Info'!F209="Yes",'Chemical Info'!D209="Yes"),'Res-Rec Equations'!$B$22*1000*(('Res-Rec Equations'!$B$26*'Chemical Info'!J209*'Res-Rec Equations'!$B$59)+('Res-Rec Equations'!$B$27*'Chemical Info'!J209*'Res-Rec Equations'!$B$60)+('Res-Rec Equations'!$B$28*'Chemical Info'!J209*'Res-Rec Equations'!$B$61))*'Res-Rec Calculations'!F208,IF(AND('Chemical Info'!F209="Yes",'Chemical Info'!D209=""),'Res-Rec Equations'!$B$22*1000*'Res-Rec Equations'!$B$25*'Chemical Info'!J209*'Res-Rec Calculations'!F208,IF('Chemical Info'!D209="Yes",'Res-Rec Equations'!$B$22*1000*(('Res-Rec Equations'!$B$26*'Chemical Info'!J209*'Res-Rec Equations'!$B$59)+('Res-Rec Equations'!$B$27*'Chemical Info'!J209*'Res-Rec Equations'!$B$60)+('Res-Rec Equations'!$B$28*'Chemical Info'!J209*'Res-Rec Equations'!$B$61))*('Res-Rec Calculations'!C208+'Res-Rec Calculations'!F208),IF('Chemical Info'!D209="",'Res-Rec Equations'!$B$22*1000*'Res-Rec Equations'!$B$25*'Chemical Info'!J209*('Res-Rec Calculations'!C208+'Res-Rec Calculations'!F208))))))))</f>
        <v>3.5817912144283183E-2</v>
      </c>
      <c r="L208" s="167">
        <f>IF(AND(H208="NA",I208="NA",J208="NA"),"NA",IF(H208="NA",'Res-Rec Equations'!$B$15*'Res-Rec Equations'!$B$16/J208,IF(J208="NA",'Res-Rec Equations'!$B$15*'Res-Rec Equations'!$B$16/(H208+I208),'Res-Rec Equations'!$B$15*'Res-Rec Equations'!$B$16/(H208+I208+J208))))</f>
        <v>14.292535222934152</v>
      </c>
      <c r="M208" s="167">
        <f>IF(AND(H208="NA",I208="NA",K208="NA"),"NA",IF(H208="NA",'Res-Rec Equations'!$B$15*'Res-Rec Equations'!$B$16/K208,IF(K208="NA",'Res-Rec Equations'!$B$15*'Res-Rec Equations'!$B$16/(H208+I208),'Res-Rec Equations'!$B$15*'Res-Rec Equations'!$B$16/(H208+I208+K208))))</f>
        <v>4.7959640791632303</v>
      </c>
      <c r="N208" s="167">
        <f t="shared" si="276"/>
        <v>14.292535222934152</v>
      </c>
      <c r="O208" s="371">
        <f>IF('Chemical Info'!L209="NA","NA",IF('Chemical Info'!E209="Yes",(('Res-Rec Equations'!$B$76*'Chemical Info'!AD209*'Res-Rec Equations'!$B$78*'Res-Rec Equations'!$B$79*'Res-Rec Equations'!$B$81)/('Res-Rec Equations'!$B$84*'Res-Rec Equations'!$B$85))/'Chemical Info'!L209,(('Res-Rec Equations'!$B$76*'Chemical Info'!AD209*'Res-Rec Equations'!$B$78*'Res-Rec Equations'!$B$79*'Res-Rec Equations'!$B$80)/('Res-Rec Equations'!$B$84*'Res-Rec Equations'!$B$85))/'Chemical Info'!L209))</f>
        <v>6.3926940639269401E-3</v>
      </c>
      <c r="P208" s="166">
        <f>IF('Chemical Info'!L209="NA","NA", IF('Chemical Info'!E209="Yes",0,((('Res-Rec Equations'!$B$87*'Res-Rec Equations'!$B$88*'Res-Rec Equations'!$B$78*'Res-Rec Equations'!$B$82*'Res-Rec Equations'!$B$79*'Chemical Info'!AB209)/('Res-Rec Equations'!$B$84*'Res-Rec Equations'!$B$85))/('Chemical Info'!L209*'Chemical Info'!AF209))))</f>
        <v>1.1052328767123286E-3</v>
      </c>
      <c r="Q208" s="166" t="str">
        <f>IF('Chemical Info'!N209="NA","NA",IF('Res-Rec Calculations'!E208="NA",(('Res-Rec Equations'!$B$83*'Res-Rec Equations'!$B$79*'Res-Rec Calculations'!C208)/('Res-Rec Equations'!$B$85))/('Chemical Info'!N209),IF('Chemical Info'!E209="Yes",(('Res-Rec Equations'!$B$83*'Res-Rec Equations'!$B$79*'Res-Rec Calculations'!E208)/('Res-Rec Equations'!$B$85))/('Chemical Info'!N209),(('Res-Rec Equations'!$B$83*'Res-Rec Equations'!$B$79*('Res-Rec Calculations'!C208+'Res-Rec Calculations'!E208))/('Res-Rec Equations'!$B$85))/('Chemical Info'!N209))))</f>
        <v>NA</v>
      </c>
      <c r="R208" s="166" t="str">
        <f>IF('Chemical Info'!N209="NA","NA",IF('Res-Rec Calculations'!F208="NA",(('Res-Rec Equations'!$B$83*'Res-Rec Equations'!$B$79*'Res-Rec Calculations'!C208)/('Res-Rec Equations'!$B$85))/('Chemical Info'!N209),IF('Chemical Info'!E209="Yes",(('Res-Rec Equations'!$B$83*'Res-Rec Equations'!$B$79*'Res-Rec Calculations'!F208)/('Res-Rec Equations'!$B$85))/('Chemical Info'!N209),(('Res-Rec Equations'!$B$83*'Res-Rec Equations'!$B$79*('Res-Rec Calculations'!C208+'Res-Rec Calculations'!F208))/('Res-Rec Equations'!$B$85))/('Chemical Info'!N209))))</f>
        <v>NA</v>
      </c>
      <c r="S208" s="167">
        <f>IF(AND(O208="NA",P208="NA",Q208="NA"),"NA",IF(O208="NA",'Res-Rec Equations'!$B$75/Q208,IF(Q208="NA",'Res-Rec Equations'!$B$75/(O208+P208),'Res-Rec Equations'!$B$75/(O208+P208+Q208))))</f>
        <v>26.674039582325953</v>
      </c>
      <c r="T208" s="167">
        <f>IF(AND(O208="NA",P208="NA",R208="NA"),"NA",IF(O208="NA",'Res-Rec Equations'!$B$75/R208,IF(R208="NA",'Res-Rec Equations'!$B$75/(O208+P208),'Res-Rec Equations'!$B$75/(O208+P208+R208))))</f>
        <v>26.674039582325953</v>
      </c>
      <c r="U208" s="168">
        <f t="shared" si="277"/>
        <v>26.674039582325953</v>
      </c>
      <c r="V208" s="167" t="str">
        <f>IF('Chemical Info'!P209="NA","NA",(('Res-Rec Equations'!$B$185*'Res-Rec Equations'!$B$186)/('Res-Rec Equations'!$B$187*'Res-Rec Equations'!$B$188*(1/'Chemical Info'!P209))))</f>
        <v>NA</v>
      </c>
      <c r="W208" s="379" t="str">
        <f t="shared" si="272"/>
        <v>NA</v>
      </c>
      <c r="X208" s="372">
        <f t="shared" si="273"/>
        <v>14.292535222934152</v>
      </c>
      <c r="Y208" s="62">
        <f t="shared" si="274"/>
        <v>14</v>
      </c>
      <c r="Z208" s="100" t="str">
        <f t="shared" si="275"/>
        <v>Cancer</v>
      </c>
      <c r="AA208" s="373"/>
    </row>
    <row r="209" spans="1:27">
      <c r="A209" s="373" t="s">
        <v>1097</v>
      </c>
      <c r="B209" s="566" t="s">
        <v>230</v>
      </c>
      <c r="C209" s="367">
        <f>1/(('Res-Rec Equations'!$B$152*3600)/((0.036*(1-'Res-Rec Equations'!$B$153))*('Res-Rec Equations'!$B$154/'Res-Rec Equations'!$B$155)^3*'Res-Rec Equations'!$B$156))</f>
        <v>7.3567680901159717E-10</v>
      </c>
      <c r="D209" s="368">
        <f>(('Res-Rec Equations'!$B$132^(10/3)*'Chemical Info'!$AH210*'Chemical Info'!$AN210*41+'Res-Rec Equations'!$B$135^(10/3)*'Chemical Info'!$AJ210)/'Res-Rec Equations'!$B$137^2)/('Res-Rec Equations'!$B$139*'Chemical Info'!$AL210*'Res-Rec Equations'!$B$142+'Res-Rec Equations'!$B$135+'Res-Rec Equations'!$B$132*'Chemical Info'!$AN210*41)</f>
        <v>2.9502832294239876E-8</v>
      </c>
      <c r="E209" s="368">
        <f>IF(D209=0,"NA",1/(('Res-Rec Equations'!$B$103*(3.14*'Res-Rec Calculations'!$D209*'Res-Rec Equations'!$B$105)^(1/2)*0.0001)/(2*'Res-Rec Equations'!$B$106*'Res-Rec Calculations'!$D209)))</f>
        <v>1.0082319114612469E-6</v>
      </c>
      <c r="F209" s="368">
        <f>IF(D209=0,"NA",(1/('Res-Rec Equations'!$B$117*('Res-Rec Equations'!$B$118*(31500000))/('Res-Rec Equations'!$B$119*'Res-Rec Equations'!$B$120*1000000))))</f>
        <v>6.1914410640015851E-5</v>
      </c>
      <c r="G209" s="167" t="str">
        <f>IF('Chemical Info'!E210="Yes",('Chemical Info'!AP210/'Res-Rec Equations'!$B$168)*((('Chemical Info'!AL210*'Res-Rec Equations'!$B$170)*'Res-Rec Equations'!$B$168)+'Res-Rec Equations'!$B$171+('Chemical Info'!AN210*41)*'Res-Rec Equations'!$B$173),"NA")</f>
        <v>NA</v>
      </c>
      <c r="H209" s="112">
        <f>IF('Chemical Info'!H210="NA","NA",IF(AND('Chemical Info'!E210="Yes",'Chemical Info'!D210="Yes"),'Chemical Info'!H210*'Chemical Info'!AD210*'Res-Rec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Info'!E210="Yes",'Chemical Info'!D210=""),'Chemical Info'!H210*'Chemical Info'!AD210*'Res-Rec Equations'!$B$20*'Res-Rec Equations'!$B$23*((('Res-Rec Equations'!$B$26*'Res-Rec Equations'!$B$29)/'Res-Rec Equations'!$B$32)+(('Res-Rec Equations'!$B$27*'Res-Rec Equations'!$B$30)/'Res-Rec Equations'!$B$33)+(('Res-Rec Equations'!$B$28*'Res-Rec Equations'!$B$31)/'Res-Rec Equations'!$B$34)),IF(AND('Chemical Info'!E210="No",'Chemical Info'!D210="Yes"),'Chemical Info'!H210*'Chemical Info'!AD210*'Res-Rec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Info'!E210="No",'Chemical Info'!D210=""),'Chemical Info'!H210*'Chemical Info'!AD210*'Res-Rec Equations'!$B$19*'Res-Rec Equations'!$B$23*((('Res-Rec Equations'!$B$26*'Res-Rec Equations'!$B$29)/'Res-Rec Equations'!$B$32)+(('Res-Rec Equations'!$B$27*'Res-Rec Equations'!$B$30)/'Res-Rec Equations'!$B$33)+(('Res-Rec Equations'!$B$28*'Res-Rec Equations'!$B$31)/'Res-Rec Equations'!$B$34)))))))</f>
        <v>6.763762446657183E-2</v>
      </c>
      <c r="I209" s="166">
        <f>IF('Chemical Info'!H210="NA","NA",IF('Chemical Info'!E210="Yes",0,IF('Chemical Info'!D210="Yes",'Chemical Info'!H210/'Chemical Info'!AF210*('Res-Rec Equations'!$B$21*'Chemical Info'!AB210*'Res-Rec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Info'!H210/'Chemical Info'!AF210*('Res-Rec Equations'!$B$21*'Chemical Info'!AB210*'Res-Rec Equations'!$B$23)*((('Res-Rec Equations'!$B$26*'Res-Rec Equations'!$B$37*'Res-Rec Equations'!$B$40)/'Res-Rec Equations'!$B$32)+(('Res-Rec Equations'!$B$27*'Res-Rec Equations'!$B$38*'Res-Rec Equations'!$B$41)/'Res-Rec Equations'!$B$33)+(('Res-Rec Equations'!$B$28*'Res-Rec Equations'!$B$39*'Res-Rec Equations'!$B$42)/'Res-Rec Equations'!$B$34)))))</f>
        <v>1.6332209287873399E-2</v>
      </c>
      <c r="J209" s="369" t="str">
        <f>IF('Chemical Info'!J210="NA","NA",IF(AND(E209="NA",'Chemical Info'!D210="Yes"),'Res-Rec Equations'!$B$22*1000*(('Res-Rec Equations'!$B$26*'Chemical Info'!J210*'Res-Rec Equations'!$B$59)+('Res-Rec Equations'!$B$27*'Chemical Info'!J210*'Res-Rec Equations'!$B$60)+('Res-Rec Equations'!$B$28*'Chemical Info'!J210*'Res-Rec Equations'!$B$61))*'Res-Rec Calculations'!C209,IF(AND(E209="NA",'Chemical Info'!D210=""),'Res-Rec Equations'!$B$22*1000*'Res-Rec Equations'!$B$25*'Chemical Info'!J210*'Res-Rec Calculations'!C209,IF(AND('Chemical Info'!E210="Yes",'Chemical Info'!D210="Yes"),'Res-Rec Equations'!$B$22*1000*(('Res-Rec Equations'!$B$26*'Chemical Info'!J210*'Res-Rec Equations'!$B$59)+('Res-Rec Equations'!$B$27*'Chemical Info'!J210*'Res-Rec Equations'!$B$60)+('Res-Rec Equations'!$B$28*'Chemical Info'!J210*'Res-Rec Equations'!$B$61))*'Res-Rec Calculations'!E209,IF(AND('Chemical Info'!E210="Yes",'Chemical Info'!D210=""),'Res-Rec Equations'!$B$22*1000*'Res-Rec Equations'!$B$25*'Chemical Info'!J210*'Res-Rec Calculations'!E209,IF('Chemical Info'!D210="Yes",'Res-Rec Equations'!$B$22*1000*(('Res-Rec Equations'!$B$26*'Chemical Info'!J210*'Res-Rec Equations'!$B$59)+('Res-Rec Equations'!$B$27*'Chemical Info'!J210*'Res-Rec Equations'!$B$60)+('Res-Rec Equations'!$B$28*'Chemical Info'!J210*'Res-Rec Equations'!$B$61))*('Res-Rec Calculations'!C209+'Res-Rec Calculations'!E209),IF('Chemical Info'!D210="",'Res-Rec Equations'!$B$22*1000*'Res-Rec Equations'!$B$25*'Chemical Info'!J210*('Res-Rec Calculations'!C209+'Res-Rec Calculations'!E209))))))))</f>
        <v>NA</v>
      </c>
      <c r="K209" s="370" t="str">
        <f>IF('Chemical Info'!J210="NA","NA",IF(AND(F209="NA",'Chemical Info'!D210="Yes"),'Res-Rec Equations'!$B$22*1000*(('Res-Rec Equations'!$B$26*'Chemical Info'!J210*'Res-Rec Equations'!$B$59)+('Res-Rec Equations'!$B$27*'Chemical Info'!J210*'Res-Rec Equations'!$B$60)+('Res-Rec Equations'!$B$28*'Chemical Info'!J210*'Res-Rec Equations'!$B$61))*'Res-Rec Calculations'!C209,IF(AND(F209="NA",'Chemical Info'!D210=""),'Res-Rec Equations'!$B$22*1000*'Res-Rec Equations'!$B$25*'Chemical Info'!J210*'Res-Rec Calculations'!C209,IF(AND('Chemical Info'!F210="Yes",'Chemical Info'!D210="Yes"),'Res-Rec Equations'!$B$22*1000*(('Res-Rec Equations'!$B$26*'Chemical Info'!J210*'Res-Rec Equations'!$B$59)+('Res-Rec Equations'!$B$27*'Chemical Info'!J210*'Res-Rec Equations'!$B$60)+('Res-Rec Equations'!$B$28*'Chemical Info'!J210*'Res-Rec Equations'!$B$61))*'Res-Rec Calculations'!F209,IF(AND('Chemical Info'!F210="Yes",'Chemical Info'!D210=""),'Res-Rec Equations'!$B$22*1000*'Res-Rec Equations'!$B$25*'Chemical Info'!J210*'Res-Rec Calculations'!F209,IF('Chemical Info'!D210="Yes",'Res-Rec Equations'!$B$22*1000*(('Res-Rec Equations'!$B$26*'Chemical Info'!J210*'Res-Rec Equations'!$B$59)+('Res-Rec Equations'!$B$27*'Chemical Info'!J210*'Res-Rec Equations'!$B$60)+('Res-Rec Equations'!$B$28*'Chemical Info'!J210*'Res-Rec Equations'!$B$61))*('Res-Rec Calculations'!C209+'Res-Rec Calculations'!F209),IF('Chemical Info'!D210="",'Res-Rec Equations'!$B$22*1000*'Res-Rec Equations'!$B$25*'Chemical Info'!J210*('Res-Rec Calculations'!C209+'Res-Rec Calculations'!F209))))))))</f>
        <v>NA</v>
      </c>
      <c r="L209" s="167">
        <f>IF(AND(H209="NA",I209="NA",J209="NA"),"NA",IF(H209="NA",'Res-Rec Equations'!$B$15*'Res-Rec Equations'!$B$16/J209,IF(J209="NA",'Res-Rec Equations'!$B$15*'Res-Rec Equations'!$B$16/(H209+I209),'Res-Rec Equations'!$B$15*'Res-Rec Equations'!$B$16/(H209+I209+J209))))</f>
        <v>3.0427593884151789</v>
      </c>
      <c r="M209" s="167">
        <f>IF(AND(H209="NA",I209="NA",K209="NA"),"NA",IF(H209="NA",'Res-Rec Equations'!$B$15*'Res-Rec Equations'!$B$16/K209,IF(K209="NA",'Res-Rec Equations'!$B$15*'Res-Rec Equations'!$B$16/(H209+I209),'Res-Rec Equations'!$B$15*'Res-Rec Equations'!$B$16/(H209+I209+K209))))</f>
        <v>3.0427593884151789</v>
      </c>
      <c r="N209" s="167">
        <f t="shared" si="276"/>
        <v>3.0427593884151789</v>
      </c>
      <c r="O209" s="371">
        <f>IF('Chemical Info'!L210="NA","NA",IF('Chemical Info'!E210="Yes",(('Res-Rec Equations'!$B$76*'Chemical Info'!AD210*'Res-Rec Equations'!$B$78*'Res-Rec Equations'!$B$79*'Res-Rec Equations'!$B$81)/('Res-Rec Equations'!$B$84*'Res-Rec Equations'!$B$85))/'Chemical Info'!L210,(('Res-Rec Equations'!$B$76*'Chemical Info'!AD210*'Res-Rec Equations'!$B$78*'Res-Rec Equations'!$B$79*'Res-Rec Equations'!$B$80)/('Res-Rec Equations'!$B$84*'Res-Rec Equations'!$B$85))/'Chemical Info'!L210))</f>
        <v>4.2617960426179609E-2</v>
      </c>
      <c r="P209" s="166">
        <f>IF('Chemical Info'!L210="NA","NA", IF('Chemical Info'!E210="Yes",0,((('Res-Rec Equations'!$B$87*'Res-Rec Equations'!$B$88*'Res-Rec Equations'!$B$78*'Res-Rec Equations'!$B$82*'Res-Rec Equations'!$B$79*'Chemical Info'!AB210)/('Res-Rec Equations'!$B$84*'Res-Rec Equations'!$B$85))/('Chemical Info'!L210*'Chemical Info'!AF210))))</f>
        <v>7.1515068493150698E-3</v>
      </c>
      <c r="Q209" s="166" t="str">
        <f>IF('Chemical Info'!N210="NA","NA",IF('Res-Rec Calculations'!E209="NA",(('Res-Rec Equations'!$B$83*'Res-Rec Equations'!$B$79*'Res-Rec Calculations'!C209)/('Res-Rec Equations'!$B$85))/('Chemical Info'!N210),IF('Chemical Info'!E210="Yes",(('Res-Rec Equations'!$B$83*'Res-Rec Equations'!$B$79*'Res-Rec Calculations'!E209)/('Res-Rec Equations'!$B$85))/('Chemical Info'!N210),(('Res-Rec Equations'!$B$83*'Res-Rec Equations'!$B$79*('Res-Rec Calculations'!C209+'Res-Rec Calculations'!E209))/('Res-Rec Equations'!$B$85))/('Chemical Info'!N210))))</f>
        <v>NA</v>
      </c>
      <c r="R209" s="166" t="str">
        <f>IF('Chemical Info'!N210="NA","NA",IF('Res-Rec Calculations'!F209="NA",(('Res-Rec Equations'!$B$83*'Res-Rec Equations'!$B$79*'Res-Rec Calculations'!C209)/('Res-Rec Equations'!$B$85))/('Chemical Info'!N210),IF('Chemical Info'!E210="Yes",(('Res-Rec Equations'!$B$83*'Res-Rec Equations'!$B$79*'Res-Rec Calculations'!F209)/('Res-Rec Equations'!$B$85))/('Chemical Info'!N210),(('Res-Rec Equations'!$B$83*'Res-Rec Equations'!$B$79*('Res-Rec Calculations'!C209+'Res-Rec Calculations'!F209))/('Res-Rec Equations'!$B$85))/('Chemical Info'!N210))))</f>
        <v>NA</v>
      </c>
      <c r="S209" s="167">
        <f>IF(AND(O209="NA",P209="NA",Q209="NA"),"NA",IF(O209="NA",'Res-Rec Equations'!$B$75/Q209,IF(Q209="NA",'Res-Rec Equations'!$B$75/(O209+P209),'Res-Rec Equations'!$B$75/(O209+P209+Q209))))</f>
        <v>4.0185280443713998</v>
      </c>
      <c r="T209" s="167">
        <f>IF(AND(O209="NA",P209="NA",R209="NA"),"NA",IF(O209="NA",'Res-Rec Equations'!$B$75/R209,IF(R209="NA",'Res-Rec Equations'!$B$75/(O209+P209),'Res-Rec Equations'!$B$75/(O209+P209+R209))))</f>
        <v>4.0185280443713998</v>
      </c>
      <c r="U209" s="168">
        <f t="shared" si="277"/>
        <v>4.0185280443713998</v>
      </c>
      <c r="V209" s="167" t="str">
        <f>IF('Chemical Info'!P210="NA","NA",(('Res-Rec Equations'!$B$185*'Res-Rec Equations'!$B$186)/('Res-Rec Equations'!$B$187*'Res-Rec Equations'!$B$188*(1/'Chemical Info'!P210))))</f>
        <v>NA</v>
      </c>
      <c r="W209" s="379" t="str">
        <f t="shared" si="272"/>
        <v>NA</v>
      </c>
      <c r="X209" s="372">
        <f t="shared" si="273"/>
        <v>3.0427593884151789</v>
      </c>
      <c r="Y209" s="62">
        <f t="shared" si="274"/>
        <v>3</v>
      </c>
      <c r="Z209" s="100" t="str">
        <f t="shared" si="275"/>
        <v>Cancer</v>
      </c>
      <c r="AA209" s="373"/>
    </row>
    <row r="210" spans="1:27">
      <c r="A210" s="373" t="s">
        <v>38</v>
      </c>
      <c r="B210" s="566" t="s">
        <v>427</v>
      </c>
      <c r="C210" s="367">
        <f>1/(('Res-Rec Equations'!$B$152*3600)/((0.036*(1-'Res-Rec Equations'!$B$153))*('Res-Rec Equations'!$B$154/'Res-Rec Equations'!$B$155)^3*'Res-Rec Equations'!$B$156))</f>
        <v>7.3567680901159717E-10</v>
      </c>
      <c r="D210" s="368">
        <f>(('Res-Rec Equations'!$B$132^(10/3)*'Chemical Info'!$AH211*'Chemical Info'!$AN211*41+'Res-Rec Equations'!$B$135^(10/3)*'Chemical Info'!$AJ211)/'Res-Rec Equations'!$B$137^2)/('Res-Rec Equations'!$B$139*'Chemical Info'!$AL211*'Res-Rec Equations'!$B$142+'Res-Rec Equations'!$B$135+'Res-Rec Equations'!$B$132*'Chemical Info'!$AN211*41)</f>
        <v>1.5250008398050623E-8</v>
      </c>
      <c r="E210" s="368">
        <f>IF(D210=0,"NA",1/(('Res-Rec Equations'!$B$103*(3.14*'Res-Rec Calculations'!$D210*'Res-Rec Equations'!$B$105)^(1/2)*0.0001)/(2*'Res-Rec Equations'!$B$106*'Res-Rec Calculations'!$D210)))</f>
        <v>7.2487584040855699E-7</v>
      </c>
      <c r="F210" s="368">
        <f>IF(D210=0,"NA",(1/('Res-Rec Equations'!$B$117*('Res-Rec Equations'!$B$118*(31500000))/('Res-Rec Equations'!$B$119*'Res-Rec Equations'!$B$120*1000000))))</f>
        <v>6.1914410640015851E-5</v>
      </c>
      <c r="G210" s="167" t="str">
        <f>IF('Chemical Info'!E211="Yes",('Chemical Info'!AP211/'Res-Rec Equations'!$B$168)*((('Chemical Info'!AL211*'Res-Rec Equations'!$B$170)*'Res-Rec Equations'!$B$168)+'Res-Rec Equations'!$B$171+('Chemical Info'!AN211*41)*'Res-Rec Equations'!$B$173),"NA")</f>
        <v>NA</v>
      </c>
      <c r="H210" s="112">
        <f>IF('Chemical Info'!H211="NA","NA",IF(AND('Chemical Info'!E211="Yes",'Chemical Info'!D211="Yes"),'Chemical Info'!H211*'Chemical Info'!AD211*'Res-Rec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Info'!E211="Yes",'Chemical Info'!D211=""),'Chemical Info'!H211*'Chemical Info'!AD211*'Res-Rec Equations'!$B$20*'Res-Rec Equations'!$B$23*((('Res-Rec Equations'!$B$26*'Res-Rec Equations'!$B$29)/'Res-Rec Equations'!$B$32)+(('Res-Rec Equations'!$B$27*'Res-Rec Equations'!$B$30)/'Res-Rec Equations'!$B$33)+(('Res-Rec Equations'!$B$28*'Res-Rec Equations'!$B$31)/'Res-Rec Equations'!$B$34)),IF(AND('Chemical Info'!E211="No",'Chemical Info'!D211="Yes"),'Chemical Info'!H211*'Chemical Info'!AD211*'Res-Rec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Info'!E211="No",'Chemical Info'!D211=""),'Chemical Info'!H211*'Chemical Info'!AD211*'Res-Rec Equations'!$B$19*'Res-Rec Equations'!$B$23*((('Res-Rec Equations'!$B$26*'Res-Rec Equations'!$B$29)/'Res-Rec Equations'!$B$32)+(('Res-Rec Equations'!$B$27*'Res-Rec Equations'!$B$30)/'Res-Rec Equations'!$B$33)+(('Res-Rec Equations'!$B$28*'Res-Rec Equations'!$B$31)/'Res-Rec Equations'!$B$34)))))))</f>
        <v>3.0662389758179236E-2</v>
      </c>
      <c r="I210" s="166">
        <f>IF('Chemical Info'!H211="NA","NA",IF('Chemical Info'!E211="Yes",0,IF('Chemical Info'!D211="Yes",'Chemical Info'!H211/'Chemical Info'!AF211*('Res-Rec Equations'!$B$21*'Chemical Info'!AB211*'Res-Rec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Info'!H211/'Chemical Info'!AF211*('Res-Rec Equations'!$B$21*'Chemical Info'!AB211*'Res-Rec Equations'!$B$23)*((('Res-Rec Equations'!$B$26*'Res-Rec Equations'!$B$37*'Res-Rec Equations'!$B$40)/'Res-Rec Equations'!$B$32)+(('Res-Rec Equations'!$B$27*'Res-Rec Equations'!$B$38*'Res-Rec Equations'!$B$41)/'Res-Rec Equations'!$B$33)+(('Res-Rec Equations'!$B$28*'Res-Rec Equations'!$B$39*'Res-Rec Equations'!$B$42)/'Res-Rec Equations'!$B$34)))))</f>
        <v>7.4787220981507828E-3</v>
      </c>
      <c r="J210" s="369" t="str">
        <f>IF('Chemical Info'!J211="NA","NA",IF(AND(E210="NA",'Chemical Info'!D211="Yes"),'Res-Rec Equations'!$B$22*1000*(('Res-Rec Equations'!$B$26*'Chemical Info'!J211*'Res-Rec Equations'!$B$59)+('Res-Rec Equations'!$B$27*'Chemical Info'!J211*'Res-Rec Equations'!$B$60)+('Res-Rec Equations'!$B$28*'Chemical Info'!J211*'Res-Rec Equations'!$B$61))*'Res-Rec Calculations'!C210,IF(AND(E210="NA",'Chemical Info'!D211=""),'Res-Rec Equations'!$B$22*1000*'Res-Rec Equations'!$B$25*'Chemical Info'!J211*'Res-Rec Calculations'!C210,IF(AND('Chemical Info'!E211="Yes",'Chemical Info'!D211="Yes"),'Res-Rec Equations'!$B$22*1000*(('Res-Rec Equations'!$B$26*'Chemical Info'!J211*'Res-Rec Equations'!$B$59)+('Res-Rec Equations'!$B$27*'Chemical Info'!J211*'Res-Rec Equations'!$B$60)+('Res-Rec Equations'!$B$28*'Chemical Info'!J211*'Res-Rec Equations'!$B$61))*'Res-Rec Calculations'!E210,IF(AND('Chemical Info'!E211="Yes",'Chemical Info'!D211=""),'Res-Rec Equations'!$B$22*1000*'Res-Rec Equations'!$B$25*'Chemical Info'!J211*'Res-Rec Calculations'!E210,IF('Chemical Info'!D211="Yes",'Res-Rec Equations'!$B$22*1000*(('Res-Rec Equations'!$B$26*'Chemical Info'!J211*'Res-Rec Equations'!$B$59)+('Res-Rec Equations'!$B$27*'Chemical Info'!J211*'Res-Rec Equations'!$B$60)+('Res-Rec Equations'!$B$28*'Chemical Info'!J211*'Res-Rec Equations'!$B$61))*('Res-Rec Calculations'!C210+'Res-Rec Calculations'!E210),IF('Chemical Info'!D211="",'Res-Rec Equations'!$B$22*1000*'Res-Rec Equations'!$B$25*'Chemical Info'!J211*('Res-Rec Calculations'!C210+'Res-Rec Calculations'!E210))))))))</f>
        <v>NA</v>
      </c>
      <c r="K210" s="370" t="str">
        <f>IF('Chemical Info'!J211="NA","NA",IF(AND(F210="NA",'Chemical Info'!D211="Yes"),'Res-Rec Equations'!$B$22*1000*(('Res-Rec Equations'!$B$26*'Chemical Info'!J211*'Res-Rec Equations'!$B$59)+('Res-Rec Equations'!$B$27*'Chemical Info'!J211*'Res-Rec Equations'!$B$60)+('Res-Rec Equations'!$B$28*'Chemical Info'!J211*'Res-Rec Equations'!$B$61))*'Res-Rec Calculations'!C210,IF(AND(F210="NA",'Chemical Info'!D211=""),'Res-Rec Equations'!$B$22*1000*'Res-Rec Equations'!$B$25*'Chemical Info'!J211*'Res-Rec Calculations'!C210,IF(AND('Chemical Info'!F211="Yes",'Chemical Info'!D211="Yes"),'Res-Rec Equations'!$B$22*1000*(('Res-Rec Equations'!$B$26*'Chemical Info'!J211*'Res-Rec Equations'!$B$59)+('Res-Rec Equations'!$B$27*'Chemical Info'!J211*'Res-Rec Equations'!$B$60)+('Res-Rec Equations'!$B$28*'Chemical Info'!J211*'Res-Rec Equations'!$B$61))*'Res-Rec Calculations'!F210,IF(AND('Chemical Info'!F211="Yes",'Chemical Info'!D211=""),'Res-Rec Equations'!$B$22*1000*'Res-Rec Equations'!$B$25*'Chemical Info'!J211*'Res-Rec Calculations'!F210,IF('Chemical Info'!D211="Yes",'Res-Rec Equations'!$B$22*1000*(('Res-Rec Equations'!$B$26*'Chemical Info'!J211*'Res-Rec Equations'!$B$59)+('Res-Rec Equations'!$B$27*'Chemical Info'!J211*'Res-Rec Equations'!$B$60)+('Res-Rec Equations'!$B$28*'Chemical Info'!J211*'Res-Rec Equations'!$B$61))*('Res-Rec Calculations'!C210+'Res-Rec Calculations'!F210),IF('Chemical Info'!D211="",'Res-Rec Equations'!$B$22*1000*'Res-Rec Equations'!$B$25*'Chemical Info'!J211*('Res-Rec Calculations'!C210+'Res-Rec Calculations'!F210))))))))</f>
        <v>NA</v>
      </c>
      <c r="L210" s="167">
        <f>IF(AND(H210="NA",I210="NA",J210="NA"),"NA",IF(H210="NA",'Res-Rec Equations'!$B$15*'Res-Rec Equations'!$B$16/J210,IF(J210="NA",'Res-Rec Equations'!$B$15*'Res-Rec Equations'!$B$16/(H210+I210),'Res-Rec Equations'!$B$15*'Res-Rec Equations'!$B$16/(H210+I210+J210))))</f>
        <v>6.6988083871916917</v>
      </c>
      <c r="M210" s="167">
        <f>IF(AND(H210="NA",I210="NA",K210="NA"),"NA",IF(H210="NA",'Res-Rec Equations'!$B$15*'Res-Rec Equations'!$B$16/K210,IF(K210="NA",'Res-Rec Equations'!$B$15*'Res-Rec Equations'!$B$16/(H210+I210),'Res-Rec Equations'!$B$15*'Res-Rec Equations'!$B$16/(H210+I210+K210))))</f>
        <v>6.6988083871916917</v>
      </c>
      <c r="N210" s="167">
        <f t="shared" si="276"/>
        <v>6.6988083871916917</v>
      </c>
      <c r="O210" s="371">
        <f>IF('Chemical Info'!L211="NA","NA",IF('Chemical Info'!E211="Yes",(('Res-Rec Equations'!$B$76*'Chemical Info'!AD211*'Res-Rec Equations'!$B$78*'Res-Rec Equations'!$B$79*'Res-Rec Equations'!$B$81)/('Res-Rec Equations'!$B$84*'Res-Rec Equations'!$B$85))/'Chemical Info'!L211,(('Res-Rec Equations'!$B$76*'Chemical Info'!AD211*'Res-Rec Equations'!$B$78*'Res-Rec Equations'!$B$79*'Res-Rec Equations'!$B$80)/('Res-Rec Equations'!$B$84*'Res-Rec Equations'!$B$85))/'Chemical Info'!L211))</f>
        <v>1.4205986808726534E-2</v>
      </c>
      <c r="P210" s="166">
        <f>IF('Chemical Info'!L211="NA","NA", IF('Chemical Info'!E211="Yes",0,((('Res-Rec Equations'!$B$87*'Res-Rec Equations'!$B$88*'Res-Rec Equations'!$B$78*'Res-Rec Equations'!$B$82*'Res-Rec Equations'!$B$79*'Chemical Info'!AB211)/('Res-Rec Equations'!$B$84*'Res-Rec Equations'!$B$85))/('Chemical Info'!L211*'Chemical Info'!AF211))))</f>
        <v>2.4079147640791478E-3</v>
      </c>
      <c r="Q210" s="166" t="str">
        <f>IF('Chemical Info'!N211="NA","NA",IF('Res-Rec Calculations'!E210="NA",(('Res-Rec Equations'!$B$83*'Res-Rec Equations'!$B$79*'Res-Rec Calculations'!C210)/('Res-Rec Equations'!$B$85))/('Chemical Info'!N211),IF('Chemical Info'!E211="Yes",(('Res-Rec Equations'!$B$83*'Res-Rec Equations'!$B$79*'Res-Rec Calculations'!E210)/('Res-Rec Equations'!$B$85))/('Chemical Info'!N211),(('Res-Rec Equations'!$B$83*'Res-Rec Equations'!$B$79*('Res-Rec Calculations'!C210+'Res-Rec Calculations'!E210))/('Res-Rec Equations'!$B$85))/('Chemical Info'!N211))))</f>
        <v>NA</v>
      </c>
      <c r="R210" s="166" t="str">
        <f>IF('Chemical Info'!N211="NA","NA",IF('Res-Rec Calculations'!F210="NA",(('Res-Rec Equations'!$B$83*'Res-Rec Equations'!$B$79*'Res-Rec Calculations'!C210)/('Res-Rec Equations'!$B$85))/('Chemical Info'!N211),IF('Chemical Info'!E211="Yes",(('Res-Rec Equations'!$B$83*'Res-Rec Equations'!$B$79*'Res-Rec Calculations'!F210)/('Res-Rec Equations'!$B$85))/('Chemical Info'!N211),(('Res-Rec Equations'!$B$83*'Res-Rec Equations'!$B$79*('Res-Rec Calculations'!C210+'Res-Rec Calculations'!F210))/('Res-Rec Equations'!$B$85))/('Chemical Info'!N211))))</f>
        <v>NA</v>
      </c>
      <c r="S210" s="167">
        <f>IF(AND(O210="NA",P210="NA",Q210="NA"),"NA",IF(O210="NA",'Res-Rec Equations'!$B$75/Q210,IF(Q210="NA",'Res-Rec Equations'!$B$75/(O210+P210),'Res-Rec Equations'!$B$75/(O210+P210+Q210))))</f>
        <v>12.038111525071766</v>
      </c>
      <c r="T210" s="167">
        <f>IF(AND(O210="NA",P210="NA",R210="NA"),"NA",IF(O210="NA",'Res-Rec Equations'!$B$75/R210,IF(R210="NA",'Res-Rec Equations'!$B$75/(O210+P210),'Res-Rec Equations'!$B$75/(O210+P210+R210))))</f>
        <v>12.038111525071766</v>
      </c>
      <c r="U210" s="168">
        <f t="shared" si="277"/>
        <v>12.038111525071766</v>
      </c>
      <c r="V210" s="167" t="str">
        <f>IF('Chemical Info'!P211="NA","NA",(('Res-Rec Equations'!$B$185*'Res-Rec Equations'!$B$186)/('Res-Rec Equations'!$B$187*'Res-Rec Equations'!$B$188*(1/'Chemical Info'!P211))))</f>
        <v>NA</v>
      </c>
      <c r="W210" s="379" t="str">
        <f t="shared" si="272"/>
        <v>NA</v>
      </c>
      <c r="X210" s="372">
        <f t="shared" si="273"/>
        <v>6.6988083871916917</v>
      </c>
      <c r="Y210" s="62">
        <f t="shared" si="274"/>
        <v>6.7</v>
      </c>
      <c r="Z210" s="100" t="str">
        <f t="shared" si="275"/>
        <v>Cancer</v>
      </c>
      <c r="AA210" s="373"/>
    </row>
    <row r="211" spans="1:27" ht="21.75" customHeight="1">
      <c r="A211" s="146" t="s">
        <v>489</v>
      </c>
      <c r="B211" s="595" t="s">
        <v>129</v>
      </c>
      <c r="C211" s="367">
        <f>1/(('Res-Rec Equations'!$B$152*3600)/((0.036*(1-'Res-Rec Equations'!$B$153))*('Res-Rec Equations'!$B$154/'Res-Rec Equations'!$B$155)^3*'Res-Rec Equations'!$B$156))</f>
        <v>7.3567680901159717E-10</v>
      </c>
      <c r="D211" s="368">
        <f>(('Res-Rec Equations'!$B$132^(10/3)*'Chemical Info'!$AH212*'Chemical Info'!$AN212*41+'Res-Rec Equations'!$B$135^(10/3)*'Chemical Info'!$AJ212)/'Res-Rec Equations'!$B$137^2)/('Res-Rec Equations'!$B$139*'Chemical Info'!$AL212*'Res-Rec Equations'!$B$142+'Res-Rec Equations'!$B$135+'Res-Rec Equations'!$B$132*'Chemical Info'!$AN212*41)</f>
        <v>9.6654481923715516E-9</v>
      </c>
      <c r="E211" s="368">
        <f>IF(D211=0,"NA",1/(('Res-Rec Equations'!$B$103*(3.14*'Res-Rec Calculations'!$D211*'Res-Rec Equations'!$B$105)^(1/2)*0.0001)/(2*'Res-Rec Equations'!$B$106*'Res-Rec Calculations'!$D211)))</f>
        <v>5.7708472964250766E-7</v>
      </c>
      <c r="F211" s="368">
        <f>IF(D211=0,"NA",(1/('Res-Rec Equations'!$B$117*('Res-Rec Equations'!$B$118*(31500000))/('Res-Rec Equations'!$B$119*'Res-Rec Equations'!$B$120*1000000))))</f>
        <v>6.1914410640015851E-5</v>
      </c>
      <c r="G211" s="167" t="str">
        <f>IF('Chemical Info'!E212="Yes",('Chemical Info'!AP212/'Res-Rec Equations'!$B$168)*((('Chemical Info'!AL212*'Res-Rec Equations'!$B$170)*'Res-Rec Equations'!$B$168)+'Res-Rec Equations'!$B$171+('Chemical Info'!AN212*41)*'Res-Rec Equations'!$B$173),"NA")</f>
        <v>NA</v>
      </c>
      <c r="H211" s="112" t="str">
        <f>IF('Chemical Info'!H212="NA","NA",IF(AND('Chemical Info'!E212="Yes",'Chemical Info'!D212="Yes"),'Chemical Info'!H212*'Chemical Info'!AD212*'Res-Rec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Info'!E212="Yes",'Chemical Info'!D212=""),'Chemical Info'!H212*'Chemical Info'!AD212*'Res-Rec Equations'!$B$20*'Res-Rec Equations'!$B$23*((('Res-Rec Equations'!$B$26*'Res-Rec Equations'!$B$29)/'Res-Rec Equations'!$B$32)+(('Res-Rec Equations'!$B$27*'Res-Rec Equations'!$B$30)/'Res-Rec Equations'!$B$33)+(('Res-Rec Equations'!$B$28*'Res-Rec Equations'!$B$31)/'Res-Rec Equations'!$B$34)),IF(AND('Chemical Info'!E212="No",'Chemical Info'!D212="Yes"),'Chemical Info'!H212*'Chemical Info'!AD212*'Res-Rec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Info'!E212="No",'Chemical Info'!D212=""),'Chemical Info'!H212*'Chemical Info'!AD212*'Res-Rec Equations'!$B$19*'Res-Rec Equations'!$B$23*((('Res-Rec Equations'!$B$26*'Res-Rec Equations'!$B$29)/'Res-Rec Equations'!$B$32)+(('Res-Rec Equations'!$B$27*'Res-Rec Equations'!$B$30)/'Res-Rec Equations'!$B$33)+(('Res-Rec Equations'!$B$28*'Res-Rec Equations'!$B$31)/'Res-Rec Equations'!$B$34)))))))</f>
        <v>NA</v>
      </c>
      <c r="I211" s="166" t="str">
        <f>IF('Chemical Info'!H212="NA","NA",IF('Chemical Info'!E212="Yes",0,IF('Chemical Info'!D212="Yes",'Chemical Info'!H212/'Chemical Info'!AF212*('Res-Rec Equations'!$B$21*'Chemical Info'!AB212*'Res-Rec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Info'!H212/'Chemical Info'!AF212*('Res-Rec Equations'!$B$21*'Chemical Info'!AB212*'Res-Rec Equations'!$B$23)*((('Res-Rec Equations'!$B$26*'Res-Rec Equations'!$B$37*'Res-Rec Equations'!$B$40)/'Res-Rec Equations'!$B$32)+(('Res-Rec Equations'!$B$27*'Res-Rec Equations'!$B$38*'Res-Rec Equations'!$B$41)/'Res-Rec Equations'!$B$33)+(('Res-Rec Equations'!$B$28*'Res-Rec Equations'!$B$39*'Res-Rec Equations'!$B$42)/'Res-Rec Equations'!$B$34)))))</f>
        <v>NA</v>
      </c>
      <c r="J211" s="369" t="str">
        <f>IF('Chemical Info'!J212="NA","NA",IF(AND(E211="NA",'Chemical Info'!D212="Yes"),'Res-Rec Equations'!$B$22*1000*(('Res-Rec Equations'!$B$26*'Chemical Info'!J212*'Res-Rec Equations'!$B$59)+('Res-Rec Equations'!$B$27*'Chemical Info'!J212*'Res-Rec Equations'!$B$60)+('Res-Rec Equations'!$B$28*'Chemical Info'!J212*'Res-Rec Equations'!$B$61))*'Res-Rec Calculations'!C211,IF(AND(E211="NA",'Chemical Info'!D212=""),'Res-Rec Equations'!$B$22*1000*'Res-Rec Equations'!$B$25*'Chemical Info'!J212*'Res-Rec Calculations'!C211,IF(AND('Chemical Info'!E212="Yes",'Chemical Info'!D212="Yes"),'Res-Rec Equations'!$B$22*1000*(('Res-Rec Equations'!$B$26*'Chemical Info'!J212*'Res-Rec Equations'!$B$59)+('Res-Rec Equations'!$B$27*'Chemical Info'!J212*'Res-Rec Equations'!$B$60)+('Res-Rec Equations'!$B$28*'Chemical Info'!J212*'Res-Rec Equations'!$B$61))*'Res-Rec Calculations'!E211,IF(AND('Chemical Info'!E212="Yes",'Chemical Info'!D212=""),'Res-Rec Equations'!$B$22*1000*'Res-Rec Equations'!$B$25*'Chemical Info'!J212*'Res-Rec Calculations'!E211,IF('Chemical Info'!D212="Yes",'Res-Rec Equations'!$B$22*1000*(('Res-Rec Equations'!$B$26*'Chemical Info'!J212*'Res-Rec Equations'!$B$59)+('Res-Rec Equations'!$B$27*'Chemical Info'!J212*'Res-Rec Equations'!$B$60)+('Res-Rec Equations'!$B$28*'Chemical Info'!J212*'Res-Rec Equations'!$B$61))*('Res-Rec Calculations'!C211+'Res-Rec Calculations'!E211),IF('Chemical Info'!D212="",'Res-Rec Equations'!$B$22*1000*'Res-Rec Equations'!$B$25*'Chemical Info'!J212*('Res-Rec Calculations'!C211+'Res-Rec Calculations'!E211))))))))</f>
        <v>NA</v>
      </c>
      <c r="K211" s="370" t="str">
        <f>IF('Chemical Info'!J212="NA","NA",IF(AND(F211="NA",'Chemical Info'!D212="Yes"),'Res-Rec Equations'!$B$22*1000*(('Res-Rec Equations'!$B$26*'Chemical Info'!J212*'Res-Rec Equations'!$B$59)+('Res-Rec Equations'!$B$27*'Chemical Info'!J212*'Res-Rec Equations'!$B$60)+('Res-Rec Equations'!$B$28*'Chemical Info'!J212*'Res-Rec Equations'!$B$61))*'Res-Rec Calculations'!C211,IF(AND(F211="NA",'Chemical Info'!D212=""),'Res-Rec Equations'!$B$22*1000*'Res-Rec Equations'!$B$25*'Chemical Info'!J212*'Res-Rec Calculations'!C211,IF(AND('Chemical Info'!F212="Yes",'Chemical Info'!D212="Yes"),'Res-Rec Equations'!$B$22*1000*(('Res-Rec Equations'!$B$26*'Chemical Info'!J212*'Res-Rec Equations'!$B$59)+('Res-Rec Equations'!$B$27*'Chemical Info'!J212*'Res-Rec Equations'!$B$60)+('Res-Rec Equations'!$B$28*'Chemical Info'!J212*'Res-Rec Equations'!$B$61))*'Res-Rec Calculations'!F211,IF(AND('Chemical Info'!F212="Yes",'Chemical Info'!D212=""),'Res-Rec Equations'!$B$22*1000*'Res-Rec Equations'!$B$25*'Chemical Info'!J212*'Res-Rec Calculations'!F211,IF('Chemical Info'!D212="Yes",'Res-Rec Equations'!$B$22*1000*(('Res-Rec Equations'!$B$26*'Chemical Info'!J212*'Res-Rec Equations'!$B$59)+('Res-Rec Equations'!$B$27*'Chemical Info'!J212*'Res-Rec Equations'!$B$60)+('Res-Rec Equations'!$B$28*'Chemical Info'!J212*'Res-Rec Equations'!$B$61))*('Res-Rec Calculations'!C211+'Res-Rec Calculations'!F211),IF('Chemical Info'!D212="",'Res-Rec Equations'!$B$22*1000*'Res-Rec Equations'!$B$25*'Chemical Info'!J212*('Res-Rec Calculations'!C211+'Res-Rec Calculations'!F211))))))))</f>
        <v>NA</v>
      </c>
      <c r="L211" s="167" t="str">
        <f>IF(AND(H211="NA",I211="NA",J211="NA"),"NA",IF(H211="NA",'Res-Rec Equations'!$B$15*'Res-Rec Equations'!$B$16/J211,IF(J211="NA",'Res-Rec Equations'!$B$15*'Res-Rec Equations'!$B$16/(H211+I211),'Res-Rec Equations'!$B$15*'Res-Rec Equations'!$B$16/(H211+I211+J211))))</f>
        <v>NA</v>
      </c>
      <c r="M211" s="167" t="str">
        <f>IF(AND(H211="NA",I211="NA",K211="NA"),"NA",IF(H211="NA",'Res-Rec Equations'!$B$15*'Res-Rec Equations'!$B$16/K211,IF(K211="NA",'Res-Rec Equations'!$B$15*'Res-Rec Equations'!$B$16/(H211+I211),'Res-Rec Equations'!$B$15*'Res-Rec Equations'!$B$16/(H211+I211+K211))))</f>
        <v>NA</v>
      </c>
      <c r="N211" s="167" t="str">
        <f t="shared" si="276"/>
        <v>NA</v>
      </c>
      <c r="O211" s="371">
        <f>IF('Chemical Info'!L212="NA","NA",IF('Chemical Info'!E212="Yes",(('Res-Rec Equations'!$B$76*'Chemical Info'!AD212*'Res-Rec Equations'!$B$78*'Res-Rec Equations'!$B$79*'Res-Rec Equations'!$B$81)/('Res-Rec Equations'!$B$84*'Res-Rec Equations'!$B$85))/'Chemical Info'!L212,(('Res-Rec Equations'!$B$76*'Chemical Info'!AD212*'Res-Rec Equations'!$B$78*'Res-Rec Equations'!$B$79*'Res-Rec Equations'!$B$80)/('Res-Rec Equations'!$B$84*'Res-Rec Equations'!$B$85))/'Chemical Info'!L212))</f>
        <v>2.5570776255707758E-4</v>
      </c>
      <c r="P211" s="166">
        <f>IF('Chemical Info'!L212="NA","NA", IF('Chemical Info'!E212="Yes",0,((('Res-Rec Equations'!$B$87*'Res-Rec Equations'!$B$88*'Res-Rec Equations'!$B$78*'Res-Rec Equations'!$B$82*'Res-Rec Equations'!$B$79*'Chemical Info'!AB212)/('Res-Rec Equations'!$B$84*'Res-Rec Equations'!$B$85))/('Chemical Info'!L212*'Chemical Info'!AF212))))</f>
        <v>2.6005479452054793E-6</v>
      </c>
      <c r="Q211" s="166" t="str">
        <f>IF('Chemical Info'!N212="NA","NA",IF('Res-Rec Calculations'!E211="NA",(('Res-Rec Equations'!$B$83*'Res-Rec Equations'!$B$79*'Res-Rec Calculations'!C211)/('Res-Rec Equations'!$B$85))/('Chemical Info'!N212),IF('Chemical Info'!E212="Yes",(('Res-Rec Equations'!$B$83*'Res-Rec Equations'!$B$79*'Res-Rec Calculations'!E211)/('Res-Rec Equations'!$B$85))/('Chemical Info'!N212),(('Res-Rec Equations'!$B$83*'Res-Rec Equations'!$B$79*('Res-Rec Calculations'!C211+'Res-Rec Calculations'!E211))/('Res-Rec Equations'!$B$85))/('Chemical Info'!N212))))</f>
        <v>NA</v>
      </c>
      <c r="R211" s="166" t="str">
        <f>IF('Chemical Info'!N212="NA","NA",IF('Res-Rec Calculations'!F211="NA",(('Res-Rec Equations'!$B$83*'Res-Rec Equations'!$B$79*'Res-Rec Calculations'!C211)/('Res-Rec Equations'!$B$85))/('Chemical Info'!N212),IF('Chemical Info'!E212="Yes",(('Res-Rec Equations'!$B$83*'Res-Rec Equations'!$B$79*'Res-Rec Calculations'!F211)/('Res-Rec Equations'!$B$85))/('Chemical Info'!N212),(('Res-Rec Equations'!$B$83*'Res-Rec Equations'!$B$79*('Res-Rec Calculations'!C211+'Res-Rec Calculations'!F211))/('Res-Rec Equations'!$B$85))/('Chemical Info'!N212))))</f>
        <v>NA</v>
      </c>
      <c r="S211" s="167">
        <f>IF(AND(O211="NA",P211="NA",Q211="NA"),"NA",IF(O211="NA",'Res-Rec Equations'!$B$75/Q211,IF(Q211="NA",'Res-Rec Equations'!$B$75/(O211+P211),'Res-Rec Equations'!$B$75/(O211+P211+Q211))))</f>
        <v>774.26854602973492</v>
      </c>
      <c r="T211" s="167">
        <f>IF(AND(O211="NA",P211="NA",R211="NA"),"NA",IF(O211="NA",'Res-Rec Equations'!$B$75/R211,IF(R211="NA",'Res-Rec Equations'!$B$75/(O211+P211),'Res-Rec Equations'!$B$75/(O211+P211+R211))))</f>
        <v>774.26854602973492</v>
      </c>
      <c r="U211" s="168">
        <f t="shared" si="277"/>
        <v>774.26854602973492</v>
      </c>
      <c r="V211" s="167" t="str">
        <f>IF('Chemical Info'!P212="NA","NA",(('Res-Rec Equations'!$B$185*'Res-Rec Equations'!$B$186)/('Res-Rec Equations'!$B$187*'Res-Rec Equations'!$B$188*(1/'Chemical Info'!P212))))</f>
        <v>NA</v>
      </c>
      <c r="W211" s="379" t="str">
        <f t="shared" si="272"/>
        <v>NA</v>
      </c>
      <c r="X211" s="372">
        <f t="shared" si="273"/>
        <v>774.26854602973492</v>
      </c>
      <c r="Y211" s="62">
        <f t="shared" si="274"/>
        <v>770</v>
      </c>
      <c r="Z211" s="100" t="str">
        <f t="shared" si="275"/>
        <v>Noncancer</v>
      </c>
      <c r="AA211" s="373"/>
    </row>
    <row r="212" spans="1:27">
      <c r="A212" s="373" t="s">
        <v>414</v>
      </c>
      <c r="B212" s="566" t="s">
        <v>131</v>
      </c>
      <c r="C212" s="367">
        <f>1/(('Res-Rec Equations'!$B$152*3600)/((0.036*(1-'Res-Rec Equations'!$B$153))*('Res-Rec Equations'!$B$154/'Res-Rec Equations'!$B$155)^3*'Res-Rec Equations'!$B$156))</f>
        <v>7.3567680901159717E-10</v>
      </c>
      <c r="D212" s="368">
        <f>(('Res-Rec Equations'!$B$132^(10/3)*'Chemical Info'!$AH213*'Chemical Info'!$AN213*41+'Res-Rec Equations'!$B$135^(10/3)*'Chemical Info'!$AJ213)/'Res-Rec Equations'!$B$137^2)/('Res-Rec Equations'!$B$139*'Chemical Info'!$AL213*'Res-Rec Equations'!$B$142+'Res-Rec Equations'!$B$135+'Res-Rec Equations'!$B$132*'Chemical Info'!$AN213*41)</f>
        <v>4.8242582887058996E-9</v>
      </c>
      <c r="E212" s="368">
        <f>IF(D212=0,"NA",1/(('Res-Rec Equations'!$B$103*(3.14*'Res-Rec Calculations'!$D212*'Res-Rec Equations'!$B$105)^(1/2)*0.0001)/(2*'Res-Rec Equations'!$B$106*'Res-Rec Calculations'!$D212)))</f>
        <v>4.0770295546694433E-7</v>
      </c>
      <c r="F212" s="368">
        <f>IF(D212=0,"NA",(1/('Res-Rec Equations'!$B$117*('Res-Rec Equations'!$B$118*(31500000))/('Res-Rec Equations'!$B$119*'Res-Rec Equations'!$B$120*1000000))))</f>
        <v>6.1914410640015851E-5</v>
      </c>
      <c r="G212" s="167" t="str">
        <f>IF('Chemical Info'!E213="Yes",('Chemical Info'!AP213/'Res-Rec Equations'!$B$168)*((('Chemical Info'!AL213*'Res-Rec Equations'!$B$170)*'Res-Rec Equations'!$B$168)+'Res-Rec Equations'!$B$171+('Chemical Info'!AN213*41)*'Res-Rec Equations'!$B$173),"NA")</f>
        <v>NA</v>
      </c>
      <c r="H212" s="112" t="str">
        <f>IF('Chemical Info'!H213="NA","NA",IF(AND('Chemical Info'!E213="Yes",'Chemical Info'!D213="Yes"),'Chemical Info'!H213*'Chemical Info'!AD213*'Res-Rec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Info'!E213="Yes",'Chemical Info'!D213=""),'Chemical Info'!H213*'Chemical Info'!AD213*'Res-Rec Equations'!$B$20*'Res-Rec Equations'!$B$23*((('Res-Rec Equations'!$B$26*'Res-Rec Equations'!$B$29)/'Res-Rec Equations'!$B$32)+(('Res-Rec Equations'!$B$27*'Res-Rec Equations'!$B$30)/'Res-Rec Equations'!$B$33)+(('Res-Rec Equations'!$B$28*'Res-Rec Equations'!$B$31)/'Res-Rec Equations'!$B$34)),IF(AND('Chemical Info'!E213="No",'Chemical Info'!D213="Yes"),'Chemical Info'!H213*'Chemical Info'!AD213*'Res-Rec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Info'!E213="No",'Chemical Info'!D213=""),'Chemical Info'!H213*'Chemical Info'!AD213*'Res-Rec Equations'!$B$19*'Res-Rec Equations'!$B$23*((('Res-Rec Equations'!$B$26*'Res-Rec Equations'!$B$29)/'Res-Rec Equations'!$B$32)+(('Res-Rec Equations'!$B$27*'Res-Rec Equations'!$B$30)/'Res-Rec Equations'!$B$33)+(('Res-Rec Equations'!$B$28*'Res-Rec Equations'!$B$31)/'Res-Rec Equations'!$B$34)))))))</f>
        <v>NA</v>
      </c>
      <c r="I212" s="166" t="str">
        <f>IF('Chemical Info'!H213="NA","NA",IF('Chemical Info'!E213="Yes",0,IF('Chemical Info'!D213="Yes",'Chemical Info'!H213/'Chemical Info'!AF213*('Res-Rec Equations'!$B$21*'Chemical Info'!AB213*'Res-Rec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Info'!H213/'Chemical Info'!AF213*('Res-Rec Equations'!$B$21*'Chemical Info'!AB213*'Res-Rec Equations'!$B$23)*((('Res-Rec Equations'!$B$26*'Res-Rec Equations'!$B$37*'Res-Rec Equations'!$B$40)/'Res-Rec Equations'!$B$32)+(('Res-Rec Equations'!$B$27*'Res-Rec Equations'!$B$38*'Res-Rec Equations'!$B$41)/'Res-Rec Equations'!$B$33)+(('Res-Rec Equations'!$B$28*'Res-Rec Equations'!$B$39*'Res-Rec Equations'!$B$42)/'Res-Rec Equations'!$B$34)))))</f>
        <v>NA</v>
      </c>
      <c r="J212" s="369" t="str">
        <f>IF('Chemical Info'!J213="NA","NA",IF(AND(E212="NA",'Chemical Info'!D213="Yes"),'Res-Rec Equations'!$B$22*1000*(('Res-Rec Equations'!$B$26*'Chemical Info'!J213*'Res-Rec Equations'!$B$59)+('Res-Rec Equations'!$B$27*'Chemical Info'!J213*'Res-Rec Equations'!$B$60)+('Res-Rec Equations'!$B$28*'Chemical Info'!J213*'Res-Rec Equations'!$B$61))*'Res-Rec Calculations'!C212,IF(AND(E212="NA",'Chemical Info'!D213=""),'Res-Rec Equations'!$B$22*1000*'Res-Rec Equations'!$B$25*'Chemical Info'!J213*'Res-Rec Calculations'!C212,IF(AND('Chemical Info'!E213="Yes",'Chemical Info'!D213="Yes"),'Res-Rec Equations'!$B$22*1000*(('Res-Rec Equations'!$B$26*'Chemical Info'!J213*'Res-Rec Equations'!$B$59)+('Res-Rec Equations'!$B$27*'Chemical Info'!J213*'Res-Rec Equations'!$B$60)+('Res-Rec Equations'!$B$28*'Chemical Info'!J213*'Res-Rec Equations'!$B$61))*'Res-Rec Calculations'!E212,IF(AND('Chemical Info'!E213="Yes",'Chemical Info'!D213=""),'Res-Rec Equations'!$B$22*1000*'Res-Rec Equations'!$B$25*'Chemical Info'!J213*'Res-Rec Calculations'!E212,IF('Chemical Info'!D213="Yes",'Res-Rec Equations'!$B$22*1000*(('Res-Rec Equations'!$B$26*'Chemical Info'!J213*'Res-Rec Equations'!$B$59)+('Res-Rec Equations'!$B$27*'Chemical Info'!J213*'Res-Rec Equations'!$B$60)+('Res-Rec Equations'!$B$28*'Chemical Info'!J213*'Res-Rec Equations'!$B$61))*('Res-Rec Calculations'!C212+'Res-Rec Calculations'!E212),IF('Chemical Info'!D213="",'Res-Rec Equations'!$B$22*1000*'Res-Rec Equations'!$B$25*'Chemical Info'!J213*('Res-Rec Calculations'!C212+'Res-Rec Calculations'!E212))))))))</f>
        <v>NA</v>
      </c>
      <c r="K212" s="370" t="str">
        <f>IF('Chemical Info'!J213="NA","NA",IF(AND(F212="NA",'Chemical Info'!D213="Yes"),'Res-Rec Equations'!$B$22*1000*(('Res-Rec Equations'!$B$26*'Chemical Info'!J213*'Res-Rec Equations'!$B$59)+('Res-Rec Equations'!$B$27*'Chemical Info'!J213*'Res-Rec Equations'!$B$60)+('Res-Rec Equations'!$B$28*'Chemical Info'!J213*'Res-Rec Equations'!$B$61))*'Res-Rec Calculations'!C212,IF(AND(F212="NA",'Chemical Info'!D213=""),'Res-Rec Equations'!$B$22*1000*'Res-Rec Equations'!$B$25*'Chemical Info'!J213*'Res-Rec Calculations'!C212,IF(AND('Chemical Info'!F213="Yes",'Chemical Info'!D213="Yes"),'Res-Rec Equations'!$B$22*1000*(('Res-Rec Equations'!$B$26*'Chemical Info'!J213*'Res-Rec Equations'!$B$59)+('Res-Rec Equations'!$B$27*'Chemical Info'!J213*'Res-Rec Equations'!$B$60)+('Res-Rec Equations'!$B$28*'Chemical Info'!J213*'Res-Rec Equations'!$B$61))*'Res-Rec Calculations'!F212,IF(AND('Chemical Info'!F213="Yes",'Chemical Info'!D213=""),'Res-Rec Equations'!$B$22*1000*'Res-Rec Equations'!$B$25*'Chemical Info'!J213*'Res-Rec Calculations'!F212,IF('Chemical Info'!D213="Yes",'Res-Rec Equations'!$B$22*1000*(('Res-Rec Equations'!$B$26*'Chemical Info'!J213*'Res-Rec Equations'!$B$59)+('Res-Rec Equations'!$B$27*'Chemical Info'!J213*'Res-Rec Equations'!$B$60)+('Res-Rec Equations'!$B$28*'Chemical Info'!J213*'Res-Rec Equations'!$B$61))*('Res-Rec Calculations'!C212+'Res-Rec Calculations'!F212),IF('Chemical Info'!D213="",'Res-Rec Equations'!$B$22*1000*'Res-Rec Equations'!$B$25*'Chemical Info'!J213*('Res-Rec Calculations'!C212+'Res-Rec Calculations'!F212))))))))</f>
        <v>NA</v>
      </c>
      <c r="L212" s="167" t="str">
        <f>IF(AND(H212="NA",I212="NA",J212="NA"),"NA",IF(H212="NA",'Res-Rec Equations'!$B$15*'Res-Rec Equations'!$B$16/J212,IF(J212="NA",'Res-Rec Equations'!$B$15*'Res-Rec Equations'!$B$16/(H212+I212),'Res-Rec Equations'!$B$15*'Res-Rec Equations'!$B$16/(H212+I212+J212))))</f>
        <v>NA</v>
      </c>
      <c r="M212" s="167" t="str">
        <f>IF(AND(H212="NA",I212="NA",K212="NA"),"NA",IF(H212="NA",'Res-Rec Equations'!$B$15*'Res-Rec Equations'!$B$16/K212,IF(K212="NA",'Res-Rec Equations'!$B$15*'Res-Rec Equations'!$B$16/(H212+I212),'Res-Rec Equations'!$B$15*'Res-Rec Equations'!$B$16/(H212+I212+K212))))</f>
        <v>NA</v>
      </c>
      <c r="N212" s="167" t="str">
        <f t="shared" si="276"/>
        <v>NA</v>
      </c>
      <c r="O212" s="371">
        <f>IF('Chemical Info'!L213="NA","NA",IF('Chemical Info'!E213="Yes",(('Res-Rec Equations'!$B$76*'Chemical Info'!AD213*'Res-Rec Equations'!$B$78*'Res-Rec Equations'!$B$79*'Res-Rec Equations'!$B$81)/('Res-Rec Equations'!$B$84*'Res-Rec Equations'!$B$85))/'Chemical Info'!L213,(('Res-Rec Equations'!$B$76*'Chemical Info'!AD213*'Res-Rec Equations'!$B$78*'Res-Rec Equations'!$B$79*'Res-Rec Equations'!$B$80)/('Res-Rec Equations'!$B$84*'Res-Rec Equations'!$B$85))/'Chemical Info'!L213))</f>
        <v>4.2617960426179604E-4</v>
      </c>
      <c r="P212" s="166">
        <f>IF('Chemical Info'!L213="NA","NA", IF('Chemical Info'!E213="Yes",0,((('Res-Rec Equations'!$B$87*'Res-Rec Equations'!$B$88*'Res-Rec Equations'!$B$78*'Res-Rec Equations'!$B$82*'Res-Rec Equations'!$B$79*'Chemical Info'!AB213)/('Res-Rec Equations'!$B$84*'Res-Rec Equations'!$B$85))/('Chemical Info'!L213*'Chemical Info'!AF213))))</f>
        <v>1.3725114155251141E-5</v>
      </c>
      <c r="Q212" s="166" t="str">
        <f>IF('Chemical Info'!N213="NA","NA",IF('Res-Rec Calculations'!E212="NA",(('Res-Rec Equations'!$B$83*'Res-Rec Equations'!$B$79*'Res-Rec Calculations'!C212)/('Res-Rec Equations'!$B$85))/('Chemical Info'!N213),IF('Chemical Info'!E213="Yes",(('Res-Rec Equations'!$B$83*'Res-Rec Equations'!$B$79*'Res-Rec Calculations'!E212)/('Res-Rec Equations'!$B$85))/('Chemical Info'!N213),(('Res-Rec Equations'!$B$83*'Res-Rec Equations'!$B$79*('Res-Rec Calculations'!C212+'Res-Rec Calculations'!E212))/('Res-Rec Equations'!$B$85))/('Chemical Info'!N213))))</f>
        <v>NA</v>
      </c>
      <c r="R212" s="166" t="str">
        <f>IF('Chemical Info'!N213="NA","NA",IF('Res-Rec Calculations'!F212="NA",(('Res-Rec Equations'!$B$83*'Res-Rec Equations'!$B$79*'Res-Rec Calculations'!C212)/('Res-Rec Equations'!$B$85))/('Chemical Info'!N213),IF('Chemical Info'!E213="Yes",(('Res-Rec Equations'!$B$83*'Res-Rec Equations'!$B$79*'Res-Rec Calculations'!F212)/('Res-Rec Equations'!$B$85))/('Chemical Info'!N213),(('Res-Rec Equations'!$B$83*'Res-Rec Equations'!$B$79*('Res-Rec Calculations'!C212+'Res-Rec Calculations'!F212))/('Res-Rec Equations'!$B$85))/('Chemical Info'!N213))))</f>
        <v>NA</v>
      </c>
      <c r="S212" s="167">
        <f>IF(AND(O212="NA",P212="NA",Q212="NA"),"NA",IF(O212="NA",'Res-Rec Equations'!$B$75/Q212,IF(Q212="NA",'Res-Rec Equations'!$B$75/(O212+P212),'Res-Rec Equations'!$B$75/(O212+P212+Q212))))</f>
        <v>454.64390725264298</v>
      </c>
      <c r="T212" s="167">
        <f>IF(AND(O212="NA",P212="NA",R212="NA"),"NA",IF(O212="NA",'Res-Rec Equations'!$B$75/R212,IF(R212="NA",'Res-Rec Equations'!$B$75/(O212+P212),'Res-Rec Equations'!$B$75/(O212+P212+R212))))</f>
        <v>454.64390725264298</v>
      </c>
      <c r="U212" s="168">
        <f t="shared" si="277"/>
        <v>454.64390725264298</v>
      </c>
      <c r="V212" s="167" t="str">
        <f>IF('Chemical Info'!P213="NA","NA",(('Res-Rec Equations'!$B$185*'Res-Rec Equations'!$B$186)/('Res-Rec Equations'!$B$187*'Res-Rec Equations'!$B$188*(1/'Chemical Info'!P213))))</f>
        <v>NA</v>
      </c>
      <c r="W212" s="379" t="str">
        <f t="shared" si="272"/>
        <v>NA</v>
      </c>
      <c r="X212" s="372">
        <f t="shared" si="273"/>
        <v>454.64390725264298</v>
      </c>
      <c r="Y212" s="62">
        <f t="shared" si="274"/>
        <v>450</v>
      </c>
      <c r="Z212" s="100" t="str">
        <f t="shared" si="275"/>
        <v>Noncancer</v>
      </c>
      <c r="AA212" s="373"/>
    </row>
    <row r="213" spans="1:27">
      <c r="A213" s="373" t="s">
        <v>415</v>
      </c>
      <c r="B213" s="566" t="s">
        <v>93</v>
      </c>
      <c r="C213" s="367">
        <f>1/(('Res-Rec Equations'!$B$152*3600)/((0.036*(1-'Res-Rec Equations'!$B$153))*('Res-Rec Equations'!$B$154/'Res-Rec Equations'!$B$155)^3*'Res-Rec Equations'!$B$156))</f>
        <v>7.3567680901159717E-10</v>
      </c>
      <c r="D213" s="368">
        <f>(('Res-Rec Equations'!$B$132^(10/3)*'Chemical Info'!$AH214*'Chemical Info'!$AN214*41+'Res-Rec Equations'!$B$135^(10/3)*'Chemical Info'!$AJ214)/'Res-Rec Equations'!$B$137^2)/('Res-Rec Equations'!$B$139*'Chemical Info'!$AL214*'Res-Rec Equations'!$B$142+'Res-Rec Equations'!$B$135+'Res-Rec Equations'!$B$132*'Chemical Info'!$AN214*41)</f>
        <v>3.0370465799087327E-9</v>
      </c>
      <c r="E213" s="368">
        <f>IF(D213=0,"NA",1/(('Res-Rec Equations'!$B$103*(3.14*'Res-Rec Calculations'!$D213*'Res-Rec Equations'!$B$105)^(1/2)*0.0001)/(2*'Res-Rec Equations'!$B$106*'Res-Rec Calculations'!$D213)))</f>
        <v>3.2348512143732843E-7</v>
      </c>
      <c r="F213" s="368">
        <f>IF(D213=0,"NA",(1/('Res-Rec Equations'!$B$117*('Res-Rec Equations'!$B$118*(31500000))/('Res-Rec Equations'!$B$119*'Res-Rec Equations'!$B$120*1000000))))</f>
        <v>6.1914410640015851E-5</v>
      </c>
      <c r="G213" s="167" t="str">
        <f>IF('Chemical Info'!E214="Yes",('Chemical Info'!AP214/'Res-Rec Equations'!$B$168)*((('Chemical Info'!AL214*'Res-Rec Equations'!$B$170)*'Res-Rec Equations'!$B$168)+'Res-Rec Equations'!$B$171+('Chemical Info'!AN214*41)*'Res-Rec Equations'!$B$173),"NA")</f>
        <v>NA</v>
      </c>
      <c r="H213" s="112">
        <f>IF('Chemical Info'!H214="NA","NA",IF(AND('Chemical Info'!E214="Yes",'Chemical Info'!D214="Yes"),'Chemical Info'!H214*'Chemical Info'!AD214*'Res-Rec Equations'!$B$20*'Res-Rec Equations'!$B$23*((('Res-Rec Equations'!$B$26*'Res-Rec Equations'!$B$29*'Res-Rec Equations'!$B$59)/'Res-Rec Equations'!$B$32)+(('Res-Rec Equations'!$B$27*'Res-Rec Equations'!$B$30*'Res-Rec Equations'!$B$60)/'Res-Rec Equations'!$B$33)+(('Res-Rec Equations'!$B$28*'Res-Rec Equations'!$B$31*'Res-Rec Equations'!$B$61)/'Res-Rec Equations'!$B$34)),IF(AND('Chemical Info'!E214="Yes",'Chemical Info'!D214=""),'Chemical Info'!H214*'Chemical Info'!AD214*'Res-Rec Equations'!$B$20*'Res-Rec Equations'!$B$23*((('Res-Rec Equations'!$B$26*'Res-Rec Equations'!$B$29)/'Res-Rec Equations'!$B$32)+(('Res-Rec Equations'!$B$27*'Res-Rec Equations'!$B$30)/'Res-Rec Equations'!$B$33)+(('Res-Rec Equations'!$B$28*'Res-Rec Equations'!$B$31)/'Res-Rec Equations'!$B$34)),IF(AND('Chemical Info'!E214="No",'Chemical Info'!D214="Yes"),'Chemical Info'!H214*'Chemical Info'!AD214*'Res-Rec Equations'!$B$19*'Res-Rec Equations'!$B$23*((('Res-Rec Equations'!$B$26*'Res-Rec Equations'!$B$29*'Res-Rec Equations'!$B$59)/'Res-Rec Equations'!$B$32)+(('Res-Rec Equations'!$B$27*'Res-Rec Equations'!$B$30*'Res-Rec Equations'!$B$60)/'Res-Rec Equations'!$B$33)+(('Res-Rec Equations'!$B$28*'Res-Rec Equations'!$B$31*'Res-Rec Equations'!$B$61)/'Res-Rec Equations'!$B$34)),IF(AND('Chemical Info'!E214="No",'Chemical Info'!D214=""),'Chemical Info'!H214*'Chemical Info'!AD214*'Res-Rec Equations'!$B$19*'Res-Rec Equations'!$B$23*((('Res-Rec Equations'!$B$26*'Res-Rec Equations'!$B$29)/'Res-Rec Equations'!$B$32)+(('Res-Rec Equations'!$B$27*'Res-Rec Equations'!$B$30)/'Res-Rec Equations'!$B$33)+(('Res-Rec Equations'!$B$28*'Res-Rec Equations'!$B$31)/'Res-Rec Equations'!$B$34)))))))</f>
        <v>1.3527524893314367E-3</v>
      </c>
      <c r="I213" s="166">
        <f>IF('Chemical Info'!H214="NA","NA",IF('Chemical Info'!E214="Yes",0,IF('Chemical Info'!D214="Yes",'Chemical Info'!H214/'Chemical Info'!AF214*('Res-Rec Equations'!$B$21*'Chemical Info'!AB214*'Res-Rec Equations'!$B$23)*((('Res-Rec Equations'!$B$26*'Res-Rec Equations'!$B$37*'Res-Rec Equations'!$B$40*'Res-Rec Equations'!$B$59)/'Res-Rec Equations'!$B$32)+(('Res-Rec Equations'!$B$27*'Res-Rec Equations'!$B$38*'Res-Rec Equations'!$B$41*'Res-Rec Equations'!$B$60)/'Res-Rec Equations'!$B$33)+(('Res-Rec Equations'!$B$28*'Res-Rec Equations'!$B$39*'Res-Rec Equations'!$B$42*'Res-Rec Equations'!$B$61)/'Res-Rec Equations'!$B$34)),'Chemical Info'!H214/'Chemical Info'!AF214*('Res-Rec Equations'!$B$21*'Chemical Info'!AB214*'Res-Rec Equations'!$B$23)*((('Res-Rec Equations'!$B$26*'Res-Rec Equations'!$B$37*'Res-Rec Equations'!$B$40)/'Res-Rec Equations'!$B$32)+(('Res-Rec Equations'!$B$27*'Res-Rec Equations'!$B$38*'Res-Rec Equations'!$B$41)/'Res-Rec Equations'!$B$33)+(('Res-Rec Equations'!$B$28*'Res-Rec Equations'!$B$39*'Res-Rec Equations'!$B$42)/'Res-Rec Equations'!$B$34)))))</f>
        <v>1.0558195903271693E-4</v>
      </c>
      <c r="J213" s="369" t="str">
        <f>IF('Chemical Info'!J214="NA","NA",IF(AND(E213="NA",'Chemical Info'!D214="Yes"),'Res-Rec Equations'!$B$22*1000*(('Res-Rec Equations'!$B$26*'Chemical Info'!J214*'Res-Rec Equations'!$B$59)+('Res-Rec Equations'!$B$27*'Chemical Info'!J214*'Res-Rec Equations'!$B$60)+('Res-Rec Equations'!$B$28*'Chemical Info'!J214*'Res-Rec Equations'!$B$61))*'Res-Rec Calculations'!C213,IF(AND(E213="NA",'Chemical Info'!D214=""),'Res-Rec Equations'!$B$22*1000*'Res-Rec Equations'!$B$25*'Chemical Info'!J214*'Res-Rec Calculations'!C213,IF(AND('Chemical Info'!E214="Yes",'Chemical Info'!D214="Yes"),'Res-Rec Equations'!$B$22*1000*(('Res-Rec Equations'!$B$26*'Chemical Info'!J214*'Res-Rec Equations'!$B$59)+('Res-Rec Equations'!$B$27*'Chemical Info'!J214*'Res-Rec Equations'!$B$60)+('Res-Rec Equations'!$B$28*'Chemical Info'!J214*'Res-Rec Equations'!$B$61))*'Res-Rec Calculations'!E213,IF(AND('Chemical Info'!E214="Yes",'Chemical Info'!D214=""),'Res-Rec Equations'!$B$22*1000*'Res-Rec Equations'!$B$25*'Chemical Info'!J214*'Res-Rec Calculations'!E213,IF('Chemical Info'!D214="Yes",'Res-Rec Equations'!$B$22*1000*(('Res-Rec Equations'!$B$26*'Chemical Info'!J214*'Res-Rec Equations'!$B$59)+('Res-Rec Equations'!$B$27*'Chemical Info'!J214*'Res-Rec Equations'!$B$60)+('Res-Rec Equations'!$B$28*'Chemical Info'!J214*'Res-Rec Equations'!$B$61))*('Res-Rec Calculations'!C213+'Res-Rec Calculations'!E213),IF('Chemical Info'!D214="",'Res-Rec Equations'!$B$22*1000*'Res-Rec Equations'!$B$25*'Chemical Info'!J214*('Res-Rec Calculations'!C213+'Res-Rec Calculations'!E213))))))))</f>
        <v>NA</v>
      </c>
      <c r="K213" s="370" t="str">
        <f>IF('Chemical Info'!J214="NA","NA",IF(AND(F213="NA",'Chemical Info'!D214="Yes"),'Res-Rec Equations'!$B$22*1000*(('Res-Rec Equations'!$B$26*'Chemical Info'!J214*'Res-Rec Equations'!$B$59)+('Res-Rec Equations'!$B$27*'Chemical Info'!J214*'Res-Rec Equations'!$B$60)+('Res-Rec Equations'!$B$28*'Chemical Info'!J214*'Res-Rec Equations'!$B$61))*'Res-Rec Calculations'!C213,IF(AND(F213="NA",'Chemical Info'!D214=""),'Res-Rec Equations'!$B$22*1000*'Res-Rec Equations'!$B$25*'Chemical Info'!J214*'Res-Rec Calculations'!C213,IF(AND('Chemical Info'!F214="Yes",'Chemical Info'!D214="Yes"),'Res-Rec Equations'!$B$22*1000*(('Res-Rec Equations'!$B$26*'Chemical Info'!J214*'Res-Rec Equations'!$B$59)+('Res-Rec Equations'!$B$27*'Chemical Info'!J214*'Res-Rec Equations'!$B$60)+('Res-Rec Equations'!$B$28*'Chemical Info'!J214*'Res-Rec Equations'!$B$61))*'Res-Rec Calculations'!F213,IF(AND('Chemical Info'!F214="Yes",'Chemical Info'!D214=""),'Res-Rec Equations'!$B$22*1000*'Res-Rec Equations'!$B$25*'Chemical Info'!J214*'Res-Rec Calculations'!F213,IF('Chemical Info'!D214="Yes",'Res-Rec Equations'!$B$22*1000*(('Res-Rec Equations'!$B$26*'Chemical Info'!J214*'Res-Rec Equations'!$B$59)+('Res-Rec Equations'!$B$27*'Chemical Info'!J214*'Res-Rec Equations'!$B$60)+('Res-Rec Equations'!$B$28*'Chemical Info'!J214*'Res-Rec Equations'!$B$61))*('Res-Rec Calculations'!C213+'Res-Rec Calculations'!F213),IF('Chemical Info'!D214="",'Res-Rec Equations'!$B$22*1000*'Res-Rec Equations'!$B$25*'Chemical Info'!J214*('Res-Rec Calculations'!C213+'Res-Rec Calculations'!F213))))))))</f>
        <v>NA</v>
      </c>
      <c r="L213" s="167">
        <f>IF(AND(H213="NA",I213="NA",J213="NA"),"NA",IF(H213="NA",'Res-Rec Equations'!$B$15*'Res-Rec Equations'!$B$16/J213,IF(J213="NA",'Res-Rec Equations'!$B$15*'Res-Rec Equations'!$B$16/(H213+I213),'Res-Rec Equations'!$B$15*'Res-Rec Equations'!$B$16/(H213+I213+J213))))</f>
        <v>175.19986604348549</v>
      </c>
      <c r="M213" s="167">
        <f>IF(AND(H213="NA",I213="NA",K213="NA"),"NA",IF(H213="NA",'Res-Rec Equations'!$B$15*'Res-Rec Equations'!$B$16/K213,IF(K213="NA",'Res-Rec Equations'!$B$15*'Res-Rec Equations'!$B$16/(H213+I213),'Res-Rec Equations'!$B$15*'Res-Rec Equations'!$B$16/(H213+I213+K213))))</f>
        <v>175.19986604348549</v>
      </c>
      <c r="N213" s="167">
        <f t="shared" si="276"/>
        <v>175.19986604348549</v>
      </c>
      <c r="O213" s="371">
        <f>IF('Chemical Info'!L214="NA","NA",IF('Chemical Info'!E214="Yes",(('Res-Rec Equations'!$B$76*'Chemical Info'!AD214*'Res-Rec Equations'!$B$78*'Res-Rec Equations'!$B$79*'Res-Rec Equations'!$B$81)/('Res-Rec Equations'!$B$84*'Res-Rec Equations'!$B$85))/'Chemical Info'!L214,(('Res-Rec Equations'!$B$76*'Chemical Info'!AD214*'Res-Rec Equations'!$B$78*'Res-Rec Equations'!$B$79*'Res-Rec Equations'!$B$80)/('Res-Rec Equations'!$B$84*'Res-Rec Equations'!$B$85))/'Chemical Info'!L214))</f>
        <v>2.557077625570776E-2</v>
      </c>
      <c r="P213" s="166">
        <f>IF('Chemical Info'!L214="NA","NA", IF('Chemical Info'!E214="Yes",0,((('Res-Rec Equations'!$B$87*'Res-Rec Equations'!$B$88*'Res-Rec Equations'!$B$78*'Res-Rec Equations'!$B$82*'Res-Rec Equations'!$B$79*'Chemical Info'!AB214)/('Res-Rec Equations'!$B$84*'Res-Rec Equations'!$B$85))/('Chemical Info'!L214*'Chemical Info'!AF214))))</f>
        <v>1.386958904109589E-3</v>
      </c>
      <c r="Q213" s="166" t="str">
        <f>IF('Chemical Info'!N214="NA","NA",IF('Res-Rec Calculations'!E213="NA",(('Res-Rec Equations'!$B$83*'Res-Rec Equations'!$B$79*'Res-Rec Calculations'!C213)/('Res-Rec Equations'!$B$85))/('Chemical Info'!N214),IF('Chemical Info'!E214="Yes",(('Res-Rec Equations'!$B$83*'Res-Rec Equations'!$B$79*'Res-Rec Calculations'!E213)/('Res-Rec Equations'!$B$85))/('Chemical Info'!N214),(('Res-Rec Equations'!$B$83*'Res-Rec Equations'!$B$79*('Res-Rec Calculations'!C213+'Res-Rec Calculations'!E213))/('Res-Rec Equations'!$B$85))/('Chemical Info'!N214))))</f>
        <v>NA</v>
      </c>
      <c r="R213" s="166" t="str">
        <f>IF('Chemical Info'!N214="NA","NA",IF('Res-Rec Calculations'!F213="NA",(('Res-Rec Equations'!$B$83*'Res-Rec Equations'!$B$79*'Res-Rec Calculations'!C213)/('Res-Rec Equations'!$B$85))/('Chemical Info'!N214),IF('Chemical Info'!E214="Yes",(('Res-Rec Equations'!$B$83*'Res-Rec Equations'!$B$79*'Res-Rec Calculations'!F213)/('Res-Rec Equations'!$B$85))/('Chemical Info'!N214),(('Res-Rec Equations'!$B$83*'Res-Rec Equations'!$B$79*('Res-Rec Calculations'!C213+'Res-Rec Calculations'!F213))/('Res-Rec Equations'!$B$85))/('Chemical Info'!N214))))</f>
        <v>NA</v>
      </c>
      <c r="S213" s="167">
        <f>IF(AND(O213="NA",P213="NA",Q213="NA"),"NA",IF(O213="NA",'Res-Rec Equations'!$B$75/Q213,IF(Q213="NA",'Res-Rec Equations'!$B$75/(O213+P213),'Res-Rec Equations'!$B$75/(O213+P213+Q213))))</f>
        <v>7.4190208789541021</v>
      </c>
      <c r="T213" s="167">
        <f>IF(AND(O213="NA",P213="NA",R213="NA"),"NA",IF(O213="NA",'Res-Rec Equations'!$B$75/R213,IF(R213="NA",'Res-Rec Equations'!$B$75/(O213+P213),'Res-Rec Equations'!$B$75/(O213+P213+R213))))</f>
        <v>7.4190208789541021</v>
      </c>
      <c r="U213" s="168">
        <f t="shared" si="277"/>
        <v>7.4190208789541021</v>
      </c>
      <c r="V213" s="167" t="str">
        <f>IF('Chemical Info'!P214="NA","NA",(('Res-Rec Equations'!$B$185*'Res-Rec Equations'!$B$186)/('Res-Rec Equations'!$B$187*'Res-Rec Equations'!$B$188*(1/'Chemical Info'!P214))))</f>
        <v>NA</v>
      </c>
      <c r="W213" s="379" t="str">
        <f t="shared" si="272"/>
        <v>NA</v>
      </c>
      <c r="X213" s="372">
        <f t="shared" si="273"/>
        <v>7.4190208789541021</v>
      </c>
      <c r="Y213" s="62">
        <f t="shared" si="274"/>
        <v>7.4</v>
      </c>
      <c r="Z213" s="100" t="str">
        <f t="shared" si="275"/>
        <v>Noncancer</v>
      </c>
      <c r="AA213" s="373"/>
    </row>
    <row r="214" spans="1:27" ht="12.5">
      <c r="A214" s="428"/>
      <c r="B214" s="588"/>
      <c r="C214" s="428"/>
      <c r="D214" s="429"/>
      <c r="I214" s="432"/>
      <c r="K214" s="434"/>
      <c r="R214" s="435"/>
      <c r="S214" s="435"/>
      <c r="T214" s="435"/>
      <c r="U214" s="435"/>
      <c r="V214" s="436"/>
      <c r="W214" s="437"/>
      <c r="X214" s="438"/>
      <c r="AA214" s="376"/>
    </row>
    <row r="215" spans="1:27" ht="12.5">
      <c r="A215" s="428" t="s">
        <v>422</v>
      </c>
      <c r="B215" s="588"/>
      <c r="C215" s="428"/>
      <c r="D215" s="429"/>
      <c r="I215" s="432"/>
      <c r="K215" s="434"/>
      <c r="R215" s="435"/>
      <c r="S215" s="435"/>
      <c r="T215" s="435"/>
      <c r="U215" s="435"/>
      <c r="V215" s="436"/>
      <c r="W215" s="437"/>
      <c r="X215" s="438"/>
      <c r="AA215" s="376"/>
    </row>
    <row r="216" spans="1:27" ht="12.5">
      <c r="A216" s="428" t="s">
        <v>423</v>
      </c>
      <c r="B216" s="588"/>
      <c r="C216" s="428"/>
      <c r="D216" s="429"/>
      <c r="I216" s="432"/>
      <c r="K216" s="434"/>
      <c r="R216" s="435"/>
      <c r="S216" s="435"/>
      <c r="T216" s="435"/>
      <c r="U216" s="435"/>
      <c r="V216" s="436"/>
      <c r="W216" s="437"/>
      <c r="X216" s="438"/>
      <c r="AA216" s="376"/>
    </row>
    <row r="217" spans="1:27" ht="12.5">
      <c r="A217" s="428" t="s">
        <v>1000</v>
      </c>
      <c r="B217" s="588"/>
      <c r="C217" s="428"/>
      <c r="D217" s="429"/>
      <c r="I217" s="432"/>
      <c r="K217" s="434"/>
      <c r="R217" s="435"/>
      <c r="S217" s="435"/>
      <c r="T217" s="435"/>
      <c r="U217" s="435"/>
      <c r="V217" s="436"/>
      <c r="W217" s="437"/>
      <c r="X217" s="438"/>
      <c r="AA217" s="376"/>
    </row>
    <row r="218" spans="1:27" ht="12.5">
      <c r="A218" s="110" t="s">
        <v>1272</v>
      </c>
      <c r="B218" s="109"/>
      <c r="C218" s="428"/>
      <c r="D218" s="429"/>
      <c r="I218" s="432"/>
      <c r="K218" s="434"/>
      <c r="R218" s="435"/>
      <c r="S218" s="435"/>
      <c r="T218" s="435"/>
      <c r="U218" s="435"/>
      <c r="V218" s="436"/>
      <c r="W218" s="437"/>
      <c r="X218" s="438"/>
      <c r="AA218" s="376"/>
    </row>
    <row r="219" spans="1:27" ht="12.5">
      <c r="A219" s="110" t="s">
        <v>1061</v>
      </c>
      <c r="B219" s="109"/>
      <c r="C219" s="428"/>
      <c r="D219" s="611"/>
      <c r="E219" s="612"/>
      <c r="I219" s="432"/>
      <c r="K219" s="434"/>
      <c r="R219" s="435"/>
      <c r="S219" s="435"/>
      <c r="T219" s="435"/>
      <c r="U219" s="435"/>
      <c r="V219" s="436"/>
      <c r="W219" s="437"/>
      <c r="X219" s="438"/>
      <c r="AA219" s="376"/>
    </row>
    <row r="220" spans="1:27" ht="12.5">
      <c r="A220" s="110" t="s">
        <v>1277</v>
      </c>
      <c r="B220" s="109"/>
      <c r="C220" s="428"/>
      <c r="D220" s="611"/>
      <c r="E220" s="612"/>
      <c r="I220" s="432"/>
      <c r="K220" s="434"/>
      <c r="R220" s="435"/>
      <c r="S220" s="435"/>
      <c r="T220" s="435"/>
      <c r="U220" s="435"/>
      <c r="V220" s="436"/>
      <c r="W220" s="437"/>
      <c r="X220" s="438"/>
      <c r="AA220" s="376"/>
    </row>
    <row r="221" spans="1:27" ht="12.5">
      <c r="A221" s="110" t="s">
        <v>1278</v>
      </c>
      <c r="B221" s="109"/>
      <c r="C221" s="428"/>
      <c r="D221" s="429"/>
      <c r="I221" s="432"/>
      <c r="K221" s="434"/>
      <c r="R221" s="435"/>
      <c r="S221" s="435"/>
      <c r="T221" s="435"/>
      <c r="U221" s="435"/>
      <c r="V221" s="436"/>
      <c r="W221" s="437"/>
      <c r="X221" s="438"/>
      <c r="AA221" s="376"/>
    </row>
    <row r="222" spans="1:27" ht="12.5">
      <c r="A222" s="110" t="s">
        <v>1279</v>
      </c>
      <c r="B222" s="109"/>
      <c r="C222" s="428"/>
      <c r="D222" s="429"/>
      <c r="I222" s="432"/>
      <c r="K222" s="434"/>
      <c r="R222" s="435"/>
      <c r="S222" s="435"/>
      <c r="T222" s="435"/>
      <c r="U222" s="435"/>
      <c r="V222" s="436"/>
      <c r="W222" s="437"/>
      <c r="X222" s="438"/>
      <c r="AA222" s="376"/>
    </row>
    <row r="223" spans="1:27" ht="12.5">
      <c r="A223" s="110" t="s">
        <v>1280</v>
      </c>
      <c r="B223" s="109"/>
      <c r="C223" s="428"/>
      <c r="D223" s="429"/>
      <c r="I223" s="432"/>
      <c r="K223" s="434"/>
      <c r="R223" s="435"/>
      <c r="S223" s="435"/>
      <c r="T223" s="435"/>
      <c r="U223" s="435"/>
      <c r="V223" s="436"/>
      <c r="W223" s="437"/>
      <c r="X223" s="438"/>
      <c r="AA223" s="376"/>
    </row>
    <row r="224" spans="1:27" ht="12.5">
      <c r="A224" s="110" t="s">
        <v>1281</v>
      </c>
      <c r="B224" s="109"/>
      <c r="C224" s="428"/>
      <c r="D224" s="429"/>
      <c r="I224" s="432"/>
      <c r="K224" s="434"/>
      <c r="R224" s="435"/>
      <c r="S224" s="435"/>
      <c r="T224" s="435"/>
      <c r="U224" s="435"/>
      <c r="V224" s="436"/>
      <c r="W224" s="437"/>
      <c r="X224" s="438"/>
      <c r="AA224" s="376"/>
    </row>
    <row r="225" spans="1:27" ht="12.5">
      <c r="A225" s="610" t="s">
        <v>1014</v>
      </c>
      <c r="B225" s="109"/>
      <c r="C225" s="428"/>
      <c r="D225" s="429"/>
      <c r="I225" s="432"/>
      <c r="K225" s="434"/>
      <c r="R225" s="435"/>
      <c r="S225" s="435"/>
      <c r="T225" s="435"/>
      <c r="U225" s="435"/>
      <c r="V225" s="436"/>
      <c r="W225" s="437"/>
      <c r="X225" s="438"/>
      <c r="AA225" s="376"/>
    </row>
    <row r="226" spans="1:27" ht="12.5">
      <c r="A226" s="110"/>
      <c r="B226" s="109"/>
      <c r="C226" s="428"/>
      <c r="D226" s="429"/>
      <c r="I226" s="432"/>
      <c r="K226" s="434"/>
      <c r="R226" s="435"/>
      <c r="S226" s="435"/>
      <c r="T226" s="435"/>
      <c r="U226" s="435"/>
      <c r="V226" s="436"/>
      <c r="W226" s="437"/>
      <c r="X226" s="438"/>
      <c r="AA226" s="376"/>
    </row>
    <row r="227" spans="1:27" ht="12.5">
      <c r="A227" s="440" t="s">
        <v>1206</v>
      </c>
      <c r="B227" s="589"/>
      <c r="C227" s="428"/>
      <c r="D227" s="429"/>
      <c r="I227" s="432"/>
      <c r="K227" s="434"/>
      <c r="R227" s="435"/>
      <c r="S227" s="435"/>
      <c r="T227" s="435"/>
      <c r="U227" s="435"/>
      <c r="V227" s="436"/>
      <c r="W227" s="437"/>
      <c r="X227" s="438"/>
      <c r="AA227" s="376"/>
    </row>
    <row r="228" spans="1:27">
      <c r="A228" s="376" t="s">
        <v>585</v>
      </c>
    </row>
    <row r="229" spans="1:27">
      <c r="A229" s="376" t="s">
        <v>1203</v>
      </c>
    </row>
    <row r="230" spans="1:27">
      <c r="A230" s="376" t="s">
        <v>586</v>
      </c>
    </row>
    <row r="231" spans="1:27">
      <c r="A231" s="376" t="s">
        <v>1200</v>
      </c>
    </row>
    <row r="235" spans="1:27">
      <c r="E235" s="431"/>
      <c r="F235" s="431"/>
    </row>
  </sheetData>
  <sheetProtection algorithmName="SHA-512" hashValue="iI4EzP7UdvLZmGvguVgxVHOaJCjxpu6yN+XBaHGqZL6wusB/mZbeLZVQiJGi/1BkLnN2lPrbXnm8mYA7dTdTDw==" saltValue="ZgxnbKxAJa/M8GK+Zm+3Bg==" spinCount="100000" sheet="1" objects="1" scenarios="1"/>
  <customSheetViews>
    <customSheetView guid="{4E720B7F-6A3C-4034-90A5-B2BF7A394FC0}" showPageBreaks="1" printArea="1">
      <pane xSplit="1" ySplit="2" topLeftCell="B157" activePane="bottomRight" state="frozen"/>
      <selection pane="bottomRight" activeCell="C186" sqref="C186"/>
      <colBreaks count="1" manualBreakCount="1">
        <brk id="17" max="1048575" man="1"/>
      </colBreaks>
      <pageMargins left="0.2" right="0.2" top="0.5" bottom="0.5" header="0.3" footer="0.3"/>
      <printOptions gridLines="1"/>
      <pageSetup paperSize="17" scale="80" orientation="landscape" r:id="rId1"/>
      <headerFooter>
        <oddHeader>&amp;C&amp;"Arial,Bold"Residential/Recreational SRV Calculations</oddHeader>
        <oddFooter>&amp;LDecember 2018&amp;R&amp;P of &amp;N</oddFooter>
      </headerFooter>
    </customSheetView>
    <customSheetView guid="{23DC26AF-9753-4BD2-80DE-415E6324C52C}">
      <pane xSplit="1" ySplit="2" topLeftCell="B157" activePane="bottomRight" state="frozen"/>
      <selection pane="bottomRight" activeCell="C186" sqref="C186"/>
      <colBreaks count="1" manualBreakCount="1">
        <brk id="17" max="1048575" man="1"/>
      </colBreaks>
      <pageMargins left="0.2" right="0.2" top="0.5" bottom="0.5" header="0.3" footer="0.3"/>
      <printOptions gridLines="1"/>
      <pageSetup paperSize="17" scale="80" orientation="landscape" r:id="rId2"/>
      <headerFooter>
        <oddHeader>&amp;C&amp;"Arial,Bold"Residential/Recreational SRV Calculations</oddHeader>
        <oddFooter>&amp;LDecember 2018&amp;R&amp;P of &amp;N</oddFooter>
      </headerFooter>
    </customSheetView>
  </customSheetViews>
  <mergeCells count="8">
    <mergeCell ref="C1:G1"/>
    <mergeCell ref="A1:A2"/>
    <mergeCell ref="AA1:AA2"/>
    <mergeCell ref="X1:Z1"/>
    <mergeCell ref="H1:N1"/>
    <mergeCell ref="B1:B2"/>
    <mergeCell ref="O1:U1"/>
    <mergeCell ref="V1:W1"/>
  </mergeCells>
  <printOptions gridLines="1"/>
  <pageMargins left="0.2" right="0.2" top="0.5" bottom="0.5" header="0.3" footer="0.3"/>
  <pageSetup paperSize="17" scale="80" orientation="landscape" r:id="rId3"/>
  <headerFooter>
    <oddHeader>&amp;C&amp;"Arial,Bold"Residential/Recreational SRV Calculations</oddHeader>
    <oddFooter>&amp;LApril 2026&amp;R&amp;P of &amp;N</oddFooter>
  </headerFooter>
  <colBreaks count="1" manualBreakCount="1">
    <brk id="1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tint="-0.499984740745262"/>
  </sheetPr>
  <dimension ref="A1:HS259"/>
  <sheetViews>
    <sheetView zoomScaleNormal="100" workbookViewId="0">
      <pane xSplit="2" ySplit="2" topLeftCell="C3" activePane="bottomRight" state="frozen"/>
      <selection pane="topRight" activeCell="C1" sqref="C1"/>
      <selection pane="bottomLeft" activeCell="A3" sqref="A3"/>
      <selection pane="bottomRight" activeCell="C158" sqref="C158"/>
    </sheetView>
  </sheetViews>
  <sheetFormatPr defaultColWidth="9.1796875" defaultRowHeight="10.5"/>
  <cols>
    <col min="1" max="1" width="43.453125" style="142" customWidth="1"/>
    <col min="2" max="3" width="10.81640625" style="605" customWidth="1"/>
    <col min="4" max="4" width="9.54296875" style="520" customWidth="1"/>
    <col min="5" max="5" width="12.453125" style="520" customWidth="1"/>
    <col min="6" max="6" width="11.54296875" style="124" customWidth="1"/>
    <col min="7" max="7" width="9.54296875" style="124" customWidth="1"/>
    <col min="8" max="8" width="19.81640625" style="9" customWidth="1"/>
    <col min="9" max="9" width="9.54296875" style="699" customWidth="1"/>
    <col min="10" max="10" width="10" style="91" customWidth="1"/>
    <col min="11" max="20" width="9.1796875" style="9" hidden="1" customWidth="1"/>
    <col min="21" max="21" width="65" style="9" hidden="1" customWidth="1"/>
    <col min="22" max="16384" width="9.1796875" style="9"/>
  </cols>
  <sheetData>
    <row r="1" spans="1:21" ht="12.75" customHeight="1">
      <c r="A1" s="847" t="s">
        <v>596</v>
      </c>
      <c r="B1" s="848" t="s">
        <v>204</v>
      </c>
      <c r="C1" s="778" t="s">
        <v>1062</v>
      </c>
      <c r="D1" s="844" t="s">
        <v>1064</v>
      </c>
      <c r="E1" s="849" t="s">
        <v>1020</v>
      </c>
      <c r="F1" s="844" t="s">
        <v>1065</v>
      </c>
      <c r="G1" s="844" t="s">
        <v>905</v>
      </c>
      <c r="H1" s="845" t="s">
        <v>1576</v>
      </c>
      <c r="I1" s="846" t="s">
        <v>1549</v>
      </c>
      <c r="J1" s="840" t="s">
        <v>743</v>
      </c>
      <c r="K1" s="841" t="s">
        <v>1087</v>
      </c>
      <c r="L1" s="842"/>
      <c r="M1" s="842"/>
      <c r="N1" s="842"/>
      <c r="O1" s="842"/>
      <c r="P1" s="842"/>
      <c r="Q1" s="842"/>
      <c r="R1" s="842"/>
      <c r="S1" s="842"/>
      <c r="T1" s="843"/>
      <c r="U1" s="836" t="s">
        <v>1237</v>
      </c>
    </row>
    <row r="2" spans="1:21" ht="95.25" customHeight="1">
      <c r="A2" s="847"/>
      <c r="B2" s="848"/>
      <c r="C2" s="778"/>
      <c r="D2" s="844"/>
      <c r="E2" s="849"/>
      <c r="F2" s="844"/>
      <c r="G2" s="844"/>
      <c r="H2" s="845"/>
      <c r="I2" s="846"/>
      <c r="J2" s="840"/>
      <c r="K2" s="670" t="s">
        <v>353</v>
      </c>
      <c r="L2" s="670" t="s">
        <v>343</v>
      </c>
      <c r="M2" s="670" t="s">
        <v>344</v>
      </c>
      <c r="N2" s="670" t="s">
        <v>345</v>
      </c>
      <c r="O2" s="670" t="s">
        <v>346</v>
      </c>
      <c r="P2" s="670" t="s">
        <v>559</v>
      </c>
      <c r="Q2" s="670" t="s">
        <v>347</v>
      </c>
      <c r="R2" s="670" t="s">
        <v>348</v>
      </c>
      <c r="S2" s="670" t="s">
        <v>349</v>
      </c>
      <c r="T2" s="670" t="s">
        <v>350</v>
      </c>
      <c r="U2" s="837"/>
    </row>
    <row r="3" spans="1:21" ht="13.5" customHeight="1">
      <c r="A3" s="380" t="s">
        <v>363</v>
      </c>
      <c r="B3" s="597"/>
      <c r="C3" s="597"/>
      <c r="D3" s="514"/>
      <c r="E3" s="382"/>
      <c r="F3" s="381"/>
      <c r="G3" s="381"/>
      <c r="H3" s="382"/>
      <c r="I3" s="697"/>
      <c r="J3" s="703"/>
      <c r="K3" s="671"/>
      <c r="L3" s="671"/>
      <c r="M3" s="671"/>
      <c r="N3" s="671"/>
      <c r="O3" s="671"/>
      <c r="P3" s="671"/>
      <c r="Q3" s="671"/>
      <c r="R3" s="671"/>
      <c r="S3" s="671"/>
      <c r="T3" s="672"/>
      <c r="U3" s="691"/>
    </row>
    <row r="4" spans="1:21" ht="12">
      <c r="A4" s="526" t="s">
        <v>896</v>
      </c>
      <c r="B4" s="598" t="s">
        <v>29</v>
      </c>
      <c r="C4" s="590">
        <v>2021</v>
      </c>
      <c r="D4" s="513" t="str">
        <f>IF('Res-Rec Calculations'!V4="NA","NA",'Res-Rec Calculations'!W4)</f>
        <v>NA</v>
      </c>
      <c r="E4" s="342"/>
      <c r="F4" s="524">
        <v>19000</v>
      </c>
      <c r="G4" s="524" t="s">
        <v>890</v>
      </c>
      <c r="H4" s="127"/>
      <c r="I4" s="698" t="str">
        <f>IF(G4="BTV","NA",IF(G4="Max Limit","NA",IF(G4="Csat","NA",IF(ISNUMBER('Res-Rec Calculations'!U4),((H4/'Res-Rec Calculations'!U4)),"NA"))))</f>
        <v>NA</v>
      </c>
      <c r="J4" s="704" t="str">
        <f>IF(G4="BTV","NA",IF(G4="Max Limit","NA",IF(G4="Csat","NA",IF(ISNUMBER('Res-Rec Calculations'!N4),((H4/'Res-Rec Calculations'!N4)*0.00001),"NA"))))</f>
        <v>NA</v>
      </c>
      <c r="K4" s="702" t="str">
        <f>IF('Chemical Info'!R5="X",'Res-Rec Worksheet'!I4,"")</f>
        <v>NA</v>
      </c>
      <c r="L4" s="702" t="str">
        <f>IF('Chemical Info'!S5="X",'Res-Rec Worksheet'!I4,"")</f>
        <v/>
      </c>
      <c r="M4" s="702" t="str">
        <f>IF('Chemical Info'!T5="X",'Res-Rec Worksheet'!I4,"")</f>
        <v/>
      </c>
      <c r="N4" s="702" t="str">
        <f>IF('Chemical Info'!U5="X",'Res-Rec Worksheet'!I4,"")</f>
        <v/>
      </c>
      <c r="O4" s="702" t="str">
        <f>IF('Chemical Info'!V5="X",'Res-Rec Worksheet'!I4,"")</f>
        <v/>
      </c>
      <c r="P4" s="702" t="str">
        <f>IF('Chemical Info'!W5="X",'Res-Rec Worksheet'!I4,"")</f>
        <v/>
      </c>
      <c r="Q4" s="702" t="str">
        <f>IF('Chemical Info'!X5="X",'Res-Rec Worksheet'!I4,"")</f>
        <v/>
      </c>
      <c r="R4" s="702" t="str">
        <f>IF('Chemical Info'!Y5="X",'Res-Rec Worksheet'!I4,"")</f>
        <v/>
      </c>
      <c r="S4" s="702" t="str">
        <f>IF('Chemical Info'!Z5="X",'Res-Rec Worksheet'!I4,"")</f>
        <v/>
      </c>
      <c r="T4" s="702" t="str">
        <f>IF('Chemical Info'!AA5="X",'Res-Rec Worksheet'!I4,"")</f>
        <v/>
      </c>
      <c r="U4" s="692" t="str">
        <f>IF(G4="Csat","Based on Csat. A concentration &gt; Csat indicates potential for free product in soil.",IF(G4="Max Limit","Based on maximum contaminant limit. Concentration should not be &gt; SRV.",""))</f>
        <v/>
      </c>
    </row>
    <row r="5" spans="1:21" ht="10">
      <c r="A5" s="125" t="s">
        <v>32</v>
      </c>
      <c r="B5" s="590" t="s">
        <v>33</v>
      </c>
      <c r="C5" s="590">
        <v>2022</v>
      </c>
      <c r="D5" s="513" t="str">
        <f>IF('Res-Rec Calculations'!V5="NA","NA",'Res-Rec Calculations'!W5)</f>
        <v>NA</v>
      </c>
      <c r="E5" s="342"/>
      <c r="F5" s="126">
        <f>'Res-Rec Calculations'!Y5</f>
        <v>6.3</v>
      </c>
      <c r="G5" s="126" t="str">
        <f>'Res-Rec Calculations'!Z5</f>
        <v>Noncancer</v>
      </c>
      <c r="H5" s="127"/>
      <c r="I5" s="698">
        <f>IF(G5="BTV","NA",IF(G5="Max Limit","NA",IF(G5="Csat","NA",IF(ISNUMBER('Res-Rec Calculations'!U5),((H5/'Res-Rec Calculations'!U5)),"NA"))))</f>
        <v>0</v>
      </c>
      <c r="J5" s="704" t="str">
        <f>IF(G5="BTV","NA",IF(G5="Max Limit","NA",IF(G5="Csat","NA",IF(ISNUMBER('Res-Rec Calculations'!N5),((H5/'Res-Rec Calculations'!N5)*0.00001),"NA"))))</f>
        <v>NA</v>
      </c>
      <c r="K5" s="702" t="str">
        <f>IF('Chemical Info'!R6="X",'Res-Rec Worksheet'!I5,"")</f>
        <v/>
      </c>
      <c r="L5" s="702">
        <f>IF('Chemical Info'!S6="X",'Res-Rec Worksheet'!I5,"")</f>
        <v>0</v>
      </c>
      <c r="M5" s="702" t="str">
        <f>IF('Chemical Info'!T6="X",'Res-Rec Worksheet'!I5,"")</f>
        <v/>
      </c>
      <c r="N5" s="702" t="str">
        <f>IF('Chemical Info'!U6="X",'Res-Rec Worksheet'!I5,"")</f>
        <v/>
      </c>
      <c r="O5" s="702" t="str">
        <f>IF('Chemical Info'!V6="X",'Res-Rec Worksheet'!I5,"")</f>
        <v/>
      </c>
      <c r="P5" s="702" t="str">
        <f>IF('Chemical Info'!W6="X",'Res-Rec Worksheet'!I5,"")</f>
        <v/>
      </c>
      <c r="Q5" s="702">
        <f>IF('Chemical Info'!X6="X",'Res-Rec Worksheet'!I5,"")</f>
        <v>0</v>
      </c>
      <c r="R5" s="702" t="str">
        <f>IF('Chemical Info'!Y6="X",'Res-Rec Worksheet'!I5,"")</f>
        <v/>
      </c>
      <c r="S5" s="702" t="str">
        <f>IF('Chemical Info'!Z6="X",'Res-Rec Worksheet'!I5,"")</f>
        <v/>
      </c>
      <c r="T5" s="702" t="str">
        <f>IF('Chemical Info'!AA6="X",'Res-Rec Worksheet'!I5,"")</f>
        <v/>
      </c>
      <c r="U5" s="692" t="str">
        <f t="shared" ref="U5:U68" si="0">IF(G5="Csat","Based on Csat. A concentration &gt; Csat indicates potential for free product in soil.",IF(G5="Max Limit","Based on maximum contaminant limit. Concentration should not be &gt; SRV.",""))</f>
        <v/>
      </c>
    </row>
    <row r="6" spans="1:21" ht="12">
      <c r="A6" s="525" t="s">
        <v>980</v>
      </c>
      <c r="B6" s="598" t="s">
        <v>214</v>
      </c>
      <c r="C6" s="590">
        <v>2016</v>
      </c>
      <c r="D6" s="530">
        <v>9</v>
      </c>
      <c r="E6" s="127"/>
      <c r="F6" s="524">
        <v>9</v>
      </c>
      <c r="G6" s="524" t="s">
        <v>890</v>
      </c>
      <c r="H6" s="127"/>
      <c r="I6" s="698" t="str">
        <f>IF(G6="BTV","NA",IF(G6="Max Limit","NA",IF(G6="Csat","NA",IF(ISNUMBER('Res-Rec Calculations'!U6),((H6/'Res-Rec Calculations'!U6)),"NA"))))</f>
        <v>NA</v>
      </c>
      <c r="J6" s="704" t="str">
        <f>IF(G6="BTV","NA",IF(G6="Max Limit","NA",IF(G6="Csat","NA",IF(ISNUMBER('Res-Rec Calculations'!N6),((H6/'Res-Rec Calculations'!N6)*0.00001),"NA"))))</f>
        <v>NA</v>
      </c>
      <c r="K6" s="702" t="str">
        <f>IF('Chemical Info'!R7="X",'Res-Rec Worksheet'!I6,"")</f>
        <v>NA</v>
      </c>
      <c r="L6" s="702" t="str">
        <f>IF('Chemical Info'!S7="X",'Res-Rec Worksheet'!I6,"")</f>
        <v>NA</v>
      </c>
      <c r="M6" s="702" t="str">
        <f>IF('Chemical Info'!T7="X",'Res-Rec Worksheet'!I6,"")</f>
        <v/>
      </c>
      <c r="N6" s="702" t="str">
        <f>IF('Chemical Info'!U7="X",'Res-Rec Worksheet'!I6,"")</f>
        <v/>
      </c>
      <c r="O6" s="702" t="str">
        <f>IF('Chemical Info'!V7="X",'Res-Rec Worksheet'!I6,"")</f>
        <v>NA</v>
      </c>
      <c r="P6" s="702" t="str">
        <f>IF('Chemical Info'!W7="X",'Res-Rec Worksheet'!I6,"")</f>
        <v>NA</v>
      </c>
      <c r="Q6" s="702" t="str">
        <f>IF('Chemical Info'!X7="X",'Res-Rec Worksheet'!I6,"")</f>
        <v>NA</v>
      </c>
      <c r="R6" s="702" t="str">
        <f>IF('Chemical Info'!Y7="X",'Res-Rec Worksheet'!I6,"")</f>
        <v/>
      </c>
      <c r="S6" s="702" t="str">
        <f>IF('Chemical Info'!Z7="X",'Res-Rec Worksheet'!I6,"")</f>
        <v>NA</v>
      </c>
      <c r="T6" s="702" t="str">
        <f>IF('Chemical Info'!AA7="X",'Res-Rec Worksheet'!I6,"")</f>
        <v/>
      </c>
      <c r="U6" s="692" t="str">
        <f t="shared" si="0"/>
        <v/>
      </c>
    </row>
    <row r="7" spans="1:21">
      <c r="A7" s="185" t="s">
        <v>981</v>
      </c>
      <c r="B7" s="566" t="s">
        <v>216</v>
      </c>
      <c r="C7" s="566">
        <v>2022</v>
      </c>
      <c r="D7" s="521">
        <f>IF('Res-Rec Calculations'!V7="NA","NA",'Res-Rec Calculations'!W7)</f>
        <v>260</v>
      </c>
      <c r="E7" s="127"/>
      <c r="F7" s="126">
        <f>'Res-Rec Calculations'!Y7</f>
        <v>3100</v>
      </c>
      <c r="G7" s="126" t="str">
        <f>'Res-Rec Calculations'!Z7</f>
        <v>Noncancer</v>
      </c>
      <c r="H7" s="184"/>
      <c r="I7" s="698">
        <f>IF(G7="BTV","NA",IF(G7="Max Limit","NA",IF(G7="Csat","NA",IF(ISNUMBER('Res-Rec Calculations'!U7),((H7/'Res-Rec Calculations'!U7)),"NA"))))</f>
        <v>0</v>
      </c>
      <c r="J7" s="704" t="str">
        <f>IF(G7="BTV","NA",IF(G7="Max Limit","NA",IF(G7="Csat","NA",IF(ISNUMBER('Res-Rec Calculations'!N7),((H7/'Res-Rec Calculations'!N7)*0.00001),"NA"))))</f>
        <v>NA</v>
      </c>
      <c r="K7" s="702" t="str">
        <f>IF('Chemical Info'!R8="X",'Res-Rec Worksheet'!I7,"")</f>
        <v/>
      </c>
      <c r="L7" s="702" t="str">
        <f>IF('Chemical Info'!S8="X",'Res-Rec Worksheet'!I7,"")</f>
        <v/>
      </c>
      <c r="M7" s="702" t="str">
        <f>IF('Chemical Info'!T8="X",'Res-Rec Worksheet'!I7,"")</f>
        <v/>
      </c>
      <c r="N7" s="702">
        <f>IF('Chemical Info'!U8="X",'Res-Rec Worksheet'!I7,"")</f>
        <v>0</v>
      </c>
      <c r="O7" s="702">
        <f>IF('Chemical Info'!V8="X",'Res-Rec Worksheet'!I7,"")</f>
        <v>0</v>
      </c>
      <c r="P7" s="702">
        <f>IF('Chemical Info'!W8="X",'Res-Rec Worksheet'!I7,"")</f>
        <v>0</v>
      </c>
      <c r="Q7" s="702" t="str">
        <f>IF('Chemical Info'!X8="X",'Res-Rec Worksheet'!I7,"")</f>
        <v/>
      </c>
      <c r="R7" s="702" t="str">
        <f>IF('Chemical Info'!Y8="X",'Res-Rec Worksheet'!I7,"")</f>
        <v/>
      </c>
      <c r="S7" s="702" t="str">
        <f>IF('Chemical Info'!Z8="X",'Res-Rec Worksheet'!I7,"")</f>
        <v/>
      </c>
      <c r="T7" s="702" t="str">
        <f>IF('Chemical Info'!AA8="X",'Res-Rec Worksheet'!I7,"")</f>
        <v/>
      </c>
      <c r="U7" s="692" t="str">
        <f t="shared" si="0"/>
        <v/>
      </c>
    </row>
    <row r="8" spans="1:21" ht="10">
      <c r="A8" s="129" t="s">
        <v>77</v>
      </c>
      <c r="B8" s="566" t="s">
        <v>78</v>
      </c>
      <c r="C8" s="566">
        <v>2024</v>
      </c>
      <c r="D8" s="513" t="str">
        <f>IF('Res-Rec Calculations'!V8="NA","NA",'Res-Rec Calculations'!W8)</f>
        <v>NA</v>
      </c>
      <c r="E8" s="342"/>
      <c r="F8" s="126">
        <f>'Res-Rec Calculations'!Y8</f>
        <v>29</v>
      </c>
      <c r="G8" s="126" t="str">
        <f>'Res-Rec Calculations'!Z8</f>
        <v>Noncancer</v>
      </c>
      <c r="H8" s="127"/>
      <c r="I8" s="698">
        <f>IF(G8="BTV","NA",IF(G8="Max Limit","NA",IF(G8="Csat","NA",IF(ISNUMBER('Res-Rec Calculations'!U8),((H8/'Res-Rec Calculations'!U8)),"NA"))))</f>
        <v>0</v>
      </c>
      <c r="J8" s="704">
        <f>IF(G8="BTV","NA",IF(G8="Max Limit","NA",IF(G8="Csat","NA",IF(ISNUMBER('Res-Rec Calculations'!N8),((H8/'Res-Rec Calculations'!N8)*0.00001),"NA"))))</f>
        <v>0</v>
      </c>
      <c r="K8" s="702" t="str">
        <f>IF('Chemical Info'!R9="X",'Res-Rec Worksheet'!I8,"")</f>
        <v/>
      </c>
      <c r="L8" s="702" t="str">
        <f>IF('Chemical Info'!S9="X",'Res-Rec Worksheet'!I8,"")</f>
        <v/>
      </c>
      <c r="M8" s="702">
        <f>IF('Chemical Info'!T9="X",'Res-Rec Worksheet'!I8,"")</f>
        <v>0</v>
      </c>
      <c r="N8" s="702" t="str">
        <f>IF('Chemical Info'!U9="X",'Res-Rec Worksheet'!I8,"")</f>
        <v/>
      </c>
      <c r="O8" s="702">
        <f>IF('Chemical Info'!V9="X",'Res-Rec Worksheet'!I8,"")</f>
        <v>0</v>
      </c>
      <c r="P8" s="702" t="str">
        <f>IF('Chemical Info'!W9="X",'Res-Rec Worksheet'!I8,"")</f>
        <v/>
      </c>
      <c r="Q8" s="702" t="str">
        <f>IF('Chemical Info'!X9="X",'Res-Rec Worksheet'!I8,"")</f>
        <v/>
      </c>
      <c r="R8" s="702" t="str">
        <f>IF('Chemical Info'!Y9="X",'Res-Rec Worksheet'!I8,"")</f>
        <v/>
      </c>
      <c r="S8" s="702" t="str">
        <f>IF('Chemical Info'!Z9="X",'Res-Rec Worksheet'!I8,"")</f>
        <v/>
      </c>
      <c r="T8" s="702" t="str">
        <f>IF('Chemical Info'!AA9="X",'Res-Rec Worksheet'!I8,"")</f>
        <v/>
      </c>
      <c r="U8" s="692" t="str">
        <f t="shared" si="0"/>
        <v/>
      </c>
    </row>
    <row r="9" spans="1:21" ht="10">
      <c r="A9" s="130" t="s">
        <v>50</v>
      </c>
      <c r="B9" s="591" t="s">
        <v>51</v>
      </c>
      <c r="C9" s="591">
        <v>2016</v>
      </c>
      <c r="D9" s="513" t="str">
        <f>IF('Res-Rec Calculations'!V9="NA","NA",'Res-Rec Calculations'!W9)</f>
        <v>NA</v>
      </c>
      <c r="E9" s="342"/>
      <c r="F9" s="126">
        <f>'Res-Rec Calculations'!Y9</f>
        <v>3100</v>
      </c>
      <c r="G9" s="126" t="str">
        <f>'Res-Rec Calculations'!Z9</f>
        <v>Noncancer</v>
      </c>
      <c r="H9" s="127"/>
      <c r="I9" s="698">
        <f>IF(G9="BTV","NA",IF(G9="Max Limit","NA",IF(G9="Csat","NA",IF(ISNUMBER('Res-Rec Calculations'!U9),((H9/'Res-Rec Calculations'!U9)),"NA"))))</f>
        <v>0</v>
      </c>
      <c r="J9" s="704" t="str">
        <f>IF(G9="BTV","NA",IF(G9="Max Limit","NA",IF(G9="Csat","NA",IF(ISNUMBER('Res-Rec Calculations'!N9),((H9/'Res-Rec Calculations'!N9)*0.00001),"NA"))))</f>
        <v>NA</v>
      </c>
      <c r="K9" s="702" t="str">
        <f>IF('Chemical Info'!R10="X",'Res-Rec Worksheet'!I9,"")</f>
        <v/>
      </c>
      <c r="L9" s="702" t="str">
        <f>IF('Chemical Info'!S10="X",'Res-Rec Worksheet'!I9,"")</f>
        <v/>
      </c>
      <c r="M9" s="702" t="str">
        <f>IF('Chemical Info'!T10="X",'Res-Rec Worksheet'!I9,"")</f>
        <v/>
      </c>
      <c r="N9" s="702" t="str">
        <f>IF('Chemical Info'!U10="X",'Res-Rec Worksheet'!I9,"")</f>
        <v/>
      </c>
      <c r="O9" s="702" t="str">
        <f>IF('Chemical Info'!V10="X",'Res-Rec Worksheet'!I9,"")</f>
        <v/>
      </c>
      <c r="P9" s="702">
        <f>IF('Chemical Info'!W10="X",'Res-Rec Worksheet'!I9,"")</f>
        <v>0</v>
      </c>
      <c r="Q9" s="702">
        <f>IF('Chemical Info'!X10="X",'Res-Rec Worksheet'!I9,"")</f>
        <v>0</v>
      </c>
      <c r="R9" s="702" t="str">
        <f>IF('Chemical Info'!Y10="X",'Res-Rec Worksheet'!I9,"")</f>
        <v/>
      </c>
      <c r="S9" s="702" t="str">
        <f>IF('Chemical Info'!Z10="X",'Res-Rec Worksheet'!I9,"")</f>
        <v/>
      </c>
      <c r="T9" s="702" t="str">
        <f>IF('Chemical Info'!AA10="X",'Res-Rec Worksheet'!I9,"")</f>
        <v/>
      </c>
      <c r="U9" s="692" t="str">
        <f t="shared" si="0"/>
        <v/>
      </c>
    </row>
    <row r="10" spans="1:21">
      <c r="A10" s="185" t="s">
        <v>982</v>
      </c>
      <c r="B10" s="566" t="s">
        <v>53</v>
      </c>
      <c r="C10" s="566">
        <v>2016</v>
      </c>
      <c r="D10" s="521">
        <f>IF('Res-Rec Calculations'!V10="NA","NA",'Res-Rec Calculations'!W10)</f>
        <v>9.1</v>
      </c>
      <c r="E10" s="127"/>
      <c r="F10" s="126">
        <f>'Res-Rec Calculations'!Y10</f>
        <v>1.6</v>
      </c>
      <c r="G10" s="126" t="str">
        <f>'Res-Rec Calculations'!Z10</f>
        <v>Noncancer</v>
      </c>
      <c r="H10" s="184"/>
      <c r="I10" s="698">
        <f>IF(G10="BTV","NA",IF(G10="Max Limit","NA",IF(G10="Csat","NA",IF(ISNUMBER('Res-Rec Calculations'!U10),((H10/'Res-Rec Calculations'!U10)),"NA"))))</f>
        <v>0</v>
      </c>
      <c r="J10" s="704">
        <f>IF(G10="BTV","NA",IF(G10="Max Limit","NA",IF(G10="Csat","NA",IF(ISNUMBER('Res-Rec Calculations'!N10),((H10/'Res-Rec Calculations'!N10)*0.00001),"NA"))))</f>
        <v>0</v>
      </c>
      <c r="K10" s="702" t="str">
        <f>IF('Chemical Info'!R11="X",'Res-Rec Worksheet'!I10,"")</f>
        <v/>
      </c>
      <c r="L10" s="702" t="str">
        <f>IF('Chemical Info'!S11="X",'Res-Rec Worksheet'!I10,"")</f>
        <v/>
      </c>
      <c r="M10" s="702" t="str">
        <f>IF('Chemical Info'!T11="X",'Res-Rec Worksheet'!I10,"")</f>
        <v/>
      </c>
      <c r="N10" s="702">
        <f>IF('Chemical Info'!U11="X",'Res-Rec Worksheet'!I10,"")</f>
        <v>0</v>
      </c>
      <c r="O10" s="702">
        <f>IF('Chemical Info'!V11="X",'Res-Rec Worksheet'!I10,"")</f>
        <v>0</v>
      </c>
      <c r="P10" s="702" t="str">
        <f>IF('Chemical Info'!W11="X",'Res-Rec Worksheet'!I10,"")</f>
        <v/>
      </c>
      <c r="Q10" s="702" t="str">
        <f>IF('Chemical Info'!X11="X",'Res-Rec Worksheet'!I10,"")</f>
        <v/>
      </c>
      <c r="R10" s="702">
        <f>IF('Chemical Info'!Y11="X",'Res-Rec Worksheet'!I10,"")</f>
        <v>0</v>
      </c>
      <c r="S10" s="702" t="str">
        <f>IF('Chemical Info'!Z11="X",'Res-Rec Worksheet'!I10,"")</f>
        <v/>
      </c>
      <c r="T10" s="702" t="str">
        <f>IF('Chemical Info'!AA11="X",'Res-Rec Worksheet'!I10,"")</f>
        <v/>
      </c>
      <c r="U10" s="692" t="str">
        <f t="shared" si="0"/>
        <v/>
      </c>
    </row>
    <row r="11" spans="1:21" ht="10">
      <c r="A11" s="129" t="s">
        <v>83</v>
      </c>
      <c r="B11" s="566" t="s">
        <v>84</v>
      </c>
      <c r="C11" s="566">
        <v>2016</v>
      </c>
      <c r="D11" s="513" t="str">
        <f>IF('Res-Rec Calculations'!V11="NA","NA",'Res-Rec Calculations'!W11)</f>
        <v>NA</v>
      </c>
      <c r="E11" s="342"/>
      <c r="F11" s="126">
        <f>'Res-Rec Calculations'!Y11</f>
        <v>23000</v>
      </c>
      <c r="G11" s="126" t="str">
        <f>'Res-Rec Calculations'!Z11</f>
        <v>Noncancer</v>
      </c>
      <c r="H11" s="127"/>
      <c r="I11" s="698">
        <f>IF(G11="BTV","NA",IF(G11="Max Limit","NA",IF(G11="Csat","NA",IF(ISNUMBER('Res-Rec Calculations'!U11),((H11/'Res-Rec Calculations'!U11)),"NA"))))</f>
        <v>0</v>
      </c>
      <c r="J11" s="704" t="str">
        <f>IF(G11="BTV","NA",IF(G11="Max Limit","NA",IF(G11="Csat","NA",IF(ISNUMBER('Res-Rec Calculations'!N11),((H11/'Res-Rec Calculations'!N11)*0.00001),"NA"))))</f>
        <v>NA</v>
      </c>
      <c r="K11" s="702" t="str">
        <f>IF('Chemical Info'!R12="X",'Res-Rec Worksheet'!I11,"")</f>
        <v/>
      </c>
      <c r="L11" s="702" t="str">
        <f>IF('Chemical Info'!S12="X",'Res-Rec Worksheet'!I11,"")</f>
        <v/>
      </c>
      <c r="M11" s="702" t="str">
        <f>IF('Chemical Info'!T12="X",'Res-Rec Worksheet'!I11,"")</f>
        <v/>
      </c>
      <c r="N11" s="702" t="str">
        <f>IF('Chemical Info'!U12="X",'Res-Rec Worksheet'!I11,"")</f>
        <v/>
      </c>
      <c r="O11" s="702" t="str">
        <f>IF('Chemical Info'!V12="X",'Res-Rec Worksheet'!I11,"")</f>
        <v/>
      </c>
      <c r="P11" s="702" t="str">
        <f>IF('Chemical Info'!W12="X",'Res-Rec Worksheet'!I11,"")</f>
        <v/>
      </c>
      <c r="Q11" s="702" t="str">
        <f>IF('Chemical Info'!X12="X",'Res-Rec Worksheet'!I11,"")</f>
        <v/>
      </c>
      <c r="R11" s="702" t="str">
        <f>IF('Chemical Info'!Y12="X",'Res-Rec Worksheet'!I11,"")</f>
        <v/>
      </c>
      <c r="S11" s="702" t="str">
        <f>IF('Chemical Info'!Z12="X",'Res-Rec Worksheet'!I11,"")</f>
        <v/>
      </c>
      <c r="T11" s="702" t="str">
        <f>IF('Chemical Info'!AA12="X",'Res-Rec Worksheet'!I11,"")</f>
        <v/>
      </c>
      <c r="U11" s="692" t="str">
        <f t="shared" si="0"/>
        <v/>
      </c>
    </row>
    <row r="12" spans="1:21" ht="10">
      <c r="A12" s="129" t="s">
        <v>71</v>
      </c>
      <c r="B12" s="566" t="s">
        <v>72</v>
      </c>
      <c r="C12" s="736">
        <v>2025</v>
      </c>
      <c r="D12" s="513" t="str">
        <f>IF('Res-Rec Calculations'!V12="NA","NA",'Res-Rec Calculations'!W12)</f>
        <v>NA</v>
      </c>
      <c r="E12" s="342"/>
      <c r="F12" s="126">
        <f>'Res-Rec Calculations'!Y12</f>
        <v>7.1</v>
      </c>
      <c r="G12" s="126" t="str">
        <f>'Res-Rec Calculations'!Z12</f>
        <v>Cancer</v>
      </c>
      <c r="H12" s="127"/>
      <c r="I12" s="698">
        <f>IF(G12="BTV","NA",IF(G12="Max Limit","NA",IF(G12="Csat","NA",IF(ISNUMBER('Res-Rec Calculations'!U12),((H12/'Res-Rec Calculations'!U12)),"NA"))))</f>
        <v>0</v>
      </c>
      <c r="J12" s="704">
        <f>IF(G12="BTV","NA",IF(G12="Max Limit","NA",IF(G12="Csat","NA",IF(ISNUMBER('Res-Rec Calculations'!N12),((H12/'Res-Rec Calculations'!N12)*0.00001),"NA"))))</f>
        <v>0</v>
      </c>
      <c r="K12" s="702" t="str">
        <f>IF('Chemical Info'!R13="X",'Res-Rec Worksheet'!I12,"")</f>
        <v/>
      </c>
      <c r="L12" s="702" t="str">
        <f>IF('Chemical Info'!S13="X",'Res-Rec Worksheet'!I12,"")</f>
        <v/>
      </c>
      <c r="M12" s="702" t="str">
        <f>IF('Chemical Info'!T13="X",'Res-Rec Worksheet'!I12,"")</f>
        <v/>
      </c>
      <c r="N12" s="702" t="str">
        <f>IF('Chemical Info'!U13="X",'Res-Rec Worksheet'!I12,"")</f>
        <v/>
      </c>
      <c r="O12" s="702">
        <f>IF('Chemical Info'!V13="X",'Res-Rec Worksheet'!I12,"")</f>
        <v>0</v>
      </c>
      <c r="P12" s="702" t="str">
        <f>IF('Chemical Info'!W13="X",'Res-Rec Worksheet'!I12,"")</f>
        <v/>
      </c>
      <c r="Q12" s="702">
        <f>IF('Chemical Info'!X13="X",'Res-Rec Worksheet'!I12,"")</f>
        <v>0</v>
      </c>
      <c r="R12" s="702" t="str">
        <f>IF('Chemical Info'!Y13="X",'Res-Rec Worksheet'!I12,"")</f>
        <v/>
      </c>
      <c r="S12" s="702" t="str">
        <f>IF('Chemical Info'!Z13="X",'Res-Rec Worksheet'!I12,"")</f>
        <v/>
      </c>
      <c r="T12" s="702" t="str">
        <f>IF('Chemical Info'!AA13="X",'Res-Rec Worksheet'!I12,"")</f>
        <v/>
      </c>
      <c r="U12" s="692" t="str">
        <f t="shared" si="0"/>
        <v/>
      </c>
    </row>
    <row r="13" spans="1:21" ht="12">
      <c r="A13" s="526" t="s">
        <v>897</v>
      </c>
      <c r="B13" s="598" t="s">
        <v>169</v>
      </c>
      <c r="C13" s="590">
        <v>2021</v>
      </c>
      <c r="D13" s="513" t="str">
        <f>IF('Res-Rec Calculations'!V13="NA","NA",'Res-Rec Calculations'!W13)</f>
        <v>NA</v>
      </c>
      <c r="E13" s="342"/>
      <c r="F13" s="524">
        <v>12</v>
      </c>
      <c r="G13" s="524" t="s">
        <v>890</v>
      </c>
      <c r="H13" s="127"/>
      <c r="I13" s="698" t="str">
        <f>IF(G13="BTV","NA",IF(G13="Max Limit","NA",IF(G13="Csat","NA",IF(ISNUMBER('Res-Rec Calculations'!U13),((H13/'Res-Rec Calculations'!U13)),"NA"))))</f>
        <v>NA</v>
      </c>
      <c r="J13" s="704" t="str">
        <f>IF(G13="BTV","NA",IF(G13="Max Limit","NA",IF(G13="Csat","NA",IF(ISNUMBER('Res-Rec Calculations'!N13),((H13/'Res-Rec Calculations'!N13)*0.00001),"NA"))))</f>
        <v>NA</v>
      </c>
      <c r="K13" s="702" t="str">
        <f>IF('Chemical Info'!R14="X",'Res-Rec Worksheet'!I13,"")</f>
        <v/>
      </c>
      <c r="L13" s="702" t="str">
        <f>IF('Chemical Info'!S14="X",'Res-Rec Worksheet'!I13,"")</f>
        <v/>
      </c>
      <c r="M13" s="702" t="str">
        <f>IF('Chemical Info'!T14="X",'Res-Rec Worksheet'!I13,"")</f>
        <v/>
      </c>
      <c r="N13" s="702" t="str">
        <f>IF('Chemical Info'!U14="X",'Res-Rec Worksheet'!I13,"")</f>
        <v/>
      </c>
      <c r="O13" s="702" t="str">
        <f>IF('Chemical Info'!V14="X",'Res-Rec Worksheet'!I13,"")</f>
        <v/>
      </c>
      <c r="P13" s="702" t="str">
        <f>IF('Chemical Info'!W14="X",'Res-Rec Worksheet'!I13,"")</f>
        <v/>
      </c>
      <c r="Q13" s="702" t="str">
        <f>IF('Chemical Info'!X14="X",'Res-Rec Worksheet'!I13,"")</f>
        <v>NA</v>
      </c>
      <c r="R13" s="702" t="str">
        <f>IF('Chemical Info'!Y14="X",'Res-Rec Worksheet'!I13,"")</f>
        <v/>
      </c>
      <c r="S13" s="702" t="str">
        <f>IF('Chemical Info'!Z14="X",'Res-Rec Worksheet'!I13,"")</f>
        <v/>
      </c>
      <c r="T13" s="702" t="str">
        <f>IF('Chemical Info'!AA14="X",'Res-Rec Worksheet'!I13,"")</f>
        <v>NA</v>
      </c>
      <c r="U13" s="692" t="str">
        <f t="shared" si="0"/>
        <v/>
      </c>
    </row>
    <row r="14" spans="1:21">
      <c r="A14" s="185" t="s">
        <v>983</v>
      </c>
      <c r="B14" s="566" t="s">
        <v>171</v>
      </c>
      <c r="C14" s="736">
        <v>2025</v>
      </c>
      <c r="D14" s="521">
        <f>IF('Res-Rec Calculations'!V14="NA","NA",'Res-Rec Calculations'!W14)</f>
        <v>180</v>
      </c>
      <c r="E14" s="127"/>
      <c r="F14" s="126">
        <f>'Res-Rec Calculations'!Y14</f>
        <v>2200</v>
      </c>
      <c r="G14" s="126" t="str">
        <f>'Res-Rec Calculations'!Z14</f>
        <v>Noncancer</v>
      </c>
      <c r="H14" s="184"/>
      <c r="I14" s="698">
        <f>IF(G14="BTV","NA",IF(G14="Max Limit","NA",IF(G14="Csat","NA",IF(ISNUMBER('Res-Rec Calculations'!U14),((H14/'Res-Rec Calculations'!U14)),"NA"))))</f>
        <v>0</v>
      </c>
      <c r="J14" s="704" t="str">
        <f>IF(G14="BTV","NA",IF(G14="Max Limit","NA",IF(G14="Csat","NA",IF(ISNUMBER('Res-Rec Calculations'!N14),((H14/'Res-Rec Calculations'!N14)*0.00001),"NA"))))</f>
        <v>NA</v>
      </c>
      <c r="K14" s="702" t="str">
        <f>IF('Chemical Info'!R15="X",'Res-Rec Worksheet'!I14,"")</f>
        <v/>
      </c>
      <c r="L14" s="702" t="str">
        <f>IF('Chemical Info'!S15="X",'Res-Rec Worksheet'!I14,"")</f>
        <v/>
      </c>
      <c r="M14" s="702" t="str">
        <f>IF('Chemical Info'!T15="X",'Res-Rec Worksheet'!I14,"")</f>
        <v/>
      </c>
      <c r="N14" s="702" t="str">
        <f>IF('Chemical Info'!U15="X",'Res-Rec Worksheet'!I14,"")</f>
        <v/>
      </c>
      <c r="O14" s="702">
        <f>IF('Chemical Info'!V15="X",'Res-Rec Worksheet'!I14,"")</f>
        <v>0</v>
      </c>
      <c r="P14" s="702" t="str">
        <f>IF('Chemical Info'!W15="X",'Res-Rec Worksheet'!I14,"")</f>
        <v/>
      </c>
      <c r="Q14" s="702" t="str">
        <f>IF('Chemical Info'!X15="X",'Res-Rec Worksheet'!I14,"")</f>
        <v/>
      </c>
      <c r="R14" s="702" t="str">
        <f>IF('Chemical Info'!Y15="X",'Res-Rec Worksheet'!I14,"")</f>
        <v/>
      </c>
      <c r="S14" s="702" t="str">
        <f>IF('Chemical Info'!Z15="X",'Res-Rec Worksheet'!I14,"")</f>
        <v/>
      </c>
      <c r="T14" s="702" t="str">
        <f>IF('Chemical Info'!AA15="X",'Res-Rec Worksheet'!I14,"")</f>
        <v/>
      </c>
      <c r="U14" s="692" t="str">
        <f t="shared" si="0"/>
        <v/>
      </c>
    </row>
    <row r="15" spans="1:21" ht="10">
      <c r="A15" s="131" t="s">
        <v>172</v>
      </c>
      <c r="B15" s="592" t="s">
        <v>173</v>
      </c>
      <c r="C15" s="592">
        <v>2022</v>
      </c>
      <c r="D15" s="513" t="str">
        <f>IF('Res-Rec Calculations'!V15="NA","NA",'Res-Rec Calculations'!W15)</f>
        <v>NA</v>
      </c>
      <c r="E15" s="342"/>
      <c r="F15" s="126">
        <f>'Res-Rec Calculations'!Y15</f>
        <v>78</v>
      </c>
      <c r="G15" s="126" t="str">
        <f>'Res-Rec Calculations'!Z15</f>
        <v>Noncancer</v>
      </c>
      <c r="H15" s="127"/>
      <c r="I15" s="698">
        <f>IF(G15="BTV","NA",IF(G15="Max Limit","NA",IF(G15="Csat","NA",IF(ISNUMBER('Res-Rec Calculations'!U15),((H15/'Res-Rec Calculations'!U15)),"NA"))))</f>
        <v>0</v>
      </c>
      <c r="J15" s="704" t="str">
        <f>IF(G15="BTV","NA",IF(G15="Max Limit","NA",IF(G15="Csat","NA",IF(ISNUMBER('Res-Rec Calculations'!N15),((H15/'Res-Rec Calculations'!N15)*0.00001),"NA"))))</f>
        <v>NA</v>
      </c>
      <c r="K15" s="702" t="str">
        <f>IF('Chemical Info'!R16="X",'Res-Rec Worksheet'!I15,"")</f>
        <v/>
      </c>
      <c r="L15" s="702" t="str">
        <f>IF('Chemical Info'!S16="X",'Res-Rec Worksheet'!I15,"")</f>
        <v/>
      </c>
      <c r="M15" s="702" t="str">
        <f>IF('Chemical Info'!T16="X",'Res-Rec Worksheet'!I15,"")</f>
        <v/>
      </c>
      <c r="N15" s="702">
        <f>IF('Chemical Info'!U16="X",'Res-Rec Worksheet'!I15,"")</f>
        <v>0</v>
      </c>
      <c r="O15" s="702">
        <f>IF('Chemical Info'!V16="X",'Res-Rec Worksheet'!I15,"")</f>
        <v>0</v>
      </c>
      <c r="P15" s="702" t="str">
        <f>IF('Chemical Info'!W16="X",'Res-Rec Worksheet'!I15,"")</f>
        <v/>
      </c>
      <c r="Q15" s="702" t="str">
        <f>IF('Chemical Info'!X16="X",'Res-Rec Worksheet'!I15,"")</f>
        <v/>
      </c>
      <c r="R15" s="702" t="str">
        <f>IF('Chemical Info'!Y16="X",'Res-Rec Worksheet'!I15,"")</f>
        <v/>
      </c>
      <c r="S15" s="702" t="str">
        <f>IF('Chemical Info'!Z16="X",'Res-Rec Worksheet'!I15,"")</f>
        <v/>
      </c>
      <c r="T15" s="702" t="str">
        <f>IF('Chemical Info'!AA16="X",'Res-Rec Worksheet'!I15,"")</f>
        <v/>
      </c>
      <c r="U15" s="692" t="str">
        <f t="shared" si="0"/>
        <v/>
      </c>
    </row>
    <row r="16" spans="1:21">
      <c r="A16" s="186" t="s">
        <v>984</v>
      </c>
      <c r="B16" s="592" t="s">
        <v>95</v>
      </c>
      <c r="C16" s="592">
        <v>2016</v>
      </c>
      <c r="D16" s="521">
        <f>IF('Res-Rec Calculations'!V16="NA","NA",'Res-Rec Calculations'!W16)</f>
        <v>7.3</v>
      </c>
      <c r="E16" s="127"/>
      <c r="F16" s="126">
        <f>'Res-Rec Calculations'!Y16</f>
        <v>13</v>
      </c>
      <c r="G16" s="126" t="str">
        <f>'Res-Rec Calculations'!Z16</f>
        <v>Noncancer</v>
      </c>
      <c r="H16" s="184"/>
      <c r="I16" s="698">
        <f>IF(G16="BTV","NA",IF(G16="Max Limit","NA",IF(G16="Csat","NA",IF(ISNUMBER('Res-Rec Calculations'!U16),((H16/'Res-Rec Calculations'!U16)),"NA"))))</f>
        <v>0</v>
      </c>
      <c r="J16" s="704" t="str">
        <f>IF(G16="BTV","NA",IF(G16="Max Limit","NA",IF(G16="Csat","NA",IF(ISNUMBER('Res-Rec Calculations'!N16),((H16/'Res-Rec Calculations'!N16)*0.00001),"NA"))))</f>
        <v>NA</v>
      </c>
      <c r="K16" s="702" t="str">
        <f>IF('Chemical Info'!R17="X",'Res-Rec Worksheet'!I16,"")</f>
        <v/>
      </c>
      <c r="L16" s="702" t="str">
        <f>IF('Chemical Info'!S17="X",'Res-Rec Worksheet'!I16,"")</f>
        <v/>
      </c>
      <c r="M16" s="702" t="str">
        <f>IF('Chemical Info'!T17="X",'Res-Rec Worksheet'!I16,"")</f>
        <v/>
      </c>
      <c r="N16" s="702" t="str">
        <f>IF('Chemical Info'!U17="X",'Res-Rec Worksheet'!I16,"")</f>
        <v/>
      </c>
      <c r="O16" s="702" t="str">
        <f>IF('Chemical Info'!V17="X",'Res-Rec Worksheet'!I16,"")</f>
        <v/>
      </c>
      <c r="P16" s="702">
        <f>IF('Chemical Info'!W17="X",'Res-Rec Worksheet'!I16,"")</f>
        <v>0</v>
      </c>
      <c r="Q16" s="702" t="str">
        <f>IF('Chemical Info'!X17="X",'Res-Rec Worksheet'!I16,"")</f>
        <v/>
      </c>
      <c r="R16" s="702" t="str">
        <f>IF('Chemical Info'!Y17="X",'Res-Rec Worksheet'!I16,"")</f>
        <v/>
      </c>
      <c r="S16" s="702" t="str">
        <f>IF('Chemical Info'!Z17="X",'Res-Rec Worksheet'!I16,"")</f>
        <v/>
      </c>
      <c r="T16" s="702" t="str">
        <f>IF('Chemical Info'!AA17="X",'Res-Rec Worksheet'!I16,"")</f>
        <v/>
      </c>
      <c r="U16" s="692" t="str">
        <f t="shared" si="0"/>
        <v/>
      </c>
    </row>
    <row r="17" spans="1:30">
      <c r="A17" s="186" t="s">
        <v>985</v>
      </c>
      <c r="B17" s="592" t="s">
        <v>98</v>
      </c>
      <c r="C17" s="592">
        <v>2022</v>
      </c>
      <c r="D17" s="521">
        <f>IF('Res-Rec Calculations'!V17="NA","NA",'Res-Rec Calculations'!W17)</f>
        <v>650</v>
      </c>
      <c r="E17" s="127"/>
      <c r="F17" s="126">
        <f>'Res-Rec Calculations'!Y17</f>
        <v>940</v>
      </c>
      <c r="G17" s="126" t="str">
        <f>'Res-Rec Calculations'!Z17</f>
        <v>Noncancer</v>
      </c>
      <c r="H17" s="184"/>
      <c r="I17" s="698">
        <f>IF(G17="BTV","NA",IF(G17="Max Limit","NA",IF(G17="Csat","NA",IF(ISNUMBER('Res-Rec Calculations'!U17),((H17/'Res-Rec Calculations'!U17)),"NA"))))</f>
        <v>0</v>
      </c>
      <c r="J17" s="704" t="str">
        <f>IF(G17="BTV","NA",IF(G17="Max Limit","NA",IF(G17="Csat","NA",IF(ISNUMBER('Res-Rec Calculations'!N17),((H17/'Res-Rec Calculations'!N17)*0.00001),"NA"))))</f>
        <v>NA</v>
      </c>
      <c r="K17" s="702" t="str">
        <f>IF('Chemical Info'!R18="X",'Res-Rec Worksheet'!I17,"")</f>
        <v/>
      </c>
      <c r="L17" s="702" t="str">
        <f>IF('Chemical Info'!S18="X",'Res-Rec Worksheet'!I17,"")</f>
        <v/>
      </c>
      <c r="M17" s="702" t="str">
        <f>IF('Chemical Info'!T18="X",'Res-Rec Worksheet'!I17,"")</f>
        <v/>
      </c>
      <c r="N17" s="702" t="str">
        <f>IF('Chemical Info'!U18="X",'Res-Rec Worksheet'!I17,"")</f>
        <v/>
      </c>
      <c r="O17" s="702">
        <f>IF('Chemical Info'!V18="X",'Res-Rec Worksheet'!I17,"")</f>
        <v>0</v>
      </c>
      <c r="P17" s="702" t="str">
        <f>IF('Chemical Info'!W18="X",'Res-Rec Worksheet'!I17,"")</f>
        <v/>
      </c>
      <c r="Q17" s="702" t="str">
        <f>IF('Chemical Info'!X18="X",'Res-Rec Worksheet'!I17,"")</f>
        <v/>
      </c>
      <c r="R17" s="702">
        <f>IF('Chemical Info'!Y18="X",'Res-Rec Worksheet'!I17,"")</f>
        <v>0</v>
      </c>
      <c r="S17" s="702" t="str">
        <f>IF('Chemical Info'!Z18="X",'Res-Rec Worksheet'!I17,"")</f>
        <v/>
      </c>
      <c r="T17" s="702" t="str">
        <f>IF('Chemical Info'!AA18="X",'Res-Rec Worksheet'!I17,"")</f>
        <v/>
      </c>
      <c r="U17" s="692" t="str">
        <f t="shared" si="0"/>
        <v/>
      </c>
    </row>
    <row r="18" spans="1:30" ht="12">
      <c r="A18" s="527" t="s">
        <v>898</v>
      </c>
      <c r="B18" s="599" t="s">
        <v>106</v>
      </c>
      <c r="C18" s="566">
        <v>2021</v>
      </c>
      <c r="D18" s="513" t="str">
        <f>IF('Res-Rec Calculations'!V18="NA","NA",'Res-Rec Calculations'!W18)</f>
        <v>NA</v>
      </c>
      <c r="E18" s="342"/>
      <c r="F18" s="524">
        <v>29000</v>
      </c>
      <c r="G18" s="524" t="s">
        <v>890</v>
      </c>
      <c r="H18" s="127"/>
      <c r="I18" s="698" t="str">
        <f>IF(G18="BTV","NA",IF(G18="Max Limit","NA",IF(G18="Csat","NA",IF(ISNUMBER('Res-Rec Calculations'!U18),((H18/'Res-Rec Calculations'!U18)),"NA"))))</f>
        <v>NA</v>
      </c>
      <c r="J18" s="704" t="str">
        <f>IF(G18="BTV","NA",IF(G18="Max Limit","NA",IF(G18="Csat","NA",IF(ISNUMBER('Res-Rec Calculations'!N18),((H18/'Res-Rec Calculations'!N18)*0.00001),"NA"))))</f>
        <v>NA</v>
      </c>
      <c r="K18" s="702" t="str">
        <f>IF('Chemical Info'!R19="X",'Res-Rec Worksheet'!I18,"")</f>
        <v/>
      </c>
      <c r="L18" s="702" t="str">
        <f>IF('Chemical Info'!S19="X",'Res-Rec Worksheet'!I18,"")</f>
        <v/>
      </c>
      <c r="M18" s="702" t="str">
        <f>IF('Chemical Info'!T19="X",'Res-Rec Worksheet'!I18,"")</f>
        <v/>
      </c>
      <c r="N18" s="702" t="str">
        <f>IF('Chemical Info'!U19="X",'Res-Rec Worksheet'!I18,"")</f>
        <v/>
      </c>
      <c r="O18" s="702" t="str">
        <f>IF('Chemical Info'!V19="X",'Res-Rec Worksheet'!I18,"")</f>
        <v>NA</v>
      </c>
      <c r="P18" s="702" t="str">
        <f>IF('Chemical Info'!W19="X",'Res-Rec Worksheet'!I18,"")</f>
        <v/>
      </c>
      <c r="Q18" s="702" t="str">
        <f>IF('Chemical Info'!X19="X",'Res-Rec Worksheet'!I18,"")</f>
        <v/>
      </c>
      <c r="R18" s="702" t="str">
        <f>IF('Chemical Info'!Y19="X",'Res-Rec Worksheet'!I18,"")</f>
        <v/>
      </c>
      <c r="S18" s="702" t="str">
        <f>IF('Chemical Info'!Z19="X",'Res-Rec Worksheet'!I18,"")</f>
        <v/>
      </c>
      <c r="T18" s="702" t="str">
        <f>IF('Chemical Info'!AA19="X",'Res-Rec Worksheet'!I18,"")</f>
        <v/>
      </c>
      <c r="U18" s="692" t="str">
        <f t="shared" si="0"/>
        <v/>
      </c>
    </row>
    <row r="19" spans="1:30" ht="10">
      <c r="A19" s="129" t="s">
        <v>107</v>
      </c>
      <c r="B19" s="566" t="s">
        <v>108</v>
      </c>
      <c r="C19" s="566">
        <v>2022</v>
      </c>
      <c r="D19" s="513" t="str">
        <f>IF('Res-Rec Calculations'!V19="NA","NA",'Res-Rec Calculations'!W19)</f>
        <v>NA</v>
      </c>
      <c r="E19" s="342"/>
      <c r="F19" s="132">
        <f>'Res-Rec Calculations'!Y19</f>
        <v>200</v>
      </c>
      <c r="G19" s="126" t="str">
        <f>'Res-Rec Calculations'!Z19</f>
        <v>Noncancer</v>
      </c>
      <c r="H19" s="127"/>
      <c r="I19" s="698" t="str">
        <f>IF(G19="BTV","NA",IF(G19="Max Limit","NA",IF(G19="Csat","NA",IF(ISNUMBER('Res-Rec Calculations'!U19),((H19/'Res-Rec Calculations'!U19)),"NA"))))</f>
        <v>NA</v>
      </c>
      <c r="J19" s="704" t="str">
        <f>IF(G19="BTV","NA",IF(G19="Max Limit","NA",IF(G19="Csat","NA",IF(ISNUMBER('Res-Rec Calculations'!N19),((H19/'Res-Rec Calculations'!N19)*0.00001),"NA"))))</f>
        <v>NA</v>
      </c>
      <c r="K19" s="702" t="str">
        <f>IF('Chemical Info'!R20="X",'Res-Rec Worksheet'!I19,"")</f>
        <v/>
      </c>
      <c r="L19" s="702" t="str">
        <f>IF('Chemical Info'!S20="X",'Res-Rec Worksheet'!I19,"")</f>
        <v/>
      </c>
      <c r="M19" s="702" t="str">
        <f>IF('Chemical Info'!T20="X",'Res-Rec Worksheet'!I19,"")</f>
        <v/>
      </c>
      <c r="N19" s="702" t="str">
        <f>IF('Chemical Info'!U20="X",'Res-Rec Worksheet'!I19,"")</f>
        <v/>
      </c>
      <c r="O19" s="702" t="str">
        <f>IF('Chemical Info'!V20="X",'Res-Rec Worksheet'!I19,"")</f>
        <v/>
      </c>
      <c r="P19" s="702" t="str">
        <f>IF('Chemical Info'!W20="X",'Res-Rec Worksheet'!I19,"")</f>
        <v/>
      </c>
      <c r="Q19" s="702" t="str">
        <f>IF('Chemical Info'!X20="X",'Res-Rec Worksheet'!I19,"")</f>
        <v/>
      </c>
      <c r="R19" s="702" t="str">
        <f>IF('Chemical Info'!Y20="X",'Res-Rec Worksheet'!I19,"")</f>
        <v/>
      </c>
      <c r="S19" s="702" t="str">
        <f>IF('Chemical Info'!Z20="X",'Res-Rec Worksheet'!I19,"")</f>
        <v/>
      </c>
      <c r="T19" s="702" t="str">
        <f>IF('Chemical Info'!AA20="X",'Res-Rec Worksheet'!I19,"")</f>
        <v/>
      </c>
      <c r="U19" s="693" t="s">
        <v>1268</v>
      </c>
      <c r="V19" s="690"/>
      <c r="W19" s="690"/>
      <c r="X19" s="690"/>
      <c r="Y19" s="690"/>
      <c r="Z19" s="690"/>
      <c r="AA19" s="690"/>
      <c r="AB19" s="690"/>
      <c r="AC19" s="690"/>
      <c r="AD19" s="690"/>
    </row>
    <row r="20" spans="1:30" ht="10">
      <c r="A20" s="129" t="s">
        <v>109</v>
      </c>
      <c r="B20" s="566" t="s">
        <v>110</v>
      </c>
      <c r="C20" s="566">
        <v>2016</v>
      </c>
      <c r="D20" s="513" t="str">
        <f>IF('Res-Rec Calculations'!V20="NA","NA",'Res-Rec Calculations'!W20)</f>
        <v>NA</v>
      </c>
      <c r="E20" s="342"/>
      <c r="F20" s="126">
        <f>'Res-Rec Calculations'!Y20</f>
        <v>31</v>
      </c>
      <c r="G20" s="126" t="str">
        <f>'Res-Rec Calculations'!Z20</f>
        <v>Noncancer</v>
      </c>
      <c r="H20" s="127"/>
      <c r="I20" s="698">
        <f>IF(G20="BTV","NA",IF(G20="Max Limit","NA",IF(G20="Csat","NA",IF(ISNUMBER('Res-Rec Calculations'!U20),((H20/'Res-Rec Calculations'!U20)),"NA"))))</f>
        <v>0</v>
      </c>
      <c r="J20" s="704" t="str">
        <f>IF(G20="BTV","NA",IF(G20="Max Limit","NA",IF(G20="Csat","NA",IF(ISNUMBER('Res-Rec Calculations'!N20),((H20/'Res-Rec Calculations'!N20)*0.00001),"NA"))))</f>
        <v>NA</v>
      </c>
      <c r="K20" s="702">
        <f>IF('Chemical Info'!R21="X",'Res-Rec Worksheet'!I20,"")</f>
        <v>0</v>
      </c>
      <c r="L20" s="702">
        <f>IF('Chemical Info'!S21="X",'Res-Rec Worksheet'!I20,"")</f>
        <v>0</v>
      </c>
      <c r="M20" s="702" t="str">
        <f>IF('Chemical Info'!T21="X",'Res-Rec Worksheet'!I20,"")</f>
        <v/>
      </c>
      <c r="N20" s="702">
        <f>IF('Chemical Info'!U21="X",'Res-Rec Worksheet'!I20,"")</f>
        <v>0</v>
      </c>
      <c r="O20" s="702" t="str">
        <f>IF('Chemical Info'!V21="X",'Res-Rec Worksheet'!I20,"")</f>
        <v/>
      </c>
      <c r="P20" s="702">
        <f>IF('Chemical Info'!W21="X",'Res-Rec Worksheet'!I20,"")</f>
        <v>0</v>
      </c>
      <c r="Q20" s="702" t="str">
        <f>IF('Chemical Info'!X21="X",'Res-Rec Worksheet'!I20,"")</f>
        <v/>
      </c>
      <c r="R20" s="702" t="str">
        <f>IF('Chemical Info'!Y21="X",'Res-Rec Worksheet'!I20,"")</f>
        <v/>
      </c>
      <c r="S20" s="702" t="str">
        <f>IF('Chemical Info'!Z21="X",'Res-Rec Worksheet'!I20,"")</f>
        <v/>
      </c>
      <c r="T20" s="702" t="str">
        <f>IF('Chemical Info'!AA21="X",'Res-Rec Worksheet'!I20,"")</f>
        <v/>
      </c>
      <c r="U20" s="692" t="str">
        <f t="shared" si="0"/>
        <v/>
      </c>
    </row>
    <row r="21" spans="1:30" ht="10">
      <c r="A21" s="129" t="s">
        <v>111</v>
      </c>
      <c r="B21" s="566" t="s">
        <v>112</v>
      </c>
      <c r="C21" s="566">
        <v>2022</v>
      </c>
      <c r="D21" s="513" t="str">
        <f>IF('Res-Rec Calculations'!V21="NA","NA",'Res-Rec Calculations'!W21)</f>
        <v>NA</v>
      </c>
      <c r="E21" s="342"/>
      <c r="F21" s="126">
        <f>'Res-Rec Calculations'!Y21</f>
        <v>730</v>
      </c>
      <c r="G21" s="126" t="str">
        <f>'Res-Rec Calculations'!Z21</f>
        <v>Noncancer</v>
      </c>
      <c r="H21" s="127"/>
      <c r="I21" s="698">
        <f>IF(G21="BTV","NA",IF(G21="Max Limit","NA",IF(G21="Csat","NA",IF(ISNUMBER('Res-Rec Calculations'!U21),((H21/'Res-Rec Calculations'!U21)),"NA"))))</f>
        <v>0</v>
      </c>
      <c r="J21" s="704" t="str">
        <f>IF(G21="BTV","NA",IF(G21="Max Limit","NA",IF(G21="Csat","NA",IF(ISNUMBER('Res-Rec Calculations'!N21),((H21/'Res-Rec Calculations'!N21)*0.00001),"NA"))))</f>
        <v>NA</v>
      </c>
      <c r="K21" s="702">
        <f>IF('Chemical Info'!R22="X",'Res-Rec Worksheet'!I21,"")</f>
        <v>0</v>
      </c>
      <c r="L21" s="702" t="str">
        <f>IF('Chemical Info'!S22="X",'Res-Rec Worksheet'!I21,"")</f>
        <v/>
      </c>
      <c r="M21" s="702" t="str">
        <f>IF('Chemical Info'!T22="X",'Res-Rec Worksheet'!I21,"")</f>
        <v/>
      </c>
      <c r="N21" s="702" t="str">
        <f>IF('Chemical Info'!U22="X",'Res-Rec Worksheet'!I21,"")</f>
        <v/>
      </c>
      <c r="O21" s="702" t="str">
        <f>IF('Chemical Info'!V22="X",'Res-Rec Worksheet'!I21,"")</f>
        <v/>
      </c>
      <c r="P21" s="702" t="str">
        <f>IF('Chemical Info'!W22="X",'Res-Rec Worksheet'!I21,"")</f>
        <v/>
      </c>
      <c r="Q21" s="702" t="str">
        <f>IF('Chemical Info'!X22="X",'Res-Rec Worksheet'!I21,"")</f>
        <v/>
      </c>
      <c r="R21" s="702" t="str">
        <f>IF('Chemical Info'!Y22="X",'Res-Rec Worksheet'!I21,"")</f>
        <v/>
      </c>
      <c r="S21" s="702" t="str">
        <f>IF('Chemical Info'!Z22="X",'Res-Rec Worksheet'!I21,"")</f>
        <v/>
      </c>
      <c r="T21" s="702" t="str">
        <f>IF('Chemical Info'!AA22="X",'Res-Rec Worksheet'!I21,"")</f>
        <v/>
      </c>
      <c r="U21" s="692" t="str">
        <f t="shared" si="0"/>
        <v/>
      </c>
    </row>
    <row r="22" spans="1:30" ht="10">
      <c r="A22" s="129" t="s">
        <v>74</v>
      </c>
      <c r="B22" s="590" t="s">
        <v>75</v>
      </c>
      <c r="C22" s="590">
        <v>2022</v>
      </c>
      <c r="D22" s="513" t="str">
        <f>IF('Res-Rec Calculations'!V22="NA","NA",'Res-Rec Calculations'!W22)</f>
        <v>NA</v>
      </c>
      <c r="E22" s="342"/>
      <c r="F22" s="126">
        <f>'Res-Rec Calculations'!Y22</f>
        <v>2.7</v>
      </c>
      <c r="G22" s="126" t="str">
        <f>'Res-Rec Calculations'!Z22</f>
        <v>Noncancer</v>
      </c>
      <c r="H22" s="127"/>
      <c r="I22" s="698">
        <f>IF(G22="BTV","NA",IF(G22="Max Limit","NA",IF(G22="Csat","NA",IF(ISNUMBER('Res-Rec Calculations'!U22),((H22/'Res-Rec Calculations'!U22)),"NA"))))</f>
        <v>0</v>
      </c>
      <c r="J22" s="704" t="str">
        <f>IF(G22="BTV","NA",IF(G22="Max Limit","NA",IF(G22="Csat","NA",IF(ISNUMBER('Res-Rec Calculations'!N22),((H22/'Res-Rec Calculations'!N22)*0.00001),"NA"))))</f>
        <v>NA</v>
      </c>
      <c r="K22" s="702">
        <f>IF('Chemical Info'!R23="X",'Res-Rec Worksheet'!I22,"")</f>
        <v>0</v>
      </c>
      <c r="L22" s="702" t="str">
        <f>IF('Chemical Info'!S23="X",'Res-Rec Worksheet'!I22,"")</f>
        <v/>
      </c>
      <c r="M22" s="702">
        <f>IF('Chemical Info'!T23="X",'Res-Rec Worksheet'!I22,"")</f>
        <v>0</v>
      </c>
      <c r="N22" s="702" t="str">
        <f>IF('Chemical Info'!U23="X",'Res-Rec Worksheet'!I22,"")</f>
        <v/>
      </c>
      <c r="O22" s="702" t="str">
        <f>IF('Chemical Info'!V23="X",'Res-Rec Worksheet'!I22,"")</f>
        <v/>
      </c>
      <c r="P22" s="702" t="str">
        <f>IF('Chemical Info'!W23="X",'Res-Rec Worksheet'!I22,"")</f>
        <v/>
      </c>
      <c r="Q22" s="702" t="str">
        <f>IF('Chemical Info'!X23="X",'Res-Rec Worksheet'!I22,"")</f>
        <v/>
      </c>
      <c r="R22" s="702" t="str">
        <f>IF('Chemical Info'!Y23="X",'Res-Rec Worksheet'!I22,"")</f>
        <v/>
      </c>
      <c r="S22" s="702" t="str">
        <f>IF('Chemical Info'!Z23="X",'Res-Rec Worksheet'!I22,"")</f>
        <v/>
      </c>
      <c r="T22" s="702" t="str">
        <f>IF('Chemical Info'!AA23="X",'Res-Rec Worksheet'!I22,"")</f>
        <v/>
      </c>
      <c r="U22" s="692" t="str">
        <f t="shared" si="0"/>
        <v/>
      </c>
    </row>
    <row r="23" spans="1:30" ht="10">
      <c r="A23" s="129" t="s">
        <v>159</v>
      </c>
      <c r="B23" s="590" t="s">
        <v>73</v>
      </c>
      <c r="C23" s="590">
        <v>2016</v>
      </c>
      <c r="D23" s="513" t="str">
        <f>IF('Res-Rec Calculations'!V23="NA","NA",'Res-Rec Calculations'!W23)</f>
        <v>NA</v>
      </c>
      <c r="E23" s="342"/>
      <c r="F23" s="126">
        <f>'Res-Rec Calculations'!Y23</f>
        <v>1.3</v>
      </c>
      <c r="G23" s="126" t="str">
        <f>'Res-Rec Calculations'!Z23</f>
        <v>Noncancer</v>
      </c>
      <c r="H23" s="127"/>
      <c r="I23" s="698">
        <f>IF(G23="BTV","NA",IF(G23="Max Limit","NA",IF(G23="Csat","NA",IF(ISNUMBER('Res-Rec Calculations'!U23),((H23/'Res-Rec Calculations'!U23)),"NA"))))</f>
        <v>0</v>
      </c>
      <c r="J23" s="704" t="str">
        <f>IF(G23="BTV","NA",IF(G23="Max Limit","NA",IF(G23="Csat","NA",IF(ISNUMBER('Res-Rec Calculations'!N23),((H23/'Res-Rec Calculations'!N23)*0.00001),"NA"))))</f>
        <v>NA</v>
      </c>
      <c r="K23" s="702">
        <f>IF('Chemical Info'!R24="X",'Res-Rec Worksheet'!I23,"")</f>
        <v>0</v>
      </c>
      <c r="L23" s="702" t="str">
        <f>IF('Chemical Info'!S24="X",'Res-Rec Worksheet'!I23,"")</f>
        <v/>
      </c>
      <c r="M23" s="702" t="str">
        <f>IF('Chemical Info'!T24="X",'Res-Rec Worksheet'!I23,"")</f>
        <v/>
      </c>
      <c r="N23" s="702" t="str">
        <f>IF('Chemical Info'!U24="X",'Res-Rec Worksheet'!I23,"")</f>
        <v/>
      </c>
      <c r="O23" s="702" t="str">
        <f>IF('Chemical Info'!V24="X",'Res-Rec Worksheet'!I23,"")</f>
        <v/>
      </c>
      <c r="P23" s="702">
        <f>IF('Chemical Info'!W24="X",'Res-Rec Worksheet'!I23,"")</f>
        <v>0</v>
      </c>
      <c r="Q23" s="702" t="str">
        <f>IF('Chemical Info'!X24="X",'Res-Rec Worksheet'!I23,"")</f>
        <v/>
      </c>
      <c r="R23" s="702" t="str">
        <f>IF('Chemical Info'!Y24="X",'Res-Rec Worksheet'!I23,"")</f>
        <v/>
      </c>
      <c r="S23" s="702" t="str">
        <f>IF('Chemical Info'!Z24="X",'Res-Rec Worksheet'!I23,"")</f>
        <v/>
      </c>
      <c r="T23" s="702" t="str">
        <f>IF('Chemical Info'!AA24="X",'Res-Rec Worksheet'!I23,"")</f>
        <v/>
      </c>
      <c r="U23" s="692" t="str">
        <f t="shared" si="0"/>
        <v/>
      </c>
    </row>
    <row r="24" spans="1:30" ht="10">
      <c r="A24" s="682" t="s">
        <v>1106</v>
      </c>
      <c r="B24" s="590" t="s">
        <v>1144</v>
      </c>
      <c r="C24" s="590">
        <v>2022</v>
      </c>
      <c r="D24" s="513" t="str">
        <f>IF('Res-Rec Calculations'!V24="NA","NA",'Res-Rec Calculations'!W24)</f>
        <v>NA</v>
      </c>
      <c r="E24" s="342"/>
      <c r="F24" s="126">
        <f>'Res-Rec Calculations'!Y24</f>
        <v>78</v>
      </c>
      <c r="G24" s="126" t="str">
        <f>'Res-Rec Calculations'!Z24</f>
        <v>Noncancer</v>
      </c>
      <c r="H24" s="127"/>
      <c r="I24" s="698">
        <f>IF(G24="BTV","NA",IF(G24="Max Limit","NA",IF(G24="Csat","NA",IF(ISNUMBER('Res-Rec Calculations'!U24),((H24/'Res-Rec Calculations'!U24)),"NA"))))</f>
        <v>0</v>
      </c>
      <c r="J24" s="704" t="str">
        <f>IF(G24="BTV","NA",IF(G24="Max Limit","NA",IF(G24="Csat","NA",IF(ISNUMBER('Res-Rec Calculations'!N24),((H24/'Res-Rec Calculations'!N24)*0.00001),"NA"))))</f>
        <v>NA</v>
      </c>
      <c r="K24" s="702" t="str">
        <f>IF('Chemical Info'!R25="X",'Res-Rec Worksheet'!I24,"")</f>
        <v/>
      </c>
      <c r="L24" s="702" t="str">
        <f>IF('Chemical Info'!S25="X",'Res-Rec Worksheet'!I24,"")</f>
        <v/>
      </c>
      <c r="M24" s="702" t="str">
        <f>IF('Chemical Info'!T25="X",'Res-Rec Worksheet'!I24,"")</f>
        <v/>
      </c>
      <c r="N24" s="702">
        <f>IF('Chemical Info'!U25="X",'Res-Rec Worksheet'!I24,"")</f>
        <v>0</v>
      </c>
      <c r="O24" s="702" t="str">
        <f>IF('Chemical Info'!V25="X",'Res-Rec Worksheet'!I24,"")</f>
        <v/>
      </c>
      <c r="P24" s="702" t="str">
        <f>IF('Chemical Info'!W25="X",'Res-Rec Worksheet'!I24,"")</f>
        <v/>
      </c>
      <c r="Q24" s="702">
        <f>IF('Chemical Info'!X25="X",'Res-Rec Worksheet'!I24,"")</f>
        <v>0</v>
      </c>
      <c r="R24" s="702" t="str">
        <f>IF('Chemical Info'!Y25="X",'Res-Rec Worksheet'!I24,"")</f>
        <v/>
      </c>
      <c r="S24" s="702" t="str">
        <f>IF('Chemical Info'!Z25="X",'Res-Rec Worksheet'!I24,"")</f>
        <v/>
      </c>
      <c r="T24" s="702" t="str">
        <f>IF('Chemical Info'!AA25="X",'Res-Rec Worksheet'!I24,"")</f>
        <v/>
      </c>
      <c r="U24" s="692" t="str">
        <f t="shared" si="0"/>
        <v/>
      </c>
    </row>
    <row r="25" spans="1:30" ht="12">
      <c r="A25" s="512" t="s">
        <v>986</v>
      </c>
      <c r="B25" s="566" t="s">
        <v>114</v>
      </c>
      <c r="C25" s="566">
        <v>2016</v>
      </c>
      <c r="D25" s="521">
        <f>IF('Res-Rec Calculations'!V25="NA","NA",'Res-Rec Calculations'!W25)</f>
        <v>260</v>
      </c>
      <c r="E25" s="127"/>
      <c r="F25" s="126">
        <f>'Res-Rec Calculations'!Y25</f>
        <v>170</v>
      </c>
      <c r="G25" s="171" t="str">
        <f>'Res-Rec Calculations'!Z25</f>
        <v>Noncancer</v>
      </c>
      <c r="H25" s="127"/>
      <c r="I25" s="698">
        <f>IF(G25="BTV","NA",IF(G25="Max Limit","NA",IF(G25="Csat","NA",IF(ISNUMBER('Res-Rec Calculations'!U25),((H25/'Res-Rec Calculations'!U25)),"NA"))))</f>
        <v>0</v>
      </c>
      <c r="J25" s="704">
        <f>IF(G25="BTV","NA",IF(G25="Max Limit","NA",IF(G25="Csat","NA",IF(ISNUMBER('Res-Rec Calculations'!N25),((H25/'Res-Rec Calculations'!N25)*0.00001),"NA"))))</f>
        <v>0</v>
      </c>
      <c r="K25" s="702" t="str">
        <f>IF('Chemical Info'!R26="X",'Res-Rec Worksheet'!I25,"")</f>
        <v/>
      </c>
      <c r="L25" s="702" t="str">
        <f>IF('Chemical Info'!S26="X",'Res-Rec Worksheet'!I25,"")</f>
        <v/>
      </c>
      <c r="M25" s="702">
        <f>IF('Chemical Info'!T26="X",'Res-Rec Worksheet'!I25,"")</f>
        <v>0</v>
      </c>
      <c r="N25" s="702" t="str">
        <f>IF('Chemical Info'!U26="X",'Res-Rec Worksheet'!I25,"")</f>
        <v/>
      </c>
      <c r="O25" s="702">
        <f>IF('Chemical Info'!V26="X",'Res-Rec Worksheet'!I25,"")</f>
        <v>0</v>
      </c>
      <c r="P25" s="702">
        <f>IF('Chemical Info'!W26="X",'Res-Rec Worksheet'!I25,"")</f>
        <v>0</v>
      </c>
      <c r="Q25" s="702">
        <f>IF('Chemical Info'!X26="X",'Res-Rec Worksheet'!I25,"")</f>
        <v>0</v>
      </c>
      <c r="R25" s="702" t="str">
        <f>IF('Chemical Info'!Y26="X",'Res-Rec Worksheet'!I25,"")</f>
        <v/>
      </c>
      <c r="S25" s="702" t="str">
        <f>IF('Chemical Info'!Z26="X",'Res-Rec Worksheet'!I25,"")</f>
        <v/>
      </c>
      <c r="T25" s="702" t="str">
        <f>IF('Chemical Info'!AA26="X",'Res-Rec Worksheet'!I25,"")</f>
        <v/>
      </c>
      <c r="U25" s="692" t="str">
        <f t="shared" si="0"/>
        <v/>
      </c>
    </row>
    <row r="26" spans="1:30" ht="10">
      <c r="A26" s="170" t="s">
        <v>184</v>
      </c>
      <c r="B26" s="566" t="s">
        <v>185</v>
      </c>
      <c r="C26" s="566">
        <v>2022</v>
      </c>
      <c r="D26" s="513" t="str">
        <f>IF('Res-Rec Calculations'!V26="NA","NA",'Res-Rec Calculations'!W26)</f>
        <v>NA</v>
      </c>
      <c r="E26" s="342"/>
      <c r="F26" s="126">
        <f>'Res-Rec Calculations'!Y26</f>
        <v>78</v>
      </c>
      <c r="G26" s="171" t="str">
        <f>'Res-Rec Calculations'!Z26</f>
        <v>Noncancer</v>
      </c>
      <c r="H26" s="127"/>
      <c r="I26" s="698">
        <f>IF(G26="BTV","NA",IF(G26="Max Limit","NA",IF(G26="Csat","NA",IF(ISNUMBER('Res-Rec Calculations'!U26),((H26/'Res-Rec Calculations'!U26)),"NA"))))</f>
        <v>0</v>
      </c>
      <c r="J26" s="704" t="str">
        <f>IF(G26="BTV","NA",IF(G26="Max Limit","NA",IF(G26="Csat","NA",IF(ISNUMBER('Res-Rec Calculations'!N26),((H26/'Res-Rec Calculations'!N26)*0.00001),"NA"))))</f>
        <v>NA</v>
      </c>
      <c r="K26" s="702">
        <f>IF('Chemical Info'!R27="X",'Res-Rec Worksheet'!I26,"")</f>
        <v>0</v>
      </c>
      <c r="L26" s="702">
        <f>IF('Chemical Info'!S27="X",'Res-Rec Worksheet'!I26,"")</f>
        <v>0</v>
      </c>
      <c r="M26" s="702" t="str">
        <f>IF('Chemical Info'!T27="X",'Res-Rec Worksheet'!I26,"")</f>
        <v/>
      </c>
      <c r="N26" s="702" t="str">
        <f>IF('Chemical Info'!U27="X",'Res-Rec Worksheet'!I26,"")</f>
        <v/>
      </c>
      <c r="O26" s="702">
        <f>IF('Chemical Info'!V27="X",'Res-Rec Worksheet'!I26,"")</f>
        <v>0</v>
      </c>
      <c r="P26" s="702" t="str">
        <f>IF('Chemical Info'!W27="X",'Res-Rec Worksheet'!I26,"")</f>
        <v/>
      </c>
      <c r="Q26" s="702" t="str">
        <f>IF('Chemical Info'!X27="X",'Res-Rec Worksheet'!I26,"")</f>
        <v/>
      </c>
      <c r="R26" s="702" t="str">
        <f>IF('Chemical Info'!Y27="X",'Res-Rec Worksheet'!I26,"")</f>
        <v/>
      </c>
      <c r="S26" s="702">
        <f>IF('Chemical Info'!Z27="X",'Res-Rec Worksheet'!I26,"")</f>
        <v>0</v>
      </c>
      <c r="T26" s="702" t="str">
        <f>IF('Chemical Info'!AA27="X",'Res-Rec Worksheet'!I26,"")</f>
        <v/>
      </c>
      <c r="U26" s="692" t="str">
        <f t="shared" si="0"/>
        <v/>
      </c>
    </row>
    <row r="27" spans="1:30" ht="10">
      <c r="A27" s="170" t="s">
        <v>186</v>
      </c>
      <c r="B27" s="566" t="s">
        <v>187</v>
      </c>
      <c r="C27" s="566">
        <v>2022</v>
      </c>
      <c r="D27" s="513" t="str">
        <f>IF('Res-Rec Calculations'!V27="NA","NA",'Res-Rec Calculations'!W27)</f>
        <v>NA</v>
      </c>
      <c r="E27" s="342"/>
      <c r="F27" s="126">
        <f>'Res-Rec Calculations'!Y27</f>
        <v>78</v>
      </c>
      <c r="G27" s="171" t="str">
        <f>'Res-Rec Calculations'!Z27</f>
        <v>Noncancer</v>
      </c>
      <c r="H27" s="127"/>
      <c r="I27" s="698">
        <f>IF(G27="BTV","NA",IF(G27="Max Limit","NA",IF(G27="Csat","NA",IF(ISNUMBER('Res-Rec Calculations'!U27),((H27/'Res-Rec Calculations'!U27)),"NA"))))</f>
        <v>0</v>
      </c>
      <c r="J27" s="704" t="str">
        <f>IF(G27="BTV","NA",IF(G27="Max Limit","NA",IF(G27="Csat","NA",IF(ISNUMBER('Res-Rec Calculations'!N27),((H27/'Res-Rec Calculations'!N27)*0.00001),"NA"))))</f>
        <v>NA</v>
      </c>
      <c r="K27" s="702" t="str">
        <f>IF('Chemical Info'!R28="X",'Res-Rec Worksheet'!I27,"")</f>
        <v/>
      </c>
      <c r="L27" s="702" t="str">
        <f>IF('Chemical Info'!S28="X",'Res-Rec Worksheet'!I27,"")</f>
        <v/>
      </c>
      <c r="M27" s="702" t="str">
        <f>IF('Chemical Info'!T28="X",'Res-Rec Worksheet'!I27,"")</f>
        <v/>
      </c>
      <c r="N27" s="702" t="str">
        <f>IF('Chemical Info'!U28="X",'Res-Rec Worksheet'!I27,"")</f>
        <v/>
      </c>
      <c r="O27" s="702" t="str">
        <f>IF('Chemical Info'!V28="X",'Res-Rec Worksheet'!I27,"")</f>
        <v/>
      </c>
      <c r="P27" s="702" t="str">
        <f>IF('Chemical Info'!W28="X",'Res-Rec Worksheet'!I27,"")</f>
        <v/>
      </c>
      <c r="Q27" s="702" t="str">
        <f>IF('Chemical Info'!X28="X",'Res-Rec Worksheet'!I27,"")</f>
        <v/>
      </c>
      <c r="R27" s="702" t="str">
        <f>IF('Chemical Info'!Y28="X",'Res-Rec Worksheet'!I27,"")</f>
        <v/>
      </c>
      <c r="S27" s="702">
        <f>IF('Chemical Info'!Z28="X",'Res-Rec Worksheet'!I27,"")</f>
        <v>0</v>
      </c>
      <c r="T27" s="702" t="str">
        <f>IF('Chemical Info'!AA28="X",'Res-Rec Worksheet'!I27,"")</f>
        <v/>
      </c>
      <c r="U27" s="692" t="str">
        <f t="shared" si="0"/>
        <v/>
      </c>
    </row>
    <row r="28" spans="1:30" ht="10">
      <c r="A28" s="170" t="s">
        <v>188</v>
      </c>
      <c r="B28" s="566" t="s">
        <v>189</v>
      </c>
      <c r="C28" s="566">
        <v>2022</v>
      </c>
      <c r="D28" s="513" t="str">
        <f>IF('Res-Rec Calculations'!V28="NA","NA",'Res-Rec Calculations'!W28)</f>
        <v>NA</v>
      </c>
      <c r="E28" s="342"/>
      <c r="F28" s="126">
        <f>'Res-Rec Calculations'!Y28</f>
        <v>6700</v>
      </c>
      <c r="G28" s="171" t="str">
        <f>'Res-Rec Calculations'!Z28</f>
        <v>Noncancer</v>
      </c>
      <c r="H28" s="127"/>
      <c r="I28" s="698">
        <f>IF(G28="BTV","NA",IF(G28="Max Limit","NA",IF(G28="Csat","NA",IF(ISNUMBER('Res-Rec Calculations'!U28),((H28/'Res-Rec Calculations'!U28)),"NA"))))</f>
        <v>0</v>
      </c>
      <c r="J28" s="704" t="str">
        <f>IF(G28="BTV","NA",IF(G28="Max Limit","NA",IF(G28="Csat","NA",IF(ISNUMBER('Res-Rec Calculations'!N28),((H28/'Res-Rec Calculations'!N28)*0.00001),"NA"))))</f>
        <v>NA</v>
      </c>
      <c r="K28" s="702" t="str">
        <f>IF('Chemical Info'!R29="X",'Res-Rec Worksheet'!I28,"")</f>
        <v/>
      </c>
      <c r="L28" s="702" t="str">
        <f>IF('Chemical Info'!S29="X",'Res-Rec Worksheet'!I28,"")</f>
        <v/>
      </c>
      <c r="M28" s="702" t="str">
        <f>IF('Chemical Info'!T29="X",'Res-Rec Worksheet'!I28,"")</f>
        <v/>
      </c>
      <c r="N28" s="702" t="str">
        <f>IF('Chemical Info'!U29="X",'Res-Rec Worksheet'!I28,"")</f>
        <v/>
      </c>
      <c r="O28" s="702" t="str">
        <f>IF('Chemical Info'!V29="X",'Res-Rec Worksheet'!I28,"")</f>
        <v/>
      </c>
      <c r="P28" s="702">
        <f>IF('Chemical Info'!W29="X",'Res-Rec Worksheet'!I28,"")</f>
        <v>0</v>
      </c>
      <c r="Q28" s="702" t="str">
        <f>IF('Chemical Info'!X29="X",'Res-Rec Worksheet'!I28,"")</f>
        <v/>
      </c>
      <c r="R28" s="702">
        <f>IF('Chemical Info'!Y29="X",'Res-Rec Worksheet'!I28,"")</f>
        <v>0</v>
      </c>
      <c r="S28" s="702" t="str">
        <f>IF('Chemical Info'!Z29="X",'Res-Rec Worksheet'!I28,"")</f>
        <v/>
      </c>
      <c r="T28" s="702" t="str">
        <f>IF('Chemical Info'!AA29="X",'Res-Rec Worksheet'!I28,"")</f>
        <v/>
      </c>
      <c r="U28" s="692" t="str">
        <f t="shared" si="0"/>
        <v/>
      </c>
    </row>
    <row r="29" spans="1:30" ht="12">
      <c r="A29" s="630" t="s">
        <v>1019</v>
      </c>
      <c r="B29" s="599" t="s">
        <v>114</v>
      </c>
      <c r="C29" s="566">
        <v>2021</v>
      </c>
      <c r="D29" s="513" t="str">
        <f>IF('Res-Rec Calculations'!V29="NA","NA",'Res-Rec Calculations'!W29)</f>
        <v>NA</v>
      </c>
      <c r="E29" s="342"/>
      <c r="F29" s="524">
        <v>0.28999999999999998</v>
      </c>
      <c r="G29" s="528" t="s">
        <v>890</v>
      </c>
      <c r="H29" s="127"/>
      <c r="I29" s="698" t="str">
        <f>IF(G29="BTV","NA",IF(G29="Max Limit","NA",IF(G29="Csat","NA",IF(ISNUMBER('Res-Rec Calculations'!U29),((H29/'Res-Rec Calculations'!U29)),"NA"))))</f>
        <v>NA</v>
      </c>
      <c r="J29" s="704" t="str">
        <f>IF(G29="BTV","NA",IF(G29="Max Limit","NA",IF(G29="Csat","NA",IF(ISNUMBER('Res-Rec Calculations'!N29),((H29/'Res-Rec Calculations'!N29)*0.00001),"NA"))))</f>
        <v>NA</v>
      </c>
      <c r="K29" s="702" t="str">
        <f>IF('Chemical Info'!R30="X",'Res-Rec Worksheet'!I29,"")</f>
        <v/>
      </c>
      <c r="L29" s="702" t="str">
        <f>IF('Chemical Info'!S30="X",'Res-Rec Worksheet'!I29,"")</f>
        <v/>
      </c>
      <c r="M29" s="702" t="str">
        <f>IF('Chemical Info'!T30="X",'Res-Rec Worksheet'!I29,"")</f>
        <v/>
      </c>
      <c r="N29" s="702" t="str">
        <f>IF('Chemical Info'!U30="X",'Res-Rec Worksheet'!I29,"")</f>
        <v/>
      </c>
      <c r="O29" s="702" t="str">
        <f>IF('Chemical Info'!V30="X",'Res-Rec Worksheet'!I29,"")</f>
        <v/>
      </c>
      <c r="P29" s="702" t="str">
        <f>IF('Chemical Info'!W30="X",'Res-Rec Worksheet'!I29,"")</f>
        <v/>
      </c>
      <c r="Q29" s="702" t="str">
        <f>IF('Chemical Info'!X30="X",'Res-Rec Worksheet'!I29,"")</f>
        <v/>
      </c>
      <c r="R29" s="702" t="str">
        <f>IF('Chemical Info'!Y30="X",'Res-Rec Worksheet'!I29,"")</f>
        <v/>
      </c>
      <c r="S29" s="702" t="str">
        <f>IF('Chemical Info'!Z30="X",'Res-Rec Worksheet'!I29,"")</f>
        <v>NA</v>
      </c>
      <c r="T29" s="702" t="str">
        <f>IF('Chemical Info'!AA30="X",'Res-Rec Worksheet'!I29,"")</f>
        <v/>
      </c>
      <c r="U29" s="692" t="str">
        <f t="shared" si="0"/>
        <v/>
      </c>
    </row>
    <row r="30" spans="1:30" ht="10">
      <c r="A30" s="170" t="s">
        <v>54</v>
      </c>
      <c r="B30" s="62" t="s">
        <v>114</v>
      </c>
      <c r="C30" s="62">
        <v>2022</v>
      </c>
      <c r="D30" s="513" t="str">
        <f>IF('Res-Rec Calculations'!V30="NA","NA",'Res-Rec Calculations'!W30)</f>
        <v>NA</v>
      </c>
      <c r="E30" s="342"/>
      <c r="F30" s="126">
        <f>'Res-Rec Calculations'!Y30</f>
        <v>4700</v>
      </c>
      <c r="G30" s="171" t="str">
        <f>'Res-Rec Calculations'!Z30</f>
        <v>Noncancer</v>
      </c>
      <c r="H30" s="127"/>
      <c r="I30" s="698">
        <f>IF(G30="BTV","NA",IF(G30="Max Limit","NA",IF(G30="Csat","NA",IF(ISNUMBER('Res-Rec Calculations'!U30),((H30/'Res-Rec Calculations'!U30)),"NA"))))</f>
        <v>0</v>
      </c>
      <c r="J30" s="704" t="str">
        <f>IF(G30="BTV","NA",IF(G30="Max Limit","NA",IF(G30="Csat","NA",IF(ISNUMBER('Res-Rec Calculations'!N30),((H30/'Res-Rec Calculations'!N30)*0.00001),"NA"))))</f>
        <v>NA</v>
      </c>
      <c r="K30" s="702" t="str">
        <f>IF('Chemical Info'!R31="X",'Res-Rec Worksheet'!I30,"")</f>
        <v/>
      </c>
      <c r="L30" s="702">
        <f>IF('Chemical Info'!S31="X",'Res-Rec Worksheet'!I30,"")</f>
        <v>0</v>
      </c>
      <c r="M30" s="702" t="str">
        <f>IF('Chemical Info'!T31="X",'Res-Rec Worksheet'!I30,"")</f>
        <v/>
      </c>
      <c r="N30" s="702" t="str">
        <f>IF('Chemical Info'!U31="X",'Res-Rec Worksheet'!I30,"")</f>
        <v/>
      </c>
      <c r="O30" s="702" t="str">
        <f>IF('Chemical Info'!V31="X",'Res-Rec Worksheet'!I30,"")</f>
        <v/>
      </c>
      <c r="P30" s="702" t="str">
        <f>IF('Chemical Info'!W31="X",'Res-Rec Worksheet'!I30,"")</f>
        <v/>
      </c>
      <c r="Q30" s="702" t="str">
        <f>IF('Chemical Info'!X31="X",'Res-Rec Worksheet'!I30,"")</f>
        <v/>
      </c>
      <c r="R30" s="702" t="str">
        <f>IF('Chemical Info'!Y31="X",'Res-Rec Worksheet'!I30,"")</f>
        <v/>
      </c>
      <c r="S30" s="702" t="str">
        <f>IF('Chemical Info'!Z31="X",'Res-Rec Worksheet'!I30,"")</f>
        <v/>
      </c>
      <c r="T30" s="702" t="str">
        <f>IF('Chemical Info'!AA31="X",'Res-Rec Worksheet'!I30,"")</f>
        <v/>
      </c>
      <c r="U30" s="692" t="str">
        <f t="shared" si="0"/>
        <v/>
      </c>
    </row>
    <row r="31" spans="1:30" ht="12">
      <c r="A31" s="122" t="s">
        <v>577</v>
      </c>
      <c r="B31" s="566" t="s">
        <v>55</v>
      </c>
      <c r="C31" s="566">
        <v>2016</v>
      </c>
      <c r="D31" s="513" t="str">
        <f>IF('Res-Rec Calculations'!V31="NA","NA",'Res-Rec Calculations'!W31)</f>
        <v>NA</v>
      </c>
      <c r="E31" s="342"/>
      <c r="F31" s="126">
        <f>'Res-Rec Calculations'!Y31</f>
        <v>40000</v>
      </c>
      <c r="G31" s="171" t="str">
        <f>'Res-Rec Calculations'!Z31</f>
        <v>Noncancer</v>
      </c>
      <c r="H31" s="127"/>
      <c r="I31" s="698">
        <f>IF(G31="BTV","NA",IF(G31="Max Limit","NA",IF(G31="Csat","NA",IF(ISNUMBER('Res-Rec Calculations'!U31),((H31/'Res-Rec Calculations'!U31)),"NA"))))</f>
        <v>0</v>
      </c>
      <c r="J31" s="704" t="str">
        <f>IF(G31="BTV","NA",IF(G31="Max Limit","NA",IF(G31="Csat","NA",IF(ISNUMBER('Res-Rec Calculations'!N31),((H31/'Res-Rec Calculations'!N31)*0.00001),"NA"))))</f>
        <v>NA</v>
      </c>
      <c r="K31" s="702" t="str">
        <f>IF('Chemical Info'!R32="X",'Res-Rec Worksheet'!I31,"")</f>
        <v/>
      </c>
      <c r="L31" s="702" t="str">
        <f>IF('Chemical Info'!S32="X",'Res-Rec Worksheet'!I31,"")</f>
        <v/>
      </c>
      <c r="M31" s="702" t="str">
        <f>IF('Chemical Info'!T32="X",'Res-Rec Worksheet'!I31,"")</f>
        <v/>
      </c>
      <c r="N31" s="702" t="str">
        <f>IF('Chemical Info'!U32="X",'Res-Rec Worksheet'!I31,"")</f>
        <v/>
      </c>
      <c r="O31" s="702" t="str">
        <f>IF('Chemical Info'!V32="X",'Res-Rec Worksheet'!I31,"")</f>
        <v/>
      </c>
      <c r="P31" s="702" t="str">
        <f>IF('Chemical Info'!W32="X",'Res-Rec Worksheet'!I31,"")</f>
        <v/>
      </c>
      <c r="Q31" s="702">
        <f>IF('Chemical Info'!X32="X",'Res-Rec Worksheet'!I31,"")</f>
        <v>0</v>
      </c>
      <c r="R31" s="702" t="str">
        <f>IF('Chemical Info'!Y32="X",'Res-Rec Worksheet'!I31,"")</f>
        <v/>
      </c>
      <c r="S31" s="702" t="str">
        <f>IF('Chemical Info'!Z32="X",'Res-Rec Worksheet'!I31,"")</f>
        <v/>
      </c>
      <c r="T31" s="702" t="str">
        <f>IF('Chemical Info'!AA32="X",'Res-Rec Worksheet'!I31,"")</f>
        <v/>
      </c>
      <c r="U31" s="692" t="str">
        <f t="shared" si="0"/>
        <v/>
      </c>
    </row>
    <row r="32" spans="1:30" ht="12">
      <c r="A32" s="529" t="s">
        <v>988</v>
      </c>
      <c r="B32" s="599" t="s">
        <v>243</v>
      </c>
      <c r="C32" s="566">
        <v>2021</v>
      </c>
      <c r="D32" s="513" t="str">
        <f>IF('Res-Rec Calculations'!V32="NA","NA",'Res-Rec Calculations'!W32)</f>
        <v>NA</v>
      </c>
      <c r="E32" s="342"/>
      <c r="F32" s="524">
        <v>62</v>
      </c>
      <c r="G32" s="528" t="s">
        <v>890</v>
      </c>
      <c r="H32" s="127"/>
      <c r="I32" s="698" t="str">
        <f>IF(G32="BTV","NA",IF(G32="Max Limit","NA",IF(G32="Csat","NA",IF(ISNUMBER('Res-Rec Calculations'!U32),((H32/'Res-Rec Calculations'!U32)),"NA"))))</f>
        <v>NA</v>
      </c>
      <c r="J32" s="704" t="str">
        <f>IF(G32="BTV","NA",IF(G32="Max Limit","NA",IF(G32="Csat","NA",IF(ISNUMBER('Res-Rec Calculations'!N32),((H32/'Res-Rec Calculations'!N32)*0.00001),"NA"))))</f>
        <v>NA</v>
      </c>
      <c r="K32" s="702" t="str">
        <f>IF('Chemical Info'!R33="X",'Res-Rec Worksheet'!I32,"")</f>
        <v/>
      </c>
      <c r="L32" s="702" t="str">
        <f>IF('Chemical Info'!S33="X",'Res-Rec Worksheet'!I32,"")</f>
        <v/>
      </c>
      <c r="M32" s="702" t="str">
        <f>IF('Chemical Info'!T33="X",'Res-Rec Worksheet'!I32,"")</f>
        <v/>
      </c>
      <c r="N32" s="702" t="str">
        <f>IF('Chemical Info'!U33="X",'Res-Rec Worksheet'!I32,"")</f>
        <v>NA</v>
      </c>
      <c r="O32" s="702" t="str">
        <f>IF('Chemical Info'!V33="X",'Res-Rec Worksheet'!I32,"")</f>
        <v/>
      </c>
      <c r="P32" s="702" t="str">
        <f>IF('Chemical Info'!W33="X",'Res-Rec Worksheet'!I32,"")</f>
        <v/>
      </c>
      <c r="Q32" s="702" t="str">
        <f>IF('Chemical Info'!X33="X",'Res-Rec Worksheet'!I32,"")</f>
        <v>NA</v>
      </c>
      <c r="R32" s="702" t="str">
        <f>IF('Chemical Info'!Y33="X",'Res-Rec Worksheet'!I32,"")</f>
        <v/>
      </c>
      <c r="S32" s="702" t="str">
        <f>IF('Chemical Info'!Z33="X",'Res-Rec Worksheet'!I32,"")</f>
        <v/>
      </c>
      <c r="T32" s="702" t="str">
        <f>IF('Chemical Info'!AA33="X",'Res-Rec Worksheet'!I32,"")</f>
        <v/>
      </c>
      <c r="U32" s="692" t="str">
        <f t="shared" si="0"/>
        <v/>
      </c>
    </row>
    <row r="33" spans="1:21" ht="12">
      <c r="A33" s="122" t="s">
        <v>579</v>
      </c>
      <c r="B33" s="566" t="s">
        <v>56</v>
      </c>
      <c r="C33" s="566">
        <v>2022</v>
      </c>
      <c r="D33" s="513" t="str">
        <f>IF('Res-Rec Calculations'!V33="NA","NA",'Res-Rec Calculations'!W33)</f>
        <v>NA</v>
      </c>
      <c r="E33" s="342"/>
      <c r="F33" s="126">
        <f>'Res-Rec Calculations'!Y33</f>
        <v>4700</v>
      </c>
      <c r="G33" s="171" t="str">
        <f>'Res-Rec Calculations'!Z33</f>
        <v>Noncancer</v>
      </c>
      <c r="H33" s="127"/>
      <c r="I33" s="698">
        <f>IF(G33="BTV","NA",IF(G33="Max Limit","NA",IF(G33="Csat","NA",IF(ISNUMBER('Res-Rec Calculations'!U33),((H33/'Res-Rec Calculations'!U33)),"NA"))))</f>
        <v>0</v>
      </c>
      <c r="J33" s="704" t="str">
        <f>IF(G33="BTV","NA",IF(G33="Max Limit","NA",IF(G33="Csat","NA",IF(ISNUMBER('Res-Rec Calculations'!N33),((H33/'Res-Rec Calculations'!N33)*0.00001),"NA"))))</f>
        <v>NA</v>
      </c>
      <c r="K33" s="702" t="str">
        <f>IF('Chemical Info'!R34="X",'Res-Rec Worksheet'!I33,"")</f>
        <v/>
      </c>
      <c r="L33" s="702">
        <f>IF('Chemical Info'!S34="X",'Res-Rec Worksheet'!I33,"")</f>
        <v>0</v>
      </c>
      <c r="M33" s="702" t="str">
        <f>IF('Chemical Info'!T34="X",'Res-Rec Worksheet'!I33,"")</f>
        <v/>
      </c>
      <c r="N33" s="702" t="str">
        <f>IF('Chemical Info'!U34="X",'Res-Rec Worksheet'!I33,"")</f>
        <v/>
      </c>
      <c r="O33" s="702" t="str">
        <f>IF('Chemical Info'!V34="X",'Res-Rec Worksheet'!I33,"")</f>
        <v/>
      </c>
      <c r="P33" s="702" t="str">
        <f>IF('Chemical Info'!W34="X",'Res-Rec Worksheet'!I33,"")</f>
        <v/>
      </c>
      <c r="Q33" s="702" t="str">
        <f>IF('Chemical Info'!X34="X",'Res-Rec Worksheet'!I33,"")</f>
        <v/>
      </c>
      <c r="R33" s="702" t="str">
        <f>IF('Chemical Info'!Y34="X",'Res-Rec Worksheet'!I33,"")</f>
        <v/>
      </c>
      <c r="S33" s="702" t="str">
        <f>IF('Chemical Info'!Z34="X",'Res-Rec Worksheet'!I33,"")</f>
        <v/>
      </c>
      <c r="T33" s="702" t="str">
        <f>IF('Chemical Info'!AA34="X",'Res-Rec Worksheet'!I33,"")</f>
        <v/>
      </c>
      <c r="U33" s="692" t="str">
        <f t="shared" si="0"/>
        <v/>
      </c>
    </row>
    <row r="34" spans="1:21" ht="10">
      <c r="A34" s="404" t="s">
        <v>364</v>
      </c>
      <c r="B34" s="593"/>
      <c r="C34" s="593"/>
      <c r="D34" s="675"/>
      <c r="E34" s="400"/>
      <c r="F34" s="384"/>
      <c r="G34" s="384"/>
      <c r="H34" s="400"/>
      <c r="I34" s="409"/>
      <c r="J34" s="705"/>
      <c r="K34" s="709" t="str">
        <f>IF('Chemical Info'!R35="X",'Res-Rec Worksheet'!I34,"")</f>
        <v/>
      </c>
      <c r="L34" s="710" t="str">
        <f>IF('Chemical Info'!S35="X",'Res-Rec Worksheet'!I34,"")</f>
        <v/>
      </c>
      <c r="M34" s="710" t="str">
        <f>IF('Chemical Info'!T35="X",'Res-Rec Worksheet'!I34,"")</f>
        <v/>
      </c>
      <c r="N34" s="710" t="str">
        <f>IF('Chemical Info'!U35="X",'Res-Rec Worksheet'!I34,"")</f>
        <v/>
      </c>
      <c r="O34" s="710" t="str">
        <f>IF('Chemical Info'!V35="X",'Res-Rec Worksheet'!I34,"")</f>
        <v/>
      </c>
      <c r="P34" s="710" t="str">
        <f>IF('Chemical Info'!W35="X",'Res-Rec Worksheet'!I34,"")</f>
        <v/>
      </c>
      <c r="Q34" s="710" t="str">
        <f>IF('Chemical Info'!X35="X",'Res-Rec Worksheet'!I34,"")</f>
        <v/>
      </c>
      <c r="R34" s="710" t="str">
        <f>IF('Chemical Info'!Y35="X",'Res-Rec Worksheet'!I34,"")</f>
        <v/>
      </c>
      <c r="S34" s="710" t="str">
        <f>IF('Chemical Info'!Z35="X",'Res-Rec Worksheet'!I34,"")</f>
        <v/>
      </c>
      <c r="T34" s="711" t="str">
        <f>IF('Chemical Info'!AA35="X",'Res-Rec Worksheet'!I34,"")</f>
        <v/>
      </c>
      <c r="U34" s="691"/>
    </row>
    <row r="35" spans="1:21" ht="10">
      <c r="A35" s="129" t="s">
        <v>195</v>
      </c>
      <c r="B35" s="566" t="s">
        <v>196</v>
      </c>
      <c r="C35" s="566">
        <v>2022</v>
      </c>
      <c r="D35" s="513" t="str">
        <f>IF('Res-Rec Calculations'!V35="NA","NA",'Res-Rec Calculations'!W35)</f>
        <v>NA</v>
      </c>
      <c r="E35" s="342"/>
      <c r="F35" s="126">
        <f>'Res-Rec Calculations'!Y35</f>
        <v>15000</v>
      </c>
      <c r="G35" s="126" t="str">
        <f>'Res-Rec Calculations'!Z35</f>
        <v>Noncancer</v>
      </c>
      <c r="H35" s="127"/>
      <c r="I35" s="698">
        <f>IF(G35="BTV","NA",IF(G35="Max Limit","NA",IF(G35="Csat","NA",IF(ISNUMBER('Res-Rec Calculations'!U35),((H35/'Res-Rec Calculations'!U35)),"NA"))))</f>
        <v>0</v>
      </c>
      <c r="J35" s="704" t="str">
        <f>IF(G35="BTV","NA",IF(G35="Max Limit","NA",IF(G35="Csat","NA",IF(ISNUMBER('Res-Rec Calculations'!N35),((H35/'Res-Rec Calculations'!N35)*0.00001),"NA"))))</f>
        <v>NA</v>
      </c>
      <c r="K35" s="702" t="str">
        <f>IF('Chemical Info'!R36="X",'Res-Rec Worksheet'!I35,"")</f>
        <v/>
      </c>
      <c r="L35" s="702">
        <f>IF('Chemical Info'!S36="X",'Res-Rec Worksheet'!I35,"")</f>
        <v>0</v>
      </c>
      <c r="M35" s="702" t="str">
        <f>IF('Chemical Info'!T36="X",'Res-Rec Worksheet'!I35,"")</f>
        <v/>
      </c>
      <c r="N35" s="702">
        <f>IF('Chemical Info'!U36="X",'Res-Rec Worksheet'!I35,"")</f>
        <v>0</v>
      </c>
      <c r="O35" s="702">
        <f>IF('Chemical Info'!V36="X",'Res-Rec Worksheet'!I35,"")</f>
        <v>0</v>
      </c>
      <c r="P35" s="702" t="str">
        <f>IF('Chemical Info'!W36="X",'Res-Rec Worksheet'!I35,"")</f>
        <v/>
      </c>
      <c r="Q35" s="702" t="str">
        <f>IF('Chemical Info'!X36="X",'Res-Rec Worksheet'!I35,"")</f>
        <v/>
      </c>
      <c r="R35" s="702" t="str">
        <f>IF('Chemical Info'!Y36="X",'Res-Rec Worksheet'!I35,"")</f>
        <v/>
      </c>
      <c r="S35" s="702" t="str">
        <f>IF('Chemical Info'!Z36="X",'Res-Rec Worksheet'!I35,"")</f>
        <v/>
      </c>
      <c r="T35" s="702" t="str">
        <f>IF('Chemical Info'!AA36="X",'Res-Rec Worksheet'!I35,"")</f>
        <v/>
      </c>
      <c r="U35" s="692" t="str">
        <f t="shared" si="0"/>
        <v/>
      </c>
    </row>
    <row r="36" spans="1:21" ht="10">
      <c r="A36" s="129" t="s">
        <v>1161</v>
      </c>
      <c r="B36" s="566" t="s">
        <v>1162</v>
      </c>
      <c r="C36" s="736">
        <v>2025</v>
      </c>
      <c r="D36" s="513" t="str">
        <f>IF('Res-Rec Calculations'!V36="NA","NA",'Res-Rec Calculations'!W36)</f>
        <v>NA</v>
      </c>
      <c r="E36" s="342"/>
      <c r="F36" s="126">
        <f>'Res-Rec Calculations'!Y36</f>
        <v>1.6</v>
      </c>
      <c r="G36" s="126" t="str">
        <f>'Res-Rec Calculations'!Z36</f>
        <v>Noncancer</v>
      </c>
      <c r="H36" s="127"/>
      <c r="I36" s="698">
        <f>IF(G36="BTV","NA",IF(G36="Max Limit","NA",IF(G36="Csat","NA",IF(ISNUMBER('Res-Rec Calculations'!U36),((H36/'Res-Rec Calculations'!U36)),"NA"))))</f>
        <v>0</v>
      </c>
      <c r="J36" s="704">
        <f>IF(G36="BTV","NA",IF(G36="Max Limit","NA",IF(G36="Csat","NA",IF(ISNUMBER('Res-Rec Calculations'!N36),((H36/'Res-Rec Calculations'!N36)*0.00001),"NA"))))</f>
        <v>0</v>
      </c>
      <c r="K36" s="702" t="str">
        <f>IF('Chemical Info'!R37="X",'Res-Rec Worksheet'!I36,"")</f>
        <v/>
      </c>
      <c r="L36" s="702" t="str">
        <f>IF('Chemical Info'!S37="X",'Res-Rec Worksheet'!I36,"")</f>
        <v/>
      </c>
      <c r="M36" s="702" t="str">
        <f>IF('Chemical Info'!T37="X",'Res-Rec Worksheet'!I36,"")</f>
        <v/>
      </c>
      <c r="N36" s="702" t="str">
        <f>IF('Chemical Info'!U37="X",'Res-Rec Worksheet'!I36,"")</f>
        <v/>
      </c>
      <c r="O36" s="702">
        <f>IF('Chemical Info'!V37="X",'Res-Rec Worksheet'!I36,"")</f>
        <v>0</v>
      </c>
      <c r="P36" s="702" t="str">
        <f>IF('Chemical Info'!W37="X",'Res-Rec Worksheet'!I36,"")</f>
        <v/>
      </c>
      <c r="Q36" s="702">
        <f>IF('Chemical Info'!X37="X",'Res-Rec Worksheet'!I36,"")</f>
        <v>0</v>
      </c>
      <c r="R36" s="702" t="str">
        <f>IF('Chemical Info'!Y37="X",'Res-Rec Worksheet'!I36,"")</f>
        <v/>
      </c>
      <c r="S36" s="702" t="str">
        <f>IF('Chemical Info'!Z37="X",'Res-Rec Worksheet'!I36,"")</f>
        <v/>
      </c>
      <c r="T36" s="702" t="str">
        <f>IF('Chemical Info'!AA37="X",'Res-Rec Worksheet'!I36,"")</f>
        <v/>
      </c>
      <c r="U36" s="692" t="str">
        <f t="shared" si="0"/>
        <v/>
      </c>
    </row>
    <row r="37" spans="1:21" ht="10">
      <c r="A37" s="129" t="s">
        <v>1119</v>
      </c>
      <c r="B37" s="566" t="s">
        <v>1120</v>
      </c>
      <c r="C37" s="566">
        <v>2022</v>
      </c>
      <c r="D37" s="513" t="str">
        <f>IF('Res-Rec Calculations'!V37="NA","NA",'Res-Rec Calculations'!W37)</f>
        <v>NA</v>
      </c>
      <c r="E37" s="342"/>
      <c r="F37" s="126">
        <f>'Res-Rec Calculations'!Y37</f>
        <v>4.7</v>
      </c>
      <c r="G37" s="126" t="str">
        <f>'Res-Rec Calculations'!Z37</f>
        <v>Noncancer</v>
      </c>
      <c r="H37" s="127"/>
      <c r="I37" s="698">
        <f>IF(G37="BTV","NA",IF(G37="Max Limit","NA",IF(G37="Csat","NA",IF(ISNUMBER('Res-Rec Calculations'!U37),((H37/'Res-Rec Calculations'!U37)),"NA"))))</f>
        <v>0</v>
      </c>
      <c r="J37" s="704">
        <f>IF(G37="BTV","NA",IF(G37="Max Limit","NA",IF(G37="Csat","NA",IF(ISNUMBER('Res-Rec Calculations'!N37),((H37/'Res-Rec Calculations'!N37)*0.00001),"NA"))))</f>
        <v>0</v>
      </c>
      <c r="K37" s="702">
        <f>IF('Chemical Info'!R38="X",'Res-Rec Worksheet'!I37,"")</f>
        <v>0</v>
      </c>
      <c r="L37" s="702" t="str">
        <f>IF('Chemical Info'!S38="X",'Res-Rec Worksheet'!I37,"")</f>
        <v/>
      </c>
      <c r="M37" s="702" t="str">
        <f>IF('Chemical Info'!T38="X",'Res-Rec Worksheet'!I37,"")</f>
        <v/>
      </c>
      <c r="N37" s="702" t="str">
        <f>IF('Chemical Info'!U38="X",'Res-Rec Worksheet'!I37,"")</f>
        <v/>
      </c>
      <c r="O37" s="702" t="str">
        <f>IF('Chemical Info'!V38="X",'Res-Rec Worksheet'!I37,"")</f>
        <v/>
      </c>
      <c r="P37" s="702" t="str">
        <f>IF('Chemical Info'!W38="X",'Res-Rec Worksheet'!I37,"")</f>
        <v/>
      </c>
      <c r="Q37" s="702" t="str">
        <f>IF('Chemical Info'!X38="X",'Res-Rec Worksheet'!I37,"")</f>
        <v/>
      </c>
      <c r="R37" s="702" t="str">
        <f>IF('Chemical Info'!Y38="X",'Res-Rec Worksheet'!I37,"")</f>
        <v/>
      </c>
      <c r="S37" s="702" t="str">
        <f>IF('Chemical Info'!Z38="X",'Res-Rec Worksheet'!I37,"")</f>
        <v/>
      </c>
      <c r="T37" s="702" t="str">
        <f>IF('Chemical Info'!AA38="X",'Res-Rec Worksheet'!I37,"")</f>
        <v/>
      </c>
      <c r="U37" s="692" t="str">
        <f t="shared" si="0"/>
        <v/>
      </c>
    </row>
    <row r="38" spans="1:21" ht="10">
      <c r="A38" s="129" t="s">
        <v>226</v>
      </c>
      <c r="B38" s="566" t="s">
        <v>227</v>
      </c>
      <c r="C38" s="566">
        <v>2022</v>
      </c>
      <c r="D38" s="513" t="str">
        <f>IF('Res-Rec Calculations'!V38="NA","NA",'Res-Rec Calculations'!W38)</f>
        <v>NA</v>
      </c>
      <c r="E38" s="342"/>
      <c r="F38" s="126">
        <f>'Res-Rec Calculations'!Y38</f>
        <v>9.5</v>
      </c>
      <c r="G38" s="126" t="str">
        <f>'Res-Rec Calculations'!Z38</f>
        <v>Noncancer</v>
      </c>
      <c r="H38" s="127"/>
      <c r="I38" s="698">
        <f>IF(G38="BTV","NA",IF(G38="Max Limit","NA",IF(G38="Csat","NA",IF(ISNUMBER('Res-Rec Calculations'!U38),((H38/'Res-Rec Calculations'!U38)),"NA"))))</f>
        <v>0</v>
      </c>
      <c r="J38" s="704">
        <f>IF(G38="BTV","NA",IF(G38="Max Limit","NA",IF(G38="Csat","NA",IF(ISNUMBER('Res-Rec Calculations'!N38),((H38/'Res-Rec Calculations'!N38)*0.00001),"NA"))))</f>
        <v>0</v>
      </c>
      <c r="K38" s="702" t="str">
        <f>IF('Chemical Info'!R39="X",'Res-Rec Worksheet'!I38,"")</f>
        <v/>
      </c>
      <c r="L38" s="702">
        <f>IF('Chemical Info'!S39="X",'Res-Rec Worksheet'!I38,"")</f>
        <v>0</v>
      </c>
      <c r="M38" s="702">
        <f>IF('Chemical Info'!T39="X",'Res-Rec Worksheet'!I38,"")</f>
        <v>0</v>
      </c>
      <c r="N38" s="702" t="str">
        <f>IF('Chemical Info'!U39="X",'Res-Rec Worksheet'!I38,"")</f>
        <v/>
      </c>
      <c r="O38" s="702" t="str">
        <f>IF('Chemical Info'!V39="X",'Res-Rec Worksheet'!I38,"")</f>
        <v/>
      </c>
      <c r="P38" s="702" t="str">
        <f>IF('Chemical Info'!W39="X",'Res-Rec Worksheet'!I38,"")</f>
        <v/>
      </c>
      <c r="Q38" s="702" t="str">
        <f>IF('Chemical Info'!X39="X",'Res-Rec Worksheet'!I38,"")</f>
        <v/>
      </c>
      <c r="R38" s="702" t="str">
        <f>IF('Chemical Info'!Y39="X",'Res-Rec Worksheet'!I38,"")</f>
        <v/>
      </c>
      <c r="S38" s="702" t="str">
        <f>IF('Chemical Info'!Z39="X",'Res-Rec Worksheet'!I38,"")</f>
        <v/>
      </c>
      <c r="T38" s="702" t="str">
        <f>IF('Chemical Info'!AA39="X",'Res-Rec Worksheet'!I38,"")</f>
        <v/>
      </c>
      <c r="U38" s="692" t="str">
        <f t="shared" si="0"/>
        <v/>
      </c>
    </row>
    <row r="39" spans="1:21" ht="10">
      <c r="A39" s="129" t="s">
        <v>1112</v>
      </c>
      <c r="B39" s="566" t="s">
        <v>1113</v>
      </c>
      <c r="C39" s="566">
        <v>2022</v>
      </c>
      <c r="D39" s="513" t="str">
        <f>IF('Res-Rec Calculations'!V39="NA","NA",'Res-Rec Calculations'!W39)</f>
        <v>NA</v>
      </c>
      <c r="E39" s="342"/>
      <c r="F39" s="126">
        <f>'Res-Rec Calculations'!Y39</f>
        <v>110</v>
      </c>
      <c r="G39" s="126" t="str">
        <f>'Res-Rec Calculations'!Z39</f>
        <v>Noncancer</v>
      </c>
      <c r="H39" s="127"/>
      <c r="I39" s="698">
        <f>IF(G39="BTV","NA",IF(G39="Max Limit","NA",IF(G39="Csat","NA",IF(ISNUMBER('Res-Rec Calculations'!U39),((H39/'Res-Rec Calculations'!U39)),"NA"))))</f>
        <v>0</v>
      </c>
      <c r="J39" s="704" t="str">
        <f>IF(G39="BTV","NA",IF(G39="Max Limit","NA",IF(G39="Csat","NA",IF(ISNUMBER('Res-Rec Calculations'!N39),((H39/'Res-Rec Calculations'!N39)*0.00001),"NA"))))</f>
        <v>NA</v>
      </c>
      <c r="K39" s="702" t="str">
        <f>IF('Chemical Info'!R40="X",'Res-Rec Worksheet'!I39,"")</f>
        <v/>
      </c>
      <c r="L39" s="702" t="str">
        <f>IF('Chemical Info'!S40="X",'Res-Rec Worksheet'!I39,"")</f>
        <v/>
      </c>
      <c r="M39" s="702" t="str">
        <f>IF('Chemical Info'!T40="X",'Res-Rec Worksheet'!I39,"")</f>
        <v/>
      </c>
      <c r="N39" s="702" t="str">
        <f>IF('Chemical Info'!U40="X",'Res-Rec Worksheet'!I39,"")</f>
        <v/>
      </c>
      <c r="O39" s="702">
        <f>IF('Chemical Info'!V40="X",'Res-Rec Worksheet'!I39,"")</f>
        <v>0</v>
      </c>
      <c r="P39" s="702" t="str">
        <f>IF('Chemical Info'!W40="X",'Res-Rec Worksheet'!I39,"")</f>
        <v/>
      </c>
      <c r="Q39" s="702" t="str">
        <f>IF('Chemical Info'!X40="X",'Res-Rec Worksheet'!I39,"")</f>
        <v/>
      </c>
      <c r="R39" s="702" t="str">
        <f>IF('Chemical Info'!Y40="X",'Res-Rec Worksheet'!I39,"")</f>
        <v/>
      </c>
      <c r="S39" s="702" t="str">
        <f>IF('Chemical Info'!Z40="X",'Res-Rec Worksheet'!I39,"")</f>
        <v/>
      </c>
      <c r="T39" s="702" t="str">
        <f>IF('Chemical Info'!AA40="X",'Res-Rec Worksheet'!I39,"")</f>
        <v/>
      </c>
      <c r="U39" s="692" t="str">
        <f t="shared" si="0"/>
        <v/>
      </c>
    </row>
    <row r="40" spans="1:21" ht="10">
      <c r="A40" s="129" t="s">
        <v>228</v>
      </c>
      <c r="B40" s="566" t="s">
        <v>229</v>
      </c>
      <c r="C40" s="566">
        <v>2021</v>
      </c>
      <c r="D40" s="513" t="str">
        <f>IF('Res-Rec Calculations'!V40="NA","NA",'Res-Rec Calculations'!W40)</f>
        <v>NA</v>
      </c>
      <c r="E40" s="342"/>
      <c r="F40" s="126">
        <f>'Res-Rec Calculations'!Y40</f>
        <v>160</v>
      </c>
      <c r="G40" s="126" t="str">
        <f>'Res-Rec Calculations'!Z40</f>
        <v>Noncancer</v>
      </c>
      <c r="H40" s="127"/>
      <c r="I40" s="698">
        <f>IF(G40="BTV","NA",IF(G40="Max Limit","NA",IF(G40="Csat","NA",IF(ISNUMBER('Res-Rec Calculations'!U40),((H40/'Res-Rec Calculations'!U40)),"NA"))))</f>
        <v>0</v>
      </c>
      <c r="J40" s="704">
        <f>IF(G40="BTV","NA",IF(G40="Max Limit","NA",IF(G40="Csat","NA",IF(ISNUMBER('Res-Rec Calculations'!N40),((H40/'Res-Rec Calculations'!N40)*0.00001),"NA"))))</f>
        <v>0</v>
      </c>
      <c r="K40" s="702" t="str">
        <f>IF('Chemical Info'!R41="X",'Res-Rec Worksheet'!I40,"")</f>
        <v/>
      </c>
      <c r="L40" s="702" t="str">
        <f>IF('Chemical Info'!S41="X",'Res-Rec Worksheet'!I40,"")</f>
        <v/>
      </c>
      <c r="M40" s="702" t="str">
        <f>IF('Chemical Info'!T41="X",'Res-Rec Worksheet'!I40,"")</f>
        <v/>
      </c>
      <c r="N40" s="702" t="str">
        <f>IF('Chemical Info'!U41="X",'Res-Rec Worksheet'!I40,"")</f>
        <v/>
      </c>
      <c r="O40" s="702">
        <f>IF('Chemical Info'!V41="X",'Res-Rec Worksheet'!I40,"")</f>
        <v>0</v>
      </c>
      <c r="P40" s="702" t="str">
        <f>IF('Chemical Info'!W41="X",'Res-Rec Worksheet'!I40,"")</f>
        <v/>
      </c>
      <c r="Q40" s="702" t="str">
        <f>IF('Chemical Info'!X41="X",'Res-Rec Worksheet'!I40,"")</f>
        <v/>
      </c>
      <c r="R40" s="702" t="str">
        <f>IF('Chemical Info'!Y41="X",'Res-Rec Worksheet'!I40,"")</f>
        <v/>
      </c>
      <c r="S40" s="702" t="str">
        <f>IF('Chemical Info'!Z41="X",'Res-Rec Worksheet'!I40,"")</f>
        <v/>
      </c>
      <c r="T40" s="702" t="str">
        <f>IF('Chemical Info'!AA41="X",'Res-Rec Worksheet'!I40,"")</f>
        <v/>
      </c>
      <c r="U40" s="692" t="str">
        <f t="shared" si="0"/>
        <v/>
      </c>
    </row>
    <row r="41" spans="1:21" ht="10">
      <c r="A41" s="129" t="s">
        <v>319</v>
      </c>
      <c r="B41" s="566" t="s">
        <v>202</v>
      </c>
      <c r="C41" s="566">
        <v>2022</v>
      </c>
      <c r="D41" s="513" t="str">
        <f>IF('Res-Rec Calculations'!V41="NA","NA",'Res-Rec Calculations'!W41)</f>
        <v>NA</v>
      </c>
      <c r="E41" s="342"/>
      <c r="F41" s="126">
        <f>'Res-Rec Calculations'!Y41</f>
        <v>12</v>
      </c>
      <c r="G41" s="126" t="str">
        <f>'Res-Rec Calculations'!Z41</f>
        <v>Noncancer</v>
      </c>
      <c r="H41" s="127"/>
      <c r="I41" s="698">
        <f>IF(G41="BTV","NA",IF(G41="Max Limit","NA",IF(G41="Csat","NA",IF(ISNUMBER('Res-Rec Calculations'!U41),((H41/'Res-Rec Calculations'!U41)),"NA"))))</f>
        <v>0</v>
      </c>
      <c r="J41" s="704" t="str">
        <f>IF(G41="BTV","NA",IF(G41="Max Limit","NA",IF(G41="Csat","NA",IF(ISNUMBER('Res-Rec Calculations'!N41),((H41/'Res-Rec Calculations'!N41)*0.00001),"NA"))))</f>
        <v>NA</v>
      </c>
      <c r="K41" s="702" t="str">
        <f>IF('Chemical Info'!R42="X",'Res-Rec Worksheet'!I41,"")</f>
        <v/>
      </c>
      <c r="L41" s="702" t="str">
        <f>IF('Chemical Info'!S42="X",'Res-Rec Worksheet'!I41,"")</f>
        <v/>
      </c>
      <c r="M41" s="702" t="str">
        <f>IF('Chemical Info'!T42="X",'Res-Rec Worksheet'!I41,"")</f>
        <v/>
      </c>
      <c r="N41" s="702" t="str">
        <f>IF('Chemical Info'!U42="X",'Res-Rec Worksheet'!I41,"")</f>
        <v/>
      </c>
      <c r="O41" s="702">
        <f>IF('Chemical Info'!V42="X",'Res-Rec Worksheet'!I41,"")</f>
        <v>0</v>
      </c>
      <c r="P41" s="702" t="str">
        <f>IF('Chemical Info'!W42="X",'Res-Rec Worksheet'!I41,"")</f>
        <v/>
      </c>
      <c r="Q41" s="702">
        <f>IF('Chemical Info'!X42="X",'Res-Rec Worksheet'!I41,"")</f>
        <v>0</v>
      </c>
      <c r="R41" s="702" t="str">
        <f>IF('Chemical Info'!Y42="X",'Res-Rec Worksheet'!I41,"")</f>
        <v/>
      </c>
      <c r="S41" s="702" t="str">
        <f>IF('Chemical Info'!Z42="X",'Res-Rec Worksheet'!I41,"")</f>
        <v/>
      </c>
      <c r="T41" s="702" t="str">
        <f>IF('Chemical Info'!AA42="X",'Res-Rec Worksheet'!I41,"")</f>
        <v/>
      </c>
      <c r="U41" s="692" t="str">
        <f t="shared" si="0"/>
        <v/>
      </c>
    </row>
    <row r="42" spans="1:21" ht="10">
      <c r="A42" s="129" t="s">
        <v>1152</v>
      </c>
      <c r="B42" s="566" t="s">
        <v>1153</v>
      </c>
      <c r="C42" s="566">
        <v>2022</v>
      </c>
      <c r="D42" s="513" t="str">
        <f>IF('Res-Rec Calculations'!V42="NA","NA",'Res-Rec Calculations'!W42)</f>
        <v>NA</v>
      </c>
      <c r="E42" s="342"/>
      <c r="F42" s="126">
        <f>'Res-Rec Calculations'!Y42</f>
        <v>2200</v>
      </c>
      <c r="G42" s="126" t="str">
        <f>'Res-Rec Calculations'!Z42</f>
        <v>Noncancer</v>
      </c>
      <c r="H42" s="127"/>
      <c r="I42" s="698">
        <f>IF(G42="BTV","NA",IF(G42="Max Limit","NA",IF(G42="Csat","NA",IF(ISNUMBER('Res-Rec Calculations'!U42),((H42/'Res-Rec Calculations'!U42)),"NA"))))</f>
        <v>0</v>
      </c>
      <c r="J42" s="704" t="str">
        <f>IF(G42="BTV","NA",IF(G42="Max Limit","NA",IF(G42="Csat","NA",IF(ISNUMBER('Res-Rec Calculations'!N42),((H42/'Res-Rec Calculations'!N42)*0.00001),"NA"))))</f>
        <v>NA</v>
      </c>
      <c r="K42" s="702">
        <f>IF('Chemical Info'!R43="X",'Res-Rec Worksheet'!I42,"")</f>
        <v>0</v>
      </c>
      <c r="L42" s="702" t="str">
        <f>IF('Chemical Info'!S43="X",'Res-Rec Worksheet'!I42,"")</f>
        <v/>
      </c>
      <c r="M42" s="702" t="str">
        <f>IF('Chemical Info'!T43="X",'Res-Rec Worksheet'!I42,"")</f>
        <v/>
      </c>
      <c r="N42" s="702" t="str">
        <f>IF('Chemical Info'!U43="X",'Res-Rec Worksheet'!I42,"")</f>
        <v/>
      </c>
      <c r="O42" s="702" t="str">
        <f>IF('Chemical Info'!V43="X",'Res-Rec Worksheet'!I42,"")</f>
        <v/>
      </c>
      <c r="P42" s="702" t="str">
        <f>IF('Chemical Info'!W43="X",'Res-Rec Worksheet'!I42,"")</f>
        <v/>
      </c>
      <c r="Q42" s="702" t="str">
        <f>IF('Chemical Info'!X43="X",'Res-Rec Worksheet'!I42,"")</f>
        <v/>
      </c>
      <c r="R42" s="702" t="str">
        <f>IF('Chemical Info'!Y43="X",'Res-Rec Worksheet'!I42,"")</f>
        <v/>
      </c>
      <c r="S42" s="702" t="str">
        <f>IF('Chemical Info'!Z43="X",'Res-Rec Worksheet'!I42,"")</f>
        <v/>
      </c>
      <c r="T42" s="702" t="str">
        <f>IF('Chemical Info'!AA43="X",'Res-Rec Worksheet'!I42,"")</f>
        <v/>
      </c>
      <c r="U42" s="692" t="str">
        <f t="shared" si="0"/>
        <v/>
      </c>
    </row>
    <row r="43" spans="1:21" ht="10">
      <c r="A43" s="129" t="s">
        <v>1230</v>
      </c>
      <c r="B43" s="566" t="s">
        <v>1231</v>
      </c>
      <c r="C43" s="566">
        <v>2022</v>
      </c>
      <c r="D43" s="513" t="str">
        <f>IF('Res-Rec Calculations'!V43="NA","NA",'Res-Rec Calculations'!W43)</f>
        <v>NA</v>
      </c>
      <c r="E43" s="342"/>
      <c r="F43" s="126">
        <f>'Res-Rec Calculations'!Y43</f>
        <v>7700</v>
      </c>
      <c r="G43" s="126" t="str">
        <f>'Res-Rec Calculations'!Z43</f>
        <v>Noncancer</v>
      </c>
      <c r="H43" s="127"/>
      <c r="I43" s="698">
        <f>IF(G43="BTV","NA",IF(G43="Max Limit","NA",IF(G43="Csat","NA",IF(ISNUMBER('Res-Rec Calculations'!U43),((H43/'Res-Rec Calculations'!U43)),"NA"))))</f>
        <v>0</v>
      </c>
      <c r="J43" s="704">
        <f>IF(G43="BTV","NA",IF(G43="Max Limit","NA",IF(G43="Csat","NA",IF(ISNUMBER('Res-Rec Calculations'!N43),((H43/'Res-Rec Calculations'!N43)*0.00001),"NA"))))</f>
        <v>0</v>
      </c>
      <c r="K43" s="702" t="str">
        <f>IF('Chemical Info'!R44="X",'Res-Rec Worksheet'!I43,"")</f>
        <v/>
      </c>
      <c r="L43" s="702" t="str">
        <f>IF('Chemical Info'!S44="X",'Res-Rec Worksheet'!I43,"")</f>
        <v/>
      </c>
      <c r="M43" s="702" t="str">
        <f>IF('Chemical Info'!T44="X",'Res-Rec Worksheet'!I43,"")</f>
        <v/>
      </c>
      <c r="N43" s="702">
        <f>IF('Chemical Info'!U44="X",'Res-Rec Worksheet'!I43,"")</f>
        <v>0</v>
      </c>
      <c r="O43" s="702" t="str">
        <f>IF('Chemical Info'!V44="X",'Res-Rec Worksheet'!I43,"")</f>
        <v/>
      </c>
      <c r="P43" s="702" t="str">
        <f>IF('Chemical Info'!W44="X",'Res-Rec Worksheet'!I43,"")</f>
        <v/>
      </c>
      <c r="Q43" s="702" t="str">
        <f>IF('Chemical Info'!X44="X",'Res-Rec Worksheet'!I43,"")</f>
        <v/>
      </c>
      <c r="R43" s="702" t="str">
        <f>IF('Chemical Info'!Y44="X",'Res-Rec Worksheet'!I43,"")</f>
        <v/>
      </c>
      <c r="S43" s="702" t="str">
        <f>IF('Chemical Info'!Z44="X",'Res-Rec Worksheet'!I43,"")</f>
        <v/>
      </c>
      <c r="T43" s="702" t="str">
        <f>IF('Chemical Info'!AA44="X",'Res-Rec Worksheet'!I43,"")</f>
        <v/>
      </c>
      <c r="U43" s="692" t="str">
        <f t="shared" si="0"/>
        <v/>
      </c>
    </row>
    <row r="44" spans="1:21" ht="10">
      <c r="A44" s="129" t="s">
        <v>17</v>
      </c>
      <c r="B44" s="566" t="s">
        <v>18</v>
      </c>
      <c r="C44" s="566">
        <v>2016</v>
      </c>
      <c r="D44" s="513" t="str">
        <f>IF('Res-Rec Calculations'!V44="NA","NA",'Res-Rec Calculations'!W44)</f>
        <v>NA</v>
      </c>
      <c r="E44" s="342"/>
      <c r="F44" s="126">
        <f>'Res-Rec Calculations'!Y44</f>
        <v>110</v>
      </c>
      <c r="G44" s="126" t="str">
        <f>'Res-Rec Calculations'!Z44</f>
        <v>Csat</v>
      </c>
      <c r="H44" s="127"/>
      <c r="I44" s="698" t="str">
        <f>IF(G44="BTV","NA",IF(G44="Max Limit","NA",IF(G44="Csat","NA",IF(ISNUMBER('Res-Rec Calculations'!U44),((H44/'Res-Rec Calculations'!U44)),"NA"))))</f>
        <v>NA</v>
      </c>
      <c r="J44" s="704" t="str">
        <f>IF(G44="BTV","NA",IF(G44="Max Limit","NA",IF(G44="Csat","NA",IF(ISNUMBER('Res-Rec Calculations'!N44),((H44/'Res-Rec Calculations'!N44)*0.00001),"NA"))))</f>
        <v>NA</v>
      </c>
      <c r="K44" s="702" t="str">
        <f>IF('Chemical Info'!R45="X",'Res-Rec Worksheet'!I44,"")</f>
        <v/>
      </c>
      <c r="L44" s="702" t="str">
        <f>IF('Chemical Info'!S45="X",'Res-Rec Worksheet'!I44,"")</f>
        <v/>
      </c>
      <c r="M44" s="702" t="str">
        <f>IF('Chemical Info'!T45="X",'Res-Rec Worksheet'!I44,"")</f>
        <v/>
      </c>
      <c r="N44" s="702" t="str">
        <f>IF('Chemical Info'!U45="X",'Res-Rec Worksheet'!I44,"")</f>
        <v/>
      </c>
      <c r="O44" s="702" t="str">
        <f>IF('Chemical Info'!V45="X",'Res-Rec Worksheet'!I44,"")</f>
        <v>NA</v>
      </c>
      <c r="P44" s="702" t="str">
        <f>IF('Chemical Info'!W45="X",'Res-Rec Worksheet'!I44,"")</f>
        <v/>
      </c>
      <c r="Q44" s="702" t="str">
        <f>IF('Chemical Info'!X45="X",'Res-Rec Worksheet'!I44,"")</f>
        <v/>
      </c>
      <c r="R44" s="702" t="str">
        <f>IF('Chemical Info'!Y45="X",'Res-Rec Worksheet'!I44,"")</f>
        <v/>
      </c>
      <c r="S44" s="702" t="str">
        <f>IF('Chemical Info'!Z45="X",'Res-Rec Worksheet'!I44,"")</f>
        <v/>
      </c>
      <c r="T44" s="702" t="str">
        <f>IF('Chemical Info'!AA45="X",'Res-Rec Worksheet'!I44,"")</f>
        <v/>
      </c>
      <c r="U44" s="692" t="str">
        <f t="shared" si="0"/>
        <v>Based on Csat. A concentration &gt; Csat indicates potential for free product in soil.</v>
      </c>
    </row>
    <row r="45" spans="1:21" ht="10">
      <c r="A45" s="129" t="s">
        <v>144</v>
      </c>
      <c r="B45" s="566" t="s">
        <v>145</v>
      </c>
      <c r="C45" s="566">
        <v>2016</v>
      </c>
      <c r="D45" s="513" t="str">
        <f>IF('Res-Rec Calculations'!V45="NA","NA",'Res-Rec Calculations'!W45)</f>
        <v>NA</v>
      </c>
      <c r="E45" s="342"/>
      <c r="F45" s="126">
        <f>'Res-Rec Calculations'!Y45</f>
        <v>140</v>
      </c>
      <c r="G45" s="126" t="str">
        <f>'Res-Rec Calculations'!Z45</f>
        <v>Csat</v>
      </c>
      <c r="H45" s="127"/>
      <c r="I45" s="698" t="str">
        <f>IF(G45="BTV","NA",IF(G45="Max Limit","NA",IF(G45="Csat","NA",IF(ISNUMBER('Res-Rec Calculations'!U45),((H45/'Res-Rec Calculations'!U45)),"NA"))))</f>
        <v>NA</v>
      </c>
      <c r="J45" s="704" t="str">
        <f>IF(G45="BTV","NA",IF(G45="Max Limit","NA",IF(G45="Csat","NA",IF(ISNUMBER('Res-Rec Calculations'!N45),((H45/'Res-Rec Calculations'!N45)*0.00001),"NA"))))</f>
        <v>NA</v>
      </c>
      <c r="K45" s="702" t="str">
        <f>IF('Chemical Info'!R46="X",'Res-Rec Worksheet'!I45,"")</f>
        <v/>
      </c>
      <c r="L45" s="702" t="str">
        <f>IF('Chemical Info'!S46="X",'Res-Rec Worksheet'!I45,"")</f>
        <v/>
      </c>
      <c r="M45" s="702" t="str">
        <f>IF('Chemical Info'!T46="X",'Res-Rec Worksheet'!I45,"")</f>
        <v/>
      </c>
      <c r="N45" s="702" t="str">
        <f>IF('Chemical Info'!U46="X",'Res-Rec Worksheet'!I45,"")</f>
        <v>NA</v>
      </c>
      <c r="O45" s="702" t="str">
        <f>IF('Chemical Info'!V46="X",'Res-Rec Worksheet'!I45,"")</f>
        <v/>
      </c>
      <c r="P45" s="702" t="str">
        <f>IF('Chemical Info'!W46="X",'Res-Rec Worksheet'!I45,"")</f>
        <v/>
      </c>
      <c r="Q45" s="702" t="str">
        <f>IF('Chemical Info'!X46="X",'Res-Rec Worksheet'!I45,"")</f>
        <v/>
      </c>
      <c r="R45" s="702" t="str">
        <f>IF('Chemical Info'!Y46="X",'Res-Rec Worksheet'!I45,"")</f>
        <v/>
      </c>
      <c r="S45" s="702" t="str">
        <f>IF('Chemical Info'!Z46="X",'Res-Rec Worksheet'!I45,"")</f>
        <v/>
      </c>
      <c r="T45" s="702" t="str">
        <f>IF('Chemical Info'!AA46="X",'Res-Rec Worksheet'!I45,"")</f>
        <v/>
      </c>
      <c r="U45" s="692" t="str">
        <f t="shared" si="0"/>
        <v>Based on Csat. A concentration &gt; Csat indicates potential for free product in soil.</v>
      </c>
    </row>
    <row r="46" spans="1:21" ht="10">
      <c r="A46" s="129" t="s">
        <v>146</v>
      </c>
      <c r="B46" s="566" t="s">
        <v>147</v>
      </c>
      <c r="C46" s="566">
        <v>2016</v>
      </c>
      <c r="D46" s="513" t="str">
        <f>IF('Res-Rec Calculations'!V46="NA","NA",'Res-Rec Calculations'!W46)</f>
        <v>NA</v>
      </c>
      <c r="E46" s="342"/>
      <c r="F46" s="126">
        <f>'Res-Rec Calculations'!Y46</f>
        <v>180</v>
      </c>
      <c r="G46" s="126" t="str">
        <f>'Res-Rec Calculations'!Z46</f>
        <v>Csat</v>
      </c>
      <c r="H46" s="127"/>
      <c r="I46" s="698" t="str">
        <f>IF(G46="BTV","NA",IF(G46="Max Limit","NA",IF(G46="Csat","NA",IF(ISNUMBER('Res-Rec Calculations'!U46),((H46/'Res-Rec Calculations'!U46)),"NA"))))</f>
        <v>NA</v>
      </c>
      <c r="J46" s="704" t="str">
        <f>IF(G46="BTV","NA",IF(G46="Max Limit","NA",IF(G46="Csat","NA",IF(ISNUMBER('Res-Rec Calculations'!N46),((H46/'Res-Rec Calculations'!N46)*0.00001),"NA"))))</f>
        <v>NA</v>
      </c>
      <c r="K46" s="702" t="str">
        <f>IF('Chemical Info'!R47="X",'Res-Rec Worksheet'!I46,"")</f>
        <v/>
      </c>
      <c r="L46" s="702" t="str">
        <f>IF('Chemical Info'!S47="X",'Res-Rec Worksheet'!I46,"")</f>
        <v/>
      </c>
      <c r="M46" s="702" t="str">
        <f>IF('Chemical Info'!T47="X",'Res-Rec Worksheet'!I46,"")</f>
        <v/>
      </c>
      <c r="N46" s="702" t="str">
        <f>IF('Chemical Info'!U47="X",'Res-Rec Worksheet'!I46,"")</f>
        <v>NA</v>
      </c>
      <c r="O46" s="702" t="str">
        <f>IF('Chemical Info'!V47="X",'Res-Rec Worksheet'!I46,"")</f>
        <v/>
      </c>
      <c r="P46" s="702" t="str">
        <f>IF('Chemical Info'!W47="X",'Res-Rec Worksheet'!I46,"")</f>
        <v/>
      </c>
      <c r="Q46" s="702" t="str">
        <f>IF('Chemical Info'!X47="X",'Res-Rec Worksheet'!I46,"")</f>
        <v/>
      </c>
      <c r="R46" s="702" t="str">
        <f>IF('Chemical Info'!Y47="X",'Res-Rec Worksheet'!I46,"")</f>
        <v/>
      </c>
      <c r="S46" s="702" t="str">
        <f>IF('Chemical Info'!Z47="X",'Res-Rec Worksheet'!I46,"")</f>
        <v/>
      </c>
      <c r="T46" s="702" t="str">
        <f>IF('Chemical Info'!AA47="X",'Res-Rec Worksheet'!I46,"")</f>
        <v/>
      </c>
      <c r="U46" s="692" t="str">
        <f t="shared" si="0"/>
        <v>Based on Csat. A concentration &gt; Csat indicates potential for free product in soil.</v>
      </c>
    </row>
    <row r="47" spans="1:21" ht="10">
      <c r="A47" s="129" t="s">
        <v>148</v>
      </c>
      <c r="B47" s="566" t="s">
        <v>149</v>
      </c>
      <c r="C47" s="566">
        <v>2016</v>
      </c>
      <c r="D47" s="513" t="str">
        <f>IF('Res-Rec Calculations'!V47="NA","NA",'Res-Rec Calculations'!W47)</f>
        <v>NA</v>
      </c>
      <c r="E47" s="342"/>
      <c r="F47" s="126">
        <f>'Res-Rec Calculations'!Y47</f>
        <v>740</v>
      </c>
      <c r="G47" s="126" t="str">
        <f>'Res-Rec Calculations'!Z47</f>
        <v>Csat</v>
      </c>
      <c r="H47" s="127"/>
      <c r="I47" s="698" t="str">
        <f>IF(G47="BTV","NA",IF(G47="Max Limit","NA",IF(G47="Csat","NA",IF(ISNUMBER('Res-Rec Calculations'!U47),((H47/'Res-Rec Calculations'!U47)),"NA"))))</f>
        <v>NA</v>
      </c>
      <c r="J47" s="704" t="str">
        <f>IF(G47="BTV","NA",IF(G47="Max Limit","NA",IF(G47="Csat","NA",IF(ISNUMBER('Res-Rec Calculations'!N47),((H47/'Res-Rec Calculations'!N47)*0.00001),"NA"))))</f>
        <v>NA</v>
      </c>
      <c r="K47" s="702" t="str">
        <f>IF('Chemical Info'!R48="X",'Res-Rec Worksheet'!I47,"")</f>
        <v>NA</v>
      </c>
      <c r="L47" s="702" t="str">
        <f>IF('Chemical Info'!S48="X",'Res-Rec Worksheet'!I47,"")</f>
        <v/>
      </c>
      <c r="M47" s="702" t="str">
        <f>IF('Chemical Info'!T48="X",'Res-Rec Worksheet'!I47,"")</f>
        <v/>
      </c>
      <c r="N47" s="702" t="str">
        <f>IF('Chemical Info'!U48="X",'Res-Rec Worksheet'!I47,"")</f>
        <v/>
      </c>
      <c r="O47" s="702" t="str">
        <f>IF('Chemical Info'!V48="X",'Res-Rec Worksheet'!I47,"")</f>
        <v/>
      </c>
      <c r="P47" s="702" t="str">
        <f>IF('Chemical Info'!W48="X",'Res-Rec Worksheet'!I47,"")</f>
        <v>NA</v>
      </c>
      <c r="Q47" s="702" t="str">
        <f>IF('Chemical Info'!X48="X",'Res-Rec Worksheet'!I47,"")</f>
        <v/>
      </c>
      <c r="R47" s="702" t="str">
        <f>IF('Chemical Info'!Y48="X",'Res-Rec Worksheet'!I47,"")</f>
        <v/>
      </c>
      <c r="S47" s="702" t="str">
        <f>IF('Chemical Info'!Z48="X",'Res-Rec Worksheet'!I47,"")</f>
        <v/>
      </c>
      <c r="T47" s="702" t="str">
        <f>IF('Chemical Info'!AA48="X",'Res-Rec Worksheet'!I47,"")</f>
        <v/>
      </c>
      <c r="U47" s="692" t="str">
        <f t="shared" si="0"/>
        <v>Based on Csat. A concentration &gt; Csat indicates potential for free product in soil.</v>
      </c>
    </row>
    <row r="48" spans="1:21" ht="10">
      <c r="A48" s="129" t="s">
        <v>150</v>
      </c>
      <c r="B48" s="566" t="s">
        <v>151</v>
      </c>
      <c r="C48" s="566">
        <v>2016</v>
      </c>
      <c r="D48" s="513" t="str">
        <f>IF('Res-Rec Calculations'!V48="NA","NA",'Res-Rec Calculations'!W48)</f>
        <v>NA</v>
      </c>
      <c r="E48" s="342"/>
      <c r="F48" s="126">
        <f>'Res-Rec Calculations'!Y48</f>
        <v>14</v>
      </c>
      <c r="G48" s="126" t="str">
        <f>'Res-Rec Calculations'!Z48</f>
        <v>Cancer</v>
      </c>
      <c r="H48" s="127"/>
      <c r="I48" s="698">
        <f>IF(G48="BTV","NA",IF(G48="Max Limit","NA",IF(G48="Csat","NA",IF(ISNUMBER('Res-Rec Calculations'!U48),((H48/'Res-Rec Calculations'!U48)),"NA"))))</f>
        <v>0</v>
      </c>
      <c r="J48" s="704">
        <f>IF(G48="BTV","NA",IF(G48="Max Limit","NA",IF(G48="Csat","NA",IF(ISNUMBER('Res-Rec Calculations'!N48),((H48/'Res-Rec Calculations'!N48)*0.00001),"NA"))))</f>
        <v>0</v>
      </c>
      <c r="K48" s="702" t="str">
        <f>IF('Chemical Info'!R49="X",'Res-Rec Worksheet'!I48,"")</f>
        <v/>
      </c>
      <c r="L48" s="702" t="str">
        <f>IF('Chemical Info'!S49="X",'Res-Rec Worksheet'!I48,"")</f>
        <v/>
      </c>
      <c r="M48" s="702">
        <f>IF('Chemical Info'!T49="X",'Res-Rec Worksheet'!I48,"")</f>
        <v>0</v>
      </c>
      <c r="N48" s="702" t="str">
        <f>IF('Chemical Info'!U49="X",'Res-Rec Worksheet'!I48,"")</f>
        <v/>
      </c>
      <c r="O48" s="702">
        <f>IF('Chemical Info'!V49="X",'Res-Rec Worksheet'!I48,"")</f>
        <v>0</v>
      </c>
      <c r="P48" s="702" t="str">
        <f>IF('Chemical Info'!W49="X",'Res-Rec Worksheet'!I48,"")</f>
        <v/>
      </c>
      <c r="Q48" s="702" t="str">
        <f>IF('Chemical Info'!X49="X",'Res-Rec Worksheet'!I48,"")</f>
        <v/>
      </c>
      <c r="R48" s="702" t="str">
        <f>IF('Chemical Info'!Y49="X",'Res-Rec Worksheet'!I48,"")</f>
        <v/>
      </c>
      <c r="S48" s="702" t="str">
        <f>IF('Chemical Info'!Z49="X",'Res-Rec Worksheet'!I48,"")</f>
        <v/>
      </c>
      <c r="T48" s="702" t="str">
        <f>IF('Chemical Info'!AA49="X",'Res-Rec Worksheet'!I48,"")</f>
        <v/>
      </c>
      <c r="U48" s="692" t="str">
        <f t="shared" si="0"/>
        <v/>
      </c>
    </row>
    <row r="49" spans="1:21" ht="10">
      <c r="A49" s="129" t="s">
        <v>19</v>
      </c>
      <c r="B49" s="566" t="s">
        <v>20</v>
      </c>
      <c r="C49" s="566">
        <v>2016</v>
      </c>
      <c r="D49" s="513" t="str">
        <f>IF('Res-Rec Calculations'!V49="NA","NA",'Res-Rec Calculations'!W49)</f>
        <v>NA</v>
      </c>
      <c r="E49" s="342"/>
      <c r="F49" s="126">
        <f>'Res-Rec Calculations'!Y49</f>
        <v>150</v>
      </c>
      <c r="G49" s="126" t="str">
        <f>'Res-Rec Calculations'!Z49</f>
        <v>Noncancer</v>
      </c>
      <c r="H49" s="127"/>
      <c r="I49" s="698">
        <f>IF(G49="BTV","NA",IF(G49="Max Limit","NA",IF(G49="Csat","NA",IF(ISNUMBER('Res-Rec Calculations'!U49),((H49/'Res-Rec Calculations'!U49)),"NA"))))</f>
        <v>0</v>
      </c>
      <c r="J49" s="704" t="str">
        <f>IF(G49="BTV","NA",IF(G49="Max Limit","NA",IF(G49="Csat","NA",IF(ISNUMBER('Res-Rec Calculations'!N49),((H49/'Res-Rec Calculations'!N49)*0.00001),"NA"))))</f>
        <v>NA</v>
      </c>
      <c r="K49" s="702" t="str">
        <f>IF('Chemical Info'!R50="X",'Res-Rec Worksheet'!I49,"")</f>
        <v/>
      </c>
      <c r="L49" s="702" t="str">
        <f>IF('Chemical Info'!S50="X",'Res-Rec Worksheet'!I49,"")</f>
        <v/>
      </c>
      <c r="M49" s="702" t="str">
        <f>IF('Chemical Info'!T50="X",'Res-Rec Worksheet'!I49,"")</f>
        <v/>
      </c>
      <c r="N49" s="702">
        <f>IF('Chemical Info'!U50="X",'Res-Rec Worksheet'!I49,"")</f>
        <v>0</v>
      </c>
      <c r="O49" s="702">
        <f>IF('Chemical Info'!V50="X",'Res-Rec Worksheet'!I49,"")</f>
        <v>0</v>
      </c>
      <c r="P49" s="702" t="str">
        <f>IF('Chemical Info'!W50="X",'Res-Rec Worksheet'!I49,"")</f>
        <v/>
      </c>
      <c r="Q49" s="702" t="str">
        <f>IF('Chemical Info'!X50="X",'Res-Rec Worksheet'!I49,"")</f>
        <v/>
      </c>
      <c r="R49" s="702" t="str">
        <f>IF('Chemical Info'!Y50="X",'Res-Rec Worksheet'!I49,"")</f>
        <v/>
      </c>
      <c r="S49" s="702" t="str">
        <f>IF('Chemical Info'!Z50="X",'Res-Rec Worksheet'!I49,"")</f>
        <v/>
      </c>
      <c r="T49" s="702" t="str">
        <f>IF('Chemical Info'!AA50="X",'Res-Rec Worksheet'!I49,"")</f>
        <v/>
      </c>
      <c r="U49" s="692" t="str">
        <f t="shared" si="0"/>
        <v/>
      </c>
    </row>
    <row r="50" spans="1:21" ht="10">
      <c r="A50" s="129" t="s">
        <v>320</v>
      </c>
      <c r="B50" s="566" t="s">
        <v>21</v>
      </c>
      <c r="C50" s="566">
        <v>2016</v>
      </c>
      <c r="D50" s="513" t="str">
        <f>IF('Res-Rec Calculations'!V50="NA","NA",'Res-Rec Calculations'!W50)</f>
        <v>NA</v>
      </c>
      <c r="E50" s="342"/>
      <c r="F50" s="126">
        <f>'Res-Rec Calculations'!Y50</f>
        <v>2100</v>
      </c>
      <c r="G50" s="126" t="str">
        <f>'Res-Rec Calculations'!Z50</f>
        <v>Csat</v>
      </c>
      <c r="H50" s="127"/>
      <c r="I50" s="698" t="str">
        <f>IF(G50="BTV","NA",IF(G50="Max Limit","NA",IF(G50="Csat","NA",IF(ISNUMBER('Res-Rec Calculations'!U50),((H50/'Res-Rec Calculations'!U50)),"NA"))))</f>
        <v>NA</v>
      </c>
      <c r="J50" s="704" t="str">
        <f>IF(G50="BTV","NA",IF(G50="Max Limit","NA",IF(G50="Csat","NA",IF(ISNUMBER('Res-Rec Calculations'!N50),((H50/'Res-Rec Calculations'!N50)*0.00001),"NA"))))</f>
        <v>NA</v>
      </c>
      <c r="K50" s="702" t="str">
        <f>IF('Chemical Info'!R51="X",'Res-Rec Worksheet'!I50,"")</f>
        <v/>
      </c>
      <c r="L50" s="702" t="str">
        <f>IF('Chemical Info'!S51="X",'Res-Rec Worksheet'!I50,"")</f>
        <v/>
      </c>
      <c r="M50" s="702" t="str">
        <f>IF('Chemical Info'!T51="X",'Res-Rec Worksheet'!I50,"")</f>
        <v/>
      </c>
      <c r="N50" s="702" t="str">
        <f>IF('Chemical Info'!U51="X",'Res-Rec Worksheet'!I50,"")</f>
        <v/>
      </c>
      <c r="O50" s="702" t="str">
        <f>IF('Chemical Info'!V51="X",'Res-Rec Worksheet'!I50,"")</f>
        <v/>
      </c>
      <c r="P50" s="702" t="str">
        <f>IF('Chemical Info'!W51="X",'Res-Rec Worksheet'!I50,"")</f>
        <v>NA</v>
      </c>
      <c r="Q50" s="702" t="str">
        <f>IF('Chemical Info'!X51="X",'Res-Rec Worksheet'!I50,"")</f>
        <v/>
      </c>
      <c r="R50" s="702" t="str">
        <f>IF('Chemical Info'!Y51="X",'Res-Rec Worksheet'!I50,"")</f>
        <v/>
      </c>
      <c r="S50" s="702" t="str">
        <f>IF('Chemical Info'!Z51="X",'Res-Rec Worksheet'!I50,"")</f>
        <v/>
      </c>
      <c r="T50" s="702" t="str">
        <f>IF('Chemical Info'!AA51="X",'Res-Rec Worksheet'!I50,"")</f>
        <v/>
      </c>
      <c r="U50" s="692" t="str">
        <f t="shared" si="0"/>
        <v>Based on Csat. A concentration &gt; Csat indicates potential for free product in soil.</v>
      </c>
    </row>
    <row r="51" spans="1:21" ht="10">
      <c r="A51" s="129" t="s">
        <v>154</v>
      </c>
      <c r="B51" s="566" t="s">
        <v>155</v>
      </c>
      <c r="C51" s="736">
        <v>2025</v>
      </c>
      <c r="D51" s="513" t="str">
        <f>IF('Res-Rec Calculations'!V51="NA","NA",'Res-Rec Calculations'!W51)</f>
        <v>NA</v>
      </c>
      <c r="E51" s="342"/>
      <c r="F51" s="126">
        <f>'Res-Rec Calculations'!Y51</f>
        <v>9.1999999999999993</v>
      </c>
      <c r="G51" s="126" t="str">
        <f>'Res-Rec Calculations'!Z51</f>
        <v>Noncancer</v>
      </c>
      <c r="H51" s="127"/>
      <c r="I51" s="698">
        <f>IF(G51="BTV","NA",IF(G51="Max Limit","NA",IF(G51="Csat","NA",IF(ISNUMBER('Res-Rec Calculations'!U51),((H51/'Res-Rec Calculations'!U51)),"NA"))))</f>
        <v>0</v>
      </c>
      <c r="J51" s="704" t="str">
        <f>IF(G51="BTV","NA",IF(G51="Max Limit","NA",IF(G51="Csat","NA",IF(ISNUMBER('Res-Rec Calculations'!N51),((H51/'Res-Rec Calculations'!N51)*0.00001),"NA"))))</f>
        <v>NA</v>
      </c>
      <c r="K51" s="702" t="str">
        <f>IF('Chemical Info'!R52="X",'Res-Rec Worksheet'!I51,"")</f>
        <v/>
      </c>
      <c r="L51" s="702" t="str">
        <f>IF('Chemical Info'!S52="X",'Res-Rec Worksheet'!I51,"")</f>
        <v/>
      </c>
      <c r="M51" s="702" t="str">
        <f>IF('Chemical Info'!T52="X",'Res-Rec Worksheet'!I51,"")</f>
        <v/>
      </c>
      <c r="N51" s="702" t="str">
        <f>IF('Chemical Info'!U52="X",'Res-Rec Worksheet'!I51,"")</f>
        <v/>
      </c>
      <c r="O51" s="702">
        <f>IF('Chemical Info'!V52="X",'Res-Rec Worksheet'!I51,"")</f>
        <v>0</v>
      </c>
      <c r="P51" s="702" t="str">
        <f>IF('Chemical Info'!W52="X",'Res-Rec Worksheet'!I51,"")</f>
        <v/>
      </c>
      <c r="Q51" s="702">
        <f>IF('Chemical Info'!X52="X",'Res-Rec Worksheet'!I51,"")</f>
        <v>0</v>
      </c>
      <c r="R51" s="702" t="str">
        <f>IF('Chemical Info'!Y52="X",'Res-Rec Worksheet'!I51,"")</f>
        <v/>
      </c>
      <c r="S51" s="702" t="str">
        <f>IF('Chemical Info'!Z52="X",'Res-Rec Worksheet'!I51,"")</f>
        <v/>
      </c>
      <c r="T51" s="702" t="str">
        <f>IF('Chemical Info'!AA52="X",'Res-Rec Worksheet'!I51,"")</f>
        <v/>
      </c>
      <c r="U51" s="692" t="str">
        <f t="shared" si="0"/>
        <v/>
      </c>
    </row>
    <row r="52" spans="1:21" ht="10">
      <c r="A52" s="129" t="s">
        <v>321</v>
      </c>
      <c r="B52" s="566" t="s">
        <v>132</v>
      </c>
      <c r="C52" s="566">
        <v>2016</v>
      </c>
      <c r="D52" s="513" t="str">
        <f>IF('Res-Rec Calculations'!V52="NA","NA",'Res-Rec Calculations'!W52)</f>
        <v>NA</v>
      </c>
      <c r="E52" s="342"/>
      <c r="F52" s="126">
        <f>'Res-Rec Calculations'!Y52</f>
        <v>420</v>
      </c>
      <c r="G52" s="126" t="str">
        <f>'Res-Rec Calculations'!Z52</f>
        <v>Noncancer</v>
      </c>
      <c r="H52" s="127"/>
      <c r="I52" s="698">
        <f>IF(G52="BTV","NA",IF(G52="Max Limit","NA",IF(G52="Csat","NA",IF(ISNUMBER('Res-Rec Calculations'!U52),((H52/'Res-Rec Calculations'!U52)),"NA"))))</f>
        <v>0</v>
      </c>
      <c r="J52" s="704" t="str">
        <f>IF(G52="BTV","NA",IF(G52="Max Limit","NA",IF(G52="Csat","NA",IF(ISNUMBER('Res-Rec Calculations'!N52),((H52/'Res-Rec Calculations'!N52)*0.00001),"NA"))))</f>
        <v>NA</v>
      </c>
      <c r="K52" s="702">
        <f>IF('Chemical Info'!R53="X",'Res-Rec Worksheet'!I52,"")</f>
        <v>0</v>
      </c>
      <c r="L52" s="702" t="str">
        <f>IF('Chemical Info'!S53="X",'Res-Rec Worksheet'!I52,"")</f>
        <v/>
      </c>
      <c r="M52" s="702" t="str">
        <f>IF('Chemical Info'!T53="X",'Res-Rec Worksheet'!I52,"")</f>
        <v/>
      </c>
      <c r="N52" s="702" t="str">
        <f>IF('Chemical Info'!U53="X",'Res-Rec Worksheet'!I52,"")</f>
        <v/>
      </c>
      <c r="O52" s="702" t="str">
        <f>IF('Chemical Info'!V53="X",'Res-Rec Worksheet'!I52,"")</f>
        <v/>
      </c>
      <c r="P52" s="702" t="str">
        <f>IF('Chemical Info'!W53="X",'Res-Rec Worksheet'!I52,"")</f>
        <v/>
      </c>
      <c r="Q52" s="702" t="str">
        <f>IF('Chemical Info'!X53="X",'Res-Rec Worksheet'!I52,"")</f>
        <v/>
      </c>
      <c r="R52" s="702" t="str">
        <f>IF('Chemical Info'!Y53="X",'Res-Rec Worksheet'!I52,"")</f>
        <v/>
      </c>
      <c r="S52" s="702" t="str">
        <f>IF('Chemical Info'!Z53="X",'Res-Rec Worksheet'!I52,"")</f>
        <v/>
      </c>
      <c r="T52" s="702" t="str">
        <f>IF('Chemical Info'!AA53="X",'Res-Rec Worksheet'!I52,"")</f>
        <v/>
      </c>
      <c r="U52" s="692" t="str">
        <f t="shared" si="0"/>
        <v/>
      </c>
    </row>
    <row r="53" spans="1:21" ht="10">
      <c r="A53" s="129" t="s">
        <v>1196</v>
      </c>
      <c r="B53" s="566" t="s">
        <v>1166</v>
      </c>
      <c r="C53" s="566">
        <v>2022</v>
      </c>
      <c r="D53" s="513" t="str">
        <f>IF('Res-Rec Calculations'!V53="NA","NA",'Res-Rec Calculations'!W53)</f>
        <v>NA</v>
      </c>
      <c r="E53" s="342"/>
      <c r="F53" s="126">
        <f>'Res-Rec Calculations'!Y53</f>
        <v>0.76</v>
      </c>
      <c r="G53" s="126" t="str">
        <f>'Res-Rec Calculations'!Z53</f>
        <v>Cancer</v>
      </c>
      <c r="H53" s="127"/>
      <c r="I53" s="698">
        <f>IF(G53="BTV","NA",IF(G53="Max Limit","NA",IF(G53="Csat","NA",IF(ISNUMBER('Res-Rec Calculations'!U53),((H53/'Res-Rec Calculations'!U53)),"NA"))))</f>
        <v>0</v>
      </c>
      <c r="J53" s="704">
        <f>IF(G53="BTV","NA",IF(G53="Max Limit","NA",IF(G53="Csat","NA",IF(ISNUMBER('Res-Rec Calculations'!N53),((H53/'Res-Rec Calculations'!N53)*0.00001),"NA"))))</f>
        <v>0</v>
      </c>
      <c r="K53" s="702">
        <f>IF('Chemical Info'!R54="X",'Res-Rec Worksheet'!I53,"")</f>
        <v>0</v>
      </c>
      <c r="L53" s="702" t="str">
        <f>IF('Chemical Info'!S54="X",'Res-Rec Worksheet'!I53,"")</f>
        <v/>
      </c>
      <c r="M53" s="702">
        <f>IF('Chemical Info'!T54="X",'Res-Rec Worksheet'!I53,"")</f>
        <v>0</v>
      </c>
      <c r="N53" s="702" t="str">
        <f>IF('Chemical Info'!U54="X",'Res-Rec Worksheet'!I53,"")</f>
        <v/>
      </c>
      <c r="O53" s="702" t="str">
        <f>IF('Chemical Info'!V54="X",'Res-Rec Worksheet'!I53,"")</f>
        <v/>
      </c>
      <c r="P53" s="702" t="str">
        <f>IF('Chemical Info'!W54="X",'Res-Rec Worksheet'!I53,"")</f>
        <v/>
      </c>
      <c r="Q53" s="702">
        <f>IF('Chemical Info'!X54="X",'Res-Rec Worksheet'!I53,"")</f>
        <v>0</v>
      </c>
      <c r="R53" s="702" t="str">
        <f>IF('Chemical Info'!Y54="X",'Res-Rec Worksheet'!I53,"")</f>
        <v/>
      </c>
      <c r="S53" s="702" t="str">
        <f>IF('Chemical Info'!Z54="X",'Res-Rec Worksheet'!I53,"")</f>
        <v/>
      </c>
      <c r="T53" s="702" t="str">
        <f>IF('Chemical Info'!AA54="X",'Res-Rec Worksheet'!I53,"")</f>
        <v/>
      </c>
      <c r="U53" s="692" t="str">
        <f t="shared" si="0"/>
        <v/>
      </c>
    </row>
    <row r="54" spans="1:21" ht="10">
      <c r="A54" s="133" t="s">
        <v>365</v>
      </c>
      <c r="B54" s="566" t="s">
        <v>133</v>
      </c>
      <c r="C54" s="566">
        <v>2022</v>
      </c>
      <c r="D54" s="513" t="str">
        <f>IF('Res-Rec Calculations'!V54="NA","NA",'Res-Rec Calculations'!W54)</f>
        <v>NA</v>
      </c>
      <c r="E54" s="342"/>
      <c r="F54" s="126">
        <f>'Res-Rec Calculations'!Y54</f>
        <v>440</v>
      </c>
      <c r="G54" s="126" t="str">
        <f>'Res-Rec Calculations'!Z54</f>
        <v>Noncancer</v>
      </c>
      <c r="H54" s="127"/>
      <c r="I54" s="698">
        <f>IF(G54="BTV","NA",IF(G54="Max Limit","NA",IF(G54="Csat","NA",IF(ISNUMBER('Res-Rec Calculations'!U54),((H54/'Res-Rec Calculations'!U54)),"NA"))))</f>
        <v>0</v>
      </c>
      <c r="J54" s="704" t="str">
        <f>IF(G54="BTV","NA",IF(G54="Max Limit","NA",IF(G54="Csat","NA",IF(ISNUMBER('Res-Rec Calculations'!N54),((H54/'Res-Rec Calculations'!N54)*0.00001),"NA"))))</f>
        <v>NA</v>
      </c>
      <c r="K54" s="702" t="str">
        <f>IF('Chemical Info'!R55="X",'Res-Rec Worksheet'!I54,"")</f>
        <v/>
      </c>
      <c r="L54" s="702" t="str">
        <f>IF('Chemical Info'!S55="X",'Res-Rec Worksheet'!I54,"")</f>
        <v/>
      </c>
      <c r="M54" s="702" t="str">
        <f>IF('Chemical Info'!T55="X",'Res-Rec Worksheet'!I54,"")</f>
        <v/>
      </c>
      <c r="N54" s="702" t="str">
        <f>IF('Chemical Info'!U55="X",'Res-Rec Worksheet'!I54,"")</f>
        <v/>
      </c>
      <c r="O54" s="702" t="str">
        <f>IF('Chemical Info'!V55="X",'Res-Rec Worksheet'!I54,"")</f>
        <v/>
      </c>
      <c r="P54" s="702" t="str">
        <f>IF('Chemical Info'!W55="X",'Res-Rec Worksheet'!I54,"")</f>
        <v/>
      </c>
      <c r="Q54" s="702" t="str">
        <f>IF('Chemical Info'!X55="X",'Res-Rec Worksheet'!I54,"")</f>
        <v/>
      </c>
      <c r="R54" s="702" t="str">
        <f>IF('Chemical Info'!Y55="X",'Res-Rec Worksheet'!I54,"")</f>
        <v/>
      </c>
      <c r="S54" s="702" t="str">
        <f>IF('Chemical Info'!Z55="X",'Res-Rec Worksheet'!I54,"")</f>
        <v/>
      </c>
      <c r="T54" s="702" t="str">
        <f>IF('Chemical Info'!AA55="X",'Res-Rec Worksheet'!I54,"")</f>
        <v/>
      </c>
      <c r="U54" s="692" t="str">
        <f t="shared" si="0"/>
        <v/>
      </c>
    </row>
    <row r="55" spans="1:21" ht="10">
      <c r="A55" s="133" t="s">
        <v>1217</v>
      </c>
      <c r="B55" s="566" t="s">
        <v>1193</v>
      </c>
      <c r="C55" s="566">
        <v>2022</v>
      </c>
      <c r="D55" s="513" t="str">
        <f>IF('Res-Rec Calculations'!V55="NA","NA",'Res-Rec Calculations'!W55)</f>
        <v>NA</v>
      </c>
      <c r="E55" s="342"/>
      <c r="F55" s="126">
        <f>'Res-Rec Calculations'!Y55</f>
        <v>4.2</v>
      </c>
      <c r="G55" s="126" t="str">
        <f>'Res-Rec Calculations'!Z55</f>
        <v>Cancer</v>
      </c>
      <c r="H55" s="127"/>
      <c r="I55" s="698">
        <f>IF(G55="BTV","NA",IF(G55="Max Limit","NA",IF(G55="Csat","NA",IF(ISNUMBER('Res-Rec Calculations'!U55),((H55/'Res-Rec Calculations'!U55)),"NA"))))</f>
        <v>0</v>
      </c>
      <c r="J55" s="704">
        <f>IF(G55="BTV","NA",IF(G55="Max Limit","NA",IF(G55="Csat","NA",IF(ISNUMBER('Res-Rec Calculations'!N55),((H55/'Res-Rec Calculations'!N55)*0.00001),"NA"))))</f>
        <v>0</v>
      </c>
      <c r="K55" s="702" t="str">
        <f>IF('Chemical Info'!R56="X",'Res-Rec Worksheet'!I55,"")</f>
        <v/>
      </c>
      <c r="L55" s="702" t="str">
        <f>IF('Chemical Info'!S56="X",'Res-Rec Worksheet'!I55,"")</f>
        <v/>
      </c>
      <c r="M55" s="702" t="str">
        <f>IF('Chemical Info'!T56="X",'Res-Rec Worksheet'!I55,"")</f>
        <v/>
      </c>
      <c r="N55" s="702" t="str">
        <f>IF('Chemical Info'!U56="X",'Res-Rec Worksheet'!I55,"")</f>
        <v/>
      </c>
      <c r="O55" s="702">
        <f>IF('Chemical Info'!V56="X",'Res-Rec Worksheet'!I55,"")</f>
        <v>0</v>
      </c>
      <c r="P55" s="702" t="str">
        <f>IF('Chemical Info'!W56="X",'Res-Rec Worksheet'!I55,"")</f>
        <v/>
      </c>
      <c r="Q55" s="702" t="str">
        <f>IF('Chemical Info'!X56="X",'Res-Rec Worksheet'!I55,"")</f>
        <v/>
      </c>
      <c r="R55" s="702" t="str">
        <f>IF('Chemical Info'!Y56="X",'Res-Rec Worksheet'!I55,"")</f>
        <v/>
      </c>
      <c r="S55" s="702" t="str">
        <f>IF('Chemical Info'!Z56="X",'Res-Rec Worksheet'!I55,"")</f>
        <v/>
      </c>
      <c r="T55" s="702" t="str">
        <f>IF('Chemical Info'!AA56="X",'Res-Rec Worksheet'!I55,"")</f>
        <v/>
      </c>
      <c r="U55" s="692" t="str">
        <f t="shared" si="0"/>
        <v/>
      </c>
    </row>
    <row r="56" spans="1:21" ht="10">
      <c r="A56" s="129" t="s">
        <v>14</v>
      </c>
      <c r="B56" s="566" t="s">
        <v>15</v>
      </c>
      <c r="C56" s="566">
        <v>2016</v>
      </c>
      <c r="D56" s="513" t="str">
        <f>IF('Res-Rec Calculations'!V56="NA","NA",'Res-Rec Calculations'!W56)</f>
        <v>NA</v>
      </c>
      <c r="E56" s="342"/>
      <c r="F56" s="126">
        <f>'Res-Rec Calculations'!Y56</f>
        <v>270</v>
      </c>
      <c r="G56" s="126" t="str">
        <f>'Res-Rec Calculations'!Z56</f>
        <v>Csat</v>
      </c>
      <c r="H56" s="127"/>
      <c r="I56" s="698" t="str">
        <f>IF(G56="BTV","NA",IF(G56="Max Limit","NA",IF(G56="Csat","NA",IF(ISNUMBER('Res-Rec Calculations'!U56),((H56/'Res-Rec Calculations'!U56)),"NA"))))</f>
        <v>NA</v>
      </c>
      <c r="J56" s="704" t="str">
        <f>IF(G56="BTV","NA",IF(G56="Max Limit","NA",IF(G56="Csat","NA",IF(ISNUMBER('Res-Rec Calculations'!N56),((H56/'Res-Rec Calculations'!N56)*0.00001),"NA"))))</f>
        <v>NA</v>
      </c>
      <c r="K56" s="702" t="str">
        <f>IF('Chemical Info'!R57="X",'Res-Rec Worksheet'!I56,"")</f>
        <v/>
      </c>
      <c r="L56" s="702" t="str">
        <f>IF('Chemical Info'!S57="X",'Res-Rec Worksheet'!I56,"")</f>
        <v/>
      </c>
      <c r="M56" s="702" t="str">
        <f>IF('Chemical Info'!T57="X",'Res-Rec Worksheet'!I56,"")</f>
        <v/>
      </c>
      <c r="N56" s="702" t="str">
        <f>IF('Chemical Info'!U57="X",'Res-Rec Worksheet'!I56,"")</f>
        <v>NA</v>
      </c>
      <c r="O56" s="702" t="str">
        <f>IF('Chemical Info'!V57="X",'Res-Rec Worksheet'!I56,"")</f>
        <v/>
      </c>
      <c r="P56" s="702" t="str">
        <f>IF('Chemical Info'!W57="X",'Res-Rec Worksheet'!I56,"")</f>
        <v/>
      </c>
      <c r="Q56" s="702" t="str">
        <f>IF('Chemical Info'!X57="X",'Res-Rec Worksheet'!I56,"")</f>
        <v/>
      </c>
      <c r="R56" s="702" t="str">
        <f>IF('Chemical Info'!Y57="X",'Res-Rec Worksheet'!I56,"")</f>
        <v/>
      </c>
      <c r="S56" s="702" t="str">
        <f>IF('Chemical Info'!Z57="X",'Res-Rec Worksheet'!I56,"")</f>
        <v/>
      </c>
      <c r="T56" s="702" t="str">
        <f>IF('Chemical Info'!AA57="X",'Res-Rec Worksheet'!I56,"")</f>
        <v/>
      </c>
      <c r="U56" s="692" t="str">
        <f t="shared" si="0"/>
        <v>Based on Csat. A concentration &gt; Csat indicates potential for free product in soil.</v>
      </c>
    </row>
    <row r="57" spans="1:21" s="123" customFormat="1" ht="10">
      <c r="A57" s="133" t="s">
        <v>366</v>
      </c>
      <c r="B57" s="591" t="s">
        <v>126</v>
      </c>
      <c r="C57" s="591">
        <v>2023</v>
      </c>
      <c r="D57" s="513" t="str">
        <f>IF('Res-Rec Calculations'!V57="NA","NA",'Res-Rec Calculations'!W57)</f>
        <v>NA</v>
      </c>
      <c r="E57" s="342"/>
      <c r="F57" s="132">
        <f>'Res-Rec Calculations'!Y57</f>
        <v>0.71</v>
      </c>
      <c r="G57" s="132" t="str">
        <f>'Res-Rec Calculations'!Z57</f>
        <v>Cancer</v>
      </c>
      <c r="H57" s="127"/>
      <c r="I57" s="717">
        <f>IF(G57="BTV","NA",IF(G57="Max Limit","NA",IF(G57="Csat","NA",IF(ISNUMBER('Res-Rec Calculations'!U57),((H57/'Res-Rec Calculations'!U57)),"NA"))))</f>
        <v>0</v>
      </c>
      <c r="J57" s="718">
        <f>IF(G57="BTV","NA",IF(G57="Max Limit","NA",IF(G57="Csat","NA",IF(ISNUMBER('Res-Rec Calculations'!N57),((H57/'Res-Rec Calculations'!N57)*0.00001),"NA"))))</f>
        <v>0</v>
      </c>
      <c r="K57" s="702" t="str">
        <f>IF('Chemical Info'!R58="X",'Res-Rec Worksheet'!I57,"")</f>
        <v/>
      </c>
      <c r="L57" s="702" t="str">
        <f>IF('Chemical Info'!S58="X",'Res-Rec Worksheet'!I57,"")</f>
        <v/>
      </c>
      <c r="M57" s="702">
        <f>IF('Chemical Info'!T58="X",'Res-Rec Worksheet'!I57,"")</f>
        <v>0</v>
      </c>
      <c r="N57" s="702" t="str">
        <f>IF('Chemical Info'!U58="X",'Res-Rec Worksheet'!I57,"")</f>
        <v/>
      </c>
      <c r="O57" s="702">
        <f>IF('Chemical Info'!V58="X",'Res-Rec Worksheet'!I57,"")</f>
        <v>0</v>
      </c>
      <c r="P57" s="702">
        <f>IF('Chemical Info'!W58="X",'Res-Rec Worksheet'!I57,"")</f>
        <v>0</v>
      </c>
      <c r="Q57" s="702">
        <f>IF('Chemical Info'!X58="X",'Res-Rec Worksheet'!I57,"")</f>
        <v>0</v>
      </c>
      <c r="R57" s="702" t="str">
        <f>IF('Chemical Info'!Y58="X",'Res-Rec Worksheet'!I57,"")</f>
        <v/>
      </c>
      <c r="S57" s="702" t="str">
        <f>IF('Chemical Info'!Z58="X",'Res-Rec Worksheet'!I57,"")</f>
        <v/>
      </c>
      <c r="T57" s="702" t="str">
        <f>IF('Chemical Info'!AA58="X",'Res-Rec Worksheet'!I57,"")</f>
        <v/>
      </c>
      <c r="U57" s="133" t="str">
        <f t="shared" si="0"/>
        <v/>
      </c>
    </row>
    <row r="58" spans="1:21" ht="10">
      <c r="A58" s="129" t="s">
        <v>322</v>
      </c>
      <c r="B58" s="566" t="s">
        <v>176</v>
      </c>
      <c r="C58" s="736">
        <v>2025</v>
      </c>
      <c r="D58" s="513" t="str">
        <f>IF('Res-Rec Calculations'!V58="NA","NA",'Res-Rec Calculations'!W58)</f>
        <v>NA</v>
      </c>
      <c r="E58" s="342"/>
      <c r="F58" s="126">
        <f>'Res-Rec Calculations'!Y58</f>
        <v>15</v>
      </c>
      <c r="G58" s="126" t="str">
        <f>'Res-Rec Calculations'!Z58</f>
        <v>Noncancer</v>
      </c>
      <c r="H58" s="127"/>
      <c r="I58" s="698">
        <f>IF(G58="BTV","NA",IF(G58="Max Limit","NA",IF(G58="Csat","NA",IF(ISNUMBER('Res-Rec Calculations'!U58),((H58/'Res-Rec Calculations'!U58)),"NA"))))</f>
        <v>0</v>
      </c>
      <c r="J58" s="704" t="str">
        <f>IF(G58="BTV","NA",IF(G58="Max Limit","NA",IF(G58="Csat","NA",IF(ISNUMBER('Res-Rec Calculations'!N58),((H58/'Res-Rec Calculations'!N58)*0.00001),"NA"))))</f>
        <v>NA</v>
      </c>
      <c r="K58" s="702" t="str">
        <f>IF('Chemical Info'!R59="X",'Res-Rec Worksheet'!I58,"")</f>
        <v/>
      </c>
      <c r="L58" s="702">
        <f>IF('Chemical Info'!S59="X",'Res-Rec Worksheet'!I58,"")</f>
        <v>0</v>
      </c>
      <c r="M58" s="702" t="str">
        <f>IF('Chemical Info'!T59="X",'Res-Rec Worksheet'!I58,"")</f>
        <v/>
      </c>
      <c r="N58" s="702" t="str">
        <f>IF('Chemical Info'!U59="X",'Res-Rec Worksheet'!I58,"")</f>
        <v/>
      </c>
      <c r="O58" s="702" t="str">
        <f>IF('Chemical Info'!V59="X",'Res-Rec Worksheet'!I58,"")</f>
        <v/>
      </c>
      <c r="P58" s="702" t="str">
        <f>IF('Chemical Info'!W59="X",'Res-Rec Worksheet'!I58,"")</f>
        <v/>
      </c>
      <c r="Q58" s="702" t="str">
        <f>IF('Chemical Info'!X59="X",'Res-Rec Worksheet'!I58,"")</f>
        <v/>
      </c>
      <c r="R58" s="702" t="str">
        <f>IF('Chemical Info'!Y59="X",'Res-Rec Worksheet'!I58,"")</f>
        <v/>
      </c>
      <c r="S58" s="702" t="str">
        <f>IF('Chemical Info'!Z59="X",'Res-Rec Worksheet'!I58,"")</f>
        <v/>
      </c>
      <c r="T58" s="702" t="str">
        <f>IF('Chemical Info'!AA59="X",'Res-Rec Worksheet'!I58,"")</f>
        <v/>
      </c>
      <c r="U58" s="692" t="str">
        <f t="shared" si="0"/>
        <v/>
      </c>
    </row>
    <row r="59" spans="1:21" ht="10">
      <c r="A59" s="129" t="s">
        <v>323</v>
      </c>
      <c r="B59" s="566" t="s">
        <v>0</v>
      </c>
      <c r="C59" s="566">
        <v>2016</v>
      </c>
      <c r="D59" s="513" t="str">
        <f>IF('Res-Rec Calculations'!V59="NA","NA",'Res-Rec Calculations'!W59)</f>
        <v>NA</v>
      </c>
      <c r="E59" s="342"/>
      <c r="F59" s="126">
        <f>'Res-Rec Calculations'!Y59</f>
        <v>840</v>
      </c>
      <c r="G59" s="126" t="str">
        <f>'Res-Rec Calculations'!Z59</f>
        <v>Csat</v>
      </c>
      <c r="H59" s="127"/>
      <c r="I59" s="698" t="str">
        <f>IF(G59="BTV","NA",IF(G59="Max Limit","NA",IF(G59="Csat","NA",IF(ISNUMBER('Res-Rec Calculations'!U59),((H59/'Res-Rec Calculations'!U59)),"NA"))))</f>
        <v>NA</v>
      </c>
      <c r="J59" s="704" t="str">
        <f>IF(G59="BTV","NA",IF(G59="Max Limit","NA",IF(G59="Csat","NA",IF(ISNUMBER('Res-Rec Calculations'!N59),((H59/'Res-Rec Calculations'!N59)*0.00001),"NA"))))</f>
        <v>NA</v>
      </c>
      <c r="K59" s="702" t="str">
        <f>IF('Chemical Info'!R60="X",'Res-Rec Worksheet'!I59,"")</f>
        <v/>
      </c>
      <c r="L59" s="702" t="str">
        <f>IF('Chemical Info'!S60="X",'Res-Rec Worksheet'!I59,"")</f>
        <v/>
      </c>
      <c r="M59" s="702" t="str">
        <f>IF('Chemical Info'!T60="X",'Res-Rec Worksheet'!I59,"")</f>
        <v/>
      </c>
      <c r="N59" s="702" t="str">
        <f>IF('Chemical Info'!U60="X",'Res-Rec Worksheet'!I59,"")</f>
        <v/>
      </c>
      <c r="O59" s="702" t="str">
        <f>IF('Chemical Info'!V60="X",'Res-Rec Worksheet'!I59,"")</f>
        <v/>
      </c>
      <c r="P59" s="702" t="str">
        <f>IF('Chemical Info'!W60="X",'Res-Rec Worksheet'!I59,"")</f>
        <v/>
      </c>
      <c r="Q59" s="702" t="str">
        <f>IF('Chemical Info'!X60="X",'Res-Rec Worksheet'!I59,"")</f>
        <v/>
      </c>
      <c r="R59" s="702" t="str">
        <f>IF('Chemical Info'!Y60="X",'Res-Rec Worksheet'!I59,"")</f>
        <v/>
      </c>
      <c r="S59" s="702" t="str">
        <f>IF('Chemical Info'!Z60="X",'Res-Rec Worksheet'!I59,"")</f>
        <v/>
      </c>
      <c r="T59" s="702" t="str">
        <f>IF('Chemical Info'!AA60="X",'Res-Rec Worksheet'!I59,"")</f>
        <v/>
      </c>
      <c r="U59" s="692" t="str">
        <f t="shared" si="0"/>
        <v>Based on Csat. A concentration &gt; Csat indicates potential for free product in soil.</v>
      </c>
    </row>
    <row r="60" spans="1:21" ht="10">
      <c r="A60" s="133" t="s">
        <v>367</v>
      </c>
      <c r="B60" s="566" t="s">
        <v>160</v>
      </c>
      <c r="C60" s="566">
        <v>2021</v>
      </c>
      <c r="D60" s="513" t="str">
        <f>IF('Res-Rec Calculations'!V60="NA","NA",'Res-Rec Calculations'!W60)</f>
        <v>NA</v>
      </c>
      <c r="E60" s="342"/>
      <c r="F60" s="126">
        <f>'Res-Rec Calculations'!Y60</f>
        <v>390</v>
      </c>
      <c r="G60" s="126" t="str">
        <f>'Res-Rec Calculations'!Z60</f>
        <v>Noncancer</v>
      </c>
      <c r="H60" s="127"/>
      <c r="I60" s="698">
        <f>IF(G60="BTV","NA",IF(G60="Max Limit","NA",IF(G60="Csat","NA",IF(ISNUMBER('Res-Rec Calculations'!U60),((H60/'Res-Rec Calculations'!U60)),"NA"))))</f>
        <v>0</v>
      </c>
      <c r="J60" s="704" t="str">
        <f>IF(G60="BTV","NA",IF(G60="Max Limit","NA",IF(G60="Csat","NA",IF(ISNUMBER('Res-Rec Calculations'!N60),((H60/'Res-Rec Calculations'!N60)*0.00001),"NA"))))</f>
        <v>NA</v>
      </c>
      <c r="K60" s="702">
        <f>IF('Chemical Info'!R61="X",'Res-Rec Worksheet'!I60,"")</f>
        <v>0</v>
      </c>
      <c r="L60" s="702" t="str">
        <f>IF('Chemical Info'!S61="X",'Res-Rec Worksheet'!I60,"")</f>
        <v/>
      </c>
      <c r="M60" s="702" t="str">
        <f>IF('Chemical Info'!T61="X",'Res-Rec Worksheet'!I60,"")</f>
        <v/>
      </c>
      <c r="N60" s="702" t="str">
        <f>IF('Chemical Info'!U61="X",'Res-Rec Worksheet'!I60,"")</f>
        <v/>
      </c>
      <c r="O60" s="702" t="str">
        <f>IF('Chemical Info'!V61="X",'Res-Rec Worksheet'!I60,"")</f>
        <v/>
      </c>
      <c r="P60" s="702" t="str">
        <f>IF('Chemical Info'!W61="X",'Res-Rec Worksheet'!I60,"")</f>
        <v/>
      </c>
      <c r="Q60" s="702" t="str">
        <f>IF('Chemical Info'!X61="X",'Res-Rec Worksheet'!I60,"")</f>
        <v/>
      </c>
      <c r="R60" s="702" t="str">
        <f>IF('Chemical Info'!Y61="X",'Res-Rec Worksheet'!I60,"")</f>
        <v/>
      </c>
      <c r="S60" s="702" t="str">
        <f>IF('Chemical Info'!Z61="X",'Res-Rec Worksheet'!I60,"")</f>
        <v/>
      </c>
      <c r="T60" s="702" t="str">
        <f>IF('Chemical Info'!AA61="X",'Res-Rec Worksheet'!I60,"")</f>
        <v/>
      </c>
      <c r="U60" s="692" t="str">
        <f t="shared" si="0"/>
        <v/>
      </c>
    </row>
    <row r="61" spans="1:21" ht="10">
      <c r="A61" s="133" t="s">
        <v>368</v>
      </c>
      <c r="B61" s="566" t="s">
        <v>161</v>
      </c>
      <c r="C61" s="566">
        <v>2022</v>
      </c>
      <c r="D61" s="513" t="str">
        <f>IF('Res-Rec Calculations'!V61="NA","NA",'Res-Rec Calculations'!W61)</f>
        <v>NA</v>
      </c>
      <c r="E61" s="342"/>
      <c r="F61" s="126">
        <f>'Res-Rec Calculations'!Y61</f>
        <v>5.9</v>
      </c>
      <c r="G61" s="126" t="str">
        <f>'Res-Rec Calculations'!Z61</f>
        <v>Cancer</v>
      </c>
      <c r="H61" s="127"/>
      <c r="I61" s="698">
        <f>IF(G61="BTV","NA",IF(G61="Max Limit","NA",IF(G61="Csat","NA",IF(ISNUMBER('Res-Rec Calculations'!U61),((H61/'Res-Rec Calculations'!U61)),"NA"))))</f>
        <v>0</v>
      </c>
      <c r="J61" s="704">
        <f>IF(G61="BTV","NA",IF(G61="Max Limit","NA",IF(G61="Csat","NA",IF(ISNUMBER('Res-Rec Calculations'!N61),((H61/'Res-Rec Calculations'!N61)*0.00001),"NA"))))</f>
        <v>0</v>
      </c>
      <c r="K61" s="702">
        <f>IF('Chemical Info'!R62="X",'Res-Rec Worksheet'!I61,"")</f>
        <v>0</v>
      </c>
      <c r="L61" s="702" t="str">
        <f>IF('Chemical Info'!S62="X",'Res-Rec Worksheet'!I61,"")</f>
        <v/>
      </c>
      <c r="M61" s="702" t="str">
        <f>IF('Chemical Info'!T62="X",'Res-Rec Worksheet'!I61,"")</f>
        <v/>
      </c>
      <c r="N61" s="702">
        <f>IF('Chemical Info'!U62="X",'Res-Rec Worksheet'!I61,"")</f>
        <v>0</v>
      </c>
      <c r="O61" s="702">
        <f>IF('Chemical Info'!V62="X",'Res-Rec Worksheet'!I61,"")</f>
        <v>0</v>
      </c>
      <c r="P61" s="702" t="str">
        <f>IF('Chemical Info'!W62="X",'Res-Rec Worksheet'!I61,"")</f>
        <v/>
      </c>
      <c r="Q61" s="702" t="str">
        <f>IF('Chemical Info'!X62="X",'Res-Rec Worksheet'!I61,"")</f>
        <v/>
      </c>
      <c r="R61" s="702" t="str">
        <f>IF('Chemical Info'!Y62="X",'Res-Rec Worksheet'!I61,"")</f>
        <v/>
      </c>
      <c r="S61" s="702" t="str">
        <f>IF('Chemical Info'!Z62="X",'Res-Rec Worksheet'!I61,"")</f>
        <v/>
      </c>
      <c r="T61" s="702" t="str">
        <f>IF('Chemical Info'!AA62="X",'Res-Rec Worksheet'!I61,"")</f>
        <v/>
      </c>
      <c r="U61" s="692" t="str">
        <f t="shared" si="0"/>
        <v/>
      </c>
    </row>
    <row r="62" spans="1:21" ht="10">
      <c r="A62" s="133" t="s">
        <v>416</v>
      </c>
      <c r="B62" s="566" t="s">
        <v>162</v>
      </c>
      <c r="C62" s="566">
        <v>2021</v>
      </c>
      <c r="D62" s="513" t="str">
        <f>IF('Res-Rec Calculations'!V62="NA","NA",'Res-Rec Calculations'!W62)</f>
        <v>NA</v>
      </c>
      <c r="E62" s="342"/>
      <c r="F62" s="126">
        <f>'Res-Rec Calculations'!Y62</f>
        <v>450</v>
      </c>
      <c r="G62" s="126" t="str">
        <f>'Res-Rec Calculations'!Z62</f>
        <v>Noncancer</v>
      </c>
      <c r="H62" s="127"/>
      <c r="I62" s="698">
        <f>IF(G62="BTV","NA",IF(G62="Max Limit","NA",IF(G62="Csat","NA",IF(ISNUMBER('Res-Rec Calculations'!U62),((H62/'Res-Rec Calculations'!U62)),"NA"))))</f>
        <v>0</v>
      </c>
      <c r="J62" s="704" t="str">
        <f>IF(G62="BTV","NA",IF(G62="Max Limit","NA",IF(G62="Csat","NA",IF(ISNUMBER('Res-Rec Calculations'!N62),((H62/'Res-Rec Calculations'!N62)*0.00001),"NA"))))</f>
        <v>NA</v>
      </c>
      <c r="K62" s="702" t="str">
        <f>IF('Chemical Info'!R63="X",'Res-Rec Worksheet'!I62,"")</f>
        <v/>
      </c>
      <c r="L62" s="702" t="str">
        <f>IF('Chemical Info'!S63="X",'Res-Rec Worksheet'!I62,"")</f>
        <v/>
      </c>
      <c r="M62" s="702" t="str">
        <f>IF('Chemical Info'!T63="X",'Res-Rec Worksheet'!I62,"")</f>
        <v/>
      </c>
      <c r="N62" s="702" t="str">
        <f>IF('Chemical Info'!U63="X",'Res-Rec Worksheet'!I62,"")</f>
        <v/>
      </c>
      <c r="O62" s="702">
        <f>IF('Chemical Info'!V63="X",'Res-Rec Worksheet'!I62,"")</f>
        <v>0</v>
      </c>
      <c r="P62" s="702" t="str">
        <f>IF('Chemical Info'!W63="X",'Res-Rec Worksheet'!I62,"")</f>
        <v/>
      </c>
      <c r="Q62" s="702" t="str">
        <f>IF('Chemical Info'!X63="X",'Res-Rec Worksheet'!I62,"")</f>
        <v/>
      </c>
      <c r="R62" s="702" t="str">
        <f>IF('Chemical Info'!Y63="X",'Res-Rec Worksheet'!I62,"")</f>
        <v/>
      </c>
      <c r="S62" s="702" t="str">
        <f>IF('Chemical Info'!Z63="X",'Res-Rec Worksheet'!I62,"")</f>
        <v/>
      </c>
      <c r="T62" s="702" t="str">
        <f>IF('Chemical Info'!AA63="X",'Res-Rec Worksheet'!I62,"")</f>
        <v/>
      </c>
      <c r="U62" s="692" t="str">
        <f t="shared" si="0"/>
        <v/>
      </c>
    </row>
    <row r="63" spans="1:21" s="123" customFormat="1" ht="10">
      <c r="A63" s="129" t="s">
        <v>370</v>
      </c>
      <c r="B63" s="566" t="s">
        <v>113</v>
      </c>
      <c r="C63" s="566">
        <v>2023</v>
      </c>
      <c r="D63" s="513" t="str">
        <f>IF('Res-Rec Calculations'!V63="NA","NA",'Res-Rec Calculations'!W63)</f>
        <v>NA</v>
      </c>
      <c r="E63" s="342"/>
      <c r="F63" s="132">
        <f>'Res-Rec Calculations'!Y63</f>
        <v>25</v>
      </c>
      <c r="G63" s="132" t="str">
        <f>'Res-Rec Calculations'!Z63</f>
        <v>Noncancer</v>
      </c>
      <c r="H63" s="127"/>
      <c r="I63" s="717">
        <f>IF(G63="BTV","NA",IF(G63="Max Limit","NA",IF(G63="Csat","NA",IF(ISNUMBER('Res-Rec Calculations'!U63),((H63/'Res-Rec Calculations'!U63)),"NA"))))</f>
        <v>0</v>
      </c>
      <c r="J63" s="718" t="str">
        <f>IF(G63="BTV","NA",IF(G63="Max Limit","NA",IF(G63="Csat","NA",IF(ISNUMBER('Res-Rec Calculations'!N63),((H63/'Res-Rec Calculations'!N63)*0.00001),"NA"))))</f>
        <v>NA</v>
      </c>
      <c r="K63" s="702" t="str">
        <f>IF('Chemical Info'!R64="X",'Res-Rec Worksheet'!I63,"")</f>
        <v/>
      </c>
      <c r="L63" s="702" t="str">
        <f>IF('Chemical Info'!S64="X",'Res-Rec Worksheet'!I63,"")</f>
        <v/>
      </c>
      <c r="M63" s="702">
        <f>IF('Chemical Info'!T64="X",'Res-Rec Worksheet'!I63,"")</f>
        <v>0</v>
      </c>
      <c r="N63" s="702">
        <f>IF('Chemical Info'!U64="X",'Res-Rec Worksheet'!I63,"")</f>
        <v>0</v>
      </c>
      <c r="O63" s="702" t="str">
        <f>IF('Chemical Info'!V64="X",'Res-Rec Worksheet'!I63,"")</f>
        <v/>
      </c>
      <c r="P63" s="702" t="str">
        <f>IF('Chemical Info'!W64="X",'Res-Rec Worksheet'!I63,"")</f>
        <v/>
      </c>
      <c r="Q63" s="702" t="str">
        <f>IF('Chemical Info'!X64="X",'Res-Rec Worksheet'!I63,"")</f>
        <v/>
      </c>
      <c r="R63" s="702" t="str">
        <f>IF('Chemical Info'!Y64="X",'Res-Rec Worksheet'!I63,"")</f>
        <v/>
      </c>
      <c r="S63" s="702" t="str">
        <f>IF('Chemical Info'!Z64="X",'Res-Rec Worksheet'!I63,"")</f>
        <v/>
      </c>
      <c r="T63" s="702" t="str">
        <f>IF('Chemical Info'!AA64="X",'Res-Rec Worksheet'!I63,"")</f>
        <v/>
      </c>
      <c r="U63" s="133" t="str">
        <f t="shared" si="0"/>
        <v/>
      </c>
    </row>
    <row r="64" spans="1:21" ht="10">
      <c r="A64" s="129" t="s">
        <v>371</v>
      </c>
      <c r="B64" s="566" t="s">
        <v>152</v>
      </c>
      <c r="C64" s="566">
        <v>2021</v>
      </c>
      <c r="D64" s="513" t="str">
        <f>IF('Res-Rec Calculations'!V64="NA","NA",'Res-Rec Calculations'!W64)</f>
        <v>NA</v>
      </c>
      <c r="E64" s="342"/>
      <c r="F64" s="126">
        <f>'Res-Rec Calculations'!Y64</f>
        <v>30</v>
      </c>
      <c r="G64" s="126" t="str">
        <f>'Res-Rec Calculations'!Z64</f>
        <v>Noncancer</v>
      </c>
      <c r="H64" s="127"/>
      <c r="I64" s="698">
        <f>IF(G64="BTV","NA",IF(G64="Max Limit","NA",IF(G64="Csat","NA",IF(ISNUMBER('Res-Rec Calculations'!U64),((H64/'Res-Rec Calculations'!U64)),"NA"))))</f>
        <v>0</v>
      </c>
      <c r="J64" s="704" t="str">
        <f>IF(G64="BTV","NA",IF(G64="Max Limit","NA",IF(G64="Csat","NA",IF(ISNUMBER('Res-Rec Calculations'!N64),((H64/'Res-Rec Calculations'!N64)*0.00001),"NA"))))</f>
        <v>NA</v>
      </c>
      <c r="K64" s="702" t="str">
        <f>IF('Chemical Info'!R65="X",'Res-Rec Worksheet'!I64,"")</f>
        <v/>
      </c>
      <c r="L64" s="702" t="str">
        <f>IF('Chemical Info'!S65="X",'Res-Rec Worksheet'!I64,"")</f>
        <v/>
      </c>
      <c r="M64" s="702">
        <f>IF('Chemical Info'!T65="X",'Res-Rec Worksheet'!I64,"")</f>
        <v>0</v>
      </c>
      <c r="N64" s="702" t="str">
        <f>IF('Chemical Info'!U65="X",'Res-Rec Worksheet'!I64,"")</f>
        <v/>
      </c>
      <c r="O64" s="702" t="str">
        <f>IF('Chemical Info'!V65="X",'Res-Rec Worksheet'!I64,"")</f>
        <v/>
      </c>
      <c r="P64" s="702" t="str">
        <f>IF('Chemical Info'!W65="X",'Res-Rec Worksheet'!I64,"")</f>
        <v/>
      </c>
      <c r="Q64" s="702" t="str">
        <f>IF('Chemical Info'!X65="X",'Res-Rec Worksheet'!I64,"")</f>
        <v/>
      </c>
      <c r="R64" s="702" t="str">
        <f>IF('Chemical Info'!Y65="X",'Res-Rec Worksheet'!I64,"")</f>
        <v/>
      </c>
      <c r="S64" s="702" t="str">
        <f>IF('Chemical Info'!Z65="X",'Res-Rec Worksheet'!I64,"")</f>
        <v/>
      </c>
      <c r="T64" s="702" t="str">
        <f>IF('Chemical Info'!AA65="X",'Res-Rec Worksheet'!I64,"")</f>
        <v/>
      </c>
      <c r="U64" s="692" t="str">
        <f t="shared" si="0"/>
        <v/>
      </c>
    </row>
    <row r="65" spans="1:21" ht="10">
      <c r="A65" s="133" t="s">
        <v>372</v>
      </c>
      <c r="B65" s="566" t="s">
        <v>153</v>
      </c>
      <c r="C65" s="566">
        <v>2022</v>
      </c>
      <c r="D65" s="513" t="str">
        <f>IF('Res-Rec Calculations'!V65="NA","NA",'Res-Rec Calculations'!W65)</f>
        <v>NA</v>
      </c>
      <c r="E65" s="342"/>
      <c r="F65" s="126">
        <f>'Res-Rec Calculations'!Y65</f>
        <v>200</v>
      </c>
      <c r="G65" s="126" t="str">
        <f>'Res-Rec Calculations'!Z65</f>
        <v>Noncancer</v>
      </c>
      <c r="H65" s="127"/>
      <c r="I65" s="698">
        <f>IF(G65="BTV","NA",IF(G65="Max Limit","NA",IF(G65="Csat","NA",IF(ISNUMBER('Res-Rec Calculations'!U65),((H65/'Res-Rec Calculations'!U65)),"NA"))))</f>
        <v>0</v>
      </c>
      <c r="J65" s="704" t="str">
        <f>IF(G65="BTV","NA",IF(G65="Max Limit","NA",IF(G65="Csat","NA",IF(ISNUMBER('Res-Rec Calculations'!N65),((H65/'Res-Rec Calculations'!N65)*0.00001),"NA"))))</f>
        <v>NA</v>
      </c>
      <c r="K65" s="702" t="str">
        <f>IF('Chemical Info'!R66="X",'Res-Rec Worksheet'!I65,"")</f>
        <v/>
      </c>
      <c r="L65" s="702" t="str">
        <f>IF('Chemical Info'!S66="X",'Res-Rec Worksheet'!I65,"")</f>
        <v/>
      </c>
      <c r="M65" s="702" t="str">
        <f>IF('Chemical Info'!T66="X",'Res-Rec Worksheet'!I65,"")</f>
        <v/>
      </c>
      <c r="N65" s="702" t="str">
        <f>IF('Chemical Info'!U66="X",'Res-Rec Worksheet'!I65,"")</f>
        <v/>
      </c>
      <c r="O65" s="702">
        <f>IF('Chemical Info'!V66="X",'Res-Rec Worksheet'!I65,"")</f>
        <v>0</v>
      </c>
      <c r="P65" s="702" t="str">
        <f>IF('Chemical Info'!W66="X",'Res-Rec Worksheet'!I65,"")</f>
        <v/>
      </c>
      <c r="Q65" s="702" t="str">
        <f>IF('Chemical Info'!X66="X",'Res-Rec Worksheet'!I65,"")</f>
        <v/>
      </c>
      <c r="R65" s="702" t="str">
        <f>IF('Chemical Info'!Y66="X",'Res-Rec Worksheet'!I65,"")</f>
        <v/>
      </c>
      <c r="S65" s="702" t="str">
        <f>IF('Chemical Info'!Z66="X",'Res-Rec Worksheet'!I65,"")</f>
        <v/>
      </c>
      <c r="T65" s="702" t="str">
        <f>IF('Chemical Info'!AA66="X",'Res-Rec Worksheet'!I65,"")</f>
        <v/>
      </c>
      <c r="U65" s="692" t="str">
        <f t="shared" si="0"/>
        <v/>
      </c>
    </row>
    <row r="66" spans="1:21" ht="10">
      <c r="A66" s="129" t="s">
        <v>324</v>
      </c>
      <c r="B66" s="566" t="s">
        <v>27</v>
      </c>
      <c r="C66" s="566">
        <v>2022</v>
      </c>
      <c r="D66" s="513" t="str">
        <f>IF('Res-Rec Calculations'!V66="NA","NA",'Res-Rec Calculations'!W66)</f>
        <v>NA</v>
      </c>
      <c r="E66" s="342"/>
      <c r="F66" s="126">
        <f>'Res-Rec Calculations'!Y66</f>
        <v>130</v>
      </c>
      <c r="G66" s="126" t="str">
        <f>'Res-Rec Calculations'!Z66</f>
        <v>Noncancer</v>
      </c>
      <c r="H66" s="127"/>
      <c r="I66" s="698">
        <f>IF(G66="BTV","NA",IF(G66="Max Limit","NA",IF(G66="Csat","NA",IF(ISNUMBER('Res-Rec Calculations'!U66),((H66/'Res-Rec Calculations'!U66)),"NA"))))</f>
        <v>0</v>
      </c>
      <c r="J66" s="704">
        <f>IF(G66="BTV","NA",IF(G66="Max Limit","NA",IF(G66="Csat","NA",IF(ISNUMBER('Res-Rec Calculations'!N66),((H66/'Res-Rec Calculations'!N66)*0.00001),"NA"))))</f>
        <v>0</v>
      </c>
      <c r="K66" s="702" t="str">
        <f>IF('Chemical Info'!R67="X",'Res-Rec Worksheet'!I66,"")</f>
        <v/>
      </c>
      <c r="L66" s="702" t="str">
        <f>IF('Chemical Info'!S67="X",'Res-Rec Worksheet'!I66,"")</f>
        <v/>
      </c>
      <c r="M66" s="702" t="str">
        <f>IF('Chemical Info'!T67="X",'Res-Rec Worksheet'!I66,"")</f>
        <v/>
      </c>
      <c r="N66" s="702" t="str">
        <f>IF('Chemical Info'!U67="X",'Res-Rec Worksheet'!I66,"")</f>
        <v/>
      </c>
      <c r="O66" s="702">
        <f>IF('Chemical Info'!V67="X",'Res-Rec Worksheet'!I66,"")</f>
        <v>0</v>
      </c>
      <c r="P66" s="702" t="str">
        <f>IF('Chemical Info'!W67="X",'Res-Rec Worksheet'!I66,"")</f>
        <v/>
      </c>
      <c r="Q66" s="702" t="str">
        <f>IF('Chemical Info'!X67="X",'Res-Rec Worksheet'!I66,"")</f>
        <v/>
      </c>
      <c r="R66" s="702" t="str">
        <f>IF('Chemical Info'!Y67="X",'Res-Rec Worksheet'!I66,"")</f>
        <v/>
      </c>
      <c r="S66" s="702" t="str">
        <f>IF('Chemical Info'!Z67="X",'Res-Rec Worksheet'!I66,"")</f>
        <v/>
      </c>
      <c r="T66" s="702" t="str">
        <f>IF('Chemical Info'!AA67="X",'Res-Rec Worksheet'!I66,"")</f>
        <v/>
      </c>
      <c r="U66" s="692" t="str">
        <f t="shared" si="0"/>
        <v/>
      </c>
    </row>
    <row r="67" spans="1:21" ht="10">
      <c r="A67" s="133" t="s">
        <v>398</v>
      </c>
      <c r="B67" s="566" t="s">
        <v>123</v>
      </c>
      <c r="C67" s="566">
        <v>2022</v>
      </c>
      <c r="D67" s="513" t="str">
        <f>IF('Res-Rec Calculations'!V67="NA","NA",'Res-Rec Calculations'!W67)</f>
        <v>NA</v>
      </c>
      <c r="E67" s="342"/>
      <c r="F67" s="126">
        <f>'Res-Rec Calculations'!Y67</f>
        <v>18</v>
      </c>
      <c r="G67" s="126" t="str">
        <f>'Res-Rec Calculations'!Z67</f>
        <v>Noncancer</v>
      </c>
      <c r="H67" s="127"/>
      <c r="I67" s="698">
        <f>IF(G67="BTV","NA",IF(G67="Max Limit","NA",IF(G67="Csat","NA",IF(ISNUMBER('Res-Rec Calculations'!U67),((H67/'Res-Rec Calculations'!U67)),"NA"))))</f>
        <v>0</v>
      </c>
      <c r="J67" s="704">
        <f>IF(G67="BTV","NA",IF(G67="Max Limit","NA",IF(G67="Csat","NA",IF(ISNUMBER('Res-Rec Calculations'!N67),((H67/'Res-Rec Calculations'!N67)*0.00001),"NA"))))</f>
        <v>0</v>
      </c>
      <c r="K67" s="702">
        <f>IF('Chemical Info'!R68="X",'Res-Rec Worksheet'!I67,"")</f>
        <v>0</v>
      </c>
      <c r="L67" s="702">
        <f>IF('Chemical Info'!S68="X",'Res-Rec Worksheet'!I67,"")</f>
        <v>0</v>
      </c>
      <c r="M67" s="702" t="str">
        <f>IF('Chemical Info'!T68="X",'Res-Rec Worksheet'!I67,"")</f>
        <v/>
      </c>
      <c r="N67" s="702" t="str">
        <f>IF('Chemical Info'!U68="X",'Res-Rec Worksheet'!I67,"")</f>
        <v/>
      </c>
      <c r="O67" s="702">
        <f>IF('Chemical Info'!V68="X",'Res-Rec Worksheet'!I67,"")</f>
        <v>0</v>
      </c>
      <c r="P67" s="702">
        <f>IF('Chemical Info'!W68="X",'Res-Rec Worksheet'!I67,"")</f>
        <v>0</v>
      </c>
      <c r="Q67" s="702">
        <f>IF('Chemical Info'!X68="X",'Res-Rec Worksheet'!I67,"")</f>
        <v>0</v>
      </c>
      <c r="R67" s="702" t="str">
        <f>IF('Chemical Info'!Y68="X",'Res-Rec Worksheet'!I67,"")</f>
        <v/>
      </c>
      <c r="S67" s="702" t="str">
        <f>IF('Chemical Info'!Z68="X",'Res-Rec Worksheet'!I67,"")</f>
        <v/>
      </c>
      <c r="T67" s="702" t="str">
        <f>IF('Chemical Info'!AA68="X",'Res-Rec Worksheet'!I67,"")</f>
        <v/>
      </c>
      <c r="U67" s="692" t="str">
        <f t="shared" si="0"/>
        <v/>
      </c>
    </row>
    <row r="68" spans="1:21" ht="10">
      <c r="A68" s="133" t="s">
        <v>1183</v>
      </c>
      <c r="B68" s="566" t="s">
        <v>1184</v>
      </c>
      <c r="C68" s="566">
        <v>2022</v>
      </c>
      <c r="D68" s="513" t="str">
        <f>IF('Res-Rec Calculations'!V68="NA","NA",'Res-Rec Calculations'!W68)</f>
        <v>NA</v>
      </c>
      <c r="E68" s="342"/>
      <c r="F68" s="126">
        <f>'Res-Rec Calculations'!Y68</f>
        <v>440</v>
      </c>
      <c r="G68" s="126" t="str">
        <f>'Res-Rec Calculations'!Z68</f>
        <v>Noncancer</v>
      </c>
      <c r="H68" s="127"/>
      <c r="I68" s="698">
        <f>IF(G68="BTV","NA",IF(G68="Max Limit","NA",IF(G68="Csat","NA",IF(ISNUMBER('Res-Rec Calculations'!U68),((H68/'Res-Rec Calculations'!U68)),"NA"))))</f>
        <v>0</v>
      </c>
      <c r="J68" s="704" t="str">
        <f>IF(G68="BTV","NA",IF(G68="Max Limit","NA",IF(G68="Csat","NA",IF(ISNUMBER('Res-Rec Calculations'!N68),((H68/'Res-Rec Calculations'!N68)*0.00001),"NA"))))</f>
        <v>NA</v>
      </c>
      <c r="K68" s="702" t="str">
        <f>IF('Chemical Info'!R69="X",'Res-Rec Worksheet'!I68,"")</f>
        <v/>
      </c>
      <c r="L68" s="702" t="str">
        <f>IF('Chemical Info'!S69="X",'Res-Rec Worksheet'!I68,"")</f>
        <v/>
      </c>
      <c r="M68" s="702" t="str">
        <f>IF('Chemical Info'!T69="X",'Res-Rec Worksheet'!I68,"")</f>
        <v/>
      </c>
      <c r="N68" s="702">
        <f>IF('Chemical Info'!U69="X",'Res-Rec Worksheet'!I68,"")</f>
        <v>0</v>
      </c>
      <c r="O68" s="702">
        <f>IF('Chemical Info'!V69="X",'Res-Rec Worksheet'!I68,"")</f>
        <v>0</v>
      </c>
      <c r="P68" s="702" t="str">
        <f>IF('Chemical Info'!W69="X",'Res-Rec Worksheet'!I68,"")</f>
        <v/>
      </c>
      <c r="Q68" s="702" t="str">
        <f>IF('Chemical Info'!X69="X",'Res-Rec Worksheet'!I68,"")</f>
        <v/>
      </c>
      <c r="R68" s="702" t="str">
        <f>IF('Chemical Info'!Y69="X",'Res-Rec Worksheet'!I68,"")</f>
        <v/>
      </c>
      <c r="S68" s="702" t="str">
        <f>IF('Chemical Info'!Z69="X",'Res-Rec Worksheet'!I68,"")</f>
        <v/>
      </c>
      <c r="T68" s="702" t="str">
        <f>IF('Chemical Info'!AA69="X",'Res-Rec Worksheet'!I68,"")</f>
        <v/>
      </c>
      <c r="U68" s="692" t="str">
        <f t="shared" si="0"/>
        <v/>
      </c>
    </row>
    <row r="69" spans="1:21" ht="10">
      <c r="A69" s="129" t="s">
        <v>124</v>
      </c>
      <c r="B69" s="566" t="s">
        <v>125</v>
      </c>
      <c r="C69" s="736">
        <v>2025</v>
      </c>
      <c r="D69" s="513" t="str">
        <f>IF('Res-Rec Calculations'!V69="NA","NA",'Res-Rec Calculations'!W69)</f>
        <v>NA</v>
      </c>
      <c r="E69" s="342"/>
      <c r="F69" s="126">
        <f>'Res-Rec Calculations'!Y69</f>
        <v>56</v>
      </c>
      <c r="G69" s="126" t="str">
        <f>'Res-Rec Calculations'!Z69</f>
        <v>Cancer</v>
      </c>
      <c r="H69" s="127"/>
      <c r="I69" s="698">
        <f>IF(G69="BTV","NA",IF(G69="Max Limit","NA",IF(G69="Csat","NA",IF(ISNUMBER('Res-Rec Calculations'!U69),((H69/'Res-Rec Calculations'!U69)),"NA"))))</f>
        <v>0</v>
      </c>
      <c r="J69" s="704">
        <f>IF(G69="BTV","NA",IF(G69="Max Limit","NA",IF(G69="Csat","NA",IF(ISNUMBER('Res-Rec Calculations'!N69),((H69/'Res-Rec Calculations'!N69)*0.00001),"NA"))))</f>
        <v>0</v>
      </c>
      <c r="K69" s="702" t="str">
        <f>IF('Chemical Info'!R70="X",'Res-Rec Worksheet'!I69,"")</f>
        <v/>
      </c>
      <c r="L69" s="702" t="str">
        <f>IF('Chemical Info'!S70="X",'Res-Rec Worksheet'!I69,"")</f>
        <v/>
      </c>
      <c r="M69" s="702" t="str">
        <f>IF('Chemical Info'!T70="X",'Res-Rec Worksheet'!I69,"")</f>
        <v/>
      </c>
      <c r="N69" s="702">
        <f>IF('Chemical Info'!U70="X",'Res-Rec Worksheet'!I69,"")</f>
        <v>0</v>
      </c>
      <c r="O69" s="702">
        <f>IF('Chemical Info'!V70="X",'Res-Rec Worksheet'!I69,"")</f>
        <v>0</v>
      </c>
      <c r="P69" s="702" t="str">
        <f>IF('Chemical Info'!W70="X",'Res-Rec Worksheet'!I69,"")</f>
        <v/>
      </c>
      <c r="Q69" s="702" t="str">
        <f>IF('Chemical Info'!X70="X",'Res-Rec Worksheet'!I69,"")</f>
        <v/>
      </c>
      <c r="R69" s="702" t="str">
        <f>IF('Chemical Info'!Y70="X",'Res-Rec Worksheet'!I69,"")</f>
        <v/>
      </c>
      <c r="S69" s="702" t="str">
        <f>IF('Chemical Info'!Z70="X",'Res-Rec Worksheet'!I69,"")</f>
        <v/>
      </c>
      <c r="T69" s="702" t="str">
        <f>IF('Chemical Info'!AA70="X",'Res-Rec Worksheet'!I69,"")</f>
        <v/>
      </c>
      <c r="U69" s="692" t="str">
        <f t="shared" ref="U69:U132" si="1">IF(G69="Csat","Based on Csat. A concentration &gt; Csat indicates potential for free product in soil.",IF(G69="Max Limit","Based on maximum contaminant limit. Concentration should not be &gt; SRV.",""))</f>
        <v/>
      </c>
    </row>
    <row r="70" spans="1:21" ht="10">
      <c r="A70" s="129" t="s">
        <v>1122</v>
      </c>
      <c r="B70" s="566" t="s">
        <v>1114</v>
      </c>
      <c r="C70" s="566">
        <v>2022</v>
      </c>
      <c r="D70" s="513" t="str">
        <f>IF('Res-Rec Calculations'!V70="NA","NA",'Res-Rec Calculations'!W70)</f>
        <v>NA</v>
      </c>
      <c r="E70" s="342"/>
      <c r="F70" s="126">
        <f>'Res-Rec Calculations'!Y70</f>
        <v>920</v>
      </c>
      <c r="G70" s="126" t="str">
        <f>'Res-Rec Calculations'!Z70</f>
        <v>Noncancer</v>
      </c>
      <c r="H70" s="127"/>
      <c r="I70" s="698">
        <f>IF(G70="BTV","NA",IF(G70="Max Limit","NA",IF(G70="Csat","NA",IF(ISNUMBER('Res-Rec Calculations'!U70),((H70/'Res-Rec Calculations'!U70)),"NA"))))</f>
        <v>0</v>
      </c>
      <c r="J70" s="704" t="str">
        <f>IF(G70="BTV","NA",IF(G70="Max Limit","NA",IF(G70="Csat","NA",IF(ISNUMBER('Res-Rec Calculations'!N70),((H70/'Res-Rec Calculations'!N70)*0.00001),"NA"))))</f>
        <v>NA</v>
      </c>
      <c r="K70" s="702">
        <f>IF('Chemical Info'!R71="X",'Res-Rec Worksheet'!I70,"")</f>
        <v>0</v>
      </c>
      <c r="L70" s="702" t="str">
        <f>IF('Chemical Info'!S71="X",'Res-Rec Worksheet'!I70,"")</f>
        <v/>
      </c>
      <c r="M70" s="702" t="str">
        <f>IF('Chemical Info'!T71="X",'Res-Rec Worksheet'!I70,"")</f>
        <v/>
      </c>
      <c r="N70" s="702" t="str">
        <f>IF('Chemical Info'!U71="X",'Res-Rec Worksheet'!I70,"")</f>
        <v/>
      </c>
      <c r="O70" s="702">
        <f>IF('Chemical Info'!V71="X",'Res-Rec Worksheet'!I70,"")</f>
        <v>0</v>
      </c>
      <c r="P70" s="702" t="str">
        <f>IF('Chemical Info'!W71="X",'Res-Rec Worksheet'!I70,"")</f>
        <v/>
      </c>
      <c r="Q70" s="702" t="str">
        <f>IF('Chemical Info'!X71="X",'Res-Rec Worksheet'!I70,"")</f>
        <v/>
      </c>
      <c r="R70" s="702" t="str">
        <f>IF('Chemical Info'!Y71="X",'Res-Rec Worksheet'!I70,"")</f>
        <v/>
      </c>
      <c r="S70" s="702" t="str">
        <f>IF('Chemical Info'!Z71="X",'Res-Rec Worksheet'!I70,"")</f>
        <v/>
      </c>
      <c r="T70" s="702" t="str">
        <f>IF('Chemical Info'!AA71="X",'Res-Rec Worksheet'!I70,"")</f>
        <v/>
      </c>
      <c r="U70" s="692" t="str">
        <f t="shared" si="1"/>
        <v/>
      </c>
    </row>
    <row r="71" spans="1:21" ht="10">
      <c r="A71" s="129" t="s">
        <v>1228</v>
      </c>
      <c r="B71" s="566" t="s">
        <v>1229</v>
      </c>
      <c r="C71" s="566">
        <v>2022</v>
      </c>
      <c r="D71" s="513" t="str">
        <f>IF('Res-Rec Calculations'!V71="NA","NA",'Res-Rec Calculations'!W71)</f>
        <v>NA</v>
      </c>
      <c r="E71" s="342"/>
      <c r="F71" s="126">
        <f>'Res-Rec Calculations'!Y71</f>
        <v>2900</v>
      </c>
      <c r="G71" s="126" t="str">
        <f>'Res-Rec Calculations'!Z71</f>
        <v>Csat</v>
      </c>
      <c r="H71" s="127"/>
      <c r="I71" s="698" t="str">
        <f>IF(G71="BTV","NA",IF(G71="Max Limit","NA",IF(G71="Csat","NA",IF(ISNUMBER('Res-Rec Calculations'!U71),((H71/'Res-Rec Calculations'!U71)),"NA"))))</f>
        <v>NA</v>
      </c>
      <c r="J71" s="704" t="str">
        <f>IF(G71="BTV","NA",IF(G71="Max Limit","NA",IF(G71="Csat","NA",IF(ISNUMBER('Res-Rec Calculations'!N71),((H71/'Res-Rec Calculations'!N71)*0.00001),"NA"))))</f>
        <v>NA</v>
      </c>
      <c r="K71" s="702" t="str">
        <f>IF('Chemical Info'!R72="X",'Res-Rec Worksheet'!I71,"")</f>
        <v/>
      </c>
      <c r="L71" s="702" t="str">
        <f>IF('Chemical Info'!S72="X",'Res-Rec Worksheet'!I71,"")</f>
        <v/>
      </c>
      <c r="M71" s="702" t="str">
        <f>IF('Chemical Info'!T72="X",'Res-Rec Worksheet'!I71,"")</f>
        <v/>
      </c>
      <c r="N71" s="702" t="str">
        <f>IF('Chemical Info'!U72="X",'Res-Rec Worksheet'!I71,"")</f>
        <v>NA</v>
      </c>
      <c r="O71" s="702" t="str">
        <f>IF('Chemical Info'!V72="X",'Res-Rec Worksheet'!I71,"")</f>
        <v/>
      </c>
      <c r="P71" s="702" t="str">
        <f>IF('Chemical Info'!W72="X",'Res-Rec Worksheet'!I71,"")</f>
        <v/>
      </c>
      <c r="Q71" s="702" t="str">
        <f>IF('Chemical Info'!X72="X",'Res-Rec Worksheet'!I71,"")</f>
        <v/>
      </c>
      <c r="R71" s="702" t="str">
        <f>IF('Chemical Info'!Y72="X",'Res-Rec Worksheet'!I71,"")</f>
        <v/>
      </c>
      <c r="S71" s="702" t="str">
        <f>IF('Chemical Info'!Z72="X",'Res-Rec Worksheet'!I71,"")</f>
        <v/>
      </c>
      <c r="T71" s="702" t="str">
        <f>IF('Chemical Info'!AA72="X",'Res-Rec Worksheet'!I71,"")</f>
        <v/>
      </c>
      <c r="U71" s="692" t="str">
        <f t="shared" si="1"/>
        <v>Based on Csat. A concentration &gt; Csat indicates potential for free product in soil.</v>
      </c>
    </row>
    <row r="72" spans="1:21" ht="10">
      <c r="A72" s="129" t="s">
        <v>1167</v>
      </c>
      <c r="B72" s="566" t="s">
        <v>1168</v>
      </c>
      <c r="C72" s="566">
        <v>2022</v>
      </c>
      <c r="D72" s="513" t="str">
        <f>IF('Res-Rec Calculations'!V72="NA","NA",'Res-Rec Calculations'!W72)</f>
        <v>NA</v>
      </c>
      <c r="E72" s="342"/>
      <c r="F72" s="126">
        <f>'Res-Rec Calculations'!Y72</f>
        <v>7.8</v>
      </c>
      <c r="G72" s="126" t="str">
        <f>'Res-Rec Calculations'!Z72</f>
        <v>Noncancer</v>
      </c>
      <c r="H72" s="127"/>
      <c r="I72" s="698">
        <f>IF(G72="BTV","NA",IF(G72="Max Limit","NA",IF(G72="Csat","NA",IF(ISNUMBER('Res-Rec Calculations'!U72),((H72/'Res-Rec Calculations'!U72)),"NA"))))</f>
        <v>0</v>
      </c>
      <c r="J72" s="704">
        <f>IF(G72="BTV","NA",IF(G72="Max Limit","NA",IF(G72="Csat","NA",IF(ISNUMBER('Res-Rec Calculations'!N72),((H72/'Res-Rec Calculations'!N72)*0.00001),"NA"))))</f>
        <v>0</v>
      </c>
      <c r="K72" s="702" t="str">
        <f>IF('Chemical Info'!R73="X",'Res-Rec Worksheet'!I72,"")</f>
        <v/>
      </c>
      <c r="L72" s="702" t="str">
        <f>IF('Chemical Info'!S73="X",'Res-Rec Worksheet'!I72,"")</f>
        <v/>
      </c>
      <c r="M72" s="702" t="str">
        <f>IF('Chemical Info'!T73="X",'Res-Rec Worksheet'!I72,"")</f>
        <v/>
      </c>
      <c r="N72" s="702" t="str">
        <f>IF('Chemical Info'!U73="X",'Res-Rec Worksheet'!I72,"")</f>
        <v/>
      </c>
      <c r="O72" s="702" t="str">
        <f>IF('Chemical Info'!V73="X",'Res-Rec Worksheet'!I72,"")</f>
        <v/>
      </c>
      <c r="P72" s="702">
        <f>IF('Chemical Info'!W73="X",'Res-Rec Worksheet'!I72,"")</f>
        <v>0</v>
      </c>
      <c r="Q72" s="702">
        <f>IF('Chemical Info'!X73="X",'Res-Rec Worksheet'!I72,"")</f>
        <v>0</v>
      </c>
      <c r="R72" s="702" t="str">
        <f>IF('Chemical Info'!Y73="X",'Res-Rec Worksheet'!I72,"")</f>
        <v/>
      </c>
      <c r="S72" s="702" t="str">
        <f>IF('Chemical Info'!Z73="X",'Res-Rec Worksheet'!I72,"")</f>
        <v/>
      </c>
      <c r="T72" s="702" t="str">
        <f>IF('Chemical Info'!AA73="X",'Res-Rec Worksheet'!I72,"")</f>
        <v/>
      </c>
      <c r="U72" s="692" t="str">
        <f t="shared" si="1"/>
        <v/>
      </c>
    </row>
    <row r="73" spans="1:21" ht="10">
      <c r="A73" s="129" t="s">
        <v>166</v>
      </c>
      <c r="B73" s="566" t="s">
        <v>167</v>
      </c>
      <c r="C73" s="566">
        <v>2016</v>
      </c>
      <c r="D73" s="513" t="str">
        <f>IF('Res-Rec Calculations'!V73="NA","NA",'Res-Rec Calculations'!W73)</f>
        <v>NA</v>
      </c>
      <c r="E73" s="342"/>
      <c r="F73" s="126">
        <f>'Res-Rec Calculations'!Y73</f>
        <v>22</v>
      </c>
      <c r="G73" s="126" t="str">
        <f>'Res-Rec Calculations'!Z73</f>
        <v>Noncancer</v>
      </c>
      <c r="H73" s="127"/>
      <c r="I73" s="698">
        <f>IF(G73="BTV","NA",IF(G73="Max Limit","NA",IF(G73="Csat","NA",IF(ISNUMBER('Res-Rec Calculations'!U73),((H73/'Res-Rec Calculations'!U73)),"NA"))))</f>
        <v>0</v>
      </c>
      <c r="J73" s="704" t="str">
        <f>IF(G73="BTV","NA",IF(G73="Max Limit","NA",IF(G73="Csat","NA",IF(ISNUMBER('Res-Rec Calculations'!N73),((H73/'Res-Rec Calculations'!N73)*0.00001),"NA"))))</f>
        <v>NA</v>
      </c>
      <c r="K73" s="702" t="str">
        <f>IF('Chemical Info'!R74="X",'Res-Rec Worksheet'!I73,"")</f>
        <v/>
      </c>
      <c r="L73" s="702" t="str">
        <f>IF('Chemical Info'!S74="X",'Res-Rec Worksheet'!I73,"")</f>
        <v/>
      </c>
      <c r="M73" s="702" t="str">
        <f>IF('Chemical Info'!T74="X",'Res-Rec Worksheet'!I73,"")</f>
        <v/>
      </c>
      <c r="N73" s="702" t="str">
        <f>IF('Chemical Info'!U74="X",'Res-Rec Worksheet'!I73,"")</f>
        <v/>
      </c>
      <c r="O73" s="702">
        <f>IF('Chemical Info'!V74="X",'Res-Rec Worksheet'!I73,"")</f>
        <v>0</v>
      </c>
      <c r="P73" s="702" t="str">
        <f>IF('Chemical Info'!W74="X",'Res-Rec Worksheet'!I73,"")</f>
        <v/>
      </c>
      <c r="Q73" s="702" t="str">
        <f>IF('Chemical Info'!X74="X",'Res-Rec Worksheet'!I73,"")</f>
        <v/>
      </c>
      <c r="R73" s="702" t="str">
        <f>IF('Chemical Info'!Y74="X",'Res-Rec Worksheet'!I73,"")</f>
        <v/>
      </c>
      <c r="S73" s="702" t="str">
        <f>IF('Chemical Info'!Z74="X",'Res-Rec Worksheet'!I73,"")</f>
        <v/>
      </c>
      <c r="T73" s="702" t="str">
        <f>IF('Chemical Info'!AA74="X",'Res-Rec Worksheet'!I73,"")</f>
        <v/>
      </c>
      <c r="U73" s="692" t="str">
        <f t="shared" si="1"/>
        <v/>
      </c>
    </row>
    <row r="74" spans="1:21" ht="10">
      <c r="A74" s="129" t="s">
        <v>63</v>
      </c>
      <c r="B74" s="566" t="s">
        <v>64</v>
      </c>
      <c r="C74" s="566">
        <v>2016</v>
      </c>
      <c r="D74" s="513" t="str">
        <f>IF('Res-Rec Calculations'!V74="NA","NA",'Res-Rec Calculations'!W74)</f>
        <v>NA</v>
      </c>
      <c r="E74" s="342"/>
      <c r="F74" s="126">
        <f>'Res-Rec Calculations'!Y74</f>
        <v>140</v>
      </c>
      <c r="G74" s="126" t="str">
        <f>'Res-Rec Calculations'!Z74</f>
        <v>Csat</v>
      </c>
      <c r="H74" s="127"/>
      <c r="I74" s="698" t="str">
        <f>IF(G74="BTV","NA",IF(G74="Max Limit","NA",IF(G74="Csat","NA",IF(ISNUMBER('Res-Rec Calculations'!U74),((H74/'Res-Rec Calculations'!U74)),"NA"))))</f>
        <v>NA</v>
      </c>
      <c r="J74" s="704" t="str">
        <f>IF(G74="BTV","NA",IF(G74="Max Limit","NA",IF(G74="Csat","NA",IF(ISNUMBER('Res-Rec Calculations'!N74),((H74/'Res-Rec Calculations'!N74)*0.00001),"NA"))))</f>
        <v>NA</v>
      </c>
      <c r="K74" s="702" t="str">
        <f>IF('Chemical Info'!R75="X",'Res-Rec Worksheet'!I74,"")</f>
        <v>NA</v>
      </c>
      <c r="L74" s="702" t="str">
        <f>IF('Chemical Info'!S75="X",'Res-Rec Worksheet'!I74,"")</f>
        <v/>
      </c>
      <c r="M74" s="702" t="str">
        <f>IF('Chemical Info'!T75="X",'Res-Rec Worksheet'!I74,"")</f>
        <v/>
      </c>
      <c r="N74" s="702" t="str">
        <f>IF('Chemical Info'!U75="X",'Res-Rec Worksheet'!I74,"")</f>
        <v/>
      </c>
      <c r="O74" s="702" t="str">
        <f>IF('Chemical Info'!V75="X",'Res-Rec Worksheet'!I74,"")</f>
        <v/>
      </c>
      <c r="P74" s="702" t="str">
        <f>IF('Chemical Info'!W75="X",'Res-Rec Worksheet'!I74,"")</f>
        <v/>
      </c>
      <c r="Q74" s="702" t="str">
        <f>IF('Chemical Info'!X75="X",'Res-Rec Worksheet'!I74,"")</f>
        <v/>
      </c>
      <c r="R74" s="702" t="str">
        <f>IF('Chemical Info'!Y75="X",'Res-Rec Worksheet'!I74,"")</f>
        <v/>
      </c>
      <c r="S74" s="702" t="str">
        <f>IF('Chemical Info'!Z75="X",'Res-Rec Worksheet'!I74,"")</f>
        <v/>
      </c>
      <c r="T74" s="702" t="str">
        <f>IF('Chemical Info'!AA75="X",'Res-Rec Worksheet'!I74,"")</f>
        <v/>
      </c>
      <c r="U74" s="692" t="str">
        <f t="shared" si="1"/>
        <v>Based on Csat. A concentration &gt; Csat indicates potential for free product in soil.</v>
      </c>
    </row>
    <row r="75" spans="1:21" ht="10">
      <c r="A75" s="129" t="s">
        <v>1173</v>
      </c>
      <c r="B75" s="566" t="s">
        <v>1174</v>
      </c>
      <c r="C75" s="566">
        <v>2022</v>
      </c>
      <c r="D75" s="513" t="str">
        <f>IF('Res-Rec Calculations'!V75="NA","NA",'Res-Rec Calculations'!W75)</f>
        <v>NA</v>
      </c>
      <c r="E75" s="342"/>
      <c r="F75" s="126">
        <f>'Res-Rec Calculations'!Y75</f>
        <v>2.2000000000000002</v>
      </c>
      <c r="G75" s="126" t="str">
        <f>'Res-Rec Calculations'!Z75</f>
        <v>Noncancer</v>
      </c>
      <c r="H75" s="127"/>
      <c r="I75" s="698">
        <f>IF(G75="BTV","NA",IF(G75="Max Limit","NA",IF(G75="Csat","NA",IF(ISNUMBER('Res-Rec Calculations'!U75),((H75/'Res-Rec Calculations'!U75)),"NA"))))</f>
        <v>0</v>
      </c>
      <c r="J75" s="704" t="str">
        <f>IF(G75="BTV","NA",IF(G75="Max Limit","NA",IF(G75="Csat","NA",IF(ISNUMBER('Res-Rec Calculations'!N75),((H75/'Res-Rec Calculations'!N75)*0.00001),"NA"))))</f>
        <v>NA</v>
      </c>
      <c r="K75" s="702" t="str">
        <f>IF('Chemical Info'!R76="X",'Res-Rec Worksheet'!I75,"")</f>
        <v/>
      </c>
      <c r="L75" s="702" t="str">
        <f>IF('Chemical Info'!S76="X",'Res-Rec Worksheet'!I75,"")</f>
        <v/>
      </c>
      <c r="M75" s="702" t="str">
        <f>IF('Chemical Info'!T76="X",'Res-Rec Worksheet'!I75,"")</f>
        <v/>
      </c>
      <c r="N75" s="702" t="str">
        <f>IF('Chemical Info'!U76="X",'Res-Rec Worksheet'!I75,"")</f>
        <v/>
      </c>
      <c r="O75" s="702">
        <f>IF('Chemical Info'!V76="X",'Res-Rec Worksheet'!I75,"")</f>
        <v>0</v>
      </c>
      <c r="P75" s="702" t="str">
        <f>IF('Chemical Info'!W76="X",'Res-Rec Worksheet'!I75,"")</f>
        <v/>
      </c>
      <c r="Q75" s="702" t="str">
        <f>IF('Chemical Info'!X76="X",'Res-Rec Worksheet'!I75,"")</f>
        <v/>
      </c>
      <c r="R75" s="702" t="str">
        <f>IF('Chemical Info'!Y76="X",'Res-Rec Worksheet'!I75,"")</f>
        <v/>
      </c>
      <c r="S75" s="702" t="str">
        <f>IF('Chemical Info'!Z76="X",'Res-Rec Worksheet'!I75,"")</f>
        <v/>
      </c>
      <c r="T75" s="702" t="str">
        <f>IF('Chemical Info'!AA76="X",'Res-Rec Worksheet'!I75,"")</f>
        <v/>
      </c>
      <c r="U75" s="692" t="str">
        <f t="shared" si="1"/>
        <v/>
      </c>
    </row>
    <row r="76" spans="1:21" ht="10">
      <c r="A76" s="129" t="s">
        <v>325</v>
      </c>
      <c r="B76" s="566" t="s">
        <v>225</v>
      </c>
      <c r="C76" s="566">
        <v>2022</v>
      </c>
      <c r="D76" s="513" t="str">
        <f>IF('Res-Rec Calculations'!V76="NA","NA",'Res-Rec Calculations'!W76)</f>
        <v>NA</v>
      </c>
      <c r="E76" s="342"/>
      <c r="F76" s="126">
        <f>'Res-Rec Calculations'!Y76</f>
        <v>8800</v>
      </c>
      <c r="G76" s="126" t="str">
        <f>'Res-Rec Calculations'!Z76</f>
        <v>Noncancer</v>
      </c>
      <c r="H76" s="127"/>
      <c r="I76" s="698">
        <f>IF(G76="BTV","NA",IF(G76="Max Limit","NA",IF(G76="Csat","NA",IF(ISNUMBER('Res-Rec Calculations'!U76),((H76/'Res-Rec Calculations'!U76)),"NA"))))</f>
        <v>0</v>
      </c>
      <c r="J76" s="704" t="str">
        <f>IF(G76="BTV","NA",IF(G76="Max Limit","NA",IF(G76="Csat","NA",IF(ISNUMBER('Res-Rec Calculations'!N76),((H76/'Res-Rec Calculations'!N76)*0.00001),"NA"))))</f>
        <v>NA</v>
      </c>
      <c r="K76" s="702" t="str">
        <f>IF('Chemical Info'!R77="X",'Res-Rec Worksheet'!I76,"")</f>
        <v/>
      </c>
      <c r="L76" s="702" t="str">
        <f>IF('Chemical Info'!S77="X",'Res-Rec Worksheet'!I76,"")</f>
        <v/>
      </c>
      <c r="M76" s="702" t="str">
        <f>IF('Chemical Info'!T77="X",'Res-Rec Worksheet'!I76,"")</f>
        <v/>
      </c>
      <c r="N76" s="702" t="str">
        <f>IF('Chemical Info'!U77="X",'Res-Rec Worksheet'!I76,"")</f>
        <v/>
      </c>
      <c r="O76" s="702" t="str">
        <f>IF('Chemical Info'!V77="X",'Res-Rec Worksheet'!I76,"")</f>
        <v/>
      </c>
      <c r="P76" s="702">
        <f>IF('Chemical Info'!W77="X",'Res-Rec Worksheet'!I76,"")</f>
        <v>0</v>
      </c>
      <c r="Q76" s="702" t="str">
        <f>IF('Chemical Info'!X77="X",'Res-Rec Worksheet'!I76,"")</f>
        <v/>
      </c>
      <c r="R76" s="702">
        <f>IF('Chemical Info'!Y77="X",'Res-Rec Worksheet'!I76,"")</f>
        <v>0</v>
      </c>
      <c r="S76" s="702" t="str">
        <f>IF('Chemical Info'!Z77="X",'Res-Rec Worksheet'!I76,"")</f>
        <v/>
      </c>
      <c r="T76" s="702" t="str">
        <f>IF('Chemical Info'!AA77="X",'Res-Rec Worksheet'!I76,"")</f>
        <v/>
      </c>
      <c r="U76" s="692" t="str">
        <f t="shared" si="1"/>
        <v/>
      </c>
    </row>
    <row r="77" spans="1:21" ht="10">
      <c r="A77" s="129" t="s">
        <v>1175</v>
      </c>
      <c r="B77" s="566" t="s">
        <v>1176</v>
      </c>
      <c r="C77" s="566">
        <v>2022</v>
      </c>
      <c r="D77" s="513" t="str">
        <f>IF('Res-Rec Calculations'!V77="NA","NA",'Res-Rec Calculations'!W77)</f>
        <v>NA</v>
      </c>
      <c r="E77" s="342"/>
      <c r="F77" s="126">
        <f>'Res-Rec Calculations'!Y77</f>
        <v>2400</v>
      </c>
      <c r="G77" s="126" t="str">
        <f>'Res-Rec Calculations'!Z77</f>
        <v>Csat</v>
      </c>
      <c r="H77" s="127"/>
      <c r="I77" s="698" t="str">
        <f>IF(G77="BTV","NA",IF(G77="Max Limit","NA",IF(G77="Csat","NA",IF(ISNUMBER('Res-Rec Calculations'!U77),((H77/'Res-Rec Calculations'!U77)),"NA"))))</f>
        <v>NA</v>
      </c>
      <c r="J77" s="704" t="str">
        <f>IF(G77="BTV","NA",IF(G77="Max Limit","NA",IF(G77="Csat","NA",IF(ISNUMBER('Res-Rec Calculations'!N77),((H77/'Res-Rec Calculations'!N77)*0.00001),"NA"))))</f>
        <v>NA</v>
      </c>
      <c r="K77" s="702" t="str">
        <f>IF('Chemical Info'!R78="X",'Res-Rec Worksheet'!I77,"")</f>
        <v>NA</v>
      </c>
      <c r="L77" s="702" t="str">
        <f>IF('Chemical Info'!S78="X",'Res-Rec Worksheet'!I77,"")</f>
        <v/>
      </c>
      <c r="M77" s="702" t="str">
        <f>IF('Chemical Info'!T78="X",'Res-Rec Worksheet'!I77,"")</f>
        <v/>
      </c>
      <c r="N77" s="702" t="str">
        <f>IF('Chemical Info'!U78="X",'Res-Rec Worksheet'!I77,"")</f>
        <v/>
      </c>
      <c r="O77" s="702" t="str">
        <f>IF('Chemical Info'!V78="X",'Res-Rec Worksheet'!I77,"")</f>
        <v/>
      </c>
      <c r="P77" s="702" t="str">
        <f>IF('Chemical Info'!W78="X",'Res-Rec Worksheet'!I77,"")</f>
        <v/>
      </c>
      <c r="Q77" s="702" t="str">
        <f>IF('Chemical Info'!X78="X",'Res-Rec Worksheet'!I77,"")</f>
        <v>NA</v>
      </c>
      <c r="R77" s="702" t="str">
        <f>IF('Chemical Info'!Y78="X",'Res-Rec Worksheet'!I77,"")</f>
        <v/>
      </c>
      <c r="S77" s="702" t="str">
        <f>IF('Chemical Info'!Z78="X",'Res-Rec Worksheet'!I77,"")</f>
        <v/>
      </c>
      <c r="T77" s="702" t="str">
        <f>IF('Chemical Info'!AA78="X",'Res-Rec Worksheet'!I77,"")</f>
        <v/>
      </c>
      <c r="U77" s="692" t="str">
        <f t="shared" si="1"/>
        <v>Based on Csat. A concentration &gt; Csat indicates potential for free product in soil.</v>
      </c>
    </row>
    <row r="78" spans="1:21" ht="10">
      <c r="A78" s="129" t="s">
        <v>918</v>
      </c>
      <c r="B78" s="566" t="s">
        <v>34</v>
      </c>
      <c r="C78" s="566">
        <v>2022</v>
      </c>
      <c r="D78" s="513" t="str">
        <f>IF('Res-Rec Calculations'!V78="NA","NA",'Res-Rec Calculations'!W78)</f>
        <v>NA</v>
      </c>
      <c r="E78" s="342"/>
      <c r="F78" s="126">
        <f>'Res-Rec Calculations'!Y78</f>
        <v>1600</v>
      </c>
      <c r="G78" s="126" t="str">
        <f>'Res-Rec Calculations'!Z78</f>
        <v>Noncancer</v>
      </c>
      <c r="H78" s="127"/>
      <c r="I78" s="698">
        <f>IF(G78="BTV","NA",IF(G78="Max Limit","NA",IF(G78="Csat","NA",IF(ISNUMBER('Res-Rec Calculations'!U78),((H78/'Res-Rec Calculations'!U78)),"NA"))))</f>
        <v>0</v>
      </c>
      <c r="J78" s="704" t="str">
        <f>IF(G78="BTV","NA",IF(G78="Max Limit","NA",IF(G78="Csat","NA",IF(ISNUMBER('Res-Rec Calculations'!N78),((H78/'Res-Rec Calculations'!N78)*0.00001),"NA"))))</f>
        <v>NA</v>
      </c>
      <c r="K78" s="702" t="str">
        <f>IF('Chemical Info'!R79="X",'Res-Rec Worksheet'!I78,"")</f>
        <v/>
      </c>
      <c r="L78" s="702" t="str">
        <f>IF('Chemical Info'!S79="X",'Res-Rec Worksheet'!I78,"")</f>
        <v/>
      </c>
      <c r="M78" s="702" t="str">
        <f>IF('Chemical Info'!T79="X",'Res-Rec Worksheet'!I78,"")</f>
        <v/>
      </c>
      <c r="N78" s="702" t="str">
        <f>IF('Chemical Info'!U79="X",'Res-Rec Worksheet'!I78,"")</f>
        <v/>
      </c>
      <c r="O78" s="702">
        <f>IF('Chemical Info'!V79="X",'Res-Rec Worksheet'!I78,"")</f>
        <v>0</v>
      </c>
      <c r="P78" s="702">
        <f>IF('Chemical Info'!W79="X",'Res-Rec Worksheet'!I78,"")</f>
        <v>0</v>
      </c>
      <c r="Q78" s="702" t="str">
        <f>IF('Chemical Info'!X79="X",'Res-Rec Worksheet'!I78,"")</f>
        <v/>
      </c>
      <c r="R78" s="702">
        <f>IF('Chemical Info'!Y79="X",'Res-Rec Worksheet'!I78,"")</f>
        <v>0</v>
      </c>
      <c r="S78" s="702" t="str">
        <f>IF('Chemical Info'!Z79="X",'Res-Rec Worksheet'!I78,"")</f>
        <v/>
      </c>
      <c r="T78" s="702" t="str">
        <f>IF('Chemical Info'!AA79="X",'Res-Rec Worksheet'!I78,"")</f>
        <v/>
      </c>
      <c r="U78" s="692" t="str">
        <f t="shared" si="1"/>
        <v/>
      </c>
    </row>
    <row r="79" spans="1:21" ht="10">
      <c r="A79" s="129" t="s">
        <v>1110</v>
      </c>
      <c r="B79" s="566" t="s">
        <v>1111</v>
      </c>
      <c r="C79" s="566">
        <v>2022</v>
      </c>
      <c r="D79" s="513" t="str">
        <f>IF('Res-Rec Calculations'!V79="NA","NA",'Res-Rec Calculations'!W79)</f>
        <v>NA</v>
      </c>
      <c r="E79" s="342"/>
      <c r="F79" s="126">
        <f>'Res-Rec Calculations'!Y79</f>
        <v>440</v>
      </c>
      <c r="G79" s="126" t="str">
        <f>'Res-Rec Calculations'!Z79</f>
        <v>Cancer</v>
      </c>
      <c r="H79" s="127"/>
      <c r="I79" s="698">
        <f>IF(G79="BTV","NA",IF(G79="Max Limit","NA",IF(G79="Csat","NA",IF(ISNUMBER('Res-Rec Calculations'!U79),((H79/'Res-Rec Calculations'!U79)),"NA"))))</f>
        <v>0</v>
      </c>
      <c r="J79" s="704">
        <f>IF(G79="BTV","NA",IF(G79="Max Limit","NA",IF(G79="Csat","NA",IF(ISNUMBER('Res-Rec Calculations'!N79),((H79/'Res-Rec Calculations'!N79)*0.00001),"NA"))))</f>
        <v>0</v>
      </c>
      <c r="K79" s="702" t="str">
        <f>IF('Chemical Info'!R80="X",'Res-Rec Worksheet'!I79,"")</f>
        <v/>
      </c>
      <c r="L79" s="702" t="str">
        <f>IF('Chemical Info'!S80="X",'Res-Rec Worksheet'!I79,"")</f>
        <v/>
      </c>
      <c r="M79" s="702" t="str">
        <f>IF('Chemical Info'!T80="X",'Res-Rec Worksheet'!I79,"")</f>
        <v/>
      </c>
      <c r="N79" s="702">
        <f>IF('Chemical Info'!U80="X",'Res-Rec Worksheet'!I79,"")</f>
        <v>0</v>
      </c>
      <c r="O79" s="702">
        <f>IF('Chemical Info'!V80="X",'Res-Rec Worksheet'!I79,"")</f>
        <v>0</v>
      </c>
      <c r="P79" s="702" t="str">
        <f>IF('Chemical Info'!W80="X",'Res-Rec Worksheet'!I79,"")</f>
        <v/>
      </c>
      <c r="Q79" s="702" t="str">
        <f>IF('Chemical Info'!X80="X",'Res-Rec Worksheet'!I79,"")</f>
        <v/>
      </c>
      <c r="R79" s="702" t="str">
        <f>IF('Chemical Info'!Y80="X",'Res-Rec Worksheet'!I79,"")</f>
        <v/>
      </c>
      <c r="S79" s="702" t="str">
        <f>IF('Chemical Info'!Z80="X",'Res-Rec Worksheet'!I79,"")</f>
        <v/>
      </c>
      <c r="T79" s="702" t="str">
        <f>IF('Chemical Info'!AA80="X",'Res-Rec Worksheet'!I79,"")</f>
        <v/>
      </c>
      <c r="U79" s="692" t="str">
        <f t="shared" si="1"/>
        <v/>
      </c>
    </row>
    <row r="80" spans="1:21" ht="10">
      <c r="A80" s="129" t="s">
        <v>158</v>
      </c>
      <c r="B80" s="566" t="s">
        <v>36</v>
      </c>
      <c r="C80" s="566">
        <v>2016</v>
      </c>
      <c r="D80" s="513" t="str">
        <f>IF('Res-Rec Calculations'!V80="NA","NA",'Res-Rec Calculations'!W80)</f>
        <v>NA</v>
      </c>
      <c r="E80" s="342"/>
      <c r="F80" s="126">
        <f>'Res-Rec Calculations'!Y80</f>
        <v>81</v>
      </c>
      <c r="G80" s="126" t="str">
        <f>'Res-Rec Calculations'!Z80</f>
        <v>Cancer</v>
      </c>
      <c r="H80" s="127"/>
      <c r="I80" s="698">
        <f>IF(G80="BTV","NA",IF(G80="Max Limit","NA",IF(G80="Csat","NA",IF(ISNUMBER('Res-Rec Calculations'!U80),((H80/'Res-Rec Calculations'!U80)),"NA"))))</f>
        <v>0</v>
      </c>
      <c r="J80" s="704">
        <f>IF(G80="BTV","NA",IF(G80="Max Limit","NA",IF(G80="Csat","NA",IF(ISNUMBER('Res-Rec Calculations'!N80),((H80/'Res-Rec Calculations'!N80)*0.00001),"NA"))))</f>
        <v>0</v>
      </c>
      <c r="K80" s="702">
        <f>IF('Chemical Info'!R81="X",'Res-Rec Worksheet'!I80,"")</f>
        <v>0</v>
      </c>
      <c r="L80" s="702">
        <f>IF('Chemical Info'!S81="X",'Res-Rec Worksheet'!I80,"")</f>
        <v>0</v>
      </c>
      <c r="M80" s="702">
        <f>IF('Chemical Info'!T81="X",'Res-Rec Worksheet'!I80,"")</f>
        <v>0</v>
      </c>
      <c r="N80" s="702" t="str">
        <f>IF('Chemical Info'!U81="X",'Res-Rec Worksheet'!I80,"")</f>
        <v/>
      </c>
      <c r="O80" s="702" t="str">
        <f>IF('Chemical Info'!V81="X",'Res-Rec Worksheet'!I80,"")</f>
        <v/>
      </c>
      <c r="P80" s="702" t="str">
        <f>IF('Chemical Info'!W81="X",'Res-Rec Worksheet'!I80,"")</f>
        <v/>
      </c>
      <c r="Q80" s="702">
        <f>IF('Chemical Info'!X81="X",'Res-Rec Worksheet'!I80,"")</f>
        <v>0</v>
      </c>
      <c r="R80" s="702" t="str">
        <f>IF('Chemical Info'!Y81="X",'Res-Rec Worksheet'!I80,"")</f>
        <v/>
      </c>
      <c r="S80" s="702" t="str">
        <f>IF('Chemical Info'!Z81="X",'Res-Rec Worksheet'!I80,"")</f>
        <v/>
      </c>
      <c r="T80" s="702" t="str">
        <f>IF('Chemical Info'!AA81="X",'Res-Rec Worksheet'!I80,"")</f>
        <v/>
      </c>
      <c r="U80" s="692" t="str">
        <f t="shared" si="1"/>
        <v/>
      </c>
    </row>
    <row r="81" spans="1:21" ht="10">
      <c r="A81" s="129" t="s">
        <v>442</v>
      </c>
      <c r="B81" s="566" t="s">
        <v>443</v>
      </c>
      <c r="C81" s="566">
        <v>2016</v>
      </c>
      <c r="D81" s="513" t="str">
        <f>IF('Res-Rec Calculations'!V81="NA","NA",'Res-Rec Calculations'!W81)</f>
        <v>NA</v>
      </c>
      <c r="E81" s="342"/>
      <c r="F81" s="126">
        <f>'Res-Rec Calculations'!Y81</f>
        <v>260</v>
      </c>
      <c r="G81" s="126" t="str">
        <f>'Res-Rec Calculations'!Z81</f>
        <v>Csat</v>
      </c>
      <c r="H81" s="127"/>
      <c r="I81" s="698" t="str">
        <f>IF(G81="BTV","NA",IF(G81="Max Limit","NA",IF(G81="Csat","NA",IF(ISNUMBER('Res-Rec Calculations'!U81),((H81/'Res-Rec Calculations'!U81)),"NA"))))</f>
        <v>NA</v>
      </c>
      <c r="J81" s="704" t="str">
        <f>IF(G81="BTV","NA",IF(G81="Max Limit","NA",IF(G81="Csat","NA",IF(ISNUMBER('Res-Rec Calculations'!N81),((H81/'Res-Rec Calculations'!N81)*0.00001),"NA"))))</f>
        <v>NA</v>
      </c>
      <c r="K81" s="702" t="str">
        <f>IF('Chemical Info'!R82="X",'Res-Rec Worksheet'!I81,"")</f>
        <v/>
      </c>
      <c r="L81" s="702" t="str">
        <f>IF('Chemical Info'!S82="X",'Res-Rec Worksheet'!I81,"")</f>
        <v/>
      </c>
      <c r="M81" s="702" t="str">
        <f>IF('Chemical Info'!T82="X",'Res-Rec Worksheet'!I81,"")</f>
        <v/>
      </c>
      <c r="N81" s="702" t="str">
        <f>IF('Chemical Info'!U82="X",'Res-Rec Worksheet'!I81,"")</f>
        <v>NA</v>
      </c>
      <c r="O81" s="702" t="str">
        <f>IF('Chemical Info'!V82="X",'Res-Rec Worksheet'!I81,"")</f>
        <v>NA</v>
      </c>
      <c r="P81" s="702" t="str">
        <f>IF('Chemical Info'!W82="X",'Res-Rec Worksheet'!I81,"")</f>
        <v>NA</v>
      </c>
      <c r="Q81" s="702" t="str">
        <f>IF('Chemical Info'!X82="X",'Res-Rec Worksheet'!I81,"")</f>
        <v/>
      </c>
      <c r="R81" s="702" t="str">
        <f>IF('Chemical Info'!Y82="X",'Res-Rec Worksheet'!I81,"")</f>
        <v/>
      </c>
      <c r="S81" s="702" t="str">
        <f>IF('Chemical Info'!Z82="X",'Res-Rec Worksheet'!I81,"")</f>
        <v/>
      </c>
      <c r="T81" s="702" t="str">
        <f>IF('Chemical Info'!AA82="X",'Res-Rec Worksheet'!I81,"")</f>
        <v/>
      </c>
      <c r="U81" s="692" t="str">
        <f t="shared" si="1"/>
        <v>Based on Csat. A concentration &gt; Csat indicates potential for free product in soil.</v>
      </c>
    </row>
    <row r="82" spans="1:21" ht="10">
      <c r="A82" s="129" t="s">
        <v>47</v>
      </c>
      <c r="B82" s="566" t="s">
        <v>48</v>
      </c>
      <c r="C82" s="566">
        <v>2016</v>
      </c>
      <c r="D82" s="513" t="str">
        <f>IF('Res-Rec Calculations'!V82="NA","NA",'Res-Rec Calculations'!W82)</f>
        <v>NA</v>
      </c>
      <c r="E82" s="342"/>
      <c r="F82" s="126">
        <f>'Res-Rec Calculations'!Y82</f>
        <v>870</v>
      </c>
      <c r="G82" s="126" t="str">
        <f>'Res-Rec Calculations'!Z82</f>
        <v>Csat</v>
      </c>
      <c r="H82" s="127"/>
      <c r="I82" s="698" t="str">
        <f>IF(G82="BTV","NA",IF(G82="Max Limit","NA",IF(G82="Csat","NA",IF(ISNUMBER('Res-Rec Calculations'!U82),((H82/'Res-Rec Calculations'!U82)),"NA"))))</f>
        <v>NA</v>
      </c>
      <c r="J82" s="704" t="str">
        <f>IF(G82="BTV","NA",IF(G82="Max Limit","NA",IF(G82="Csat","NA",IF(ISNUMBER('Res-Rec Calculations'!N82),((H82/'Res-Rec Calculations'!N82)*0.00001),"NA"))))</f>
        <v>NA</v>
      </c>
      <c r="K82" s="702" t="str">
        <f>IF('Chemical Info'!R83="X",'Res-Rec Worksheet'!I82,"")</f>
        <v>NA</v>
      </c>
      <c r="L82" s="702" t="str">
        <f>IF('Chemical Info'!S83="X",'Res-Rec Worksheet'!I82,"")</f>
        <v>NA</v>
      </c>
      <c r="M82" s="702" t="str">
        <f>IF('Chemical Info'!T83="X",'Res-Rec Worksheet'!I82,"")</f>
        <v/>
      </c>
      <c r="N82" s="702" t="str">
        <f>IF('Chemical Info'!U83="X",'Res-Rec Worksheet'!I82,"")</f>
        <v/>
      </c>
      <c r="O82" s="702" t="str">
        <f>IF('Chemical Info'!V83="X",'Res-Rec Worksheet'!I82,"")</f>
        <v>NA</v>
      </c>
      <c r="P82" s="702" t="str">
        <f>IF('Chemical Info'!W83="X",'Res-Rec Worksheet'!I82,"")</f>
        <v/>
      </c>
      <c r="Q82" s="702" t="str">
        <f>IF('Chemical Info'!X83="X",'Res-Rec Worksheet'!I82,"")</f>
        <v/>
      </c>
      <c r="R82" s="702" t="str">
        <f>IF('Chemical Info'!Y83="X",'Res-Rec Worksheet'!I82,"")</f>
        <v/>
      </c>
      <c r="S82" s="702" t="str">
        <f>IF('Chemical Info'!Z83="X",'Res-Rec Worksheet'!I82,"")</f>
        <v/>
      </c>
      <c r="T82" s="702" t="str">
        <f>IF('Chemical Info'!AA83="X",'Res-Rec Worksheet'!I82,"")</f>
        <v/>
      </c>
      <c r="U82" s="692" t="str">
        <f t="shared" si="1"/>
        <v>Based on Csat. A concentration &gt; Csat indicates potential for free product in soil.</v>
      </c>
    </row>
    <row r="83" spans="1:21" ht="10">
      <c r="A83" s="133" t="s">
        <v>374</v>
      </c>
      <c r="B83" s="566" t="s">
        <v>49</v>
      </c>
      <c r="C83" s="566">
        <v>2022</v>
      </c>
      <c r="D83" s="513" t="str">
        <f>IF('Res-Rec Calculations'!V83="NA","NA",'Res-Rec Calculations'!W83)</f>
        <v>NA</v>
      </c>
      <c r="E83" s="342"/>
      <c r="F83" s="126">
        <f>'Res-Rec Calculations'!Y83</f>
        <v>310</v>
      </c>
      <c r="G83" s="126" t="str">
        <f>'Res-Rec Calculations'!Z83</f>
        <v>Cancer</v>
      </c>
      <c r="H83" s="127"/>
      <c r="I83" s="698">
        <f>IF(G83="BTV","NA",IF(G83="Max Limit","NA",IF(G83="Csat","NA",IF(ISNUMBER('Res-Rec Calculations'!U83),((H83/'Res-Rec Calculations'!U83)),"NA"))))</f>
        <v>0</v>
      </c>
      <c r="J83" s="704">
        <f>IF(G83="BTV","NA",IF(G83="Max Limit","NA",IF(G83="Csat","NA",IF(ISNUMBER('Res-Rec Calculations'!N83),((H83/'Res-Rec Calculations'!N83)*0.00001),"NA"))))</f>
        <v>0</v>
      </c>
      <c r="K83" s="702" t="str">
        <f>IF('Chemical Info'!R84="X",'Res-Rec Worksheet'!I83,"")</f>
        <v/>
      </c>
      <c r="L83" s="702" t="str">
        <f>IF('Chemical Info'!S84="X",'Res-Rec Worksheet'!I83,"")</f>
        <v/>
      </c>
      <c r="M83" s="702" t="str">
        <f>IF('Chemical Info'!T84="X",'Res-Rec Worksheet'!I83,"")</f>
        <v/>
      </c>
      <c r="N83" s="702">
        <f>IF('Chemical Info'!U84="X",'Res-Rec Worksheet'!I83,"")</f>
        <v>0</v>
      </c>
      <c r="O83" s="702">
        <f>IF('Chemical Info'!V84="X",'Res-Rec Worksheet'!I83,"")</f>
        <v>0</v>
      </c>
      <c r="P83" s="702" t="str">
        <f>IF('Chemical Info'!W84="X",'Res-Rec Worksheet'!I83,"")</f>
        <v/>
      </c>
      <c r="Q83" s="702" t="str">
        <f>IF('Chemical Info'!X84="X",'Res-Rec Worksheet'!I83,"")</f>
        <v/>
      </c>
      <c r="R83" s="702" t="str">
        <f>IF('Chemical Info'!Y84="X",'Res-Rec Worksheet'!I83,"")</f>
        <v/>
      </c>
      <c r="S83" s="702" t="str">
        <f>IF('Chemical Info'!Z84="X",'Res-Rec Worksheet'!I83,"")</f>
        <v/>
      </c>
      <c r="T83" s="702" t="str">
        <f>IF('Chemical Info'!AA84="X",'Res-Rec Worksheet'!I83,"")</f>
        <v/>
      </c>
      <c r="U83" s="692" t="str">
        <f t="shared" si="1"/>
        <v/>
      </c>
    </row>
    <row r="84" spans="1:21" ht="10">
      <c r="A84" s="133" t="s">
        <v>375</v>
      </c>
      <c r="B84" s="566" t="s">
        <v>183</v>
      </c>
      <c r="C84" s="566">
        <v>2022</v>
      </c>
      <c r="D84" s="513" t="str">
        <f>IF('Res-Rec Calculations'!V84="NA","NA",'Res-Rec Calculations'!W84)</f>
        <v>NA</v>
      </c>
      <c r="E84" s="342"/>
      <c r="F84" s="126">
        <f>'Res-Rec Calculations'!Y84</f>
        <v>40</v>
      </c>
      <c r="G84" s="126" t="str">
        <f>'Res-Rec Calculations'!Z84</f>
        <v>Cancer</v>
      </c>
      <c r="H84" s="127"/>
      <c r="I84" s="698">
        <f>IF(G84="BTV","NA",IF(G84="Max Limit","NA",IF(G84="Csat","NA",IF(ISNUMBER('Res-Rec Calculations'!U84),((H84/'Res-Rec Calculations'!U84)),"NA"))))</f>
        <v>0</v>
      </c>
      <c r="J84" s="704">
        <f>IF(G84="BTV","NA",IF(G84="Max Limit","NA",IF(G84="Csat","NA",IF(ISNUMBER('Res-Rec Calculations'!N84),((H84/'Res-Rec Calculations'!N84)*0.00001),"NA"))))</f>
        <v>0</v>
      </c>
      <c r="K84" s="702" t="str">
        <f>IF('Chemical Info'!R85="X",'Res-Rec Worksheet'!I84,"")</f>
        <v/>
      </c>
      <c r="L84" s="702" t="str">
        <f>IF('Chemical Info'!S85="X",'Res-Rec Worksheet'!I84,"")</f>
        <v/>
      </c>
      <c r="M84" s="702" t="str">
        <f>IF('Chemical Info'!T85="X",'Res-Rec Worksheet'!I84,"")</f>
        <v/>
      </c>
      <c r="N84" s="702" t="str">
        <f>IF('Chemical Info'!U85="X",'Res-Rec Worksheet'!I84,"")</f>
        <v/>
      </c>
      <c r="O84" s="702">
        <f>IF('Chemical Info'!V85="X",'Res-Rec Worksheet'!I84,"")</f>
        <v>0</v>
      </c>
      <c r="P84" s="702" t="str">
        <f>IF('Chemical Info'!W85="X",'Res-Rec Worksheet'!I84,"")</f>
        <v/>
      </c>
      <c r="Q84" s="702" t="str">
        <f>IF('Chemical Info'!X85="X",'Res-Rec Worksheet'!I84,"")</f>
        <v/>
      </c>
      <c r="R84" s="702" t="str">
        <f>IF('Chemical Info'!Y85="X",'Res-Rec Worksheet'!I84,"")</f>
        <v/>
      </c>
      <c r="S84" s="702" t="str">
        <f>IF('Chemical Info'!Z85="X",'Res-Rec Worksheet'!I84,"")</f>
        <v/>
      </c>
      <c r="T84" s="702" t="str">
        <f>IF('Chemical Info'!AA85="X",'Res-Rec Worksheet'!I84,"")</f>
        <v/>
      </c>
      <c r="U84" s="692" t="str">
        <f t="shared" si="1"/>
        <v/>
      </c>
    </row>
    <row r="85" spans="1:21" ht="10">
      <c r="A85" s="129" t="s">
        <v>490</v>
      </c>
      <c r="B85" s="566" t="s">
        <v>100</v>
      </c>
      <c r="C85" s="566">
        <v>2022</v>
      </c>
      <c r="D85" s="513" t="str">
        <f>IF('Res-Rec Calculations'!V85="NA","NA",'Res-Rec Calculations'!W85)</f>
        <v>NA</v>
      </c>
      <c r="E85" s="342"/>
      <c r="F85" s="126">
        <f>'Res-Rec Calculations'!Y85</f>
        <v>32</v>
      </c>
      <c r="G85" s="126" t="str">
        <f>'Res-Rec Calculations'!Z85</f>
        <v>Noncancer</v>
      </c>
      <c r="H85" s="127"/>
      <c r="I85" s="698">
        <f>IF(G85="BTV","NA",IF(G85="Max Limit","NA",IF(G85="Csat","NA",IF(ISNUMBER('Res-Rec Calculations'!U85),((H85/'Res-Rec Calculations'!U85)),"NA"))))</f>
        <v>0</v>
      </c>
      <c r="J85" s="704">
        <f>IF(G85="BTV","NA",IF(G85="Max Limit","NA",IF(G85="Csat","NA",IF(ISNUMBER('Res-Rec Calculations'!N85),((H85/'Res-Rec Calculations'!N85)*0.00001),"NA"))))</f>
        <v>0</v>
      </c>
      <c r="K85" s="702">
        <f>IF('Chemical Info'!R86="X",'Res-Rec Worksheet'!I85,"")</f>
        <v>0</v>
      </c>
      <c r="L85" s="702" t="str">
        <f>IF('Chemical Info'!S86="X",'Res-Rec Worksheet'!I85,"")</f>
        <v/>
      </c>
      <c r="M85" s="702" t="str">
        <f>IF('Chemical Info'!T86="X",'Res-Rec Worksheet'!I85,"")</f>
        <v/>
      </c>
      <c r="N85" s="702" t="str">
        <f>IF('Chemical Info'!U86="X",'Res-Rec Worksheet'!I85,"")</f>
        <v/>
      </c>
      <c r="O85" s="702" t="str">
        <f>IF('Chemical Info'!V86="X",'Res-Rec Worksheet'!I85,"")</f>
        <v/>
      </c>
      <c r="P85" s="702" t="str">
        <f>IF('Chemical Info'!W86="X",'Res-Rec Worksheet'!I85,"")</f>
        <v/>
      </c>
      <c r="Q85" s="702" t="str">
        <f>IF('Chemical Info'!X86="X",'Res-Rec Worksheet'!I85,"")</f>
        <v/>
      </c>
      <c r="R85" s="702" t="str">
        <f>IF('Chemical Info'!Y86="X",'Res-Rec Worksheet'!I85,"")</f>
        <v/>
      </c>
      <c r="S85" s="702" t="str">
        <f>IF('Chemical Info'!Z86="X",'Res-Rec Worksheet'!I85,"")</f>
        <v/>
      </c>
      <c r="T85" s="702" t="str">
        <f>IF('Chemical Info'!AA86="X",'Res-Rec Worksheet'!I85,"")</f>
        <v/>
      </c>
      <c r="U85" s="692" t="str">
        <f t="shared" si="1"/>
        <v/>
      </c>
    </row>
    <row r="86" spans="1:21" ht="10">
      <c r="A86" s="129" t="s">
        <v>101</v>
      </c>
      <c r="B86" s="566" t="s">
        <v>102</v>
      </c>
      <c r="C86" s="566">
        <v>2016</v>
      </c>
      <c r="D86" s="513" t="str">
        <f>IF('Res-Rec Calculations'!V86="NA","NA",'Res-Rec Calculations'!W86)</f>
        <v>NA</v>
      </c>
      <c r="E86" s="342"/>
      <c r="F86" s="126">
        <f>'Res-Rec Calculations'!Y86</f>
        <v>820</v>
      </c>
      <c r="G86" s="126" t="str">
        <f>'Res-Rec Calculations'!Z86</f>
        <v>Csat</v>
      </c>
      <c r="H86" s="127"/>
      <c r="I86" s="698" t="str">
        <f>IF(G86="BTV","NA",IF(G86="Max Limit","NA",IF(G86="Csat","NA",IF(ISNUMBER('Res-Rec Calculations'!U86),((H86/'Res-Rec Calculations'!U86)),"NA"))))</f>
        <v>NA</v>
      </c>
      <c r="J86" s="704" t="str">
        <f>IF(G86="BTV","NA",IF(G86="Max Limit","NA",IF(G86="Csat","NA",IF(ISNUMBER('Res-Rec Calculations'!N86),((H86/'Res-Rec Calculations'!N86)*0.00001),"NA"))))</f>
        <v>NA</v>
      </c>
      <c r="K86" s="702" t="str">
        <f>IF('Chemical Info'!R87="X",'Res-Rec Worksheet'!I86,"")</f>
        <v>NA</v>
      </c>
      <c r="L86" s="702" t="str">
        <f>IF('Chemical Info'!S87="X",'Res-Rec Worksheet'!I86,"")</f>
        <v/>
      </c>
      <c r="M86" s="702" t="str">
        <f>IF('Chemical Info'!T87="X",'Res-Rec Worksheet'!I86,"")</f>
        <v>NA</v>
      </c>
      <c r="N86" s="702" t="str">
        <f>IF('Chemical Info'!U87="X",'Res-Rec Worksheet'!I86,"")</f>
        <v>NA</v>
      </c>
      <c r="O86" s="702" t="str">
        <f>IF('Chemical Info'!V87="X",'Res-Rec Worksheet'!I86,"")</f>
        <v>NA</v>
      </c>
      <c r="P86" s="702" t="str">
        <f>IF('Chemical Info'!W87="X",'Res-Rec Worksheet'!I86,"")</f>
        <v/>
      </c>
      <c r="Q86" s="702" t="str">
        <f>IF('Chemical Info'!X87="X",'Res-Rec Worksheet'!I86,"")</f>
        <v/>
      </c>
      <c r="R86" s="702" t="str">
        <f>IF('Chemical Info'!Y87="X",'Res-Rec Worksheet'!I86,"")</f>
        <v/>
      </c>
      <c r="S86" s="702" t="str">
        <f>IF('Chemical Info'!Z87="X",'Res-Rec Worksheet'!I86,"")</f>
        <v/>
      </c>
      <c r="T86" s="702" t="str">
        <f>IF('Chemical Info'!AA87="X",'Res-Rec Worksheet'!I86,"")</f>
        <v/>
      </c>
      <c r="U86" s="692" t="str">
        <f t="shared" si="1"/>
        <v>Based on Csat. A concentration &gt; Csat indicates potential for free product in soil.</v>
      </c>
    </row>
    <row r="87" spans="1:21" ht="10">
      <c r="A87" s="133" t="s">
        <v>376</v>
      </c>
      <c r="B87" s="566" t="s">
        <v>103</v>
      </c>
      <c r="C87" s="566">
        <v>2016</v>
      </c>
      <c r="D87" s="513" t="str">
        <f>IF('Res-Rec Calculations'!V87="NA","NA",'Res-Rec Calculations'!W87)</f>
        <v>NA</v>
      </c>
      <c r="E87" s="342"/>
      <c r="F87" s="126">
        <f>'Res-Rec Calculations'!Y87</f>
        <v>25</v>
      </c>
      <c r="G87" s="126" t="str">
        <f>'Res-Rec Calculations'!Z87</f>
        <v>Noncancer</v>
      </c>
      <c r="H87" s="127"/>
      <c r="I87" s="698">
        <f>IF(G87="BTV","NA",IF(G87="Max Limit","NA",IF(G87="Csat","NA",IF(ISNUMBER('Res-Rec Calculations'!U87),((H87/'Res-Rec Calculations'!U87)),"NA"))))</f>
        <v>0</v>
      </c>
      <c r="J87" s="704">
        <f>IF(G87="BTV","NA",IF(G87="Max Limit","NA",IF(G87="Csat","NA",IF(ISNUMBER('Res-Rec Calculations'!N87),((H87/'Res-Rec Calculations'!N87)*0.00001),"NA"))))</f>
        <v>0</v>
      </c>
      <c r="K87" s="702" t="str">
        <f>IF('Chemical Info'!R88="X",'Res-Rec Worksheet'!I87,"")</f>
        <v/>
      </c>
      <c r="L87" s="702" t="str">
        <f>IF('Chemical Info'!S88="X",'Res-Rec Worksheet'!I87,"")</f>
        <v/>
      </c>
      <c r="M87" s="702" t="str">
        <f>IF('Chemical Info'!T88="X",'Res-Rec Worksheet'!I87,"")</f>
        <v/>
      </c>
      <c r="N87" s="702">
        <f>IF('Chemical Info'!U88="X",'Res-Rec Worksheet'!I87,"")</f>
        <v>0</v>
      </c>
      <c r="O87" s="702">
        <f>IF('Chemical Info'!V88="X",'Res-Rec Worksheet'!I87,"")</f>
        <v>0</v>
      </c>
      <c r="P87" s="702" t="str">
        <f>IF('Chemical Info'!W88="X",'Res-Rec Worksheet'!I87,"")</f>
        <v/>
      </c>
      <c r="Q87" s="702" t="str">
        <f>IF('Chemical Info'!X88="X",'Res-Rec Worksheet'!I87,"")</f>
        <v/>
      </c>
      <c r="R87" s="702" t="str">
        <f>IF('Chemical Info'!Y88="X",'Res-Rec Worksheet'!I87,"")</f>
        <v/>
      </c>
      <c r="S87" s="702" t="str">
        <f>IF('Chemical Info'!Z88="X",'Res-Rec Worksheet'!I87,"")</f>
        <v/>
      </c>
      <c r="T87" s="702" t="str">
        <f>IF('Chemical Info'!AA88="X",'Res-Rec Worksheet'!I87,"")</f>
        <v/>
      </c>
      <c r="U87" s="692" t="str">
        <f t="shared" si="1"/>
        <v/>
      </c>
    </row>
    <row r="88" spans="1:21" ht="10">
      <c r="A88" s="133" t="s">
        <v>400</v>
      </c>
      <c r="B88" s="566" t="s">
        <v>85</v>
      </c>
      <c r="C88" s="566">
        <v>2016</v>
      </c>
      <c r="D88" s="513" t="str">
        <f>IF('Res-Rec Calculations'!V88="NA","NA",'Res-Rec Calculations'!W88)</f>
        <v>NA</v>
      </c>
      <c r="E88" s="342"/>
      <c r="F88" s="126">
        <f>'Res-Rec Calculations'!Y88</f>
        <v>640</v>
      </c>
      <c r="G88" s="126" t="str">
        <f>'Res-Rec Calculations'!Z88</f>
        <v>Csat</v>
      </c>
      <c r="H88" s="127"/>
      <c r="I88" s="698" t="str">
        <f>IF(G88="BTV","NA",IF(G88="Max Limit","NA",IF(G88="Csat","NA",IF(ISNUMBER('Res-Rec Calculations'!U88),((H88/'Res-Rec Calculations'!U88)),"NA"))))</f>
        <v>NA</v>
      </c>
      <c r="J88" s="704" t="str">
        <f>IF(G88="BTV","NA",IF(G88="Max Limit","NA",IF(G88="Csat","NA",IF(ISNUMBER('Res-Rec Calculations'!N88),((H88/'Res-Rec Calculations'!N88)*0.00001),"NA"))))</f>
        <v>NA</v>
      </c>
      <c r="K88" s="702" t="str">
        <f>IF('Chemical Info'!R89="X",'Res-Rec Worksheet'!I88,"")</f>
        <v/>
      </c>
      <c r="L88" s="702" t="str">
        <f>IF('Chemical Info'!S89="X",'Res-Rec Worksheet'!I88,"")</f>
        <v/>
      </c>
      <c r="M88" s="702" t="str">
        <f>IF('Chemical Info'!T89="X",'Res-Rec Worksheet'!I88,"")</f>
        <v/>
      </c>
      <c r="N88" s="702" t="str">
        <f>IF('Chemical Info'!U89="X",'Res-Rec Worksheet'!I88,"")</f>
        <v/>
      </c>
      <c r="O88" s="702" t="str">
        <f>IF('Chemical Info'!V89="X",'Res-Rec Worksheet'!I88,"")</f>
        <v>NA</v>
      </c>
      <c r="P88" s="702" t="str">
        <f>IF('Chemical Info'!W89="X",'Res-Rec Worksheet'!I88,"")</f>
        <v/>
      </c>
      <c r="Q88" s="702" t="str">
        <f>IF('Chemical Info'!X89="X",'Res-Rec Worksheet'!I88,"")</f>
        <v/>
      </c>
      <c r="R88" s="702" t="str">
        <f>IF('Chemical Info'!Y89="X",'Res-Rec Worksheet'!I88,"")</f>
        <v/>
      </c>
      <c r="S88" s="702" t="str">
        <f>IF('Chemical Info'!Z89="X",'Res-Rec Worksheet'!I88,"")</f>
        <v/>
      </c>
      <c r="T88" s="702" t="str">
        <f>IF('Chemical Info'!AA89="X",'Res-Rec Worksheet'!I88,"")</f>
        <v/>
      </c>
      <c r="U88" s="692" t="str">
        <f t="shared" si="1"/>
        <v>Based on Csat. A concentration &gt; Csat indicates potential for free product in soil.</v>
      </c>
    </row>
    <row r="89" spans="1:21" ht="10">
      <c r="A89" s="133" t="s">
        <v>417</v>
      </c>
      <c r="B89" s="566" t="s">
        <v>86</v>
      </c>
      <c r="C89" s="566">
        <v>2016</v>
      </c>
      <c r="D89" s="513" t="str">
        <f>IF('Res-Rec Calculations'!V89="NA","NA",'Res-Rec Calculations'!W89)</f>
        <v>NA</v>
      </c>
      <c r="E89" s="342"/>
      <c r="F89" s="126">
        <f>'Res-Rec Calculations'!Y89</f>
        <v>0.93</v>
      </c>
      <c r="G89" s="126" t="str">
        <f>'Res-Rec Calculations'!Z89</f>
        <v>Noncancer</v>
      </c>
      <c r="H89" s="127"/>
      <c r="I89" s="698">
        <f>IF(G89="BTV","NA",IF(G89="Max Limit","NA",IF(G89="Csat","NA",IF(ISNUMBER('Res-Rec Calculations'!U89),((H89/'Res-Rec Calculations'!U89)),"NA"))))</f>
        <v>0</v>
      </c>
      <c r="J89" s="704">
        <f>IF(G89="BTV","NA",IF(G89="Max Limit","NA",IF(G89="Csat","NA",IF(ISNUMBER('Res-Rec Calculations'!N89),((H89/'Res-Rec Calculations'!N89)*0.00001),"NA"))))</f>
        <v>0</v>
      </c>
      <c r="K89" s="702" t="str">
        <f>IF('Chemical Info'!R90="X",'Res-Rec Worksheet'!I89,"")</f>
        <v/>
      </c>
      <c r="L89" s="702">
        <f>IF('Chemical Info'!S90="X",'Res-Rec Worksheet'!I89,"")</f>
        <v>0</v>
      </c>
      <c r="M89" s="702" t="str">
        <f>IF('Chemical Info'!T90="X",'Res-Rec Worksheet'!I89,"")</f>
        <v/>
      </c>
      <c r="N89" s="702" t="str">
        <f>IF('Chemical Info'!U90="X",'Res-Rec Worksheet'!I89,"")</f>
        <v/>
      </c>
      <c r="O89" s="702">
        <f>IF('Chemical Info'!V90="X",'Res-Rec Worksheet'!I89,"")</f>
        <v>0</v>
      </c>
      <c r="P89" s="702" t="str">
        <f>IF('Chemical Info'!W90="X",'Res-Rec Worksheet'!I89,"")</f>
        <v/>
      </c>
      <c r="Q89" s="702">
        <f>IF('Chemical Info'!X90="X",'Res-Rec Worksheet'!I89,"")</f>
        <v>0</v>
      </c>
      <c r="R89" s="702" t="str">
        <f>IF('Chemical Info'!Y90="X",'Res-Rec Worksheet'!I89,"")</f>
        <v/>
      </c>
      <c r="S89" s="702" t="str">
        <f>IF('Chemical Info'!Z90="X",'Res-Rec Worksheet'!I89,"")</f>
        <v/>
      </c>
      <c r="T89" s="702" t="str">
        <f>IF('Chemical Info'!AA90="X",'Res-Rec Worksheet'!I89,"")</f>
        <v/>
      </c>
      <c r="U89" s="692" t="str">
        <f t="shared" si="1"/>
        <v/>
      </c>
    </row>
    <row r="90" spans="1:21" ht="10">
      <c r="A90" s="129" t="s">
        <v>87</v>
      </c>
      <c r="B90" s="566" t="s">
        <v>88</v>
      </c>
      <c r="C90" s="566">
        <v>2022</v>
      </c>
      <c r="D90" s="513" t="str">
        <f>IF('Res-Rec Calculations'!V90="NA","NA",'Res-Rec Calculations'!W90)</f>
        <v>NA</v>
      </c>
      <c r="E90" s="342"/>
      <c r="F90" s="126">
        <f>'Res-Rec Calculations'!Y90</f>
        <v>2.7</v>
      </c>
      <c r="G90" s="126" t="str">
        <f>'Res-Rec Calculations'!Z90</f>
        <v>Noncancer</v>
      </c>
      <c r="H90" s="127"/>
      <c r="I90" s="698">
        <f>IF(G90="BTV","NA",IF(G90="Max Limit","NA",IF(G90="Csat","NA",IF(ISNUMBER('Res-Rec Calculations'!U90),((H90/'Res-Rec Calculations'!U90)),"NA"))))</f>
        <v>0</v>
      </c>
      <c r="J90" s="704">
        <f>IF(G90="BTV","NA",IF(G90="Max Limit","NA",IF(G90="Csat","NA",IF(ISNUMBER('Res-Rec Calculations'!N90),((H90/'Res-Rec Calculations'!N90)*0.00001),"NA"))))</f>
        <v>0</v>
      </c>
      <c r="K90" s="702" t="str">
        <f>IF('Chemical Info'!R91="X",'Res-Rec Worksheet'!I90,"")</f>
        <v/>
      </c>
      <c r="L90" s="702" t="str">
        <f>IF('Chemical Info'!S91="X",'Res-Rec Worksheet'!I90,"")</f>
        <v/>
      </c>
      <c r="M90" s="702">
        <f>IF('Chemical Info'!T91="X",'Res-Rec Worksheet'!I90,"")</f>
        <v>0</v>
      </c>
      <c r="N90" s="702" t="str">
        <f>IF('Chemical Info'!U91="X",'Res-Rec Worksheet'!I90,"")</f>
        <v/>
      </c>
      <c r="O90" s="702" t="str">
        <f>IF('Chemical Info'!V91="X",'Res-Rec Worksheet'!I90,"")</f>
        <v/>
      </c>
      <c r="P90" s="702">
        <f>IF('Chemical Info'!W91="X",'Res-Rec Worksheet'!I90,"")</f>
        <v>0</v>
      </c>
      <c r="Q90" s="702" t="str">
        <f>IF('Chemical Info'!X91="X",'Res-Rec Worksheet'!I90,"")</f>
        <v/>
      </c>
      <c r="R90" s="702" t="str">
        <f>IF('Chemical Info'!Y91="X",'Res-Rec Worksheet'!I90,"")</f>
        <v/>
      </c>
      <c r="S90" s="702" t="str">
        <f>IF('Chemical Info'!Z91="X",'Res-Rec Worksheet'!I90,"")</f>
        <v/>
      </c>
      <c r="T90" s="702" t="str">
        <f>IF('Chemical Info'!AA91="X",'Res-Rec Worksheet'!I90,"")</f>
        <v/>
      </c>
      <c r="U90" s="692" t="str">
        <f t="shared" si="1"/>
        <v/>
      </c>
    </row>
    <row r="91" spans="1:21" ht="10">
      <c r="A91" s="129" t="s">
        <v>127</v>
      </c>
      <c r="B91" s="566" t="s">
        <v>128</v>
      </c>
      <c r="C91" s="566">
        <v>2016</v>
      </c>
      <c r="D91" s="513" t="str">
        <f>IF('Res-Rec Calculations'!V91="NA","NA",'Res-Rec Calculations'!W91)</f>
        <v>NA</v>
      </c>
      <c r="E91" s="342"/>
      <c r="F91" s="126">
        <f>'Res-Rec Calculations'!Y91</f>
        <v>1200</v>
      </c>
      <c r="G91" s="126" t="str">
        <f>'Res-Rec Calculations'!Z91</f>
        <v>Csat</v>
      </c>
      <c r="H91" s="127"/>
      <c r="I91" s="698" t="str">
        <f>IF(G91="BTV","NA",IF(G91="Max Limit","NA",IF(G91="Csat","NA",IF(ISNUMBER('Res-Rec Calculations'!U91),((H91/'Res-Rec Calculations'!U91)),"NA"))))</f>
        <v>NA</v>
      </c>
      <c r="J91" s="704" t="str">
        <f>IF(G91="BTV","NA",IF(G91="Max Limit","NA",IF(G91="Csat","NA",IF(ISNUMBER('Res-Rec Calculations'!N91),((H91/'Res-Rec Calculations'!N91)*0.00001),"NA"))))</f>
        <v>NA</v>
      </c>
      <c r="K91" s="702" t="str">
        <f>IF('Chemical Info'!R92="X",'Res-Rec Worksheet'!I91,"")</f>
        <v>NA</v>
      </c>
      <c r="L91" s="702" t="str">
        <f>IF('Chemical Info'!S92="X",'Res-Rec Worksheet'!I91,"")</f>
        <v/>
      </c>
      <c r="M91" s="702" t="str">
        <f>IF('Chemical Info'!T92="X",'Res-Rec Worksheet'!I91,"")</f>
        <v/>
      </c>
      <c r="N91" s="702" t="str">
        <f>IF('Chemical Info'!U92="X",'Res-Rec Worksheet'!I91,"")</f>
        <v/>
      </c>
      <c r="O91" s="702" t="str">
        <f>IF('Chemical Info'!V92="X",'Res-Rec Worksheet'!I91,"")</f>
        <v/>
      </c>
      <c r="P91" s="702" t="str">
        <f>IF('Chemical Info'!W92="X",'Res-Rec Worksheet'!I91,"")</f>
        <v/>
      </c>
      <c r="Q91" s="702" t="str">
        <f>IF('Chemical Info'!X92="X",'Res-Rec Worksheet'!I91,"")</f>
        <v/>
      </c>
      <c r="R91" s="702" t="str">
        <f>IF('Chemical Info'!Y92="X",'Res-Rec Worksheet'!I91,"")</f>
        <v/>
      </c>
      <c r="S91" s="702" t="str">
        <f>IF('Chemical Info'!Z92="X",'Res-Rec Worksheet'!I91,"")</f>
        <v/>
      </c>
      <c r="T91" s="702" t="str">
        <f>IF('Chemical Info'!AA92="X",'Res-Rec Worksheet'!I91,"")</f>
        <v/>
      </c>
      <c r="U91" s="692" t="str">
        <f t="shared" si="1"/>
        <v>Based on Csat. A concentration &gt; Csat indicates potential for free product in soil.</v>
      </c>
    </row>
    <row r="92" spans="1:21" ht="20">
      <c r="A92" s="125" t="s">
        <v>491</v>
      </c>
      <c r="B92" s="566" t="s">
        <v>175</v>
      </c>
      <c r="C92" s="566">
        <v>2016</v>
      </c>
      <c r="D92" s="513" t="str">
        <f>IF('Res-Rec Calculations'!V92="NA","NA",'Res-Rec Calculations'!W92)</f>
        <v>NA</v>
      </c>
      <c r="E92" s="342"/>
      <c r="F92" s="126">
        <f>'Res-Rec Calculations'!Y92</f>
        <v>900</v>
      </c>
      <c r="G92" s="126" t="str">
        <f>'Res-Rec Calculations'!Z92</f>
        <v>Csat</v>
      </c>
      <c r="H92" s="127"/>
      <c r="I92" s="698" t="str">
        <f>IF(G92="BTV","NA",IF(G92="Max Limit","NA",IF(G92="Csat","NA",IF(ISNUMBER('Res-Rec Calculations'!U92),((H92/'Res-Rec Calculations'!U92)),"NA"))))</f>
        <v>NA</v>
      </c>
      <c r="J92" s="704" t="str">
        <f>IF(G92="BTV","NA",IF(G92="Max Limit","NA",IF(G92="Csat","NA",IF(ISNUMBER('Res-Rec Calculations'!N92),((H92/'Res-Rec Calculations'!N92)*0.00001),"NA"))))</f>
        <v>NA</v>
      </c>
      <c r="K92" s="702" t="str">
        <f>IF('Chemical Info'!R93="X",'Res-Rec Worksheet'!I92,"")</f>
        <v>NA</v>
      </c>
      <c r="L92" s="702" t="str">
        <f>IF('Chemical Info'!S93="X",'Res-Rec Worksheet'!I92,"")</f>
        <v/>
      </c>
      <c r="M92" s="702" t="str">
        <f>IF('Chemical Info'!T93="X",'Res-Rec Worksheet'!I92,"")</f>
        <v/>
      </c>
      <c r="N92" s="702" t="str">
        <f>IF('Chemical Info'!U93="X",'Res-Rec Worksheet'!I92,"")</f>
        <v/>
      </c>
      <c r="O92" s="702" t="str">
        <f>IF('Chemical Info'!V93="X",'Res-Rec Worksheet'!I92,"")</f>
        <v/>
      </c>
      <c r="P92" s="702" t="str">
        <f>IF('Chemical Info'!W93="X",'Res-Rec Worksheet'!I92,"")</f>
        <v/>
      </c>
      <c r="Q92" s="702" t="str">
        <f>IF('Chemical Info'!X93="X",'Res-Rec Worksheet'!I92,"")</f>
        <v/>
      </c>
      <c r="R92" s="702" t="str">
        <f>IF('Chemical Info'!Y93="X",'Res-Rec Worksheet'!I92,"")</f>
        <v/>
      </c>
      <c r="S92" s="702" t="str">
        <f>IF('Chemical Info'!Z93="X",'Res-Rec Worksheet'!I92,"")</f>
        <v/>
      </c>
      <c r="T92" s="702" t="str">
        <f>IF('Chemical Info'!AA93="X",'Res-Rec Worksheet'!I92,"")</f>
        <v/>
      </c>
      <c r="U92" s="692" t="str">
        <f t="shared" si="1"/>
        <v>Based on Csat. A concentration &gt; Csat indicates potential for free product in soil.</v>
      </c>
    </row>
    <row r="93" spans="1:21" ht="10">
      <c r="A93" s="125" t="s">
        <v>1123</v>
      </c>
      <c r="B93" s="566" t="s">
        <v>1124</v>
      </c>
      <c r="C93" s="566">
        <v>2022</v>
      </c>
      <c r="D93" s="513" t="str">
        <f>IF('Res-Rec Calculations'!V93="NA","NA",'Res-Rec Calculations'!W93)</f>
        <v>NA</v>
      </c>
      <c r="E93" s="342"/>
      <c r="F93" s="126">
        <f>'Res-Rec Calculations'!Y93</f>
        <v>5.2999999999999999E-2</v>
      </c>
      <c r="G93" s="126" t="str">
        <f>'Res-Rec Calculations'!Z93</f>
        <v>Cancer</v>
      </c>
      <c r="H93" s="127"/>
      <c r="I93" s="698">
        <f>IF(G93="BTV","NA",IF(G93="Max Limit","NA",IF(G93="Csat","NA",IF(ISNUMBER('Res-Rec Calculations'!U93),((H93/'Res-Rec Calculations'!U93)),"NA"))))</f>
        <v>0</v>
      </c>
      <c r="J93" s="704">
        <f>IF(G93="BTV","NA",IF(G93="Max Limit","NA",IF(G93="Csat","NA",IF(ISNUMBER('Res-Rec Calculations'!N93),((H93/'Res-Rec Calculations'!N93)*0.00001),"NA"))))</f>
        <v>0</v>
      </c>
      <c r="K93" s="702" t="str">
        <f>IF('Chemical Info'!R94="X",'Res-Rec Worksheet'!I93,"")</f>
        <v/>
      </c>
      <c r="L93" s="702" t="str">
        <f>IF('Chemical Info'!S94="X",'Res-Rec Worksheet'!I93,"")</f>
        <v/>
      </c>
      <c r="M93" s="702" t="str">
        <f>IF('Chemical Info'!T94="X",'Res-Rec Worksheet'!I93,"")</f>
        <v/>
      </c>
      <c r="N93" s="702">
        <f>IF('Chemical Info'!U94="X",'Res-Rec Worksheet'!I93,"")</f>
        <v>0</v>
      </c>
      <c r="O93" s="702">
        <f>IF('Chemical Info'!V94="X",'Res-Rec Worksheet'!I93,"")</f>
        <v>0</v>
      </c>
      <c r="P93" s="702" t="str">
        <f>IF('Chemical Info'!W94="X",'Res-Rec Worksheet'!I93,"")</f>
        <v/>
      </c>
      <c r="Q93" s="702">
        <f>IF('Chemical Info'!X94="X",'Res-Rec Worksheet'!I93,"")</f>
        <v>0</v>
      </c>
      <c r="R93" s="702" t="str">
        <f>IF('Chemical Info'!Y94="X",'Res-Rec Worksheet'!I93,"")</f>
        <v/>
      </c>
      <c r="S93" s="702" t="str">
        <f>IF('Chemical Info'!Z94="X",'Res-Rec Worksheet'!I93,"")</f>
        <v/>
      </c>
      <c r="T93" s="702" t="str">
        <f>IF('Chemical Info'!AA94="X",'Res-Rec Worksheet'!I93,"")</f>
        <v/>
      </c>
      <c r="U93" s="692" t="str">
        <f t="shared" si="1"/>
        <v/>
      </c>
    </row>
    <row r="94" spans="1:21" ht="10">
      <c r="A94" s="125" t="s">
        <v>1125</v>
      </c>
      <c r="B94" s="566" t="s">
        <v>1126</v>
      </c>
      <c r="C94" s="566">
        <v>2022</v>
      </c>
      <c r="D94" s="513" t="str">
        <f>IF('Res-Rec Calculations'!V94="NA","NA",'Res-Rec Calculations'!W94)</f>
        <v>NA</v>
      </c>
      <c r="E94" s="342"/>
      <c r="F94" s="126">
        <f>'Res-Rec Calculations'!Y94</f>
        <v>140</v>
      </c>
      <c r="G94" s="126" t="str">
        <f>'Res-Rec Calculations'!Z94</f>
        <v>Noncancer</v>
      </c>
      <c r="H94" s="127"/>
      <c r="I94" s="698">
        <f>IF(G94="BTV","NA",IF(G94="Max Limit","NA",IF(G94="Csat","NA",IF(ISNUMBER('Res-Rec Calculations'!U94),((H94/'Res-Rec Calculations'!U94)),"NA"))))</f>
        <v>0</v>
      </c>
      <c r="J94" s="704" t="str">
        <f>IF(G94="BTV","NA",IF(G94="Max Limit","NA",IF(G94="Csat","NA",IF(ISNUMBER('Res-Rec Calculations'!N94),((H94/'Res-Rec Calculations'!N94)*0.00001),"NA"))))</f>
        <v>NA</v>
      </c>
      <c r="K94" s="702">
        <f>IF('Chemical Info'!R95="X",'Res-Rec Worksheet'!I94,"")</f>
        <v>0</v>
      </c>
      <c r="L94" s="702" t="str">
        <f>IF('Chemical Info'!S95="X",'Res-Rec Worksheet'!I94,"")</f>
        <v/>
      </c>
      <c r="M94" s="702" t="str">
        <f>IF('Chemical Info'!T95="X",'Res-Rec Worksheet'!I94,"")</f>
        <v/>
      </c>
      <c r="N94" s="702" t="str">
        <f>IF('Chemical Info'!U95="X",'Res-Rec Worksheet'!I94,"")</f>
        <v/>
      </c>
      <c r="O94" s="702" t="str">
        <f>IF('Chemical Info'!V95="X",'Res-Rec Worksheet'!I94,"")</f>
        <v/>
      </c>
      <c r="P94" s="702" t="str">
        <f>IF('Chemical Info'!W95="X",'Res-Rec Worksheet'!I94,"")</f>
        <v/>
      </c>
      <c r="Q94" s="702" t="str">
        <f>IF('Chemical Info'!X95="X",'Res-Rec Worksheet'!I94,"")</f>
        <v/>
      </c>
      <c r="R94" s="702" t="str">
        <f>IF('Chemical Info'!Y95="X",'Res-Rec Worksheet'!I94,"")</f>
        <v/>
      </c>
      <c r="S94" s="702" t="str">
        <f>IF('Chemical Info'!Z95="X",'Res-Rec Worksheet'!I94,"")</f>
        <v/>
      </c>
      <c r="T94" s="702" t="str">
        <f>IF('Chemical Info'!AA95="X",'Res-Rec Worksheet'!I94,"")</f>
        <v/>
      </c>
      <c r="U94" s="692" t="str">
        <f t="shared" si="1"/>
        <v/>
      </c>
    </row>
    <row r="95" spans="1:21" ht="10">
      <c r="A95" s="133" t="s">
        <v>380</v>
      </c>
      <c r="B95" s="566" t="s">
        <v>209</v>
      </c>
      <c r="C95" s="566">
        <v>2021</v>
      </c>
      <c r="D95" s="513" t="str">
        <f>IF('Res-Rec Calculations'!V95="NA","NA",'Res-Rec Calculations'!W95)</f>
        <v>NA</v>
      </c>
      <c r="E95" s="342"/>
      <c r="F95" s="126">
        <f>'Res-Rec Calculations'!Y95</f>
        <v>140</v>
      </c>
      <c r="G95" s="126" t="str">
        <f>'Res-Rec Calculations'!Z95</f>
        <v>Noncancer</v>
      </c>
      <c r="H95" s="127"/>
      <c r="I95" s="698">
        <f>IF(G95="BTV","NA",IF(G95="Max Limit","NA",IF(G95="Csat","NA",IF(ISNUMBER('Res-Rec Calculations'!U95),((H95/'Res-Rec Calculations'!U95)),"NA"))))</f>
        <v>0</v>
      </c>
      <c r="J95" s="704" t="str">
        <f>IF(G95="BTV","NA",IF(G95="Max Limit","NA",IF(G95="Csat","NA",IF(ISNUMBER('Res-Rec Calculations'!N95),((H95/'Res-Rec Calculations'!N95)*0.00001),"NA"))))</f>
        <v>NA</v>
      </c>
      <c r="K95" s="702">
        <f>IF('Chemical Info'!R96="X",'Res-Rec Worksheet'!I95,"")</f>
        <v>0</v>
      </c>
      <c r="L95" s="702" t="str">
        <f>IF('Chemical Info'!S96="X",'Res-Rec Worksheet'!I95,"")</f>
        <v/>
      </c>
      <c r="M95" s="702" t="str">
        <f>IF('Chemical Info'!T96="X",'Res-Rec Worksheet'!I95,"")</f>
        <v/>
      </c>
      <c r="N95" s="702" t="str">
        <f>IF('Chemical Info'!U96="X",'Res-Rec Worksheet'!I95,"")</f>
        <v/>
      </c>
      <c r="O95" s="702" t="str">
        <f>IF('Chemical Info'!V96="X",'Res-Rec Worksheet'!I95,"")</f>
        <v/>
      </c>
      <c r="P95" s="702" t="str">
        <f>IF('Chemical Info'!W96="X",'Res-Rec Worksheet'!I95,"")</f>
        <v/>
      </c>
      <c r="Q95" s="702" t="str">
        <f>IF('Chemical Info'!X96="X",'Res-Rec Worksheet'!I95,"")</f>
        <v/>
      </c>
      <c r="R95" s="702" t="str">
        <f>IF('Chemical Info'!Y96="X",'Res-Rec Worksheet'!I95,"")</f>
        <v/>
      </c>
      <c r="S95" s="702" t="str">
        <f>IF('Chemical Info'!Z96="X",'Res-Rec Worksheet'!I95,"")</f>
        <v/>
      </c>
      <c r="T95" s="702" t="str">
        <f>IF('Chemical Info'!AA96="X",'Res-Rec Worksheet'!I95,"")</f>
        <v/>
      </c>
      <c r="U95" s="692" t="str">
        <f t="shared" si="1"/>
        <v/>
      </c>
    </row>
    <row r="96" spans="1:21" ht="10">
      <c r="A96" s="133" t="s">
        <v>381</v>
      </c>
      <c r="B96" s="566" t="s">
        <v>210</v>
      </c>
      <c r="C96" s="566">
        <v>2021</v>
      </c>
      <c r="D96" s="513" t="str">
        <f>IF('Res-Rec Calculations'!V96="NA","NA",'Res-Rec Calculations'!W96)</f>
        <v>NA</v>
      </c>
      <c r="E96" s="342"/>
      <c r="F96" s="126">
        <f>'Res-Rec Calculations'!Y96</f>
        <v>140</v>
      </c>
      <c r="G96" s="126" t="str">
        <f>'Res-Rec Calculations'!Z96</f>
        <v>Noncancer</v>
      </c>
      <c r="H96" s="127"/>
      <c r="I96" s="698">
        <f>IF(G96="BTV","NA",IF(G96="Max Limit","NA",IF(G96="Csat","NA",IF(ISNUMBER('Res-Rec Calculations'!U96),((H96/'Res-Rec Calculations'!U96)),"NA"))))</f>
        <v>0</v>
      </c>
      <c r="J96" s="704" t="str">
        <f>IF(G96="BTV","NA",IF(G96="Max Limit","NA",IF(G96="Csat","NA",IF(ISNUMBER('Res-Rec Calculations'!N96),((H96/'Res-Rec Calculations'!N96)*0.00001),"NA"))))</f>
        <v>NA</v>
      </c>
      <c r="K96" s="702">
        <f>IF('Chemical Info'!R97="X",'Res-Rec Worksheet'!I96,"")</f>
        <v>0</v>
      </c>
      <c r="L96" s="702" t="str">
        <f>IF('Chemical Info'!S97="X",'Res-Rec Worksheet'!I96,"")</f>
        <v/>
      </c>
      <c r="M96" s="702" t="str">
        <f>IF('Chemical Info'!T97="X",'Res-Rec Worksheet'!I96,"")</f>
        <v/>
      </c>
      <c r="N96" s="702" t="str">
        <f>IF('Chemical Info'!U97="X",'Res-Rec Worksheet'!I96,"")</f>
        <v/>
      </c>
      <c r="O96" s="702" t="str">
        <f>IF('Chemical Info'!V97="X",'Res-Rec Worksheet'!I96,"")</f>
        <v/>
      </c>
      <c r="P96" s="702" t="str">
        <f>IF('Chemical Info'!W97="X",'Res-Rec Worksheet'!I96,"")</f>
        <v/>
      </c>
      <c r="Q96" s="702" t="str">
        <f>IF('Chemical Info'!X97="X",'Res-Rec Worksheet'!I96,"")</f>
        <v/>
      </c>
      <c r="R96" s="702" t="str">
        <f>IF('Chemical Info'!Y97="X",'Res-Rec Worksheet'!I96,"")</f>
        <v/>
      </c>
      <c r="S96" s="702" t="str">
        <f>IF('Chemical Info'!Z97="X",'Res-Rec Worksheet'!I96,"")</f>
        <v/>
      </c>
      <c r="T96" s="702" t="str">
        <f>IF('Chemical Info'!AA97="X",'Res-Rec Worksheet'!I96,"")</f>
        <v/>
      </c>
      <c r="U96" s="692" t="str">
        <f t="shared" si="1"/>
        <v/>
      </c>
    </row>
    <row r="97" spans="1:21" ht="10">
      <c r="A97" s="129" t="s">
        <v>211</v>
      </c>
      <c r="B97" s="566" t="s">
        <v>212</v>
      </c>
      <c r="C97" s="566">
        <v>2021</v>
      </c>
      <c r="D97" s="513" t="str">
        <f>IF('Res-Rec Calculations'!V97="NA","NA",'Res-Rec Calculations'!W97)</f>
        <v>NA</v>
      </c>
      <c r="E97" s="342"/>
      <c r="F97" s="126">
        <f>'Res-Rec Calculations'!Y97</f>
        <v>7.0999999999999994E-2</v>
      </c>
      <c r="G97" s="126" t="str">
        <f>'Res-Rec Calculations'!Z97</f>
        <v>Cancer</v>
      </c>
      <c r="H97" s="127"/>
      <c r="I97" s="698">
        <f>IF(G97="BTV","NA",IF(G97="Max Limit","NA",IF(G97="Csat","NA",IF(ISNUMBER('Res-Rec Calculations'!U97),((H97/'Res-Rec Calculations'!U97)),"NA"))))</f>
        <v>0</v>
      </c>
      <c r="J97" s="704">
        <f>IF(G97="BTV","NA",IF(G97="Max Limit","NA",IF(G97="Csat","NA",IF(ISNUMBER('Res-Rec Calculations'!N97),((H97/'Res-Rec Calculations'!N97)*0.00001),"NA"))))</f>
        <v>0</v>
      </c>
      <c r="K97" s="702" t="str">
        <f>IF('Chemical Info'!R98="X",'Res-Rec Worksheet'!I97,"")</f>
        <v/>
      </c>
      <c r="L97" s="702" t="str">
        <f>IF('Chemical Info'!S98="X",'Res-Rec Worksheet'!I97,"")</f>
        <v/>
      </c>
      <c r="M97" s="702" t="str">
        <f>IF('Chemical Info'!T98="X",'Res-Rec Worksheet'!I97,"")</f>
        <v/>
      </c>
      <c r="N97" s="702" t="str">
        <f>IF('Chemical Info'!U98="X",'Res-Rec Worksheet'!I97,"")</f>
        <v/>
      </c>
      <c r="O97" s="702">
        <f>IF('Chemical Info'!V98="X",'Res-Rec Worksheet'!I97,"")</f>
        <v>0</v>
      </c>
      <c r="P97" s="702" t="str">
        <f>IF('Chemical Info'!W98="X",'Res-Rec Worksheet'!I97,"")</f>
        <v/>
      </c>
      <c r="Q97" s="702" t="str">
        <f>IF('Chemical Info'!X98="X",'Res-Rec Worksheet'!I97,"")</f>
        <v/>
      </c>
      <c r="R97" s="702" t="str">
        <f>IF('Chemical Info'!Y98="X",'Res-Rec Worksheet'!I97,"")</f>
        <v/>
      </c>
      <c r="S97" s="702" t="str">
        <f>IF('Chemical Info'!Z98="X",'Res-Rec Worksheet'!I97,"")</f>
        <v/>
      </c>
      <c r="T97" s="702" t="str">
        <f>IF('Chemical Info'!AA98="X",'Res-Rec Worksheet'!I97,"")</f>
        <v/>
      </c>
      <c r="U97" s="692" t="str">
        <f t="shared" si="1"/>
        <v/>
      </c>
    </row>
    <row r="98" spans="1:21" ht="10">
      <c r="A98" s="129" t="s">
        <v>115</v>
      </c>
      <c r="B98" s="566" t="s">
        <v>203</v>
      </c>
      <c r="C98" s="566">
        <v>2016</v>
      </c>
      <c r="D98" s="513" t="str">
        <f>IF('Res-Rec Calculations'!V98="NA","NA",'Res-Rec Calculations'!W98)</f>
        <v>NA</v>
      </c>
      <c r="E98" s="342"/>
      <c r="F98" s="126">
        <f>'Res-Rec Calculations'!Y98</f>
        <v>260</v>
      </c>
      <c r="G98" s="126" t="str">
        <f>'Res-Rec Calculations'!Z98</f>
        <v>Csat</v>
      </c>
      <c r="H98" s="127"/>
      <c r="I98" s="698" t="str">
        <f>IF(G98="BTV","NA",IF(G98="Max Limit","NA",IF(G98="Csat","NA",IF(ISNUMBER('Res-Rec Calculations'!U98),((H98/'Res-Rec Calculations'!U98)),"NA"))))</f>
        <v>NA</v>
      </c>
      <c r="J98" s="704" t="str">
        <f>IF(G98="BTV","NA",IF(G98="Max Limit","NA",IF(G98="Csat","NA",IF(ISNUMBER('Res-Rec Calculations'!N98),((H98/'Res-Rec Calculations'!N98)*0.00001),"NA"))))</f>
        <v>NA</v>
      </c>
      <c r="K98" s="702" t="str">
        <f>IF('Chemical Info'!R99="X",'Res-Rec Worksheet'!I98,"")</f>
        <v>NA</v>
      </c>
      <c r="L98" s="702" t="str">
        <f>IF('Chemical Info'!S99="X",'Res-Rec Worksheet'!I98,"")</f>
        <v/>
      </c>
      <c r="M98" s="702" t="str">
        <f>IF('Chemical Info'!T99="X",'Res-Rec Worksheet'!I98,"")</f>
        <v/>
      </c>
      <c r="N98" s="702" t="str">
        <f>IF('Chemical Info'!U99="X",'Res-Rec Worksheet'!I98,"")</f>
        <v>NA</v>
      </c>
      <c r="O98" s="702" t="str">
        <f>IF('Chemical Info'!V99="X",'Res-Rec Worksheet'!I98,"")</f>
        <v/>
      </c>
      <c r="P98" s="702" t="str">
        <f>IF('Chemical Info'!W99="X",'Res-Rec Worksheet'!I98,"")</f>
        <v>NA</v>
      </c>
      <c r="Q98" s="702" t="str">
        <f>IF('Chemical Info'!X99="X",'Res-Rec Worksheet'!I98,"")</f>
        <v/>
      </c>
      <c r="R98" s="702" t="str">
        <f>IF('Chemical Info'!Y99="X",'Res-Rec Worksheet'!I98,"")</f>
        <v/>
      </c>
      <c r="S98" s="702" t="str">
        <f>IF('Chemical Info'!Z99="X",'Res-Rec Worksheet'!I98,"")</f>
        <v/>
      </c>
      <c r="T98" s="702" t="str">
        <f>IF('Chemical Info'!AA99="X",'Res-Rec Worksheet'!I98,"")</f>
        <v/>
      </c>
      <c r="U98" s="692" t="str">
        <f t="shared" si="1"/>
        <v>Based on Csat. A concentration &gt; Csat indicates potential for free product in soil.</v>
      </c>
    </row>
    <row r="99" spans="1:21" ht="10">
      <c r="A99" s="387" t="s">
        <v>379</v>
      </c>
      <c r="B99" s="594"/>
      <c r="C99" s="664"/>
      <c r="D99" s="515"/>
      <c r="E99" s="390"/>
      <c r="F99" s="388"/>
      <c r="G99" s="389"/>
      <c r="H99" s="390"/>
      <c r="I99" s="409"/>
      <c r="J99" s="705"/>
      <c r="K99" s="709" t="str">
        <f>IF('Chemical Info'!R100="X",'Res-Rec Worksheet'!I99,"")</f>
        <v/>
      </c>
      <c r="L99" s="710" t="str">
        <f>IF('Chemical Info'!S100="X",'Res-Rec Worksheet'!I99,"")</f>
        <v/>
      </c>
      <c r="M99" s="710" t="str">
        <f>IF('Chemical Info'!T100="X",'Res-Rec Worksheet'!I99,"")</f>
        <v/>
      </c>
      <c r="N99" s="710" t="str">
        <f>IF('Chemical Info'!U100="X",'Res-Rec Worksheet'!I99,"")</f>
        <v/>
      </c>
      <c r="O99" s="710" t="str">
        <f>IF('Chemical Info'!V100="X",'Res-Rec Worksheet'!I99,"")</f>
        <v/>
      </c>
      <c r="P99" s="710" t="str">
        <f>IF('Chemical Info'!W100="X",'Res-Rec Worksheet'!I99,"")</f>
        <v/>
      </c>
      <c r="Q99" s="710" t="str">
        <f>IF('Chemical Info'!X100="X",'Res-Rec Worksheet'!I99,"")</f>
        <v/>
      </c>
      <c r="R99" s="710" t="str">
        <f>IF('Chemical Info'!Y100="X",'Res-Rec Worksheet'!I99,"")</f>
        <v/>
      </c>
      <c r="S99" s="710" t="str">
        <f>IF('Chemical Info'!Z100="X",'Res-Rec Worksheet'!I99,"")</f>
        <v/>
      </c>
      <c r="T99" s="711" t="str">
        <f>IF('Chemical Info'!AA100="X",'Res-Rec Worksheet'!I99,"")</f>
        <v/>
      </c>
      <c r="U99" s="691"/>
    </row>
    <row r="100" spans="1:21" s="123" customFormat="1" ht="10">
      <c r="A100" s="129" t="s">
        <v>1127</v>
      </c>
      <c r="B100" s="689" t="s">
        <v>1128</v>
      </c>
      <c r="C100" s="689">
        <v>2022</v>
      </c>
      <c r="D100" s="513" t="str">
        <f>IF('Res-Rec Calculations'!V100="NA","NA",'Res-Rec Calculations'!W100)</f>
        <v>NA</v>
      </c>
      <c r="E100" s="342"/>
      <c r="F100" s="126">
        <f>'Res-Rec Calculations'!Y100</f>
        <v>35</v>
      </c>
      <c r="G100" s="126" t="str">
        <f>'Res-Rec Calculations'!Z100</f>
        <v>Noncancer</v>
      </c>
      <c r="H100" s="127"/>
      <c r="I100" s="698">
        <f>IF(G100="BTV","NA",IF(G100="Max Limit","NA",IF(G100="Csat","NA",IF(ISNUMBER('Res-Rec Calculations'!U100),((H100/'Res-Rec Calculations'!U100)),"NA"))))</f>
        <v>0</v>
      </c>
      <c r="J100" s="704">
        <f>IF(G100="BTV","NA",IF(G100="Max Limit","NA",IF(G100="Csat","NA",IF(ISNUMBER('Res-Rec Calculations'!N100),((H100/'Res-Rec Calculations'!N100)*0.00001),"NA"))))</f>
        <v>0</v>
      </c>
      <c r="K100" s="702" t="str">
        <f>IF('Chemical Info'!R101="X",'Res-Rec Worksheet'!I100,"")</f>
        <v/>
      </c>
      <c r="L100" s="702">
        <f>IF('Chemical Info'!S101="X",'Res-Rec Worksheet'!I100,"")</f>
        <v>0</v>
      </c>
      <c r="M100" s="702">
        <f>IF('Chemical Info'!T101="X",'Res-Rec Worksheet'!I100,"")</f>
        <v>0</v>
      </c>
      <c r="N100" s="702" t="str">
        <f>IF('Chemical Info'!U101="X",'Res-Rec Worksheet'!I100,"")</f>
        <v/>
      </c>
      <c r="O100" s="702" t="str">
        <f>IF('Chemical Info'!V101="X",'Res-Rec Worksheet'!I100,"")</f>
        <v/>
      </c>
      <c r="P100" s="702" t="str">
        <f>IF('Chemical Info'!W101="X",'Res-Rec Worksheet'!I100,"")</f>
        <v/>
      </c>
      <c r="Q100" s="702" t="str">
        <f>IF('Chemical Info'!X101="X",'Res-Rec Worksheet'!I100,"")</f>
        <v/>
      </c>
      <c r="R100" s="702" t="str">
        <f>IF('Chemical Info'!Y101="X",'Res-Rec Worksheet'!I100,"")</f>
        <v/>
      </c>
      <c r="S100" s="702" t="str">
        <f>IF('Chemical Info'!Z101="X",'Res-Rec Worksheet'!I100,"")</f>
        <v/>
      </c>
      <c r="T100" s="702" t="str">
        <f>IF('Chemical Info'!AA101="X",'Res-Rec Worksheet'!I100,"")</f>
        <v/>
      </c>
      <c r="U100" s="692" t="str">
        <f t="shared" si="1"/>
        <v/>
      </c>
    </row>
    <row r="101" spans="1:21" ht="10">
      <c r="A101" s="129" t="s">
        <v>205</v>
      </c>
      <c r="B101" s="566" t="s">
        <v>206</v>
      </c>
      <c r="C101" s="566">
        <v>2022</v>
      </c>
      <c r="D101" s="513" t="str">
        <f>IF('Res-Rec Calculations'!V101="NA","NA",'Res-Rec Calculations'!W101)</f>
        <v>NA</v>
      </c>
      <c r="E101" s="342"/>
      <c r="F101" s="126">
        <f>'Res-Rec Calculations'!Y101</f>
        <v>54000</v>
      </c>
      <c r="G101" s="126" t="str">
        <f>'Res-Rec Calculations'!Z101</f>
        <v>Noncancer</v>
      </c>
      <c r="H101" s="127"/>
      <c r="I101" s="698">
        <f>IF(G101="BTV","NA",IF(G101="Max Limit","NA",IF(G101="Csat","NA",IF(ISNUMBER('Res-Rec Calculations'!U101),((H101/'Res-Rec Calculations'!U101)),"NA"))))</f>
        <v>0</v>
      </c>
      <c r="J101" s="704" t="str">
        <f>IF(G101="BTV","NA",IF(G101="Max Limit","NA",IF(G101="Csat","NA",IF(ISNUMBER('Res-Rec Calculations'!N101),((H101/'Res-Rec Calculations'!N101)*0.00001),"NA"))))</f>
        <v>NA</v>
      </c>
      <c r="K101" s="702" t="str">
        <f>IF('Chemical Info'!R102="X",'Res-Rec Worksheet'!I101,"")</f>
        <v/>
      </c>
      <c r="L101" s="702" t="str">
        <f>IF('Chemical Info'!S102="X",'Res-Rec Worksheet'!I101,"")</f>
        <v/>
      </c>
      <c r="M101" s="702" t="str">
        <f>IF('Chemical Info'!T102="X",'Res-Rec Worksheet'!I101,"")</f>
        <v/>
      </c>
      <c r="N101" s="702" t="str">
        <f>IF('Chemical Info'!U102="X",'Res-Rec Worksheet'!I101,"")</f>
        <v/>
      </c>
      <c r="O101" s="702" t="str">
        <f>IF('Chemical Info'!V102="X",'Res-Rec Worksheet'!I101,"")</f>
        <v/>
      </c>
      <c r="P101" s="702" t="str">
        <f>IF('Chemical Info'!W102="X",'Res-Rec Worksheet'!I101,"")</f>
        <v/>
      </c>
      <c r="Q101" s="702" t="str">
        <f>IF('Chemical Info'!X102="X",'Res-Rec Worksheet'!I101,"")</f>
        <v/>
      </c>
      <c r="R101" s="702" t="str">
        <f>IF('Chemical Info'!Y102="X",'Res-Rec Worksheet'!I101,"")</f>
        <v/>
      </c>
      <c r="S101" s="702" t="str">
        <f>IF('Chemical Info'!Z102="X",'Res-Rec Worksheet'!I101,"")</f>
        <v/>
      </c>
      <c r="T101" s="702" t="str">
        <f>IF('Chemical Info'!AA102="X",'Res-Rec Worksheet'!I101,"")</f>
        <v/>
      </c>
      <c r="U101" s="692" t="str">
        <f t="shared" si="1"/>
        <v/>
      </c>
    </row>
    <row r="102" spans="1:21" ht="10">
      <c r="A102" s="129" t="s">
        <v>207</v>
      </c>
      <c r="B102" s="566" t="s">
        <v>434</v>
      </c>
      <c r="C102" s="566">
        <v>2016</v>
      </c>
      <c r="D102" s="513" t="str">
        <f>IF('Res-Rec Calculations'!V102="NA","NA",'Res-Rec Calculations'!W102)</f>
        <v>NA</v>
      </c>
      <c r="E102" s="342"/>
      <c r="F102" s="126">
        <f>'Res-Rec Calculations'!Y102</f>
        <v>1300</v>
      </c>
      <c r="G102" s="126" t="str">
        <f>'Res-Rec Calculations'!Z102</f>
        <v>Noncancer</v>
      </c>
      <c r="H102" s="127"/>
      <c r="I102" s="698">
        <f>IF(G102="BTV","NA",IF(G102="Max Limit","NA",IF(G102="Csat","NA",IF(ISNUMBER('Res-Rec Calculations'!U102),((H102/'Res-Rec Calculations'!U102)),"NA"))))</f>
        <v>0</v>
      </c>
      <c r="J102" s="704" t="str">
        <f>IF(G102="BTV","NA",IF(G102="Max Limit","NA",IF(G102="Csat","NA",IF(ISNUMBER('Res-Rec Calculations'!N102),((H102/'Res-Rec Calculations'!N102)*0.00001),"NA"))))</f>
        <v>NA</v>
      </c>
      <c r="K102" s="702" t="str">
        <f>IF('Chemical Info'!R103="X",'Res-Rec Worksheet'!I102,"")</f>
        <v/>
      </c>
      <c r="L102" s="702" t="str">
        <f>IF('Chemical Info'!S103="X",'Res-Rec Worksheet'!I102,"")</f>
        <v/>
      </c>
      <c r="M102" s="702" t="str">
        <f>IF('Chemical Info'!T103="X",'Res-Rec Worksheet'!I102,"")</f>
        <v/>
      </c>
      <c r="N102" s="702" t="str">
        <f>IF('Chemical Info'!U103="X",'Res-Rec Worksheet'!I102,"")</f>
        <v/>
      </c>
      <c r="O102" s="702" t="str">
        <f>IF('Chemical Info'!V103="X",'Res-Rec Worksheet'!I102,"")</f>
        <v/>
      </c>
      <c r="P102" s="702" t="str">
        <f>IF('Chemical Info'!W103="X",'Res-Rec Worksheet'!I102,"")</f>
        <v/>
      </c>
      <c r="Q102" s="702" t="str">
        <f>IF('Chemical Info'!X103="X",'Res-Rec Worksheet'!I102,"")</f>
        <v/>
      </c>
      <c r="R102" s="702" t="str">
        <f>IF('Chemical Info'!Y103="X",'Res-Rec Worksheet'!I102,"")</f>
        <v/>
      </c>
      <c r="S102" s="702" t="str">
        <f>IF('Chemical Info'!Z103="X",'Res-Rec Worksheet'!I102,"")</f>
        <v/>
      </c>
      <c r="T102" s="702" t="str">
        <f>IF('Chemical Info'!AA103="X",'Res-Rec Worksheet'!I102,"")</f>
        <v/>
      </c>
      <c r="U102" s="692" t="str">
        <f t="shared" si="1"/>
        <v/>
      </c>
    </row>
    <row r="103" spans="1:21" ht="10">
      <c r="A103" s="129" t="s">
        <v>1187</v>
      </c>
      <c r="B103" s="566" t="s">
        <v>1188</v>
      </c>
      <c r="C103" s="566">
        <v>2022</v>
      </c>
      <c r="D103" s="513" t="str">
        <f>IF('Res-Rec Calculations'!V103="NA","NA",'Res-Rec Calculations'!W103)</f>
        <v>NA</v>
      </c>
      <c r="E103" s="342"/>
      <c r="F103" s="126">
        <f>'Res-Rec Calculations'!Y103</f>
        <v>40</v>
      </c>
      <c r="G103" s="126" t="str">
        <f>'Res-Rec Calculations'!Z103</f>
        <v>Noncancer</v>
      </c>
      <c r="H103" s="127"/>
      <c r="I103" s="698">
        <f>IF(G103="BTV","NA",IF(G103="Max Limit","NA",IF(G103="Csat","NA",IF(ISNUMBER('Res-Rec Calculations'!U103),((H103/'Res-Rec Calculations'!U103)),"NA"))))</f>
        <v>0</v>
      </c>
      <c r="J103" s="704" t="str">
        <f>IF(G103="BTV","NA",IF(G103="Max Limit","NA",IF(G103="Csat","NA",IF(ISNUMBER('Res-Rec Calculations'!N103),((H103/'Res-Rec Calculations'!N103)*0.00001),"NA"))))</f>
        <v>NA</v>
      </c>
      <c r="K103" s="702" t="str">
        <f>IF('Chemical Info'!R104="X",'Res-Rec Worksheet'!I103,"")</f>
        <v/>
      </c>
      <c r="L103" s="702" t="str">
        <f>IF('Chemical Info'!S104="X",'Res-Rec Worksheet'!I103,"")</f>
        <v/>
      </c>
      <c r="M103" s="702" t="str">
        <f>IF('Chemical Info'!T104="X",'Res-Rec Worksheet'!I103,"")</f>
        <v/>
      </c>
      <c r="N103" s="702" t="str">
        <f>IF('Chemical Info'!U104="X",'Res-Rec Worksheet'!I103,"")</f>
        <v/>
      </c>
      <c r="O103" s="702">
        <f>IF('Chemical Info'!V104="X",'Res-Rec Worksheet'!I103,"")</f>
        <v>0</v>
      </c>
      <c r="P103" s="702" t="str">
        <f>IF('Chemical Info'!W104="X",'Res-Rec Worksheet'!I103,"")</f>
        <v/>
      </c>
      <c r="Q103" s="702" t="str">
        <f>IF('Chemical Info'!X104="X",'Res-Rec Worksheet'!I103,"")</f>
        <v/>
      </c>
      <c r="R103" s="702" t="str">
        <f>IF('Chemical Info'!Y104="X",'Res-Rec Worksheet'!I103,"")</f>
        <v/>
      </c>
      <c r="S103" s="702" t="str">
        <f>IF('Chemical Info'!Z104="X",'Res-Rec Worksheet'!I103,"")</f>
        <v/>
      </c>
      <c r="T103" s="702" t="str">
        <f>IF('Chemical Info'!AA104="X",'Res-Rec Worksheet'!I103,"")</f>
        <v/>
      </c>
      <c r="U103" s="692" t="str">
        <f t="shared" si="1"/>
        <v/>
      </c>
    </row>
    <row r="104" spans="1:21" ht="10">
      <c r="A104" s="129" t="s">
        <v>421</v>
      </c>
      <c r="B104" s="566" t="s">
        <v>65</v>
      </c>
      <c r="C104" s="566">
        <v>2016</v>
      </c>
      <c r="D104" s="513" t="str">
        <f>IF('Res-Rec Calculations'!V104="NA","NA",'Res-Rec Calculations'!W104)</f>
        <v>NA</v>
      </c>
      <c r="E104" s="342"/>
      <c r="F104" s="126">
        <f>'Res-Rec Calculations'!Y104</f>
        <v>3.7</v>
      </c>
      <c r="G104" s="126" t="str">
        <f>'Res-Rec Calculations'!Z104</f>
        <v>Cancer</v>
      </c>
      <c r="H104" s="127"/>
      <c r="I104" s="698" t="str">
        <f>IF(G104="BTV","NA",IF(G104="Max Limit","NA",IF(G104="Csat","NA",IF(ISNUMBER('Res-Rec Calculations'!U104),((H104/'Res-Rec Calculations'!U104)),"NA"))))</f>
        <v>NA</v>
      </c>
      <c r="J104" s="704">
        <f>IF(G104="BTV","NA",IF(G104="Max Limit","NA",IF(G104="Csat","NA",IF(ISNUMBER('Res-Rec Calculations'!N104),((H104/'Res-Rec Calculations'!N104)*0.00001),"NA"))))</f>
        <v>0</v>
      </c>
      <c r="K104" s="702" t="str">
        <f>IF('Chemical Info'!R105="X",'Res-Rec Worksheet'!I104,"")</f>
        <v/>
      </c>
      <c r="L104" s="702" t="str">
        <f>IF('Chemical Info'!S105="X",'Res-Rec Worksheet'!I104,"")</f>
        <v/>
      </c>
      <c r="M104" s="702" t="str">
        <f>IF('Chemical Info'!T105="X",'Res-Rec Worksheet'!I104,"")</f>
        <v/>
      </c>
      <c r="N104" s="702" t="str">
        <f>IF('Chemical Info'!U105="X",'Res-Rec Worksheet'!I104,"")</f>
        <v/>
      </c>
      <c r="O104" s="702" t="str">
        <f>IF('Chemical Info'!V105="X",'Res-Rec Worksheet'!I104,"")</f>
        <v/>
      </c>
      <c r="P104" s="702" t="str">
        <f>IF('Chemical Info'!W105="X",'Res-Rec Worksheet'!I104,"")</f>
        <v/>
      </c>
      <c r="Q104" s="702" t="str">
        <f>IF('Chemical Info'!X105="X",'Res-Rec Worksheet'!I104,"")</f>
        <v/>
      </c>
      <c r="R104" s="702" t="str">
        <f>IF('Chemical Info'!Y105="X",'Res-Rec Worksheet'!I104,"")</f>
        <v/>
      </c>
      <c r="S104" s="702" t="str">
        <f>IF('Chemical Info'!Z105="X",'Res-Rec Worksheet'!I104,"")</f>
        <v/>
      </c>
      <c r="T104" s="702" t="str">
        <f>IF('Chemical Info'!AA105="X",'Res-Rec Worksheet'!I104,"")</f>
        <v/>
      </c>
      <c r="U104" s="692" t="str">
        <f t="shared" si="1"/>
        <v/>
      </c>
    </row>
    <row r="105" spans="1:21" ht="10">
      <c r="A105" s="129" t="s">
        <v>1164</v>
      </c>
      <c r="B105" s="566" t="s">
        <v>1165</v>
      </c>
      <c r="C105" s="566">
        <v>2022</v>
      </c>
      <c r="D105" s="513" t="str">
        <f>IF('Res-Rec Calculations'!V105="NA","NA",'Res-Rec Calculations'!W105)</f>
        <v>NA</v>
      </c>
      <c r="E105" s="342"/>
      <c r="F105" s="126">
        <f>'Res-Rec Calculations'!Y105</f>
        <v>880</v>
      </c>
      <c r="G105" s="126" t="str">
        <f>'Res-Rec Calculations'!Z105</f>
        <v>Noncancer</v>
      </c>
      <c r="H105" s="127"/>
      <c r="I105" s="698">
        <f>IF(G105="BTV","NA",IF(G105="Max Limit","NA",IF(G105="Csat","NA",IF(ISNUMBER('Res-Rec Calculations'!U105),((H105/'Res-Rec Calculations'!U105)),"NA"))))</f>
        <v>0</v>
      </c>
      <c r="J105" s="704" t="str">
        <f>IF(G105="BTV","NA",IF(G105="Max Limit","NA",IF(G105="Csat","NA",IF(ISNUMBER('Res-Rec Calculations'!N105),((H105/'Res-Rec Calculations'!N105)*0.00001),"NA"))))</f>
        <v>NA</v>
      </c>
      <c r="K105" s="702" t="str">
        <f>IF('Chemical Info'!R106="X",'Res-Rec Worksheet'!I105,"")</f>
        <v/>
      </c>
      <c r="L105" s="702">
        <f>IF('Chemical Info'!S106="X",'Res-Rec Worksheet'!I105,"")</f>
        <v>0</v>
      </c>
      <c r="M105" s="702" t="str">
        <f>IF('Chemical Info'!T106="X",'Res-Rec Worksheet'!I105,"")</f>
        <v/>
      </c>
      <c r="N105" s="702" t="str">
        <f>IF('Chemical Info'!U106="X",'Res-Rec Worksheet'!I105,"")</f>
        <v/>
      </c>
      <c r="O105" s="702" t="str">
        <f>IF('Chemical Info'!V106="X",'Res-Rec Worksheet'!I105,"")</f>
        <v/>
      </c>
      <c r="P105" s="702" t="str">
        <f>IF('Chemical Info'!W106="X",'Res-Rec Worksheet'!I105,"")</f>
        <v/>
      </c>
      <c r="Q105" s="702" t="str">
        <f>IF('Chemical Info'!X106="X",'Res-Rec Worksheet'!I105,"")</f>
        <v/>
      </c>
      <c r="R105" s="702" t="str">
        <f>IF('Chemical Info'!Y106="X",'Res-Rec Worksheet'!I105,"")</f>
        <v/>
      </c>
      <c r="S105" s="702" t="str">
        <f>IF('Chemical Info'!Z106="X",'Res-Rec Worksheet'!I105,"")</f>
        <v/>
      </c>
      <c r="T105" s="702" t="str">
        <f>IF('Chemical Info'!AA106="X",'Res-Rec Worksheet'!I105,"")</f>
        <v/>
      </c>
      <c r="U105" s="692" t="str">
        <f t="shared" si="1"/>
        <v/>
      </c>
    </row>
    <row r="106" spans="1:21" ht="10">
      <c r="A106" s="129" t="s">
        <v>318</v>
      </c>
      <c r="B106" s="566" t="s">
        <v>66</v>
      </c>
      <c r="C106" s="566">
        <v>2022</v>
      </c>
      <c r="D106" s="513" t="str">
        <f>IF('Res-Rec Calculations'!V106="NA","NA",'Res-Rec Calculations'!W106)</f>
        <v>NA</v>
      </c>
      <c r="E106" s="342"/>
      <c r="F106" s="126">
        <f>'Res-Rec Calculations'!Y106</f>
        <v>370</v>
      </c>
      <c r="G106" s="126" t="str">
        <f>'Res-Rec Calculations'!Z106</f>
        <v>Cancer</v>
      </c>
      <c r="H106" s="127"/>
      <c r="I106" s="698">
        <f>IF(G106="BTV","NA",IF(G106="Max Limit","NA",IF(G106="Csat","NA",IF(ISNUMBER('Res-Rec Calculations'!U106),((H106/'Res-Rec Calculations'!U106)),"NA"))))</f>
        <v>0</v>
      </c>
      <c r="J106" s="704">
        <f>IF(G106="BTV","NA",IF(G106="Max Limit","NA",IF(G106="Csat","NA",IF(ISNUMBER('Res-Rec Calculations'!N106),((H106/'Res-Rec Calculations'!N106)*0.00001),"NA"))))</f>
        <v>0</v>
      </c>
      <c r="K106" s="702" t="str">
        <f>IF('Chemical Info'!R107="X",'Res-Rec Worksheet'!I106,"")</f>
        <v/>
      </c>
      <c r="L106" s="702" t="str">
        <f>IF('Chemical Info'!S107="X",'Res-Rec Worksheet'!I106,"")</f>
        <v/>
      </c>
      <c r="M106" s="702" t="str">
        <f>IF('Chemical Info'!T107="X",'Res-Rec Worksheet'!I106,"")</f>
        <v/>
      </c>
      <c r="N106" s="702" t="str">
        <f>IF('Chemical Info'!U107="X",'Res-Rec Worksheet'!I106,"")</f>
        <v/>
      </c>
      <c r="O106" s="702">
        <f>IF('Chemical Info'!V107="X",'Res-Rec Worksheet'!I106,"")</f>
        <v>0</v>
      </c>
      <c r="P106" s="702" t="str">
        <f>IF('Chemical Info'!W107="X",'Res-Rec Worksheet'!I106,"")</f>
        <v/>
      </c>
      <c r="Q106" s="702" t="str">
        <f>IF('Chemical Info'!X107="X",'Res-Rec Worksheet'!I106,"")</f>
        <v/>
      </c>
      <c r="R106" s="702" t="str">
        <f>IF('Chemical Info'!Y107="X",'Res-Rec Worksheet'!I106,"")</f>
        <v/>
      </c>
      <c r="S106" s="702" t="str">
        <f>IF('Chemical Info'!Z107="X",'Res-Rec Worksheet'!I106,"")</f>
        <v/>
      </c>
      <c r="T106" s="702" t="str">
        <f>IF('Chemical Info'!AA107="X",'Res-Rec Worksheet'!I106,"")</f>
        <v/>
      </c>
      <c r="U106" s="692" t="str">
        <f t="shared" si="1"/>
        <v/>
      </c>
    </row>
    <row r="107" spans="1:21" ht="10">
      <c r="A107" s="129" t="s">
        <v>40</v>
      </c>
      <c r="B107" s="566" t="s">
        <v>41</v>
      </c>
      <c r="C107" s="566">
        <v>2016</v>
      </c>
      <c r="D107" s="513" t="str">
        <f>IF('Res-Rec Calculations'!V107="NA","NA",'Res-Rec Calculations'!W107)</f>
        <v>NA</v>
      </c>
      <c r="E107" s="342"/>
      <c r="F107" s="126">
        <f>'Res-Rec Calculations'!Y107</f>
        <v>2000</v>
      </c>
      <c r="G107" s="126" t="str">
        <f>'Res-Rec Calculations'!Z107</f>
        <v>Noncancer</v>
      </c>
      <c r="H107" s="127"/>
      <c r="I107" s="698">
        <f>IF(G107="BTV","NA",IF(G107="Max Limit","NA",IF(G107="Csat","NA",IF(ISNUMBER('Res-Rec Calculations'!U107),((H107/'Res-Rec Calculations'!U107)),"NA"))))</f>
        <v>0</v>
      </c>
      <c r="J107" s="704" t="str">
        <f>IF(G107="BTV","NA",IF(G107="Max Limit","NA",IF(G107="Csat","NA",IF(ISNUMBER('Res-Rec Calculations'!N107),((H107/'Res-Rec Calculations'!N107)*0.00001),"NA"))))</f>
        <v>NA</v>
      </c>
      <c r="K107" s="702" t="str">
        <f>IF('Chemical Info'!R108="X",'Res-Rec Worksheet'!I107,"")</f>
        <v/>
      </c>
      <c r="L107" s="702" t="str">
        <f>IF('Chemical Info'!S108="X",'Res-Rec Worksheet'!I107,"")</f>
        <v/>
      </c>
      <c r="M107" s="702" t="str">
        <f>IF('Chemical Info'!T108="X",'Res-Rec Worksheet'!I107,"")</f>
        <v/>
      </c>
      <c r="N107" s="702" t="str">
        <f>IF('Chemical Info'!U108="X",'Res-Rec Worksheet'!I107,"")</f>
        <v/>
      </c>
      <c r="O107" s="702" t="str">
        <f>IF('Chemical Info'!V108="X",'Res-Rec Worksheet'!I107,"")</f>
        <v/>
      </c>
      <c r="P107" s="702">
        <f>IF('Chemical Info'!W108="X",'Res-Rec Worksheet'!I107,"")</f>
        <v>0</v>
      </c>
      <c r="Q107" s="702" t="str">
        <f>IF('Chemical Info'!X108="X",'Res-Rec Worksheet'!I107,"")</f>
        <v/>
      </c>
      <c r="R107" s="702" t="str">
        <f>IF('Chemical Info'!Y108="X",'Res-Rec Worksheet'!I107,"")</f>
        <v/>
      </c>
      <c r="S107" s="702" t="str">
        <f>IF('Chemical Info'!Z108="X",'Res-Rec Worksheet'!I107,"")</f>
        <v/>
      </c>
      <c r="T107" s="702">
        <f>IF('Chemical Info'!AA108="X",'Res-Rec Worksheet'!I107,"")</f>
        <v>0</v>
      </c>
      <c r="U107" s="692" t="str">
        <f t="shared" si="1"/>
        <v/>
      </c>
    </row>
    <row r="108" spans="1:21" ht="10">
      <c r="A108" s="129" t="s">
        <v>1129</v>
      </c>
      <c r="B108" s="566" t="s">
        <v>1130</v>
      </c>
      <c r="C108" s="566">
        <v>2022</v>
      </c>
      <c r="D108" s="513" t="str">
        <f>IF('Res-Rec Calculations'!V108="NA","NA",'Res-Rec Calculations'!W108)</f>
        <v>NA</v>
      </c>
      <c r="E108" s="342"/>
      <c r="F108" s="126">
        <f>'Res-Rec Calculations'!Y108</f>
        <v>210</v>
      </c>
      <c r="G108" s="126" t="str">
        <f>'Res-Rec Calculations'!Z108</f>
        <v>Noncancer</v>
      </c>
      <c r="H108" s="127"/>
      <c r="I108" s="698">
        <f>IF(G108="BTV","NA",IF(G108="Max Limit","NA",IF(G108="Csat","NA",IF(ISNUMBER('Res-Rec Calculations'!U108),((H108/'Res-Rec Calculations'!U108)),"NA"))))</f>
        <v>0</v>
      </c>
      <c r="J108" s="704" t="str">
        <f>IF(G108="BTV","NA",IF(G108="Max Limit","NA",IF(G108="Csat","NA",IF(ISNUMBER('Res-Rec Calculations'!N108),((H108/'Res-Rec Calculations'!N108)*0.00001),"NA"))))</f>
        <v>NA</v>
      </c>
      <c r="K108" s="702" t="str">
        <f>IF('Chemical Info'!R109="X",'Res-Rec Worksheet'!I108,"")</f>
        <v/>
      </c>
      <c r="L108" s="702" t="str">
        <f>IF('Chemical Info'!S109="X",'Res-Rec Worksheet'!I108,"")</f>
        <v/>
      </c>
      <c r="M108" s="702" t="str">
        <f>IF('Chemical Info'!T109="X",'Res-Rec Worksheet'!I108,"")</f>
        <v/>
      </c>
      <c r="N108" s="702" t="str">
        <f>IF('Chemical Info'!U109="X",'Res-Rec Worksheet'!I108,"")</f>
        <v/>
      </c>
      <c r="O108" s="702" t="str">
        <f>IF('Chemical Info'!V109="X",'Res-Rec Worksheet'!I108,"")</f>
        <v/>
      </c>
      <c r="P108" s="702">
        <f>IF('Chemical Info'!W109="X",'Res-Rec Worksheet'!I108,"")</f>
        <v>0</v>
      </c>
      <c r="Q108" s="702">
        <f>IF('Chemical Info'!X109="X",'Res-Rec Worksheet'!I108,"")</f>
        <v>0</v>
      </c>
      <c r="R108" s="702" t="str">
        <f>IF('Chemical Info'!Y109="X",'Res-Rec Worksheet'!I108,"")</f>
        <v/>
      </c>
      <c r="S108" s="702" t="str">
        <f>IF('Chemical Info'!Z109="X",'Res-Rec Worksheet'!I108,"")</f>
        <v/>
      </c>
      <c r="T108" s="702" t="str">
        <f>IF('Chemical Info'!AA109="X",'Res-Rec Worksheet'!I108,"")</f>
        <v/>
      </c>
      <c r="U108" s="692" t="str">
        <f t="shared" si="1"/>
        <v/>
      </c>
    </row>
    <row r="109" spans="1:21" ht="10">
      <c r="A109" s="129" t="s">
        <v>1233</v>
      </c>
      <c r="B109" s="566" t="s">
        <v>1232</v>
      </c>
      <c r="C109" s="566">
        <v>2022</v>
      </c>
      <c r="D109" s="513" t="str">
        <f>IF('Res-Rec Calculations'!V109="NA","NA",'Res-Rec Calculations'!W109)</f>
        <v>NA</v>
      </c>
      <c r="E109" s="342"/>
      <c r="F109" s="126">
        <f>'Res-Rec Calculations'!Y109</f>
        <v>6.7</v>
      </c>
      <c r="G109" s="126" t="str">
        <f>'Res-Rec Calculations'!Z109</f>
        <v>Noncancer</v>
      </c>
      <c r="H109" s="127"/>
      <c r="I109" s="698">
        <f>IF(G109="BTV","NA",IF(G109="Max Limit","NA",IF(G109="Csat","NA",IF(ISNUMBER('Res-Rec Calculations'!U109),((H109/'Res-Rec Calculations'!U109)),"NA"))))</f>
        <v>0</v>
      </c>
      <c r="J109" s="704">
        <f>IF(G109="BTV","NA",IF(G109="Max Limit","NA",IF(G109="Csat","NA",IF(ISNUMBER('Res-Rec Calculations'!N109),((H109/'Res-Rec Calculations'!N109)*0.00001),"NA"))))</f>
        <v>0</v>
      </c>
      <c r="K109" s="702" t="str">
        <f>IF('Chemical Info'!R110="X",'Res-Rec Worksheet'!I109,"")</f>
        <v/>
      </c>
      <c r="L109" s="702">
        <f>IF('Chemical Info'!S110="X",'Res-Rec Worksheet'!I109,"")</f>
        <v>0</v>
      </c>
      <c r="M109" s="702" t="str">
        <f>IF('Chemical Info'!T110="X",'Res-Rec Worksheet'!I109,"")</f>
        <v/>
      </c>
      <c r="N109" s="702" t="str">
        <f>IF('Chemical Info'!U110="X",'Res-Rec Worksheet'!I109,"")</f>
        <v/>
      </c>
      <c r="O109" s="702" t="str">
        <f>IF('Chemical Info'!V110="X",'Res-Rec Worksheet'!I109,"")</f>
        <v/>
      </c>
      <c r="P109" s="702" t="str">
        <f>IF('Chemical Info'!W110="X",'Res-Rec Worksheet'!I109,"")</f>
        <v/>
      </c>
      <c r="Q109" s="702" t="str">
        <f>IF('Chemical Info'!X110="X",'Res-Rec Worksheet'!I109,"")</f>
        <v/>
      </c>
      <c r="R109" s="702" t="str">
        <f>IF('Chemical Info'!Y110="X",'Res-Rec Worksheet'!I109,"")</f>
        <v/>
      </c>
      <c r="S109" s="702" t="str">
        <f>IF('Chemical Info'!Z110="X",'Res-Rec Worksheet'!I109,"")</f>
        <v/>
      </c>
      <c r="T109" s="702" t="str">
        <f>IF('Chemical Info'!AA110="X",'Res-Rec Worksheet'!I109,"")</f>
        <v/>
      </c>
      <c r="U109" s="692" t="str">
        <f t="shared" si="1"/>
        <v/>
      </c>
    </row>
    <row r="110" spans="1:21" ht="10">
      <c r="A110" s="129" t="s">
        <v>1131</v>
      </c>
      <c r="B110" s="566" t="s">
        <v>1132</v>
      </c>
      <c r="C110" s="566">
        <v>2022</v>
      </c>
      <c r="D110" s="513" t="str">
        <f>IF('Res-Rec Calculations'!V110="NA","NA",'Res-Rec Calculations'!W110)</f>
        <v>NA</v>
      </c>
      <c r="E110" s="342"/>
      <c r="F110" s="126">
        <f>'Res-Rec Calculations'!Y110</f>
        <v>110</v>
      </c>
      <c r="G110" s="126" t="str">
        <f>'Res-Rec Calculations'!Z110</f>
        <v>Noncancer</v>
      </c>
      <c r="H110" s="127"/>
      <c r="I110" s="698">
        <f>IF(G110="BTV","NA",IF(G110="Max Limit","NA",IF(G110="Csat","NA",IF(ISNUMBER('Res-Rec Calculations'!U110),((H110/'Res-Rec Calculations'!U110)),"NA"))))</f>
        <v>0</v>
      </c>
      <c r="J110" s="704" t="str">
        <f>IF(G110="BTV","NA",IF(G110="Max Limit","NA",IF(G110="Csat","NA",IF(ISNUMBER('Res-Rec Calculations'!N110),((H110/'Res-Rec Calculations'!N110)*0.00001),"NA"))))</f>
        <v>NA</v>
      </c>
      <c r="K110" s="702" t="str">
        <f>IF('Chemical Info'!R111="X",'Res-Rec Worksheet'!I110,"")</f>
        <v/>
      </c>
      <c r="L110" s="702" t="str">
        <f>IF('Chemical Info'!S111="X",'Res-Rec Worksheet'!I110,"")</f>
        <v/>
      </c>
      <c r="M110" s="702" t="str">
        <f>IF('Chemical Info'!T111="X",'Res-Rec Worksheet'!I110,"")</f>
        <v/>
      </c>
      <c r="N110" s="702" t="str">
        <f>IF('Chemical Info'!U111="X",'Res-Rec Worksheet'!I110,"")</f>
        <v/>
      </c>
      <c r="O110" s="702" t="str">
        <f>IF('Chemical Info'!V111="X",'Res-Rec Worksheet'!I110,"")</f>
        <v/>
      </c>
      <c r="P110" s="702">
        <f>IF('Chemical Info'!W111="X",'Res-Rec Worksheet'!I110,"")</f>
        <v>0</v>
      </c>
      <c r="Q110" s="702" t="str">
        <f>IF('Chemical Info'!X111="X",'Res-Rec Worksheet'!I110,"")</f>
        <v/>
      </c>
      <c r="R110" s="702" t="str">
        <f>IF('Chemical Info'!Y111="X",'Res-Rec Worksheet'!I110,"")</f>
        <v/>
      </c>
      <c r="S110" s="702" t="str">
        <f>IF('Chemical Info'!Z111="X",'Res-Rec Worksheet'!I110,"")</f>
        <v/>
      </c>
      <c r="T110" s="702" t="str">
        <f>IF('Chemical Info'!AA111="X",'Res-Rec Worksheet'!I110,"")</f>
        <v/>
      </c>
      <c r="U110" s="692" t="str">
        <f t="shared" si="1"/>
        <v/>
      </c>
    </row>
    <row r="111" spans="1:21" ht="10">
      <c r="A111" s="129" t="s">
        <v>42</v>
      </c>
      <c r="B111" s="566" t="s">
        <v>43</v>
      </c>
      <c r="C111" s="566">
        <v>2016</v>
      </c>
      <c r="D111" s="513" t="str">
        <f>IF('Res-Rec Calculations'!V111="NA","NA",'Res-Rec Calculations'!W111)</f>
        <v>NA</v>
      </c>
      <c r="E111" s="342"/>
      <c r="F111" s="126">
        <f>'Res-Rec Calculations'!Y111</f>
        <v>22</v>
      </c>
      <c r="G111" s="126" t="str">
        <f>'Res-Rec Calculations'!Z111</f>
        <v>Noncancer</v>
      </c>
      <c r="H111" s="127"/>
      <c r="I111" s="698">
        <f>IF(G111="BTV","NA",IF(G111="Max Limit","NA",IF(G111="Csat","NA",IF(ISNUMBER('Res-Rec Calculations'!U111),((H111/'Res-Rec Calculations'!U111)),"NA"))))</f>
        <v>0</v>
      </c>
      <c r="J111" s="704" t="str">
        <f>IF(G111="BTV","NA",IF(G111="Max Limit","NA",IF(G111="Csat","NA",IF(ISNUMBER('Res-Rec Calculations'!N111),((H111/'Res-Rec Calculations'!N111)*0.00001),"NA"))))</f>
        <v>NA</v>
      </c>
      <c r="K111" s="702" t="str">
        <f>IF('Chemical Info'!R112="X",'Res-Rec Worksheet'!I111,"")</f>
        <v/>
      </c>
      <c r="L111" s="702" t="str">
        <f>IF('Chemical Info'!S112="X",'Res-Rec Worksheet'!I111,"")</f>
        <v/>
      </c>
      <c r="M111" s="702" t="str">
        <f>IF('Chemical Info'!T112="X",'Res-Rec Worksheet'!I111,"")</f>
        <v/>
      </c>
      <c r="N111" s="702" t="str">
        <f>IF('Chemical Info'!U112="X",'Res-Rec Worksheet'!I111,"")</f>
        <v/>
      </c>
      <c r="O111" s="702" t="str">
        <f>IF('Chemical Info'!V112="X",'Res-Rec Worksheet'!I111,"")</f>
        <v/>
      </c>
      <c r="P111" s="702" t="str">
        <f>IF('Chemical Info'!W112="X",'Res-Rec Worksheet'!I111,"")</f>
        <v/>
      </c>
      <c r="Q111" s="702" t="str">
        <f>IF('Chemical Info'!X112="X",'Res-Rec Worksheet'!I111,"")</f>
        <v/>
      </c>
      <c r="R111" s="702" t="str">
        <f>IF('Chemical Info'!Y112="X",'Res-Rec Worksheet'!I111,"")</f>
        <v/>
      </c>
      <c r="S111" s="702" t="str">
        <f>IF('Chemical Info'!Z112="X",'Res-Rec Worksheet'!I111,"")</f>
        <v/>
      </c>
      <c r="T111" s="702" t="str">
        <f>IF('Chemical Info'!AA112="X",'Res-Rec Worksheet'!I111,"")</f>
        <v/>
      </c>
      <c r="U111" s="692" t="str">
        <f t="shared" si="1"/>
        <v/>
      </c>
    </row>
    <row r="112" spans="1:21" ht="10">
      <c r="A112" s="133" t="s">
        <v>401</v>
      </c>
      <c r="B112" s="566" t="s">
        <v>44</v>
      </c>
      <c r="C112" s="566">
        <v>2021</v>
      </c>
      <c r="D112" s="513" t="str">
        <f>IF('Res-Rec Calculations'!V112="NA","NA",'Res-Rec Calculations'!W112)</f>
        <v>NA</v>
      </c>
      <c r="E112" s="342"/>
      <c r="F112" s="126">
        <f>'Res-Rec Calculations'!Y112</f>
        <v>220</v>
      </c>
      <c r="G112" s="126" t="str">
        <f>'Res-Rec Calculations'!Z112</f>
        <v>Noncancer</v>
      </c>
      <c r="H112" s="127"/>
      <c r="I112" s="698">
        <f>IF(G112="BTV","NA",IF(G112="Max Limit","NA",IF(G112="Csat","NA",IF(ISNUMBER('Res-Rec Calculations'!U112),((H112/'Res-Rec Calculations'!U112)),"NA"))))</f>
        <v>0</v>
      </c>
      <c r="J112" s="704" t="str">
        <f>IF(G112="BTV","NA",IF(G112="Max Limit","NA",IF(G112="Csat","NA",IF(ISNUMBER('Res-Rec Calculations'!N112),((H112/'Res-Rec Calculations'!N112)*0.00001),"NA"))))</f>
        <v>NA</v>
      </c>
      <c r="K112" s="702" t="str">
        <f>IF('Chemical Info'!R113="X",'Res-Rec Worksheet'!I112,"")</f>
        <v/>
      </c>
      <c r="L112" s="702" t="str">
        <f>IF('Chemical Info'!S113="X",'Res-Rec Worksheet'!I112,"")</f>
        <v/>
      </c>
      <c r="M112" s="702" t="str">
        <f>IF('Chemical Info'!T113="X",'Res-Rec Worksheet'!I112,"")</f>
        <v/>
      </c>
      <c r="N112" s="702" t="str">
        <f>IF('Chemical Info'!U113="X",'Res-Rec Worksheet'!I112,"")</f>
        <v/>
      </c>
      <c r="O112" s="702">
        <f>IF('Chemical Info'!V113="X",'Res-Rec Worksheet'!I112,"")</f>
        <v>0</v>
      </c>
      <c r="P112" s="702" t="str">
        <f>IF('Chemical Info'!W113="X",'Res-Rec Worksheet'!I112,"")</f>
        <v/>
      </c>
      <c r="Q112" s="702" t="str">
        <f>IF('Chemical Info'!X113="X",'Res-Rec Worksheet'!I112,"")</f>
        <v/>
      </c>
      <c r="R112" s="702" t="str">
        <f>IF('Chemical Info'!Y113="X",'Res-Rec Worksheet'!I112,"")</f>
        <v/>
      </c>
      <c r="S112" s="702" t="str">
        <f>IF('Chemical Info'!Z113="X",'Res-Rec Worksheet'!I112,"")</f>
        <v/>
      </c>
      <c r="T112" s="702" t="str">
        <f>IF('Chemical Info'!AA113="X",'Res-Rec Worksheet'!I112,"")</f>
        <v/>
      </c>
      <c r="U112" s="692" t="str">
        <f t="shared" si="1"/>
        <v/>
      </c>
    </row>
    <row r="113" spans="1:21" ht="10">
      <c r="A113" s="129" t="s">
        <v>67</v>
      </c>
      <c r="B113" s="566" t="s">
        <v>68</v>
      </c>
      <c r="C113" s="566">
        <v>2025</v>
      </c>
      <c r="D113" s="513" t="str">
        <f>IF('Res-Rec Calculations'!V113="NA","NA",'Res-Rec Calculations'!W113)</f>
        <v>NA</v>
      </c>
      <c r="E113" s="342"/>
      <c r="F113" s="126">
        <f>'Res-Rec Calculations'!Y113</f>
        <v>66</v>
      </c>
      <c r="G113" s="126" t="str">
        <f>'Res-Rec Calculations'!Z113</f>
        <v>Noncancer</v>
      </c>
      <c r="H113" s="127"/>
      <c r="I113" s="698">
        <f>IF(G113="BTV","NA",IF(G113="Max Limit","NA",IF(G113="Csat","NA",IF(ISNUMBER('Res-Rec Calculations'!U113),((H113/'Res-Rec Calculations'!U113)),"NA"))))</f>
        <v>0</v>
      </c>
      <c r="J113" s="704">
        <f>IF(G113="BTV","NA",IF(G113="Max Limit","NA",IF(G113="Csat","NA",IF(ISNUMBER('Res-Rec Calculations'!N113),((H113/'Res-Rec Calculations'!N113)*0.00001),"NA"))))</f>
        <v>0</v>
      </c>
      <c r="K113" s="702" t="str">
        <f>IF('Chemical Info'!R114="X",'Res-Rec Worksheet'!I113,"")</f>
        <v/>
      </c>
      <c r="L113" s="702" t="str">
        <f>IF('Chemical Info'!S114="X",'Res-Rec Worksheet'!I113,"")</f>
        <v/>
      </c>
      <c r="M113" s="702" t="str">
        <f>IF('Chemical Info'!T114="X",'Res-Rec Worksheet'!I113,"")</f>
        <v/>
      </c>
      <c r="N113" s="702" t="str">
        <f>IF('Chemical Info'!U114="X",'Res-Rec Worksheet'!I113,"")</f>
        <v/>
      </c>
      <c r="O113" s="702">
        <f>IF('Chemical Info'!V114="X",'Res-Rec Worksheet'!I113,"")</f>
        <v>0</v>
      </c>
      <c r="P113" s="702" t="str">
        <f>IF('Chemical Info'!W114="X",'Res-Rec Worksheet'!I113,"")</f>
        <v/>
      </c>
      <c r="Q113" s="702" t="str">
        <f>IF('Chemical Info'!X114="X",'Res-Rec Worksheet'!I113,"")</f>
        <v/>
      </c>
      <c r="R113" s="702" t="str">
        <f>IF('Chemical Info'!Y114="X",'Res-Rec Worksheet'!I113,"")</f>
        <v/>
      </c>
      <c r="S113" s="702" t="str">
        <f>IF('Chemical Info'!Z114="X",'Res-Rec Worksheet'!I113,"")</f>
        <v/>
      </c>
      <c r="T113" s="702">
        <f>IF('Chemical Info'!AA114="X",'Res-Rec Worksheet'!I113,"")</f>
        <v>0</v>
      </c>
      <c r="U113" s="692" t="str">
        <f t="shared" si="1"/>
        <v/>
      </c>
    </row>
    <row r="114" spans="1:21" ht="10">
      <c r="A114" s="146" t="s">
        <v>487</v>
      </c>
      <c r="B114" s="566" t="s">
        <v>156</v>
      </c>
      <c r="C114" s="566">
        <v>2022</v>
      </c>
      <c r="D114" s="513" t="str">
        <f>IF('Res-Rec Calculations'!V114="NA","NA",'Res-Rec Calculations'!W114)</f>
        <v>NA</v>
      </c>
      <c r="E114" s="342"/>
      <c r="F114" s="126">
        <f>'Res-Rec Calculations'!Y114</f>
        <v>310</v>
      </c>
      <c r="G114" s="126" t="str">
        <f>'Res-Rec Calculations'!Z114</f>
        <v>Noncancer</v>
      </c>
      <c r="H114" s="127"/>
      <c r="I114" s="698">
        <f>IF(G114="BTV","NA",IF(G114="Max Limit","NA",IF(G114="Csat","NA",IF(ISNUMBER('Res-Rec Calculations'!U114),((H114/'Res-Rec Calculations'!U114)),"NA"))))</f>
        <v>0</v>
      </c>
      <c r="J114" s="704" t="str">
        <f>IF(G114="BTV","NA",IF(G114="Max Limit","NA",IF(G114="Csat","NA",IF(ISNUMBER('Res-Rec Calculations'!N114),((H114/'Res-Rec Calculations'!N114)*0.00001),"NA"))))</f>
        <v>NA</v>
      </c>
      <c r="K114" s="702" t="str">
        <f>IF('Chemical Info'!R115="X",'Res-Rec Worksheet'!I114,"")</f>
        <v/>
      </c>
      <c r="L114" s="702" t="str">
        <f>IF('Chemical Info'!S115="X",'Res-Rec Worksheet'!I114,"")</f>
        <v/>
      </c>
      <c r="M114" s="702" t="str">
        <f>IF('Chemical Info'!T115="X",'Res-Rec Worksheet'!I114,"")</f>
        <v/>
      </c>
      <c r="N114" s="702" t="str">
        <f>IF('Chemical Info'!U115="X",'Res-Rec Worksheet'!I114,"")</f>
        <v/>
      </c>
      <c r="O114" s="702" t="str">
        <f>IF('Chemical Info'!V115="X",'Res-Rec Worksheet'!I114,"")</f>
        <v/>
      </c>
      <c r="P114" s="702">
        <f>IF('Chemical Info'!W115="X",'Res-Rec Worksheet'!I114,"")</f>
        <v>0</v>
      </c>
      <c r="Q114" s="702" t="str">
        <f>IF('Chemical Info'!X115="X",'Res-Rec Worksheet'!I114,"")</f>
        <v/>
      </c>
      <c r="R114" s="702" t="str">
        <f>IF('Chemical Info'!Y115="X",'Res-Rec Worksheet'!I114,"")</f>
        <v/>
      </c>
      <c r="S114" s="702" t="str">
        <f>IF('Chemical Info'!Z115="X",'Res-Rec Worksheet'!I114,"")</f>
        <v/>
      </c>
      <c r="T114" s="702" t="str">
        <f>IF('Chemical Info'!AA115="X",'Res-Rec Worksheet'!I114,"")</f>
        <v/>
      </c>
      <c r="U114" s="692" t="str">
        <f t="shared" si="1"/>
        <v/>
      </c>
    </row>
    <row r="115" spans="1:21" ht="10">
      <c r="A115" s="133" t="s">
        <v>402</v>
      </c>
      <c r="B115" s="566" t="s">
        <v>157</v>
      </c>
      <c r="C115" s="566">
        <v>2016</v>
      </c>
      <c r="D115" s="513" t="str">
        <f>IF('Res-Rec Calculations'!V115="NA","NA",'Res-Rec Calculations'!W115)</f>
        <v>NA</v>
      </c>
      <c r="E115" s="342"/>
      <c r="F115" s="126">
        <f>'Res-Rec Calculations'!Y115</f>
        <v>380</v>
      </c>
      <c r="G115" s="126" t="str">
        <f>'Res-Rec Calculations'!Z115</f>
        <v>Csat</v>
      </c>
      <c r="H115" s="127"/>
      <c r="I115" s="698" t="str">
        <f>IF(G115="BTV","NA",IF(G115="Max Limit","NA",IF(G115="Csat","NA",IF(ISNUMBER('Res-Rec Calculations'!U115),((H115/'Res-Rec Calculations'!U115)),"NA"))))</f>
        <v>NA</v>
      </c>
      <c r="J115" s="704" t="str">
        <f>IF(G115="BTV","NA",IF(G115="Max Limit","NA",IF(G115="Csat","NA",IF(ISNUMBER('Res-Rec Calculations'!N115),((H115/'Res-Rec Calculations'!N115)*0.00001),"NA"))))</f>
        <v>NA</v>
      </c>
      <c r="K115" s="702" t="str">
        <f>IF('Chemical Info'!R116="X",'Res-Rec Worksheet'!I115,"")</f>
        <v/>
      </c>
      <c r="L115" s="702" t="str">
        <f>IF('Chemical Info'!S116="X",'Res-Rec Worksheet'!I115,"")</f>
        <v/>
      </c>
      <c r="M115" s="702" t="str">
        <f>IF('Chemical Info'!T116="X",'Res-Rec Worksheet'!I115,"")</f>
        <v/>
      </c>
      <c r="N115" s="702" t="str">
        <f>IF('Chemical Info'!U116="X",'Res-Rec Worksheet'!I115,"")</f>
        <v/>
      </c>
      <c r="O115" s="702" t="str">
        <f>IF('Chemical Info'!V116="X",'Res-Rec Worksheet'!I115,"")</f>
        <v/>
      </c>
      <c r="P115" s="702" t="str">
        <f>IF('Chemical Info'!W116="X",'Res-Rec Worksheet'!I115,"")</f>
        <v/>
      </c>
      <c r="Q115" s="702" t="str">
        <f>IF('Chemical Info'!X116="X",'Res-Rec Worksheet'!I115,"")</f>
        <v/>
      </c>
      <c r="R115" s="702" t="str">
        <f>IF('Chemical Info'!Y116="X",'Res-Rec Worksheet'!I115,"")</f>
        <v/>
      </c>
      <c r="S115" s="702" t="str">
        <f>IF('Chemical Info'!Z116="X",'Res-Rec Worksheet'!I115,"")</f>
        <v/>
      </c>
      <c r="T115" s="702" t="str">
        <f>IF('Chemical Info'!AA116="X",'Res-Rec Worksheet'!I115,"")</f>
        <v/>
      </c>
      <c r="U115" s="692" t="str">
        <f t="shared" si="1"/>
        <v>Based on Csat. A concentration &gt; Csat indicates potential for free product in soil.</v>
      </c>
    </row>
    <row r="116" spans="1:21" ht="10">
      <c r="A116" s="133" t="s">
        <v>403</v>
      </c>
      <c r="B116" s="566" t="s">
        <v>198</v>
      </c>
      <c r="C116" s="566">
        <v>2016</v>
      </c>
      <c r="D116" s="513" t="str">
        <f>IF('Res-Rec Calculations'!V116="NA","NA",'Res-Rec Calculations'!W116)</f>
        <v>NA</v>
      </c>
      <c r="E116" s="342"/>
      <c r="F116" s="126">
        <f>'Res-Rec Calculations'!Y116</f>
        <v>300</v>
      </c>
      <c r="G116" s="126" t="str">
        <f>'Res-Rec Calculations'!Z116</f>
        <v>Csat</v>
      </c>
      <c r="H116" s="127"/>
      <c r="I116" s="698" t="str">
        <f>IF(G116="BTV","NA",IF(G116="Max Limit","NA",IF(G116="Csat","NA",IF(ISNUMBER('Res-Rec Calculations'!U116),((H116/'Res-Rec Calculations'!U116)),"NA"))))</f>
        <v>NA</v>
      </c>
      <c r="J116" s="704" t="str">
        <f>IF(G116="BTV","NA",IF(G116="Max Limit","NA",IF(G116="Csat","NA",IF(ISNUMBER('Res-Rec Calculations'!N116),((H116/'Res-Rec Calculations'!N116)*0.00001),"NA"))))</f>
        <v>NA</v>
      </c>
      <c r="K116" s="702" t="str">
        <f>IF('Chemical Info'!R117="X",'Res-Rec Worksheet'!I116,"")</f>
        <v/>
      </c>
      <c r="L116" s="702" t="str">
        <f>IF('Chemical Info'!S117="X",'Res-Rec Worksheet'!I116,"")</f>
        <v/>
      </c>
      <c r="M116" s="702" t="str">
        <f>IF('Chemical Info'!T117="X",'Res-Rec Worksheet'!I116,"")</f>
        <v/>
      </c>
      <c r="N116" s="702" t="str">
        <f>IF('Chemical Info'!U117="X",'Res-Rec Worksheet'!I116,"")</f>
        <v/>
      </c>
      <c r="O116" s="702" t="str">
        <f>IF('Chemical Info'!V117="X",'Res-Rec Worksheet'!I116,"")</f>
        <v/>
      </c>
      <c r="P116" s="702" t="str">
        <f>IF('Chemical Info'!W117="X",'Res-Rec Worksheet'!I116,"")</f>
        <v/>
      </c>
      <c r="Q116" s="702" t="str">
        <f>IF('Chemical Info'!X117="X",'Res-Rec Worksheet'!I116,"")</f>
        <v/>
      </c>
      <c r="R116" s="702" t="str">
        <f>IF('Chemical Info'!Y117="X",'Res-Rec Worksheet'!I116,"")</f>
        <v/>
      </c>
      <c r="S116" s="702" t="str">
        <f>IF('Chemical Info'!Z117="X",'Res-Rec Worksheet'!I116,"")</f>
        <v/>
      </c>
      <c r="T116" s="702" t="str">
        <f>IF('Chemical Info'!AA117="X",'Res-Rec Worksheet'!I116,"")</f>
        <v/>
      </c>
      <c r="U116" s="692" t="str">
        <f t="shared" si="1"/>
        <v>Based on Csat. A concentration &gt; Csat indicates potential for free product in soil.</v>
      </c>
    </row>
    <row r="117" spans="1:21" ht="10">
      <c r="A117" s="133" t="s">
        <v>404</v>
      </c>
      <c r="B117" s="566" t="s">
        <v>199</v>
      </c>
      <c r="C117" s="566">
        <v>2021</v>
      </c>
      <c r="D117" s="513" t="str">
        <f>IF('Res-Rec Calculations'!V117="NA","NA",'Res-Rec Calculations'!W117)</f>
        <v>NA</v>
      </c>
      <c r="E117" s="342"/>
      <c r="F117" s="126">
        <f>'Res-Rec Calculations'!Y117</f>
        <v>56</v>
      </c>
      <c r="G117" s="126" t="str">
        <f>'Res-Rec Calculations'!Z117</f>
        <v>Cancer</v>
      </c>
      <c r="H117" s="127"/>
      <c r="I117" s="698">
        <f>IF(G117="BTV","NA",IF(G117="Max Limit","NA",IF(G117="Csat","NA",IF(ISNUMBER('Res-Rec Calculations'!U117),((H117/'Res-Rec Calculations'!U117)),"NA"))))</f>
        <v>0</v>
      </c>
      <c r="J117" s="704">
        <f>IF(G117="BTV","NA",IF(G117="Max Limit","NA",IF(G117="Csat","NA",IF(ISNUMBER('Res-Rec Calculations'!N117),((H117/'Res-Rec Calculations'!N117)*0.00001),"NA"))))</f>
        <v>0</v>
      </c>
      <c r="K117" s="702">
        <f>IF('Chemical Info'!R118="X",'Res-Rec Worksheet'!I117,"")</f>
        <v>0</v>
      </c>
      <c r="L117" s="702">
        <f>IF('Chemical Info'!S118="X",'Res-Rec Worksheet'!I117,"")</f>
        <v>0</v>
      </c>
      <c r="M117" s="702">
        <f>IF('Chemical Info'!T118="X",'Res-Rec Worksheet'!I117,"")</f>
        <v>0</v>
      </c>
      <c r="N117" s="702">
        <f>IF('Chemical Info'!U118="X",'Res-Rec Worksheet'!I117,"")</f>
        <v>0</v>
      </c>
      <c r="O117" s="702">
        <f>IF('Chemical Info'!V118="X",'Res-Rec Worksheet'!I117,"")</f>
        <v>0</v>
      </c>
      <c r="P117" s="702">
        <f>IF('Chemical Info'!W118="X",'Res-Rec Worksheet'!I117,"")</f>
        <v>0</v>
      </c>
      <c r="Q117" s="702">
        <f>IF('Chemical Info'!X118="X",'Res-Rec Worksheet'!I117,"")</f>
        <v>0</v>
      </c>
      <c r="R117" s="702" t="str">
        <f>IF('Chemical Info'!Y118="X",'Res-Rec Worksheet'!I117,"")</f>
        <v/>
      </c>
      <c r="S117" s="702" t="str">
        <f>IF('Chemical Info'!Z118="X",'Res-Rec Worksheet'!I117,"")</f>
        <v/>
      </c>
      <c r="T117" s="702">
        <f>IF('Chemical Info'!AA118="X",'Res-Rec Worksheet'!I117,"")</f>
        <v>0</v>
      </c>
      <c r="U117" s="692" t="str">
        <f t="shared" si="1"/>
        <v/>
      </c>
    </row>
    <row r="118" spans="1:21" ht="10">
      <c r="A118" s="133" t="s">
        <v>405</v>
      </c>
      <c r="B118" s="566" t="s">
        <v>200</v>
      </c>
      <c r="C118" s="566">
        <v>2022</v>
      </c>
      <c r="D118" s="513" t="str">
        <f>IF('Res-Rec Calculations'!V118="NA","NA",'Res-Rec Calculations'!W118)</f>
        <v>NA</v>
      </c>
      <c r="E118" s="342"/>
      <c r="F118" s="126">
        <f>'Res-Rec Calculations'!Y118</f>
        <v>9.9</v>
      </c>
      <c r="G118" s="126" t="str">
        <f>'Res-Rec Calculations'!Z118</f>
        <v>Cancer</v>
      </c>
      <c r="H118" s="127"/>
      <c r="I118" s="698" t="str">
        <f>IF(G118="BTV","NA",IF(G118="Max Limit","NA",IF(G118="Csat","NA",IF(ISNUMBER('Res-Rec Calculations'!U118),((H118/'Res-Rec Calculations'!U118)),"NA"))))</f>
        <v>NA</v>
      </c>
      <c r="J118" s="704">
        <f>IF(G118="BTV","NA",IF(G118="Max Limit","NA",IF(G118="Csat","NA",IF(ISNUMBER('Res-Rec Calculations'!N118),((H118/'Res-Rec Calculations'!N118)*0.00001),"NA"))))</f>
        <v>0</v>
      </c>
      <c r="K118" s="702" t="str">
        <f>IF('Chemical Info'!R119="X",'Res-Rec Worksheet'!I118,"")</f>
        <v/>
      </c>
      <c r="L118" s="702" t="str">
        <f>IF('Chemical Info'!S119="X",'Res-Rec Worksheet'!I118,"")</f>
        <v/>
      </c>
      <c r="M118" s="702" t="str">
        <f>IF('Chemical Info'!T119="X",'Res-Rec Worksheet'!I118,"")</f>
        <v/>
      </c>
      <c r="N118" s="702" t="str">
        <f>IF('Chemical Info'!U119="X",'Res-Rec Worksheet'!I118,"")</f>
        <v/>
      </c>
      <c r="O118" s="702" t="str">
        <f>IF('Chemical Info'!V119="X",'Res-Rec Worksheet'!I118,"")</f>
        <v/>
      </c>
      <c r="P118" s="702" t="str">
        <f>IF('Chemical Info'!W119="X",'Res-Rec Worksheet'!I118,"")</f>
        <v/>
      </c>
      <c r="Q118" s="702" t="str">
        <f>IF('Chemical Info'!X119="X",'Res-Rec Worksheet'!I118,"")</f>
        <v/>
      </c>
      <c r="R118" s="702" t="str">
        <f>IF('Chemical Info'!Y119="X",'Res-Rec Worksheet'!I118,"")</f>
        <v/>
      </c>
      <c r="S118" s="702" t="str">
        <f>IF('Chemical Info'!Z119="X",'Res-Rec Worksheet'!I118,"")</f>
        <v/>
      </c>
      <c r="T118" s="702" t="str">
        <f>IF('Chemical Info'!AA119="X",'Res-Rec Worksheet'!I118,"")</f>
        <v/>
      </c>
      <c r="U118" s="692" t="str">
        <f t="shared" si="1"/>
        <v/>
      </c>
    </row>
    <row r="119" spans="1:21" ht="10">
      <c r="A119" s="133" t="s">
        <v>406</v>
      </c>
      <c r="B119" s="566" t="s">
        <v>201</v>
      </c>
      <c r="C119" s="566">
        <v>2016</v>
      </c>
      <c r="D119" s="513" t="str">
        <f>IF('Res-Rec Calculations'!V119="NA","NA",'Res-Rec Calculations'!W119)</f>
        <v>NA</v>
      </c>
      <c r="E119" s="342"/>
      <c r="F119" s="126">
        <f>'Res-Rec Calculations'!Y119</f>
        <v>40</v>
      </c>
      <c r="G119" s="126" t="str">
        <f>'Res-Rec Calculations'!Z119</f>
        <v>Noncancer</v>
      </c>
      <c r="H119" s="127"/>
      <c r="I119" s="698">
        <f>IF(G119="BTV","NA",IF(G119="Max Limit","NA",IF(G119="Csat","NA",IF(ISNUMBER('Res-Rec Calculations'!U119),((H119/'Res-Rec Calculations'!U119)),"NA"))))</f>
        <v>0</v>
      </c>
      <c r="J119" s="704" t="str">
        <f>IF(G119="BTV","NA",IF(G119="Max Limit","NA",IF(G119="Csat","NA",IF(ISNUMBER('Res-Rec Calculations'!N119),((H119/'Res-Rec Calculations'!N119)*0.00001),"NA"))))</f>
        <v>NA</v>
      </c>
      <c r="K119" s="702" t="str">
        <f>IF('Chemical Info'!R120="X",'Res-Rec Worksheet'!I119,"")</f>
        <v/>
      </c>
      <c r="L119" s="702" t="str">
        <f>IF('Chemical Info'!S120="X",'Res-Rec Worksheet'!I119,"")</f>
        <v/>
      </c>
      <c r="M119" s="702">
        <f>IF('Chemical Info'!T120="X",'Res-Rec Worksheet'!I119,"")</f>
        <v>0</v>
      </c>
      <c r="N119" s="702" t="str">
        <f>IF('Chemical Info'!U120="X",'Res-Rec Worksheet'!I119,"")</f>
        <v/>
      </c>
      <c r="O119" s="702" t="str">
        <f>IF('Chemical Info'!V120="X",'Res-Rec Worksheet'!I119,"")</f>
        <v/>
      </c>
      <c r="P119" s="702" t="str">
        <f>IF('Chemical Info'!W120="X",'Res-Rec Worksheet'!I119,"")</f>
        <v/>
      </c>
      <c r="Q119" s="702" t="str">
        <f>IF('Chemical Info'!X120="X",'Res-Rec Worksheet'!I119,"")</f>
        <v/>
      </c>
      <c r="R119" s="702" t="str">
        <f>IF('Chemical Info'!Y120="X",'Res-Rec Worksheet'!I119,"")</f>
        <v/>
      </c>
      <c r="S119" s="702" t="str">
        <f>IF('Chemical Info'!Z120="X",'Res-Rec Worksheet'!I119,"")</f>
        <v/>
      </c>
      <c r="T119" s="702" t="str">
        <f>IF('Chemical Info'!AA120="X",'Res-Rec Worksheet'!I119,"")</f>
        <v/>
      </c>
      <c r="U119" s="692" t="str">
        <f t="shared" si="1"/>
        <v/>
      </c>
    </row>
    <row r="120" spans="1:21" ht="10">
      <c r="A120" s="133" t="s">
        <v>1154</v>
      </c>
      <c r="B120" s="566" t="s">
        <v>1155</v>
      </c>
      <c r="C120" s="566">
        <v>2022</v>
      </c>
      <c r="D120" s="513" t="str">
        <f>IF('Res-Rec Calculations'!V120="NA","NA",'Res-Rec Calculations'!W120)</f>
        <v>NA</v>
      </c>
      <c r="E120" s="342"/>
      <c r="F120" s="126">
        <f>'Res-Rec Calculations'!Y120</f>
        <v>11000</v>
      </c>
      <c r="G120" s="126" t="str">
        <f>'Res-Rec Calculations'!Z120</f>
        <v>Noncancer</v>
      </c>
      <c r="H120" s="127"/>
      <c r="I120" s="698">
        <f>IF(G120="BTV","NA",IF(G120="Max Limit","NA",IF(G120="Csat","NA",IF(ISNUMBER('Res-Rec Calculations'!U120),((H120/'Res-Rec Calculations'!U120)),"NA"))))</f>
        <v>0</v>
      </c>
      <c r="J120" s="704" t="str">
        <f>IF(G120="BTV","NA",IF(G120="Max Limit","NA",IF(G120="Csat","NA",IF(ISNUMBER('Res-Rec Calculations'!N120),((H120/'Res-Rec Calculations'!N120)*0.00001),"NA"))))</f>
        <v>NA</v>
      </c>
      <c r="K120" s="702" t="str">
        <f>IF('Chemical Info'!R121="X",'Res-Rec Worksheet'!I120,"")</f>
        <v/>
      </c>
      <c r="L120" s="702" t="str">
        <f>IF('Chemical Info'!S121="X",'Res-Rec Worksheet'!I120,"")</f>
        <v/>
      </c>
      <c r="M120" s="702" t="str">
        <f>IF('Chemical Info'!T121="X",'Res-Rec Worksheet'!I120,"")</f>
        <v/>
      </c>
      <c r="N120" s="702" t="str">
        <f>IF('Chemical Info'!U121="X",'Res-Rec Worksheet'!I120,"")</f>
        <v/>
      </c>
      <c r="O120" s="702" t="str">
        <f>IF('Chemical Info'!V121="X",'Res-Rec Worksheet'!I120,"")</f>
        <v/>
      </c>
      <c r="P120" s="702" t="str">
        <f>IF('Chemical Info'!W121="X",'Res-Rec Worksheet'!I120,"")</f>
        <v/>
      </c>
      <c r="Q120" s="702" t="str">
        <f>IF('Chemical Info'!X121="X",'Res-Rec Worksheet'!I120,"")</f>
        <v/>
      </c>
      <c r="R120" s="702" t="str">
        <f>IF('Chemical Info'!Y121="X",'Res-Rec Worksheet'!I120,"")</f>
        <v/>
      </c>
      <c r="S120" s="702" t="str">
        <f>IF('Chemical Info'!Z121="X",'Res-Rec Worksheet'!I120,"")</f>
        <v/>
      </c>
      <c r="T120" s="702" t="str">
        <f>IF('Chemical Info'!AA121="X",'Res-Rec Worksheet'!I120,"")</f>
        <v/>
      </c>
      <c r="U120" s="692" t="str">
        <f t="shared" si="1"/>
        <v/>
      </c>
    </row>
    <row r="121" spans="1:21" ht="10">
      <c r="A121" s="133" t="s">
        <v>1133</v>
      </c>
      <c r="B121" s="566" t="s">
        <v>1134</v>
      </c>
      <c r="C121" s="566">
        <v>2022</v>
      </c>
      <c r="D121" s="513" t="str">
        <f>IF('Res-Rec Calculations'!V121="NA","NA",'Res-Rec Calculations'!W121)</f>
        <v>NA</v>
      </c>
      <c r="E121" s="342"/>
      <c r="F121" s="126">
        <f>'Res-Rec Calculations'!Y121</f>
        <v>1.3</v>
      </c>
      <c r="G121" s="126" t="str">
        <f>'Res-Rec Calculations'!Z121</f>
        <v>Noncancer</v>
      </c>
      <c r="H121" s="127"/>
      <c r="I121" s="698">
        <f>IF(G121="BTV","NA",IF(G121="Max Limit","NA",IF(G121="Csat","NA",IF(ISNUMBER('Res-Rec Calculations'!U121),((H121/'Res-Rec Calculations'!U121)),"NA"))))</f>
        <v>0</v>
      </c>
      <c r="J121" s="704" t="str">
        <f>IF(G121="BTV","NA",IF(G121="Max Limit","NA",IF(G121="Csat","NA",IF(ISNUMBER('Res-Rec Calculations'!N121),((H121/'Res-Rec Calculations'!N121)*0.00001),"NA"))))</f>
        <v>NA</v>
      </c>
      <c r="K121" s="702" t="str">
        <f>IF('Chemical Info'!R122="X",'Res-Rec Worksheet'!I121,"")</f>
        <v/>
      </c>
      <c r="L121" s="702" t="str">
        <f>IF('Chemical Info'!S122="X",'Res-Rec Worksheet'!I121,"")</f>
        <v/>
      </c>
      <c r="M121" s="702">
        <f>IF('Chemical Info'!T122="X",'Res-Rec Worksheet'!I121,"")</f>
        <v>0</v>
      </c>
      <c r="N121" s="702" t="str">
        <f>IF('Chemical Info'!U122="X",'Res-Rec Worksheet'!I121,"")</f>
        <v/>
      </c>
      <c r="O121" s="702" t="str">
        <f>IF('Chemical Info'!V122="X",'Res-Rec Worksheet'!I121,"")</f>
        <v/>
      </c>
      <c r="P121" s="702" t="str">
        <f>IF('Chemical Info'!W122="X",'Res-Rec Worksheet'!I121,"")</f>
        <v/>
      </c>
      <c r="Q121" s="702" t="str">
        <f>IF('Chemical Info'!X122="X",'Res-Rec Worksheet'!I121,"")</f>
        <v/>
      </c>
      <c r="R121" s="702" t="str">
        <f>IF('Chemical Info'!Y122="X",'Res-Rec Worksheet'!I121,"")</f>
        <v/>
      </c>
      <c r="S121" s="702" t="str">
        <f>IF('Chemical Info'!Z122="X",'Res-Rec Worksheet'!I121,"")</f>
        <v/>
      </c>
      <c r="T121" s="702" t="str">
        <f>IF('Chemical Info'!AA122="X",'Res-Rec Worksheet'!I121,"")</f>
        <v/>
      </c>
      <c r="U121" s="692" t="str">
        <f t="shared" si="1"/>
        <v/>
      </c>
    </row>
    <row r="122" spans="1:21" ht="10">
      <c r="A122" s="133" t="s">
        <v>1135</v>
      </c>
      <c r="B122" s="566" t="s">
        <v>1136</v>
      </c>
      <c r="C122" s="566">
        <v>2022</v>
      </c>
      <c r="D122" s="513" t="str">
        <f>IF('Res-Rec Calculations'!V122="NA","NA",'Res-Rec Calculations'!W122)</f>
        <v>NA</v>
      </c>
      <c r="E122" s="342"/>
      <c r="F122" s="126">
        <f>'Res-Rec Calculations'!Y122</f>
        <v>1.3</v>
      </c>
      <c r="G122" s="126" t="str">
        <f>'Res-Rec Calculations'!Z122</f>
        <v>Noncancer</v>
      </c>
      <c r="H122" s="127"/>
      <c r="I122" s="698">
        <f>IF(G122="BTV","NA",IF(G122="Max Limit","NA",IF(G122="Csat","NA",IF(ISNUMBER('Res-Rec Calculations'!U122),((H122/'Res-Rec Calculations'!U122)),"NA"))))</f>
        <v>0</v>
      </c>
      <c r="J122" s="704" t="str">
        <f>IF(G122="BTV","NA",IF(G122="Max Limit","NA",IF(G122="Csat","NA",IF(ISNUMBER('Res-Rec Calculations'!N122),((H122/'Res-Rec Calculations'!N122)*0.00001),"NA"))))</f>
        <v>NA</v>
      </c>
      <c r="K122" s="702" t="str">
        <f>IF('Chemical Info'!R123="X",'Res-Rec Worksheet'!I122,"")</f>
        <v/>
      </c>
      <c r="L122" s="702" t="str">
        <f>IF('Chemical Info'!S123="X",'Res-Rec Worksheet'!I122,"")</f>
        <v/>
      </c>
      <c r="M122" s="702">
        <f>IF('Chemical Info'!T123="X",'Res-Rec Worksheet'!I122,"")</f>
        <v>0</v>
      </c>
      <c r="N122" s="702" t="str">
        <f>IF('Chemical Info'!U123="X",'Res-Rec Worksheet'!I122,"")</f>
        <v/>
      </c>
      <c r="O122" s="702" t="str">
        <f>IF('Chemical Info'!V123="X",'Res-Rec Worksheet'!I122,"")</f>
        <v/>
      </c>
      <c r="P122" s="702" t="str">
        <f>IF('Chemical Info'!W123="X",'Res-Rec Worksheet'!I122,"")</f>
        <v/>
      </c>
      <c r="Q122" s="702" t="str">
        <f>IF('Chemical Info'!X123="X",'Res-Rec Worksheet'!I122,"")</f>
        <v/>
      </c>
      <c r="R122" s="702" t="str">
        <f>IF('Chemical Info'!Y123="X",'Res-Rec Worksheet'!I122,"")</f>
        <v/>
      </c>
      <c r="S122" s="702" t="str">
        <f>IF('Chemical Info'!Z123="X",'Res-Rec Worksheet'!I122,"")</f>
        <v/>
      </c>
      <c r="T122" s="702" t="str">
        <f>IF('Chemical Info'!AA123="X",'Res-Rec Worksheet'!I122,"")</f>
        <v/>
      </c>
      <c r="U122" s="692" t="str">
        <f t="shared" si="1"/>
        <v/>
      </c>
    </row>
    <row r="123" spans="1:21" ht="10">
      <c r="A123" s="133" t="s">
        <v>1194</v>
      </c>
      <c r="B123" s="566" t="s">
        <v>1156</v>
      </c>
      <c r="C123" s="566">
        <v>2022</v>
      </c>
      <c r="D123" s="513" t="str">
        <f>IF('Res-Rec Calculations'!V123="NA","NA",'Res-Rec Calculations'!W123)</f>
        <v>NA</v>
      </c>
      <c r="E123" s="342"/>
      <c r="F123" s="126">
        <f>'Res-Rec Calculations'!Y123</f>
        <v>27</v>
      </c>
      <c r="G123" s="126" t="str">
        <f>'Res-Rec Calculations'!Z123</f>
        <v>Noncancer</v>
      </c>
      <c r="H123" s="127"/>
      <c r="I123" s="698">
        <f>IF(G123="BTV","NA",IF(G123="Max Limit","NA",IF(G123="Csat","NA",IF(ISNUMBER('Res-Rec Calculations'!U123),((H123/'Res-Rec Calculations'!U123)),"NA"))))</f>
        <v>0</v>
      </c>
      <c r="J123" s="704" t="str">
        <f>IF(G123="BTV","NA",IF(G123="Max Limit","NA",IF(G123="Csat","NA",IF(ISNUMBER('Res-Rec Calculations'!N123),((H123/'Res-Rec Calculations'!N123)*0.00001),"NA"))))</f>
        <v>NA</v>
      </c>
      <c r="K123" s="702" t="str">
        <f>IF('Chemical Info'!R124="X",'Res-Rec Worksheet'!I123,"")</f>
        <v/>
      </c>
      <c r="L123" s="702" t="str">
        <f>IF('Chemical Info'!S124="X",'Res-Rec Worksheet'!I123,"")</f>
        <v/>
      </c>
      <c r="M123" s="702" t="str">
        <f>IF('Chemical Info'!T124="X",'Res-Rec Worksheet'!I123,"")</f>
        <v/>
      </c>
      <c r="N123" s="702" t="str">
        <f>IF('Chemical Info'!U124="X",'Res-Rec Worksheet'!I123,"")</f>
        <v/>
      </c>
      <c r="O123" s="702" t="str">
        <f>IF('Chemical Info'!V124="X",'Res-Rec Worksheet'!I123,"")</f>
        <v/>
      </c>
      <c r="P123" s="702" t="str">
        <f>IF('Chemical Info'!W124="X",'Res-Rec Worksheet'!I123,"")</f>
        <v/>
      </c>
      <c r="Q123" s="702" t="str">
        <f>IF('Chemical Info'!X124="X",'Res-Rec Worksheet'!I123,"")</f>
        <v/>
      </c>
      <c r="R123" s="702" t="str">
        <f>IF('Chemical Info'!Y124="X",'Res-Rec Worksheet'!I123,"")</f>
        <v/>
      </c>
      <c r="S123" s="702" t="str">
        <f>IF('Chemical Info'!Z124="X",'Res-Rec Worksheet'!I123,"")</f>
        <v/>
      </c>
      <c r="T123" s="702" t="str">
        <f>IF('Chemical Info'!AA124="X",'Res-Rec Worksheet'!I123,"")</f>
        <v/>
      </c>
      <c r="U123" s="692" t="str">
        <f t="shared" si="1"/>
        <v/>
      </c>
    </row>
    <row r="124" spans="1:21" ht="10">
      <c r="A124" s="129" t="s">
        <v>217</v>
      </c>
      <c r="B124" s="566" t="s">
        <v>218</v>
      </c>
      <c r="C124" s="566">
        <v>2016</v>
      </c>
      <c r="D124" s="513" t="str">
        <f>IF('Res-Rec Calculations'!V124="NA","NA",'Res-Rec Calculations'!W124)</f>
        <v>NA</v>
      </c>
      <c r="E124" s="342"/>
      <c r="F124" s="126">
        <f>'Res-Rec Calculations'!Y124</f>
        <v>330</v>
      </c>
      <c r="G124" s="126" t="str">
        <f>'Res-Rec Calculations'!Z124</f>
        <v>Noncancer</v>
      </c>
      <c r="H124" s="127"/>
      <c r="I124" s="698">
        <f>IF(G124="BTV","NA",IF(G124="Max Limit","NA",IF(G124="Csat","NA",IF(ISNUMBER('Res-Rec Calculations'!U124),((H124/'Res-Rec Calculations'!U124)),"NA"))))</f>
        <v>0</v>
      </c>
      <c r="J124" s="704" t="str">
        <f>IF(G124="BTV","NA",IF(G124="Max Limit","NA",IF(G124="Csat","NA",IF(ISNUMBER('Res-Rec Calculations'!N124),((H124/'Res-Rec Calculations'!N124)*0.00001),"NA"))))</f>
        <v>NA</v>
      </c>
      <c r="K124" s="702" t="str">
        <f>IF('Chemical Info'!R125="X",'Res-Rec Worksheet'!I124,"")</f>
        <v/>
      </c>
      <c r="L124" s="702" t="str">
        <f>IF('Chemical Info'!S125="X",'Res-Rec Worksheet'!I124,"")</f>
        <v/>
      </c>
      <c r="M124" s="702" t="str">
        <f>IF('Chemical Info'!T125="X",'Res-Rec Worksheet'!I124,"")</f>
        <v/>
      </c>
      <c r="N124" s="702">
        <f>IF('Chemical Info'!U125="X",'Res-Rec Worksheet'!I124,"")</f>
        <v>0</v>
      </c>
      <c r="O124" s="702">
        <f>IF('Chemical Info'!V125="X",'Res-Rec Worksheet'!I124,"")</f>
        <v>0</v>
      </c>
      <c r="P124" s="702" t="str">
        <f>IF('Chemical Info'!W125="X",'Res-Rec Worksheet'!I124,"")</f>
        <v/>
      </c>
      <c r="Q124" s="702" t="str">
        <f>IF('Chemical Info'!X125="X",'Res-Rec Worksheet'!I124,"")</f>
        <v/>
      </c>
      <c r="R124" s="702" t="str">
        <f>IF('Chemical Info'!Y125="X",'Res-Rec Worksheet'!I124,"")</f>
        <v/>
      </c>
      <c r="S124" s="702" t="str">
        <f>IF('Chemical Info'!Z125="X",'Res-Rec Worksheet'!I124,"")</f>
        <v/>
      </c>
      <c r="T124" s="702" t="str">
        <f>IF('Chemical Info'!AA125="X",'Res-Rec Worksheet'!I124,"")</f>
        <v/>
      </c>
      <c r="U124" s="692" t="str">
        <f t="shared" si="1"/>
        <v/>
      </c>
    </row>
    <row r="125" spans="1:21" ht="10">
      <c r="A125" s="63" t="s">
        <v>488</v>
      </c>
      <c r="B125" s="566" t="s">
        <v>221</v>
      </c>
      <c r="C125" s="566">
        <v>2022</v>
      </c>
      <c r="D125" s="513" t="str">
        <f>IF('Res-Rec Calculations'!V125="NA","NA",'Res-Rec Calculations'!W125)</f>
        <v>NA</v>
      </c>
      <c r="E125" s="342"/>
      <c r="F125" s="126">
        <f>'Res-Rec Calculations'!Y125</f>
        <v>330</v>
      </c>
      <c r="G125" s="126" t="str">
        <f>'Res-Rec Calculations'!Z125</f>
        <v>Cancer</v>
      </c>
      <c r="H125" s="127"/>
      <c r="I125" s="698">
        <f>IF(G125="BTV","NA",IF(G125="Max Limit","NA",IF(G125="Csat","NA",IF(ISNUMBER('Res-Rec Calculations'!U125),((H125/'Res-Rec Calculations'!U125)),"NA"))))</f>
        <v>0</v>
      </c>
      <c r="J125" s="704">
        <f>IF(G125="BTV","NA",IF(G125="Max Limit","NA",IF(G125="Csat","NA",IF(ISNUMBER('Res-Rec Calculations'!N125),((H125/'Res-Rec Calculations'!N125)*0.00001),"NA"))))</f>
        <v>0</v>
      </c>
      <c r="K125" s="702" t="str">
        <f>IF('Chemical Info'!R126="X",'Res-Rec Worksheet'!I125,"")</f>
        <v/>
      </c>
      <c r="L125" s="702" t="str">
        <f>IF('Chemical Info'!S126="X",'Res-Rec Worksheet'!I125,"")</f>
        <v/>
      </c>
      <c r="M125" s="702" t="str">
        <f>IF('Chemical Info'!T126="X",'Res-Rec Worksheet'!I125,"")</f>
        <v/>
      </c>
      <c r="N125" s="702" t="str">
        <f>IF('Chemical Info'!U126="X",'Res-Rec Worksheet'!I125,"")</f>
        <v/>
      </c>
      <c r="O125" s="702" t="str">
        <f>IF('Chemical Info'!V126="X",'Res-Rec Worksheet'!I125,"")</f>
        <v/>
      </c>
      <c r="P125" s="702">
        <f>IF('Chemical Info'!W126="X",'Res-Rec Worksheet'!I125,"")</f>
        <v>0</v>
      </c>
      <c r="Q125" s="702" t="str">
        <f>IF('Chemical Info'!X126="X",'Res-Rec Worksheet'!I125,"")</f>
        <v/>
      </c>
      <c r="R125" s="702" t="str">
        <f>IF('Chemical Info'!Y126="X",'Res-Rec Worksheet'!I125,"")</f>
        <v/>
      </c>
      <c r="S125" s="702" t="str">
        <f>IF('Chemical Info'!Z126="X",'Res-Rec Worksheet'!I125,"")</f>
        <v/>
      </c>
      <c r="T125" s="702" t="str">
        <f>IF('Chemical Info'!AA126="X",'Res-Rec Worksheet'!I125,"")</f>
        <v/>
      </c>
      <c r="U125" s="692" t="str">
        <f t="shared" si="1"/>
        <v/>
      </c>
    </row>
    <row r="126" spans="1:21" ht="10">
      <c r="A126" s="133" t="s">
        <v>384</v>
      </c>
      <c r="B126" s="566" t="s">
        <v>174</v>
      </c>
      <c r="C126" s="566">
        <v>2022</v>
      </c>
      <c r="D126" s="513" t="str">
        <f>IF('Res-Rec Calculations'!V126="NA","NA",'Res-Rec Calculations'!W126)</f>
        <v>NA</v>
      </c>
      <c r="E126" s="342"/>
      <c r="F126" s="126">
        <f>'Res-Rec Calculations'!Y126</f>
        <v>270</v>
      </c>
      <c r="G126" s="126" t="str">
        <f>'Res-Rec Calculations'!Z126</f>
        <v>Noncancer</v>
      </c>
      <c r="H126" s="127"/>
      <c r="I126" s="698">
        <f>IF(G126="BTV","NA",IF(G126="Max Limit","NA",IF(G126="Csat","NA",IF(ISNUMBER('Res-Rec Calculations'!U126),((H126/'Res-Rec Calculations'!U126)),"NA"))))</f>
        <v>0</v>
      </c>
      <c r="J126" s="704" t="str">
        <f>IF(G126="BTV","NA",IF(G126="Max Limit","NA",IF(G126="Csat","NA",IF(ISNUMBER('Res-Rec Calculations'!N126),((H126/'Res-Rec Calculations'!N126)*0.00001),"NA"))))</f>
        <v>NA</v>
      </c>
      <c r="K126" s="702">
        <f>IF('Chemical Info'!R127="X",'Res-Rec Worksheet'!I126,"")</f>
        <v>0</v>
      </c>
      <c r="L126" s="702">
        <f>IF('Chemical Info'!S127="X",'Res-Rec Worksheet'!I126,"")</f>
        <v>0</v>
      </c>
      <c r="M126" s="702" t="str">
        <f>IF('Chemical Info'!T127="X",'Res-Rec Worksheet'!I126,"")</f>
        <v/>
      </c>
      <c r="N126" s="702" t="str">
        <f>IF('Chemical Info'!U127="X",'Res-Rec Worksheet'!I126,"")</f>
        <v/>
      </c>
      <c r="O126" s="702" t="str">
        <f>IF('Chemical Info'!V127="X",'Res-Rec Worksheet'!I126,"")</f>
        <v/>
      </c>
      <c r="P126" s="702" t="str">
        <f>IF('Chemical Info'!W127="X",'Res-Rec Worksheet'!I126,"")</f>
        <v/>
      </c>
      <c r="Q126" s="702" t="str">
        <f>IF('Chemical Info'!X127="X",'Res-Rec Worksheet'!I126,"")</f>
        <v/>
      </c>
      <c r="R126" s="702" t="str">
        <f>IF('Chemical Info'!Y127="X",'Res-Rec Worksheet'!I126,"")</f>
        <v/>
      </c>
      <c r="S126" s="702" t="str">
        <f>IF('Chemical Info'!Z127="X",'Res-Rec Worksheet'!I126,"")</f>
        <v/>
      </c>
      <c r="T126" s="702" t="str">
        <f>IF('Chemical Info'!AA127="X",'Res-Rec Worksheet'!I126,"")</f>
        <v/>
      </c>
      <c r="U126" s="692" t="str">
        <f t="shared" si="1"/>
        <v/>
      </c>
    </row>
    <row r="127" spans="1:21" ht="10">
      <c r="A127" s="129" t="s">
        <v>219</v>
      </c>
      <c r="B127" s="566" t="s">
        <v>220</v>
      </c>
      <c r="C127" s="566">
        <v>2022</v>
      </c>
      <c r="D127" s="513" t="str">
        <f>IF('Res-Rec Calculations'!V127="NA","NA",'Res-Rec Calculations'!W127)</f>
        <v>NA</v>
      </c>
      <c r="E127" s="342"/>
      <c r="F127" s="126">
        <f>'Res-Rec Calculations'!Y127</f>
        <v>130</v>
      </c>
      <c r="G127" s="126" t="str">
        <f>'Res-Rec Calculations'!Z127</f>
        <v>Noncancer</v>
      </c>
      <c r="H127" s="127"/>
      <c r="I127" s="698">
        <f>IF(G127="BTV","NA",IF(G127="Max Limit","NA",IF(G127="Csat","NA",IF(ISNUMBER('Res-Rec Calculations'!U127),((H127/'Res-Rec Calculations'!U127)),"NA"))))</f>
        <v>0</v>
      </c>
      <c r="J127" s="704" t="str">
        <f>IF(G127="BTV","NA",IF(G127="Max Limit","NA",IF(G127="Csat","NA",IF(ISNUMBER('Res-Rec Calculations'!N127),((H127/'Res-Rec Calculations'!N127)*0.00001),"NA"))))</f>
        <v>NA</v>
      </c>
      <c r="K127" s="702" t="str">
        <f>IF('Chemical Info'!R128="X",'Res-Rec Worksheet'!I127,"")</f>
        <v/>
      </c>
      <c r="L127" s="702" t="str">
        <f>IF('Chemical Info'!S128="X",'Res-Rec Worksheet'!I127,"")</f>
        <v/>
      </c>
      <c r="M127" s="702" t="str">
        <f>IF('Chemical Info'!T128="X",'Res-Rec Worksheet'!I127,"")</f>
        <v/>
      </c>
      <c r="N127" s="702" t="str">
        <f>IF('Chemical Info'!U128="X",'Res-Rec Worksheet'!I127,"")</f>
        <v/>
      </c>
      <c r="O127" s="702">
        <f>IF('Chemical Info'!V128="X",'Res-Rec Worksheet'!I127,"")</f>
        <v>0</v>
      </c>
      <c r="P127" s="702" t="str">
        <f>IF('Chemical Info'!W128="X",'Res-Rec Worksheet'!I127,"")</f>
        <v/>
      </c>
      <c r="Q127" s="702" t="str">
        <f>IF('Chemical Info'!X128="X",'Res-Rec Worksheet'!I127,"")</f>
        <v/>
      </c>
      <c r="R127" s="702" t="str">
        <f>IF('Chemical Info'!Y128="X",'Res-Rec Worksheet'!I127,"")</f>
        <v/>
      </c>
      <c r="S127" s="702" t="str">
        <f>IF('Chemical Info'!Z128="X",'Res-Rec Worksheet'!I127,"")</f>
        <v/>
      </c>
      <c r="T127" s="702" t="str">
        <f>IF('Chemical Info'!AA128="X",'Res-Rec Worksheet'!I127,"")</f>
        <v/>
      </c>
      <c r="U127" s="692" t="str">
        <f t="shared" si="1"/>
        <v/>
      </c>
    </row>
    <row r="128" spans="1:21" ht="10">
      <c r="A128" s="133" t="s">
        <v>385</v>
      </c>
      <c r="B128" s="566" t="s">
        <v>163</v>
      </c>
      <c r="C128" s="566">
        <v>2022</v>
      </c>
      <c r="D128" s="513" t="str">
        <f>IF('Res-Rec Calculations'!V128="NA","NA",'Res-Rec Calculations'!W128)</f>
        <v>NA</v>
      </c>
      <c r="E128" s="342"/>
      <c r="F128" s="126">
        <f>'Res-Rec Calculations'!Y128</f>
        <v>15</v>
      </c>
      <c r="G128" s="126" t="str">
        <f>'Res-Rec Calculations'!Z128</f>
        <v>Cancer</v>
      </c>
      <c r="H128" s="127"/>
      <c r="I128" s="698">
        <f>IF(G128="BTV","NA",IF(G128="Max Limit","NA",IF(G128="Csat","NA",IF(ISNUMBER('Res-Rec Calculations'!U128),((H128/'Res-Rec Calculations'!U128)),"NA"))))</f>
        <v>0</v>
      </c>
      <c r="J128" s="704">
        <f>IF(G128="BTV","NA",IF(G128="Max Limit","NA",IF(G128="Csat","NA",IF(ISNUMBER('Res-Rec Calculations'!N128),((H128/'Res-Rec Calculations'!N128)*0.00001),"NA"))))</f>
        <v>0</v>
      </c>
      <c r="K128" s="702" t="str">
        <f>IF('Chemical Info'!R129="X",'Res-Rec Worksheet'!I128,"")</f>
        <v/>
      </c>
      <c r="L128" s="702" t="str">
        <f>IF('Chemical Info'!S129="X",'Res-Rec Worksheet'!I128,"")</f>
        <v/>
      </c>
      <c r="M128" s="702" t="str">
        <f>IF('Chemical Info'!T129="X",'Res-Rec Worksheet'!I128,"")</f>
        <v/>
      </c>
      <c r="N128" s="702">
        <f>IF('Chemical Info'!U129="X",'Res-Rec Worksheet'!I128,"")</f>
        <v>0</v>
      </c>
      <c r="O128" s="702">
        <f>IF('Chemical Info'!V129="X",'Res-Rec Worksheet'!I128,"")</f>
        <v>0</v>
      </c>
      <c r="P128" s="702" t="str">
        <f>IF('Chemical Info'!W129="X",'Res-Rec Worksheet'!I128,"")</f>
        <v/>
      </c>
      <c r="Q128" s="702">
        <f>IF('Chemical Info'!X129="X",'Res-Rec Worksheet'!I128,"")</f>
        <v>0</v>
      </c>
      <c r="R128" s="702" t="str">
        <f>IF('Chemical Info'!Y129="X",'Res-Rec Worksheet'!I128,"")</f>
        <v/>
      </c>
      <c r="S128" s="702" t="str">
        <f>IF('Chemical Info'!Z129="X",'Res-Rec Worksheet'!I128,"")</f>
        <v/>
      </c>
      <c r="T128" s="702" t="str">
        <f>IF('Chemical Info'!AA129="X",'Res-Rec Worksheet'!I128,"")</f>
        <v/>
      </c>
      <c r="U128" s="692" t="str">
        <f t="shared" si="1"/>
        <v/>
      </c>
    </row>
    <row r="129" spans="1:21" ht="10">
      <c r="A129" s="129" t="s">
        <v>8</v>
      </c>
      <c r="B129" s="566" t="s">
        <v>9</v>
      </c>
      <c r="C129" s="566">
        <v>2021</v>
      </c>
      <c r="D129" s="513" t="str">
        <f>IF('Res-Rec Calculations'!V129="NA","NA",'Res-Rec Calculations'!W129)</f>
        <v>NA</v>
      </c>
      <c r="E129" s="342"/>
      <c r="F129" s="126">
        <f>'Res-Rec Calculations'!Y129</f>
        <v>3600</v>
      </c>
      <c r="G129" s="126" t="str">
        <f>'Res-Rec Calculations'!Z129</f>
        <v>Noncancer</v>
      </c>
      <c r="H129" s="127"/>
      <c r="I129" s="698">
        <f>IF(G129="BTV","NA",IF(G129="Max Limit","NA",IF(G129="Csat","NA",IF(ISNUMBER('Res-Rec Calculations'!U129),((H129/'Res-Rec Calculations'!U129)),"NA"))))</f>
        <v>0</v>
      </c>
      <c r="J129" s="704" t="str">
        <f>IF(G129="BTV","NA",IF(G129="Max Limit","NA",IF(G129="Csat","NA",IF(ISNUMBER('Res-Rec Calculations'!N129),((H129/'Res-Rec Calculations'!N129)*0.00001),"NA"))))</f>
        <v>NA</v>
      </c>
      <c r="K129" s="702" t="str">
        <f>IF('Chemical Info'!R130="X",'Res-Rec Worksheet'!I129,"")</f>
        <v/>
      </c>
      <c r="L129" s="702" t="str">
        <f>IF('Chemical Info'!S130="X",'Res-Rec Worksheet'!I129,"")</f>
        <v/>
      </c>
      <c r="M129" s="702" t="str">
        <f>IF('Chemical Info'!T130="X",'Res-Rec Worksheet'!I129,"")</f>
        <v/>
      </c>
      <c r="N129" s="702">
        <f>IF('Chemical Info'!U130="X",'Res-Rec Worksheet'!I129,"")</f>
        <v>0</v>
      </c>
      <c r="O129" s="702" t="str">
        <f>IF('Chemical Info'!V130="X",'Res-Rec Worksheet'!I129,"")</f>
        <v/>
      </c>
      <c r="P129" s="702">
        <f>IF('Chemical Info'!W130="X",'Res-Rec Worksheet'!I129,"")</f>
        <v>0</v>
      </c>
      <c r="Q129" s="702">
        <f>IF('Chemical Info'!X130="X",'Res-Rec Worksheet'!I129,"")</f>
        <v>0</v>
      </c>
      <c r="R129" s="702" t="str">
        <f>IF('Chemical Info'!Y130="X",'Res-Rec Worksheet'!I129,"")</f>
        <v/>
      </c>
      <c r="S129" s="702" t="str">
        <f>IF('Chemical Info'!Z130="X",'Res-Rec Worksheet'!I129,"")</f>
        <v/>
      </c>
      <c r="T129" s="702" t="str">
        <f>IF('Chemical Info'!AA130="X",'Res-Rec Worksheet'!I129,"")</f>
        <v/>
      </c>
      <c r="U129" s="692" t="str">
        <f t="shared" si="1"/>
        <v/>
      </c>
    </row>
    <row r="130" spans="1:21" ht="10">
      <c r="A130" s="129" t="s">
        <v>164</v>
      </c>
      <c r="B130" s="566" t="s">
        <v>165</v>
      </c>
      <c r="C130" s="736">
        <v>2025</v>
      </c>
      <c r="D130" s="513" t="str">
        <f>IF('Res-Rec Calculations'!V130="NA","NA",'Res-Rec Calculations'!W130)</f>
        <v>NA</v>
      </c>
      <c r="E130" s="342"/>
      <c r="F130" s="126">
        <f>'Res-Rec Calculations'!Y130</f>
        <v>230</v>
      </c>
      <c r="G130" s="126" t="str">
        <f>'Res-Rec Calculations'!Z130</f>
        <v>Noncancer</v>
      </c>
      <c r="H130" s="127"/>
      <c r="I130" s="698">
        <f>IF(G130="BTV","NA",IF(G130="Max Limit","NA",IF(G130="Csat","NA",IF(ISNUMBER('Res-Rec Calculations'!U130),((H130/'Res-Rec Calculations'!U130)),"NA"))))</f>
        <v>0</v>
      </c>
      <c r="J130" s="704" t="str">
        <f>IF(G130="BTV","NA",IF(G130="Max Limit","NA",IF(G130="Csat","NA",IF(ISNUMBER('Res-Rec Calculations'!N130),((H130/'Res-Rec Calculations'!N130)*0.00001),"NA"))))</f>
        <v>NA</v>
      </c>
      <c r="K130" s="702" t="str">
        <f>IF('Chemical Info'!R131="X",'Res-Rec Worksheet'!I130,"")</f>
        <v/>
      </c>
      <c r="L130" s="702" t="str">
        <f>IF('Chemical Info'!S131="X",'Res-Rec Worksheet'!I130,"")</f>
        <v/>
      </c>
      <c r="M130" s="702" t="str">
        <f>IF('Chemical Info'!T131="X",'Res-Rec Worksheet'!I130,"")</f>
        <v/>
      </c>
      <c r="N130" s="702" t="str">
        <f>IF('Chemical Info'!U131="X",'Res-Rec Worksheet'!I130,"")</f>
        <v/>
      </c>
      <c r="O130" s="702">
        <f>IF('Chemical Info'!V131="X",'Res-Rec Worksheet'!I130,"")</f>
        <v>0</v>
      </c>
      <c r="P130" s="702" t="str">
        <f>IF('Chemical Info'!W131="X",'Res-Rec Worksheet'!I130,"")</f>
        <v/>
      </c>
      <c r="Q130" s="702">
        <f>IF('Chemical Info'!X131="X",'Res-Rec Worksheet'!I130,"")</f>
        <v>0</v>
      </c>
      <c r="R130" s="702" t="str">
        <f>IF('Chemical Info'!Y131="X",'Res-Rec Worksheet'!I130,"")</f>
        <v/>
      </c>
      <c r="S130" s="702" t="str">
        <f>IF('Chemical Info'!Z131="X",'Res-Rec Worksheet'!I130,"")</f>
        <v/>
      </c>
      <c r="T130" s="702" t="str">
        <f>IF('Chemical Info'!AA131="X",'Res-Rec Worksheet'!I130,"")</f>
        <v/>
      </c>
      <c r="U130" s="692" t="str">
        <f t="shared" si="1"/>
        <v/>
      </c>
    </row>
    <row r="131" spans="1:21" ht="10">
      <c r="A131" s="129" t="s">
        <v>89</v>
      </c>
      <c r="B131" s="566" t="s">
        <v>90</v>
      </c>
      <c r="C131" s="566">
        <v>2022</v>
      </c>
      <c r="D131" s="513" t="str">
        <f>IF('Res-Rec Calculations'!V131="NA","NA",'Res-Rec Calculations'!W131)</f>
        <v>NA</v>
      </c>
      <c r="E131" s="342"/>
      <c r="F131" s="126">
        <f>'Res-Rec Calculations'!Y131</f>
        <v>66</v>
      </c>
      <c r="G131" s="126" t="str">
        <f>'Res-Rec Calculations'!Z131</f>
        <v>Noncancer</v>
      </c>
      <c r="H131" s="127"/>
      <c r="I131" s="698">
        <f>IF(G131="BTV","NA",IF(G131="Max Limit","NA",IF(G131="Csat","NA",IF(ISNUMBER('Res-Rec Calculations'!U131),((H131/'Res-Rec Calculations'!U131)),"NA"))))</f>
        <v>0</v>
      </c>
      <c r="J131" s="704" t="str">
        <f>IF(G131="BTV","NA",IF(G131="Max Limit","NA",IF(G131="Csat","NA",IF(ISNUMBER('Res-Rec Calculations'!N131),((H131/'Res-Rec Calculations'!N131)*0.00001),"NA"))))</f>
        <v>NA</v>
      </c>
      <c r="K131" s="702" t="str">
        <f>IF('Chemical Info'!R132="X",'Res-Rec Worksheet'!I131,"")</f>
        <v/>
      </c>
      <c r="L131" s="702" t="str">
        <f>IF('Chemical Info'!S132="X",'Res-Rec Worksheet'!I131,"")</f>
        <v/>
      </c>
      <c r="M131" s="702" t="str">
        <f>IF('Chemical Info'!T132="X",'Res-Rec Worksheet'!I131,"")</f>
        <v/>
      </c>
      <c r="N131" s="702" t="str">
        <f>IF('Chemical Info'!U132="X",'Res-Rec Worksheet'!I131,"")</f>
        <v/>
      </c>
      <c r="O131" s="702">
        <f>IF('Chemical Info'!V132="X",'Res-Rec Worksheet'!I131,"")</f>
        <v>0</v>
      </c>
      <c r="P131" s="702" t="str">
        <f>IF('Chemical Info'!W132="X",'Res-Rec Worksheet'!I131,"")</f>
        <v/>
      </c>
      <c r="Q131" s="702" t="str">
        <f>IF('Chemical Info'!X132="X",'Res-Rec Worksheet'!I131,"")</f>
        <v/>
      </c>
      <c r="R131" s="702" t="str">
        <f>IF('Chemical Info'!Y132="X",'Res-Rec Worksheet'!I131,"")</f>
        <v/>
      </c>
      <c r="S131" s="702" t="str">
        <f>IF('Chemical Info'!Z132="X",'Res-Rec Worksheet'!I131,"")</f>
        <v/>
      </c>
      <c r="T131" s="702" t="str">
        <f>IF('Chemical Info'!AA132="X",'Res-Rec Worksheet'!I131,"")</f>
        <v/>
      </c>
      <c r="U131" s="692" t="str">
        <f t="shared" si="1"/>
        <v/>
      </c>
    </row>
    <row r="132" spans="1:21" ht="10">
      <c r="A132" s="129" t="s">
        <v>22</v>
      </c>
      <c r="B132" s="566" t="s">
        <v>23</v>
      </c>
      <c r="C132" s="566">
        <v>2022</v>
      </c>
      <c r="D132" s="513" t="str">
        <f>IF('Res-Rec Calculations'!V132="NA","NA",'Res-Rec Calculations'!W132)</f>
        <v>NA</v>
      </c>
      <c r="E132" s="342"/>
      <c r="F132" s="126">
        <f>'Res-Rec Calculations'!Y132</f>
        <v>0.22</v>
      </c>
      <c r="G132" s="126" t="str">
        <f>'Res-Rec Calculations'!Z132</f>
        <v>Noncancer</v>
      </c>
      <c r="H132" s="127"/>
      <c r="I132" s="698">
        <f>IF(G132="BTV","NA",IF(G132="Max Limit","NA",IF(G132="Csat","NA",IF(ISNUMBER('Res-Rec Calculations'!U132),((H132/'Res-Rec Calculations'!U132)),"NA"))))</f>
        <v>0</v>
      </c>
      <c r="J132" s="704">
        <f>IF(G132="BTV","NA",IF(G132="Max Limit","NA",IF(G132="Csat","NA",IF(ISNUMBER('Res-Rec Calculations'!N132),((H132/'Res-Rec Calculations'!N132)*0.00001),"NA"))))</f>
        <v>0</v>
      </c>
      <c r="K132" s="702" t="str">
        <f>IF('Chemical Info'!R133="X",'Res-Rec Worksheet'!I132,"")</f>
        <v/>
      </c>
      <c r="L132" s="702" t="str">
        <f>IF('Chemical Info'!S133="X",'Res-Rec Worksheet'!I132,"")</f>
        <v/>
      </c>
      <c r="M132" s="702" t="str">
        <f>IF('Chemical Info'!T133="X",'Res-Rec Worksheet'!I132,"")</f>
        <v/>
      </c>
      <c r="N132" s="702" t="str">
        <f>IF('Chemical Info'!U133="X",'Res-Rec Worksheet'!I132,"")</f>
        <v/>
      </c>
      <c r="O132" s="702" t="str">
        <f>IF('Chemical Info'!V133="X",'Res-Rec Worksheet'!I132,"")</f>
        <v/>
      </c>
      <c r="P132" s="702">
        <f>IF('Chemical Info'!W133="X",'Res-Rec Worksheet'!I132,"")</f>
        <v>0</v>
      </c>
      <c r="Q132" s="702" t="str">
        <f>IF('Chemical Info'!X133="X",'Res-Rec Worksheet'!I132,"")</f>
        <v/>
      </c>
      <c r="R132" s="702" t="str">
        <f>IF('Chemical Info'!Y133="X",'Res-Rec Worksheet'!I132,"")</f>
        <v/>
      </c>
      <c r="S132" s="702" t="str">
        <f>IF('Chemical Info'!Z133="X",'Res-Rec Worksheet'!I132,"")</f>
        <v/>
      </c>
      <c r="T132" s="702" t="str">
        <f>IF('Chemical Info'!AA133="X",'Res-Rec Worksheet'!I132,"")</f>
        <v/>
      </c>
      <c r="U132" s="692" t="str">
        <f t="shared" si="1"/>
        <v/>
      </c>
    </row>
    <row r="133" spans="1:21" ht="10">
      <c r="A133" s="129" t="s">
        <v>70</v>
      </c>
      <c r="B133" s="566" t="s">
        <v>96</v>
      </c>
      <c r="C133" s="566">
        <v>2016</v>
      </c>
      <c r="D133" s="513" t="str">
        <f>IF('Res-Rec Calculations'!V133="NA","NA",'Res-Rec Calculations'!W133)</f>
        <v>NA</v>
      </c>
      <c r="E133" s="342"/>
      <c r="F133" s="126">
        <f>'Res-Rec Calculations'!Y133</f>
        <v>17</v>
      </c>
      <c r="G133" s="126" t="str">
        <f>'Res-Rec Calculations'!Z133</f>
        <v>Csat</v>
      </c>
      <c r="H133" s="127"/>
      <c r="I133" s="698" t="str">
        <f>IF(G133="BTV","NA",IF(G133="Max Limit","NA",IF(G133="Csat","NA",IF(ISNUMBER('Res-Rec Calculations'!U133),((H133/'Res-Rec Calculations'!U133)),"NA"))))</f>
        <v>NA</v>
      </c>
      <c r="J133" s="704" t="str">
        <f>IF(G133="BTV","NA",IF(G133="Max Limit","NA",IF(G133="Csat","NA",IF(ISNUMBER('Res-Rec Calculations'!N133),((H133/'Res-Rec Calculations'!N133)*0.00001),"NA"))))</f>
        <v>NA</v>
      </c>
      <c r="K133" s="702" t="str">
        <f>IF('Chemical Info'!R134="X",'Res-Rec Worksheet'!I133,"")</f>
        <v/>
      </c>
      <c r="L133" s="702" t="str">
        <f>IF('Chemical Info'!S134="X",'Res-Rec Worksheet'!I133,"")</f>
        <v/>
      </c>
      <c r="M133" s="702" t="str">
        <f>IF('Chemical Info'!T134="X",'Res-Rec Worksheet'!I133,"")</f>
        <v/>
      </c>
      <c r="N133" s="702" t="str">
        <f>IF('Chemical Info'!U134="X",'Res-Rec Worksheet'!I133,"")</f>
        <v>NA</v>
      </c>
      <c r="O133" s="702" t="str">
        <f>IF('Chemical Info'!V134="X",'Res-Rec Worksheet'!I133,"")</f>
        <v/>
      </c>
      <c r="P133" s="702" t="str">
        <f>IF('Chemical Info'!W134="X",'Res-Rec Worksheet'!I133,"")</f>
        <v/>
      </c>
      <c r="Q133" s="702" t="str">
        <f>IF('Chemical Info'!X134="X",'Res-Rec Worksheet'!I133,"")</f>
        <v/>
      </c>
      <c r="R133" s="702" t="str">
        <f>IF('Chemical Info'!Y134="X",'Res-Rec Worksheet'!I133,"")</f>
        <v/>
      </c>
      <c r="S133" s="702" t="str">
        <f>IF('Chemical Info'!Z134="X",'Res-Rec Worksheet'!I133,"")</f>
        <v/>
      </c>
      <c r="T133" s="702" t="str">
        <f>IF('Chemical Info'!AA134="X",'Res-Rec Worksheet'!I133,"")</f>
        <v/>
      </c>
      <c r="U133" s="692" t="str">
        <f t="shared" ref="U133:U200" si="2">IF(G133="Csat","Based on Csat. A concentration &gt; Csat indicates potential for free product in soil.",IF(G133="Max Limit","Based on maximum contaminant limit. Concentration should not be &gt; SRV.",""))</f>
        <v>Based on Csat. A concentration &gt; Csat indicates potential for free product in soil.</v>
      </c>
    </row>
    <row r="134" spans="1:21" ht="10">
      <c r="A134" s="129" t="s">
        <v>24</v>
      </c>
      <c r="B134" s="566" t="s">
        <v>25</v>
      </c>
      <c r="C134" s="566">
        <v>2016</v>
      </c>
      <c r="D134" s="513" t="str">
        <f>IF('Res-Rec Calculations'!V134="NA","NA",'Res-Rec Calculations'!W134)</f>
        <v>NA</v>
      </c>
      <c r="E134" s="342"/>
      <c r="F134" s="126">
        <f>'Res-Rec Calculations'!Y134</f>
        <v>0.94</v>
      </c>
      <c r="G134" s="126" t="str">
        <f>'Res-Rec Calculations'!Z134</f>
        <v>Noncancer</v>
      </c>
      <c r="H134" s="127"/>
      <c r="I134" s="698">
        <f>IF(G134="BTV","NA",IF(G134="Max Limit","NA",IF(G134="Csat","NA",IF(ISNUMBER('Res-Rec Calculations'!U134),((H134/'Res-Rec Calculations'!U134)),"NA"))))</f>
        <v>0</v>
      </c>
      <c r="J134" s="704" t="str">
        <f>IF(G134="BTV","NA",IF(G134="Max Limit","NA",IF(G134="Csat","NA",IF(ISNUMBER('Res-Rec Calculations'!N134),((H134/'Res-Rec Calculations'!N134)*0.00001),"NA"))))</f>
        <v>NA</v>
      </c>
      <c r="K134" s="702" t="str">
        <f>IF('Chemical Info'!R135="X",'Res-Rec Worksheet'!I134,"")</f>
        <v/>
      </c>
      <c r="L134" s="702" t="str">
        <f>IF('Chemical Info'!S135="X",'Res-Rec Worksheet'!I134,"")</f>
        <v/>
      </c>
      <c r="M134" s="702" t="str">
        <f>IF('Chemical Info'!T135="X",'Res-Rec Worksheet'!I134,"")</f>
        <v/>
      </c>
      <c r="N134" s="702" t="str">
        <f>IF('Chemical Info'!U135="X",'Res-Rec Worksheet'!I134,"")</f>
        <v/>
      </c>
      <c r="O134" s="702" t="str">
        <f>IF('Chemical Info'!V135="X",'Res-Rec Worksheet'!I134,"")</f>
        <v/>
      </c>
      <c r="P134" s="702" t="str">
        <f>IF('Chemical Info'!W135="X",'Res-Rec Worksheet'!I134,"")</f>
        <v/>
      </c>
      <c r="Q134" s="702">
        <f>IF('Chemical Info'!X135="X",'Res-Rec Worksheet'!I134,"")</f>
        <v>0</v>
      </c>
      <c r="R134" s="702" t="str">
        <f>IF('Chemical Info'!Y135="X",'Res-Rec Worksheet'!I134,"")</f>
        <v/>
      </c>
      <c r="S134" s="702" t="str">
        <f>IF('Chemical Info'!Z135="X",'Res-Rec Worksheet'!I134,"")</f>
        <v/>
      </c>
      <c r="T134" s="702" t="str">
        <f>IF('Chemical Info'!AA135="X",'Res-Rec Worksheet'!I134,"")</f>
        <v/>
      </c>
      <c r="U134" s="692" t="str">
        <f t="shared" si="2"/>
        <v/>
      </c>
    </row>
    <row r="135" spans="1:21" ht="10">
      <c r="A135" s="129" t="s">
        <v>1169</v>
      </c>
      <c r="B135" s="566" t="s">
        <v>1170</v>
      </c>
      <c r="C135" s="566">
        <v>2022</v>
      </c>
      <c r="D135" s="513" t="str">
        <f>IF('Res-Rec Calculations'!V135="NA","NA",'Res-Rec Calculations'!W135)</f>
        <v>NA</v>
      </c>
      <c r="E135" s="342"/>
      <c r="F135" s="126">
        <f>'Res-Rec Calculations'!Y135</f>
        <v>14</v>
      </c>
      <c r="G135" s="126" t="str">
        <f>'Res-Rec Calculations'!Z135</f>
        <v>Noncancer</v>
      </c>
      <c r="H135" s="127"/>
      <c r="I135" s="698">
        <f>IF(G135="BTV","NA",IF(G135="Max Limit","NA",IF(G135="Csat","NA",IF(ISNUMBER('Res-Rec Calculations'!U135),((H135/'Res-Rec Calculations'!U135)),"NA"))))</f>
        <v>0</v>
      </c>
      <c r="J135" s="704">
        <f>IF(G135="BTV","NA",IF(G135="Max Limit","NA",IF(G135="Csat","NA",IF(ISNUMBER('Res-Rec Calculations'!N135),((H135/'Res-Rec Calculations'!N135)*0.00001),"NA"))))</f>
        <v>0</v>
      </c>
      <c r="K135" s="702">
        <f>IF('Chemical Info'!R136="X",'Res-Rec Worksheet'!I135,"")</f>
        <v>0</v>
      </c>
      <c r="L135" s="702" t="str">
        <f>IF('Chemical Info'!S136="X",'Res-Rec Worksheet'!I135,"")</f>
        <v/>
      </c>
      <c r="M135" s="702" t="str">
        <f>IF('Chemical Info'!T136="X",'Res-Rec Worksheet'!I135,"")</f>
        <v/>
      </c>
      <c r="N135" s="702">
        <f>IF('Chemical Info'!U136="X",'Res-Rec Worksheet'!I135,"")</f>
        <v>0</v>
      </c>
      <c r="O135" s="702" t="str">
        <f>IF('Chemical Info'!V136="X",'Res-Rec Worksheet'!I135,"")</f>
        <v/>
      </c>
      <c r="P135" s="702" t="str">
        <f>IF('Chemical Info'!W136="X",'Res-Rec Worksheet'!I135,"")</f>
        <v/>
      </c>
      <c r="Q135" s="702" t="str">
        <f>IF('Chemical Info'!X136="X",'Res-Rec Worksheet'!I135,"")</f>
        <v/>
      </c>
      <c r="R135" s="702" t="str">
        <f>IF('Chemical Info'!Y136="X",'Res-Rec Worksheet'!I135,"")</f>
        <v/>
      </c>
      <c r="S135" s="702" t="str">
        <f>IF('Chemical Info'!Z136="X",'Res-Rec Worksheet'!I135,"")</f>
        <v/>
      </c>
      <c r="T135" s="702" t="str">
        <f>IF('Chemical Info'!AA136="X",'Res-Rec Worksheet'!I135,"")</f>
        <v/>
      </c>
      <c r="U135" s="692" t="str">
        <f t="shared" si="2"/>
        <v/>
      </c>
    </row>
    <row r="136" spans="1:21" ht="10">
      <c r="A136" s="129" t="s">
        <v>1189</v>
      </c>
      <c r="B136" s="566" t="s">
        <v>1190</v>
      </c>
      <c r="C136" s="566">
        <v>2022</v>
      </c>
      <c r="D136" s="513" t="str">
        <f>IF('Res-Rec Calculations'!V136="NA","NA",'Res-Rec Calculations'!W136)</f>
        <v>NA</v>
      </c>
      <c r="E136" s="342"/>
      <c r="F136" s="126">
        <f>'Res-Rec Calculations'!Y136</f>
        <v>5.4</v>
      </c>
      <c r="G136" s="126" t="str">
        <f>'Res-Rec Calculations'!Z136</f>
        <v>Noncancer</v>
      </c>
      <c r="H136" s="127"/>
      <c r="I136" s="698">
        <f>IF(G136="BTV","NA",IF(G136="Max Limit","NA",IF(G136="Csat","NA",IF(ISNUMBER('Res-Rec Calculations'!U136),((H136/'Res-Rec Calculations'!U136)),"NA"))))</f>
        <v>0</v>
      </c>
      <c r="J136" s="704" t="str">
        <f>IF(G136="BTV","NA",IF(G136="Max Limit","NA",IF(G136="Csat","NA",IF(ISNUMBER('Res-Rec Calculations'!N136),((H136/'Res-Rec Calculations'!N136)*0.00001),"NA"))))</f>
        <v>NA</v>
      </c>
      <c r="K136" s="702" t="str">
        <f>IF('Chemical Info'!R137="X",'Res-Rec Worksheet'!I136,"")</f>
        <v/>
      </c>
      <c r="L136" s="702" t="str">
        <f>IF('Chemical Info'!S137="X",'Res-Rec Worksheet'!I136,"")</f>
        <v/>
      </c>
      <c r="M136" s="702" t="str">
        <f>IF('Chemical Info'!T137="X",'Res-Rec Worksheet'!I136,"")</f>
        <v/>
      </c>
      <c r="N136" s="702" t="str">
        <f>IF('Chemical Info'!U137="X",'Res-Rec Worksheet'!I136,"")</f>
        <v/>
      </c>
      <c r="O136" s="702" t="str">
        <f>IF('Chemical Info'!V137="X",'Res-Rec Worksheet'!I136,"")</f>
        <v/>
      </c>
      <c r="P136" s="702" t="str">
        <f>IF('Chemical Info'!W137="X",'Res-Rec Worksheet'!I136,"")</f>
        <v/>
      </c>
      <c r="Q136" s="702">
        <f>IF('Chemical Info'!X137="X",'Res-Rec Worksheet'!I136,"")</f>
        <v>0</v>
      </c>
      <c r="R136" s="702" t="str">
        <f>IF('Chemical Info'!Y137="X",'Res-Rec Worksheet'!I136,"")</f>
        <v/>
      </c>
      <c r="S136" s="702" t="str">
        <f>IF('Chemical Info'!Z137="X",'Res-Rec Worksheet'!I136,"")</f>
        <v/>
      </c>
      <c r="T136" s="702" t="str">
        <f>IF('Chemical Info'!AA137="X",'Res-Rec Worksheet'!I136,"")</f>
        <v/>
      </c>
      <c r="U136" s="692" t="str">
        <f t="shared" si="2"/>
        <v/>
      </c>
    </row>
    <row r="137" spans="1:21" ht="10">
      <c r="A137" s="129" t="s">
        <v>235</v>
      </c>
      <c r="B137" s="566" t="s">
        <v>236</v>
      </c>
      <c r="C137" s="566">
        <v>2016</v>
      </c>
      <c r="D137" s="513" t="str">
        <f>IF('Res-Rec Calculations'!V137="NA","NA",'Res-Rec Calculations'!W137)</f>
        <v>NA</v>
      </c>
      <c r="E137" s="342"/>
      <c r="F137" s="126">
        <f>'Res-Rec Calculations'!Y137</f>
        <v>2600</v>
      </c>
      <c r="G137" s="126" t="str">
        <f>'Res-Rec Calculations'!Z137</f>
        <v>Noncancer</v>
      </c>
      <c r="H137" s="127"/>
      <c r="I137" s="698">
        <f>IF(G137="BTV","NA",IF(G137="Max Limit","NA",IF(G137="Csat","NA",IF(ISNUMBER('Res-Rec Calculations'!U137),((H137/'Res-Rec Calculations'!U137)),"NA"))))</f>
        <v>0</v>
      </c>
      <c r="J137" s="704">
        <f>IF(G137="BTV","NA",IF(G137="Max Limit","NA",IF(G137="Csat","NA",IF(ISNUMBER('Res-Rec Calculations'!N137),((H137/'Res-Rec Calculations'!N137)*0.00001),"NA"))))</f>
        <v>0</v>
      </c>
      <c r="K137" s="702" t="str">
        <f>IF('Chemical Info'!R138="X",'Res-Rec Worksheet'!I137,"")</f>
        <v/>
      </c>
      <c r="L137" s="702" t="str">
        <f>IF('Chemical Info'!S138="X",'Res-Rec Worksheet'!I137,"")</f>
        <v/>
      </c>
      <c r="M137" s="702" t="str">
        <f>IF('Chemical Info'!T138="X",'Res-Rec Worksheet'!I137,"")</f>
        <v/>
      </c>
      <c r="N137" s="702">
        <f>IF('Chemical Info'!U138="X",'Res-Rec Worksheet'!I137,"")</f>
        <v>0</v>
      </c>
      <c r="O137" s="702">
        <f>IF('Chemical Info'!V138="X",'Res-Rec Worksheet'!I137,"")</f>
        <v>0</v>
      </c>
      <c r="P137" s="702">
        <f>IF('Chemical Info'!W138="X",'Res-Rec Worksheet'!I137,"")</f>
        <v>0</v>
      </c>
      <c r="Q137" s="702" t="str">
        <f>IF('Chemical Info'!X138="X",'Res-Rec Worksheet'!I137,"")</f>
        <v/>
      </c>
      <c r="R137" s="702" t="str">
        <f>IF('Chemical Info'!Y138="X",'Res-Rec Worksheet'!I137,"")</f>
        <v/>
      </c>
      <c r="S137" s="702" t="str">
        <f>IF('Chemical Info'!Z138="X",'Res-Rec Worksheet'!I137,"")</f>
        <v/>
      </c>
      <c r="T137" s="702" t="str">
        <f>IF('Chemical Info'!AA138="X",'Res-Rec Worksheet'!I137,"")</f>
        <v/>
      </c>
      <c r="U137" s="692" t="str">
        <f t="shared" si="2"/>
        <v/>
      </c>
    </row>
    <row r="138" spans="1:21" ht="10">
      <c r="A138" s="129" t="s">
        <v>1171</v>
      </c>
      <c r="B138" s="566" t="s">
        <v>1172</v>
      </c>
      <c r="C138" s="566">
        <v>2022</v>
      </c>
      <c r="D138" s="513" t="str">
        <f>IF('Res-Rec Calculations'!V138="NA","NA",'Res-Rec Calculations'!W138)</f>
        <v>NA</v>
      </c>
      <c r="E138" s="342"/>
      <c r="F138" s="126">
        <f>'Res-Rec Calculations'!Y138</f>
        <v>13</v>
      </c>
      <c r="G138" s="126" t="str">
        <f>'Res-Rec Calculations'!Z138</f>
        <v>Noncancer</v>
      </c>
      <c r="H138" s="127"/>
      <c r="I138" s="698">
        <f>IF(G138="BTV","NA",IF(G138="Max Limit","NA",IF(G138="Csat","NA",IF(ISNUMBER('Res-Rec Calculations'!U138),((H138/'Res-Rec Calculations'!U138)),"NA"))))</f>
        <v>0</v>
      </c>
      <c r="J138" s="704" t="str">
        <f>IF(G138="BTV","NA",IF(G138="Max Limit","NA",IF(G138="Csat","NA",IF(ISNUMBER('Res-Rec Calculations'!N138),((H138/'Res-Rec Calculations'!N138)*0.00001),"NA"))))</f>
        <v>NA</v>
      </c>
      <c r="K138" s="702" t="str">
        <f>IF('Chemical Info'!R139="X",'Res-Rec Worksheet'!I138,"")</f>
        <v/>
      </c>
      <c r="L138" s="702" t="str">
        <f>IF('Chemical Info'!S139="X",'Res-Rec Worksheet'!I138,"")</f>
        <v/>
      </c>
      <c r="M138" s="702" t="str">
        <f>IF('Chemical Info'!T139="X",'Res-Rec Worksheet'!I138,"")</f>
        <v/>
      </c>
      <c r="N138" s="702">
        <f>IF('Chemical Info'!U139="X",'Res-Rec Worksheet'!I138,"")</f>
        <v>0</v>
      </c>
      <c r="O138" s="702" t="str">
        <f>IF('Chemical Info'!V139="X",'Res-Rec Worksheet'!I138,"")</f>
        <v/>
      </c>
      <c r="P138" s="702" t="str">
        <f>IF('Chemical Info'!W139="X",'Res-Rec Worksheet'!I138,"")</f>
        <v/>
      </c>
      <c r="Q138" s="702">
        <f>IF('Chemical Info'!X139="X",'Res-Rec Worksheet'!I138,"")</f>
        <v>0</v>
      </c>
      <c r="R138" s="702" t="str">
        <f>IF('Chemical Info'!Y139="X",'Res-Rec Worksheet'!I138,"")</f>
        <v/>
      </c>
      <c r="S138" s="702" t="str">
        <f>IF('Chemical Info'!Z139="X",'Res-Rec Worksheet'!I138,"")</f>
        <v/>
      </c>
      <c r="T138" s="702" t="str">
        <f>IF('Chemical Info'!AA139="X",'Res-Rec Worksheet'!I138,"")</f>
        <v/>
      </c>
      <c r="U138" s="692" t="str">
        <f t="shared" si="2"/>
        <v/>
      </c>
    </row>
    <row r="139" spans="1:21" ht="10">
      <c r="A139" s="129" t="s">
        <v>1191</v>
      </c>
      <c r="B139" s="566" t="s">
        <v>1192</v>
      </c>
      <c r="C139" s="566">
        <v>2022</v>
      </c>
      <c r="D139" s="513" t="str">
        <f>IF('Res-Rec Calculations'!V139="NA","NA",'Res-Rec Calculations'!W139)</f>
        <v>NA</v>
      </c>
      <c r="E139" s="342"/>
      <c r="F139" s="126">
        <f>'Res-Rec Calculations'!Y139</f>
        <v>1.3</v>
      </c>
      <c r="G139" s="126" t="str">
        <f>'Res-Rec Calculations'!Z139</f>
        <v>Noncancer</v>
      </c>
      <c r="H139" s="127"/>
      <c r="I139" s="698">
        <f>IF(G139="BTV","NA",IF(G139="Max Limit","NA",IF(G139="Csat","NA",IF(ISNUMBER('Res-Rec Calculations'!U139),((H139/'Res-Rec Calculations'!U139)),"NA"))))</f>
        <v>0</v>
      </c>
      <c r="J139" s="704" t="str">
        <f>IF(G139="BTV","NA",IF(G139="Max Limit","NA",IF(G139="Csat","NA",IF(ISNUMBER('Res-Rec Calculations'!N139),((H139/'Res-Rec Calculations'!N139)*0.00001),"NA"))))</f>
        <v>NA</v>
      </c>
      <c r="K139" s="702" t="str">
        <f>IF('Chemical Info'!R140="X",'Res-Rec Worksheet'!I139,"")</f>
        <v/>
      </c>
      <c r="L139" s="702" t="str">
        <f>IF('Chemical Info'!S140="X",'Res-Rec Worksheet'!I139,"")</f>
        <v/>
      </c>
      <c r="M139" s="702" t="str">
        <f>IF('Chemical Info'!T140="X",'Res-Rec Worksheet'!I139,"")</f>
        <v/>
      </c>
      <c r="N139" s="702" t="str">
        <f>IF('Chemical Info'!U140="X",'Res-Rec Worksheet'!I139,"")</f>
        <v/>
      </c>
      <c r="O139" s="702">
        <f>IF('Chemical Info'!V140="X",'Res-Rec Worksheet'!I139,"")</f>
        <v>0</v>
      </c>
      <c r="P139" s="702" t="str">
        <f>IF('Chemical Info'!W140="X",'Res-Rec Worksheet'!I139,"")</f>
        <v/>
      </c>
      <c r="Q139" s="702" t="str">
        <f>IF('Chemical Info'!X140="X",'Res-Rec Worksheet'!I139,"")</f>
        <v/>
      </c>
      <c r="R139" s="702" t="str">
        <f>IF('Chemical Info'!Y140="X",'Res-Rec Worksheet'!I139,"")</f>
        <v/>
      </c>
      <c r="S139" s="702" t="str">
        <f>IF('Chemical Info'!Z140="X",'Res-Rec Worksheet'!I139,"")</f>
        <v/>
      </c>
      <c r="T139" s="702" t="str">
        <f>IF('Chemical Info'!AA140="X",'Res-Rec Worksheet'!I139,"")</f>
        <v/>
      </c>
      <c r="U139" s="692" t="str">
        <f t="shared" si="2"/>
        <v/>
      </c>
    </row>
    <row r="140" spans="1:21" ht="10">
      <c r="A140" s="129" t="s">
        <v>222</v>
      </c>
      <c r="B140" s="566" t="s">
        <v>223</v>
      </c>
      <c r="C140" s="566">
        <v>2016</v>
      </c>
      <c r="D140" s="513" t="str">
        <f>IF('Res-Rec Calculations'!V140="NA","NA",'Res-Rec Calculations'!W140)</f>
        <v>NA</v>
      </c>
      <c r="E140" s="342"/>
      <c r="F140" s="126">
        <f>'Res-Rec Calculations'!Y140</f>
        <v>37000</v>
      </c>
      <c r="G140" s="126" t="str">
        <f>'Res-Rec Calculations'!Z140</f>
        <v>Noncancer</v>
      </c>
      <c r="H140" s="127"/>
      <c r="I140" s="698">
        <f>IF(G140="BTV","NA",IF(G140="Max Limit","NA",IF(G140="Csat","NA",IF(ISNUMBER('Res-Rec Calculations'!U140),((H140/'Res-Rec Calculations'!U140)),"NA"))))</f>
        <v>0</v>
      </c>
      <c r="J140" s="704" t="str">
        <f>IF(G140="BTV","NA",IF(G140="Max Limit","NA",IF(G140="Csat","NA",IF(ISNUMBER('Res-Rec Calculations'!N140),((H140/'Res-Rec Calculations'!N140)*0.00001),"NA"))))</f>
        <v>NA</v>
      </c>
      <c r="K140" s="702">
        <f>IF('Chemical Info'!R141="X",'Res-Rec Worksheet'!I140,"")</f>
        <v>0</v>
      </c>
      <c r="L140" s="702" t="str">
        <f>IF('Chemical Info'!S141="X",'Res-Rec Worksheet'!I140,"")</f>
        <v/>
      </c>
      <c r="M140" s="702" t="str">
        <f>IF('Chemical Info'!T141="X",'Res-Rec Worksheet'!I140,"")</f>
        <v/>
      </c>
      <c r="N140" s="702" t="str">
        <f>IF('Chemical Info'!U141="X",'Res-Rec Worksheet'!I140,"")</f>
        <v/>
      </c>
      <c r="O140" s="702" t="str">
        <f>IF('Chemical Info'!V141="X",'Res-Rec Worksheet'!I140,"")</f>
        <v/>
      </c>
      <c r="P140" s="702">
        <f>IF('Chemical Info'!W141="X",'Res-Rec Worksheet'!I140,"")</f>
        <v>0</v>
      </c>
      <c r="Q140" s="702" t="str">
        <f>IF('Chemical Info'!X141="X",'Res-Rec Worksheet'!I140,"")</f>
        <v/>
      </c>
      <c r="R140" s="702" t="str">
        <f>IF('Chemical Info'!Y141="X",'Res-Rec Worksheet'!I140,"")</f>
        <v/>
      </c>
      <c r="S140" s="702" t="str">
        <f>IF('Chemical Info'!Z141="X",'Res-Rec Worksheet'!I140,"")</f>
        <v/>
      </c>
      <c r="T140" s="702" t="str">
        <f>IF('Chemical Info'!AA141="X",'Res-Rec Worksheet'!I140,"")</f>
        <v/>
      </c>
      <c r="U140" s="692" t="str">
        <f t="shared" si="2"/>
        <v/>
      </c>
    </row>
    <row r="141" spans="1:21" ht="10">
      <c r="A141" s="129" t="s">
        <v>1185</v>
      </c>
      <c r="B141" s="566" t="s">
        <v>1186</v>
      </c>
      <c r="C141" s="566">
        <v>2022</v>
      </c>
      <c r="D141" s="513" t="str">
        <f>IF('Res-Rec Calculations'!V141="NA","NA",'Res-Rec Calculations'!W141)</f>
        <v>NA</v>
      </c>
      <c r="E141" s="342"/>
      <c r="F141" s="126">
        <f>'Res-Rec Calculations'!Y141</f>
        <v>9</v>
      </c>
      <c r="G141" s="126" t="str">
        <f>'Res-Rec Calculations'!Z141</f>
        <v>Cancer</v>
      </c>
      <c r="H141" s="127"/>
      <c r="I141" s="698">
        <f>IF(G141="BTV","NA",IF(G141="Max Limit","NA",IF(G141="Csat","NA",IF(ISNUMBER('Res-Rec Calculations'!U141),((H141/'Res-Rec Calculations'!U141)),"NA"))))</f>
        <v>0</v>
      </c>
      <c r="J141" s="704">
        <f>IF(G141="BTV","NA",IF(G141="Max Limit","NA",IF(G141="Csat","NA",IF(ISNUMBER('Res-Rec Calculations'!N141),((H141/'Res-Rec Calculations'!N141)*0.00001),"NA"))))</f>
        <v>0</v>
      </c>
      <c r="K141" s="702" t="str">
        <f>IF('Chemical Info'!R142="X",'Res-Rec Worksheet'!I141,"")</f>
        <v/>
      </c>
      <c r="L141" s="702" t="str">
        <f>IF('Chemical Info'!S142="X",'Res-Rec Worksheet'!I141,"")</f>
        <v/>
      </c>
      <c r="M141" s="702" t="str">
        <f>IF('Chemical Info'!T142="X",'Res-Rec Worksheet'!I141,"")</f>
        <v/>
      </c>
      <c r="N141" s="702" t="str">
        <f>IF('Chemical Info'!U142="X",'Res-Rec Worksheet'!I141,"")</f>
        <v/>
      </c>
      <c r="O141" s="702">
        <f>IF('Chemical Info'!V142="X",'Res-Rec Worksheet'!I141,"")</f>
        <v>0</v>
      </c>
      <c r="P141" s="702" t="str">
        <f>IF('Chemical Info'!W142="X",'Res-Rec Worksheet'!I141,"")</f>
        <v/>
      </c>
      <c r="Q141" s="702" t="str">
        <f>IF('Chemical Info'!X142="X",'Res-Rec Worksheet'!I141,"")</f>
        <v/>
      </c>
      <c r="R141" s="702" t="str">
        <f>IF('Chemical Info'!Y142="X",'Res-Rec Worksheet'!I141,"")</f>
        <v/>
      </c>
      <c r="S141" s="702" t="str">
        <f>IF('Chemical Info'!Z142="X",'Res-Rec Worksheet'!I141,"")</f>
        <v/>
      </c>
      <c r="T141" s="702" t="str">
        <f>IF('Chemical Info'!AA142="X",'Res-Rec Worksheet'!I141,"")</f>
        <v/>
      </c>
      <c r="U141" s="692" t="str">
        <f t="shared" si="2"/>
        <v/>
      </c>
    </row>
    <row r="142" spans="1:21" ht="10">
      <c r="A142" s="133" t="s">
        <v>386</v>
      </c>
      <c r="B142" s="566" t="s">
        <v>224</v>
      </c>
      <c r="C142" s="566">
        <v>2016</v>
      </c>
      <c r="D142" s="513" t="str">
        <f>IF('Res-Rec Calculations'!V142="NA","NA",'Res-Rec Calculations'!W142)</f>
        <v>NA</v>
      </c>
      <c r="E142" s="342"/>
      <c r="F142" s="126">
        <f>'Res-Rec Calculations'!Y142</f>
        <v>660</v>
      </c>
      <c r="G142" s="126" t="str">
        <f>'Res-Rec Calculations'!Z142</f>
        <v>Noncancer</v>
      </c>
      <c r="H142" s="127"/>
      <c r="I142" s="698">
        <f>IF(G142="BTV","NA",IF(G142="Max Limit","NA",IF(G142="Csat","NA",IF(ISNUMBER('Res-Rec Calculations'!U142),((H142/'Res-Rec Calculations'!U142)),"NA"))))</f>
        <v>0</v>
      </c>
      <c r="J142" s="704" t="str">
        <f>IF(G142="BTV","NA",IF(G142="Max Limit","NA",IF(G142="Csat","NA",IF(ISNUMBER('Res-Rec Calculations'!N142),((H142/'Res-Rec Calculations'!N142)*0.00001),"NA"))))</f>
        <v>NA</v>
      </c>
      <c r="K142" s="702">
        <f>IF('Chemical Info'!R143="X",'Res-Rec Worksheet'!I142,"")</f>
        <v>0</v>
      </c>
      <c r="L142" s="702" t="str">
        <f>IF('Chemical Info'!S143="X",'Res-Rec Worksheet'!I142,"")</f>
        <v/>
      </c>
      <c r="M142" s="702" t="str">
        <f>IF('Chemical Info'!T143="X",'Res-Rec Worksheet'!I142,"")</f>
        <v/>
      </c>
      <c r="N142" s="702" t="str">
        <f>IF('Chemical Info'!U143="X",'Res-Rec Worksheet'!I142,"")</f>
        <v/>
      </c>
      <c r="O142" s="702" t="str">
        <f>IF('Chemical Info'!V143="X",'Res-Rec Worksheet'!I142,"")</f>
        <v/>
      </c>
      <c r="P142" s="702" t="str">
        <f>IF('Chemical Info'!W143="X",'Res-Rec Worksheet'!I142,"")</f>
        <v/>
      </c>
      <c r="Q142" s="702" t="str">
        <f>IF('Chemical Info'!X143="X",'Res-Rec Worksheet'!I142,"")</f>
        <v/>
      </c>
      <c r="R142" s="702" t="str">
        <f>IF('Chemical Info'!Y143="X",'Res-Rec Worksheet'!I142,"")</f>
        <v/>
      </c>
      <c r="S142" s="702" t="str">
        <f>IF('Chemical Info'!Z143="X",'Res-Rec Worksheet'!I142,"")</f>
        <v/>
      </c>
      <c r="T142" s="702" t="str">
        <f>IF('Chemical Info'!AA143="X",'Res-Rec Worksheet'!I142,"")</f>
        <v/>
      </c>
      <c r="U142" s="692" t="str">
        <f t="shared" si="2"/>
        <v/>
      </c>
    </row>
    <row r="143" spans="1:21" ht="10">
      <c r="A143" s="133" t="s">
        <v>387</v>
      </c>
      <c r="B143" s="566" t="s">
        <v>138</v>
      </c>
      <c r="C143" s="566">
        <v>2016</v>
      </c>
      <c r="D143" s="513" t="str">
        <f>IF('Res-Rec Calculations'!V143="NA","NA",'Res-Rec Calculations'!W143)</f>
        <v>NA</v>
      </c>
      <c r="E143" s="342"/>
      <c r="F143" s="126">
        <f>'Res-Rec Calculations'!Y143</f>
        <v>660</v>
      </c>
      <c r="G143" s="126" t="str">
        <f>'Res-Rec Calculations'!Z143</f>
        <v>Noncancer</v>
      </c>
      <c r="H143" s="127"/>
      <c r="I143" s="698">
        <f>IF(G143="BTV","NA",IF(G143="Max Limit","NA",IF(G143="Csat","NA",IF(ISNUMBER('Res-Rec Calculations'!U143),((H143/'Res-Rec Calculations'!U143)),"NA"))))</f>
        <v>0</v>
      </c>
      <c r="J143" s="704" t="str">
        <f>IF(G143="BTV","NA",IF(G143="Max Limit","NA",IF(G143="Csat","NA",IF(ISNUMBER('Res-Rec Calculations'!N143),((H143/'Res-Rec Calculations'!N143)*0.00001),"NA"))))</f>
        <v>NA</v>
      </c>
      <c r="K143" s="702">
        <f>IF('Chemical Info'!R144="X",'Res-Rec Worksheet'!I143,"")</f>
        <v>0</v>
      </c>
      <c r="L143" s="702" t="str">
        <f>IF('Chemical Info'!S144="X",'Res-Rec Worksheet'!I143,"")</f>
        <v/>
      </c>
      <c r="M143" s="702" t="str">
        <f>IF('Chemical Info'!T144="X",'Res-Rec Worksheet'!I143,"")</f>
        <v/>
      </c>
      <c r="N143" s="702" t="str">
        <f>IF('Chemical Info'!U144="X",'Res-Rec Worksheet'!I143,"")</f>
        <v/>
      </c>
      <c r="O143" s="702" t="str">
        <f>IF('Chemical Info'!V144="X",'Res-Rec Worksheet'!I143,"")</f>
        <v/>
      </c>
      <c r="P143" s="702" t="str">
        <f>IF('Chemical Info'!W144="X",'Res-Rec Worksheet'!I143,"")</f>
        <v/>
      </c>
      <c r="Q143" s="702" t="str">
        <f>IF('Chemical Info'!X144="X",'Res-Rec Worksheet'!I143,"")</f>
        <v/>
      </c>
      <c r="R143" s="702" t="str">
        <f>IF('Chemical Info'!Y144="X",'Res-Rec Worksheet'!I143,"")</f>
        <v/>
      </c>
      <c r="S143" s="702" t="str">
        <f>IF('Chemical Info'!Z144="X",'Res-Rec Worksheet'!I143,"")</f>
        <v/>
      </c>
      <c r="T143" s="702" t="str">
        <f>IF('Chemical Info'!AA144="X",'Res-Rec Worksheet'!I143,"")</f>
        <v/>
      </c>
      <c r="U143" s="692" t="str">
        <f t="shared" si="2"/>
        <v/>
      </c>
    </row>
    <row r="144" spans="1:21" ht="10">
      <c r="A144" s="133" t="s">
        <v>388</v>
      </c>
      <c r="B144" s="566" t="s">
        <v>139</v>
      </c>
      <c r="C144" s="566">
        <v>2022</v>
      </c>
      <c r="D144" s="513" t="str">
        <f>IF('Res-Rec Calculations'!V144="NA","NA",'Res-Rec Calculations'!W144)</f>
        <v>NA</v>
      </c>
      <c r="E144" s="342"/>
      <c r="F144" s="126">
        <f>'Res-Rec Calculations'!Y144</f>
        <v>270</v>
      </c>
      <c r="G144" s="126" t="str">
        <f>'Res-Rec Calculations'!Z144</f>
        <v>Noncancer</v>
      </c>
      <c r="H144" s="127"/>
      <c r="I144" s="698">
        <f>IF(G144="BTV","NA",IF(G144="Max Limit","NA",IF(G144="Csat","NA",IF(ISNUMBER('Res-Rec Calculations'!U144),((H144/'Res-Rec Calculations'!U144)),"NA"))))</f>
        <v>0</v>
      </c>
      <c r="J144" s="704" t="str">
        <f>IF(G144="BTV","NA",IF(G144="Max Limit","NA",IF(G144="Csat","NA",IF(ISNUMBER('Res-Rec Calculations'!N144),((H144/'Res-Rec Calculations'!N144)*0.00001),"NA"))))</f>
        <v>NA</v>
      </c>
      <c r="K144" s="702">
        <f>IF('Chemical Info'!R145="X",'Res-Rec Worksheet'!I144,"")</f>
        <v>0</v>
      </c>
      <c r="L144" s="702" t="str">
        <f>IF('Chemical Info'!S145="X",'Res-Rec Worksheet'!I144,"")</f>
        <v/>
      </c>
      <c r="M144" s="702" t="str">
        <f>IF('Chemical Info'!T145="X",'Res-Rec Worksheet'!I144,"")</f>
        <v/>
      </c>
      <c r="N144" s="702" t="str">
        <f>IF('Chemical Info'!U145="X",'Res-Rec Worksheet'!I144,"")</f>
        <v/>
      </c>
      <c r="O144" s="702" t="str">
        <f>IF('Chemical Info'!V145="X",'Res-Rec Worksheet'!I144,"")</f>
        <v/>
      </c>
      <c r="P144" s="702">
        <f>IF('Chemical Info'!W145="X",'Res-Rec Worksheet'!I144,"")</f>
        <v>0</v>
      </c>
      <c r="Q144" s="702" t="str">
        <f>IF('Chemical Info'!X145="X",'Res-Rec Worksheet'!I144,"")</f>
        <v/>
      </c>
      <c r="R144" s="702" t="str">
        <f>IF('Chemical Info'!Y145="X",'Res-Rec Worksheet'!I144,"")</f>
        <v/>
      </c>
      <c r="S144" s="702" t="str">
        <f>IF('Chemical Info'!Z145="X",'Res-Rec Worksheet'!I144,"")</f>
        <v/>
      </c>
      <c r="T144" s="702" t="str">
        <f>IF('Chemical Info'!AA145="X",'Res-Rec Worksheet'!I144,"")</f>
        <v/>
      </c>
      <c r="U144" s="692" t="str">
        <f t="shared" si="2"/>
        <v/>
      </c>
    </row>
    <row r="145" spans="1:21" ht="10">
      <c r="A145" s="133" t="s">
        <v>1107</v>
      </c>
      <c r="B145" s="566" t="s">
        <v>1108</v>
      </c>
      <c r="C145" s="566">
        <v>2022</v>
      </c>
      <c r="D145" s="513" t="str">
        <f>IF('Res-Rec Calculations'!V145="NA","NA",'Res-Rec Calculations'!W145)</f>
        <v>NA</v>
      </c>
      <c r="E145" s="342"/>
      <c r="F145" s="126">
        <f>'Res-Rec Calculations'!Y145</f>
        <v>38</v>
      </c>
      <c r="G145" s="126" t="str">
        <f>'Res-Rec Calculations'!Z145</f>
        <v>Noncancer</v>
      </c>
      <c r="H145" s="127"/>
      <c r="I145" s="698">
        <f>IF(G145="BTV","NA",IF(G145="Max Limit","NA",IF(G145="Csat","NA",IF(ISNUMBER('Res-Rec Calculations'!U145),((H145/'Res-Rec Calculations'!U145)),"NA"))))</f>
        <v>0</v>
      </c>
      <c r="J145" s="704">
        <f>IF(G145="BTV","NA",IF(G145="Max Limit","NA",IF(G145="Csat","NA",IF(ISNUMBER('Res-Rec Calculations'!N145),((H145/'Res-Rec Calculations'!N145)*0.00001),"NA"))))</f>
        <v>0</v>
      </c>
      <c r="K145" s="702">
        <f>IF('Chemical Info'!R146="X",'Res-Rec Worksheet'!I145,"")</f>
        <v>0</v>
      </c>
      <c r="L145" s="702">
        <f>IF('Chemical Info'!S146="X",'Res-Rec Worksheet'!I145,"")</f>
        <v>0</v>
      </c>
      <c r="M145" s="702" t="str">
        <f>IF('Chemical Info'!T146="X",'Res-Rec Worksheet'!I145,"")</f>
        <v/>
      </c>
      <c r="N145" s="702" t="str">
        <f>IF('Chemical Info'!U146="X",'Res-Rec Worksheet'!I145,"")</f>
        <v/>
      </c>
      <c r="O145" s="702" t="str">
        <f>IF('Chemical Info'!V146="X",'Res-Rec Worksheet'!I145,"")</f>
        <v/>
      </c>
      <c r="P145" s="702" t="str">
        <f>IF('Chemical Info'!W146="X",'Res-Rec Worksheet'!I145,"")</f>
        <v/>
      </c>
      <c r="Q145" s="702">
        <f>IF('Chemical Info'!X146="X",'Res-Rec Worksheet'!I145,"")</f>
        <v>0</v>
      </c>
      <c r="R145" s="702" t="str">
        <f>IF('Chemical Info'!Y146="X",'Res-Rec Worksheet'!I145,"")</f>
        <v/>
      </c>
      <c r="S145" s="702" t="str">
        <f>IF('Chemical Info'!Z146="X",'Res-Rec Worksheet'!I145,"")</f>
        <v/>
      </c>
      <c r="T145" s="702" t="str">
        <f>IF('Chemical Info'!AA146="X",'Res-Rec Worksheet'!I145,"")</f>
        <v/>
      </c>
      <c r="U145" s="692" t="str">
        <f t="shared" si="2"/>
        <v/>
      </c>
    </row>
    <row r="146" spans="1:21" ht="10">
      <c r="A146" s="133" t="s">
        <v>418</v>
      </c>
      <c r="B146" s="566" t="s">
        <v>140</v>
      </c>
      <c r="C146" s="566">
        <v>2016</v>
      </c>
      <c r="D146" s="513" t="str">
        <f>IF('Res-Rec Calculations'!V146="NA","NA",'Res-Rec Calculations'!W146)</f>
        <v>NA</v>
      </c>
      <c r="E146" s="342"/>
      <c r="F146" s="126">
        <f>'Res-Rec Calculations'!Y146</f>
        <v>110</v>
      </c>
      <c r="G146" s="126" t="str">
        <f>'Res-Rec Calculations'!Z146</f>
        <v>Noncancer</v>
      </c>
      <c r="H146" s="127"/>
      <c r="I146" s="698">
        <f>IF(G146="BTV","NA",IF(G146="Max Limit","NA",IF(G146="Csat","NA",IF(ISNUMBER('Res-Rec Calculations'!U146),((H146/'Res-Rec Calculations'!U146)),"NA"))))</f>
        <v>0</v>
      </c>
      <c r="J146" s="704" t="str">
        <f>IF(G146="BTV","NA",IF(G146="Max Limit","NA",IF(G146="Csat","NA",IF(ISNUMBER('Res-Rec Calculations'!N146),((H146/'Res-Rec Calculations'!N146)*0.00001),"NA"))))</f>
        <v>NA</v>
      </c>
      <c r="K146" s="702" t="str">
        <f>IF('Chemical Info'!R147="X",'Res-Rec Worksheet'!I146,"")</f>
        <v/>
      </c>
      <c r="L146" s="702" t="str">
        <f>IF('Chemical Info'!S147="X",'Res-Rec Worksheet'!I146,"")</f>
        <v/>
      </c>
      <c r="M146" s="702" t="str">
        <f>IF('Chemical Info'!T147="X",'Res-Rec Worksheet'!I146,"")</f>
        <v/>
      </c>
      <c r="N146" s="702" t="str">
        <f>IF('Chemical Info'!U147="X",'Res-Rec Worksheet'!I146,"")</f>
        <v/>
      </c>
      <c r="O146" s="702" t="str">
        <f>IF('Chemical Info'!V147="X",'Res-Rec Worksheet'!I146,"")</f>
        <v/>
      </c>
      <c r="P146" s="702" t="str">
        <f>IF('Chemical Info'!W147="X",'Res-Rec Worksheet'!I146,"")</f>
        <v/>
      </c>
      <c r="Q146" s="702" t="str">
        <f>IF('Chemical Info'!X147="X",'Res-Rec Worksheet'!I146,"")</f>
        <v/>
      </c>
      <c r="R146" s="702" t="str">
        <f>IF('Chemical Info'!Y147="X",'Res-Rec Worksheet'!I146,"")</f>
        <v/>
      </c>
      <c r="S146" s="702" t="str">
        <f>IF('Chemical Info'!Z147="X",'Res-Rec Worksheet'!I146,"")</f>
        <v/>
      </c>
      <c r="T146" s="702" t="str">
        <f>IF('Chemical Info'!AA147="X",'Res-Rec Worksheet'!I146,"")</f>
        <v/>
      </c>
      <c r="U146" s="692" t="str">
        <f t="shared" si="2"/>
        <v/>
      </c>
    </row>
    <row r="147" spans="1:21" ht="10">
      <c r="A147" s="129" t="s">
        <v>143</v>
      </c>
      <c r="B147" s="566" t="s">
        <v>60</v>
      </c>
      <c r="C147" s="566">
        <v>2022</v>
      </c>
      <c r="D147" s="513" t="str">
        <f>IF('Res-Rec Calculations'!V147="NA","NA",'Res-Rec Calculations'!W147)</f>
        <v>NA</v>
      </c>
      <c r="E147" s="342"/>
      <c r="F147" s="126">
        <f>'Res-Rec Calculations'!Y147</f>
        <v>0.57999999999999996</v>
      </c>
      <c r="G147" s="126" t="str">
        <f>'Res-Rec Calculations'!Z147</f>
        <v>Cancer</v>
      </c>
      <c r="H147" s="127"/>
      <c r="I147" s="698" t="str">
        <f>IF(G147="BTV","NA",IF(G147="Max Limit","NA",IF(G147="Csat","NA",IF(ISNUMBER('Res-Rec Calculations'!U147),((H147/'Res-Rec Calculations'!U147)),"NA"))))</f>
        <v>NA</v>
      </c>
      <c r="J147" s="704">
        <f>IF(G147="BTV","NA",IF(G147="Max Limit","NA",IF(G147="Csat","NA",IF(ISNUMBER('Res-Rec Calculations'!N147),((H147/'Res-Rec Calculations'!N147)*0.00001),"NA"))))</f>
        <v>0</v>
      </c>
      <c r="K147" s="702" t="str">
        <f>IF('Chemical Info'!R148="X",'Res-Rec Worksheet'!I147,"")</f>
        <v/>
      </c>
      <c r="L147" s="702" t="str">
        <f>IF('Chemical Info'!S148="X",'Res-Rec Worksheet'!I147,"")</f>
        <v/>
      </c>
      <c r="M147" s="702" t="str">
        <f>IF('Chemical Info'!T148="X",'Res-Rec Worksheet'!I147,"")</f>
        <v/>
      </c>
      <c r="N147" s="702" t="str">
        <f>IF('Chemical Info'!U148="X",'Res-Rec Worksheet'!I147,"")</f>
        <v/>
      </c>
      <c r="O147" s="702" t="str">
        <f>IF('Chemical Info'!V148="X",'Res-Rec Worksheet'!I147,"")</f>
        <v/>
      </c>
      <c r="P147" s="702" t="str">
        <f>IF('Chemical Info'!W148="X",'Res-Rec Worksheet'!I147,"")</f>
        <v/>
      </c>
      <c r="Q147" s="702" t="str">
        <f>IF('Chemical Info'!X148="X",'Res-Rec Worksheet'!I147,"")</f>
        <v/>
      </c>
      <c r="R147" s="702" t="str">
        <f>IF('Chemical Info'!Y148="X",'Res-Rec Worksheet'!I147,"")</f>
        <v/>
      </c>
      <c r="S147" s="702" t="str">
        <f>IF('Chemical Info'!Z148="X",'Res-Rec Worksheet'!I147,"")</f>
        <v/>
      </c>
      <c r="T147" s="702" t="str">
        <f>IF('Chemical Info'!AA148="X",'Res-Rec Worksheet'!I147,"")</f>
        <v/>
      </c>
      <c r="U147" s="692" t="str">
        <f t="shared" si="2"/>
        <v/>
      </c>
    </row>
    <row r="148" spans="1:21" ht="10">
      <c r="A148" s="129" t="s">
        <v>1137</v>
      </c>
      <c r="B148" s="566" t="s">
        <v>1138</v>
      </c>
      <c r="C148" s="566">
        <v>2022</v>
      </c>
      <c r="D148" s="513" t="str">
        <f>IF('Res-Rec Calculations'!V148="NA","NA",'Res-Rec Calculations'!W148)</f>
        <v>NA</v>
      </c>
      <c r="E148" s="342"/>
      <c r="F148" s="126">
        <f>'Res-Rec Calculations'!Y148</f>
        <v>5.7000000000000002E-3</v>
      </c>
      <c r="G148" s="126" t="str">
        <f>'Res-Rec Calculations'!Z148</f>
        <v>Cancer</v>
      </c>
      <c r="H148" s="127"/>
      <c r="I148" s="698" t="str">
        <f>IF(G148="BTV","NA",IF(G148="Max Limit","NA",IF(G148="Csat","NA",IF(ISNUMBER('Res-Rec Calculations'!U148),((H148/'Res-Rec Calculations'!U148)),"NA"))))</f>
        <v>NA</v>
      </c>
      <c r="J148" s="704">
        <f>IF(G148="BTV","NA",IF(G148="Max Limit","NA",IF(G148="Csat","NA",IF(ISNUMBER('Res-Rec Calculations'!N148),((H148/'Res-Rec Calculations'!N148)*0.00001),"NA"))))</f>
        <v>0</v>
      </c>
      <c r="K148" s="702" t="str">
        <f>IF('Chemical Info'!R149="X",'Res-Rec Worksheet'!I148,"")</f>
        <v/>
      </c>
      <c r="L148" s="702" t="str">
        <f>IF('Chemical Info'!S149="X",'Res-Rec Worksheet'!I148,"")</f>
        <v/>
      </c>
      <c r="M148" s="702" t="str">
        <f>IF('Chemical Info'!T149="X",'Res-Rec Worksheet'!I148,"")</f>
        <v/>
      </c>
      <c r="N148" s="702" t="str">
        <f>IF('Chemical Info'!U149="X",'Res-Rec Worksheet'!I148,"")</f>
        <v/>
      </c>
      <c r="O148" s="702" t="str">
        <f>IF('Chemical Info'!V149="X",'Res-Rec Worksheet'!I148,"")</f>
        <v/>
      </c>
      <c r="P148" s="702" t="str">
        <f>IF('Chemical Info'!W149="X",'Res-Rec Worksheet'!I148,"")</f>
        <v/>
      </c>
      <c r="Q148" s="702" t="str">
        <f>IF('Chemical Info'!X149="X",'Res-Rec Worksheet'!I148,"")</f>
        <v/>
      </c>
      <c r="R148" s="702" t="str">
        <f>IF('Chemical Info'!Y149="X",'Res-Rec Worksheet'!I148,"")</f>
        <v/>
      </c>
      <c r="S148" s="702" t="str">
        <f>IF('Chemical Info'!Z149="X",'Res-Rec Worksheet'!I148,"")</f>
        <v/>
      </c>
      <c r="T148" s="702" t="str">
        <f>IF('Chemical Info'!AA149="X",'Res-Rec Worksheet'!I148,"")</f>
        <v/>
      </c>
      <c r="U148" s="692" t="str">
        <f t="shared" si="2"/>
        <v/>
      </c>
    </row>
    <row r="149" spans="1:21" ht="10">
      <c r="A149" s="129" t="s">
        <v>1157</v>
      </c>
      <c r="B149" s="566" t="s">
        <v>1158</v>
      </c>
      <c r="C149" s="566">
        <v>2022</v>
      </c>
      <c r="D149" s="513" t="str">
        <f>IF('Res-Rec Calculations'!V149="NA","NA",'Res-Rec Calculations'!W149)</f>
        <v>NA</v>
      </c>
      <c r="E149" s="342"/>
      <c r="F149" s="126">
        <f>'Res-Rec Calculations'!Y149</f>
        <v>5.0999999999999997E-2</v>
      </c>
      <c r="G149" s="126" t="str">
        <f>'Res-Rec Calculations'!Z149</f>
        <v>Cancer</v>
      </c>
      <c r="H149" s="127"/>
      <c r="I149" s="698">
        <f>IF(G149="BTV","NA",IF(G149="Max Limit","NA",IF(G149="Csat","NA",IF(ISNUMBER('Res-Rec Calculations'!U149),((H149/'Res-Rec Calculations'!U149)),"NA"))))</f>
        <v>0</v>
      </c>
      <c r="J149" s="704">
        <f>IF(G149="BTV","NA",IF(G149="Max Limit","NA",IF(G149="Csat","NA",IF(ISNUMBER('Res-Rec Calculations'!N149),((H149/'Res-Rec Calculations'!N149)*0.00001),"NA"))))</f>
        <v>0</v>
      </c>
      <c r="K149" s="702" t="str">
        <f>IF('Chemical Info'!R150="X",'Res-Rec Worksheet'!I149,"")</f>
        <v/>
      </c>
      <c r="L149" s="702" t="str">
        <f>IF('Chemical Info'!S150="X",'Res-Rec Worksheet'!I149,"")</f>
        <v/>
      </c>
      <c r="M149" s="702" t="str">
        <f>IF('Chemical Info'!T150="X",'Res-Rec Worksheet'!I149,"")</f>
        <v/>
      </c>
      <c r="N149" s="702" t="str">
        <f>IF('Chemical Info'!U150="X",'Res-Rec Worksheet'!I149,"")</f>
        <v/>
      </c>
      <c r="O149" s="702" t="str">
        <f>IF('Chemical Info'!V150="X",'Res-Rec Worksheet'!I149,"")</f>
        <v/>
      </c>
      <c r="P149" s="702">
        <f>IF('Chemical Info'!W150="X",'Res-Rec Worksheet'!I149,"")</f>
        <v>0</v>
      </c>
      <c r="Q149" s="702" t="str">
        <f>IF('Chemical Info'!X150="X",'Res-Rec Worksheet'!I149,"")</f>
        <v/>
      </c>
      <c r="R149" s="702" t="str">
        <f>IF('Chemical Info'!Y150="X",'Res-Rec Worksheet'!I149,"")</f>
        <v/>
      </c>
      <c r="S149" s="702" t="str">
        <f>IF('Chemical Info'!Z150="X",'Res-Rec Worksheet'!I149,"")</f>
        <v/>
      </c>
      <c r="T149" s="702" t="str">
        <f>IF('Chemical Info'!AA150="X",'Res-Rec Worksheet'!I149,"")</f>
        <v/>
      </c>
      <c r="U149" s="692" t="str">
        <f t="shared" si="2"/>
        <v/>
      </c>
    </row>
    <row r="150" spans="1:21" ht="10">
      <c r="A150" s="129" t="s">
        <v>141</v>
      </c>
      <c r="B150" s="566" t="s">
        <v>142</v>
      </c>
      <c r="C150" s="566">
        <v>2022</v>
      </c>
      <c r="D150" s="513" t="str">
        <f>IF('Res-Rec Calculations'!V150="NA","NA",'Res-Rec Calculations'!W150)</f>
        <v>NA</v>
      </c>
      <c r="E150" s="342"/>
      <c r="F150" s="126">
        <f>'Res-Rec Calculations'!Y150</f>
        <v>890</v>
      </c>
      <c r="G150" s="126" t="str">
        <f>'Res-Rec Calculations'!Z150</f>
        <v>Cancer</v>
      </c>
      <c r="H150" s="127"/>
      <c r="I150" s="698" t="str">
        <f>IF(G150="BTV","NA",IF(G150="Max Limit","NA",IF(G150="Csat","NA",IF(ISNUMBER('Res-Rec Calculations'!U150),((H150/'Res-Rec Calculations'!U150)),"NA"))))</f>
        <v>NA</v>
      </c>
      <c r="J150" s="704">
        <f>IF(G150="BTV","NA",IF(G150="Max Limit","NA",IF(G150="Csat","NA",IF(ISNUMBER('Res-Rec Calculations'!N150),((H150/'Res-Rec Calculations'!N150)*0.00001),"NA"))))</f>
        <v>0</v>
      </c>
      <c r="K150" s="702" t="str">
        <f>IF('Chemical Info'!R151="X",'Res-Rec Worksheet'!I150,"")</f>
        <v/>
      </c>
      <c r="L150" s="702" t="str">
        <f>IF('Chemical Info'!S151="X",'Res-Rec Worksheet'!I150,"")</f>
        <v/>
      </c>
      <c r="M150" s="702" t="str">
        <f>IF('Chemical Info'!T151="X",'Res-Rec Worksheet'!I150,"")</f>
        <v/>
      </c>
      <c r="N150" s="702" t="str">
        <f>IF('Chemical Info'!U151="X",'Res-Rec Worksheet'!I150,"")</f>
        <v/>
      </c>
      <c r="O150" s="702" t="str">
        <f>IF('Chemical Info'!V151="X",'Res-Rec Worksheet'!I150,"")</f>
        <v/>
      </c>
      <c r="P150" s="702" t="str">
        <f>IF('Chemical Info'!W151="X",'Res-Rec Worksheet'!I150,"")</f>
        <v/>
      </c>
      <c r="Q150" s="702" t="str">
        <f>IF('Chemical Info'!X151="X",'Res-Rec Worksheet'!I150,"")</f>
        <v/>
      </c>
      <c r="R150" s="702" t="str">
        <f>IF('Chemical Info'!Y151="X",'Res-Rec Worksheet'!I150,"")</f>
        <v/>
      </c>
      <c r="S150" s="702" t="str">
        <f>IF('Chemical Info'!Z151="X",'Res-Rec Worksheet'!I150,"")</f>
        <v/>
      </c>
      <c r="T150" s="702" t="str">
        <f>IF('Chemical Info'!AA151="X",'Res-Rec Worksheet'!I150,"")</f>
        <v/>
      </c>
      <c r="U150" s="692" t="str">
        <f t="shared" si="2"/>
        <v/>
      </c>
    </row>
    <row r="151" spans="1:21" ht="10">
      <c r="A151" s="129" t="s">
        <v>1177</v>
      </c>
      <c r="B151" s="566" t="s">
        <v>1178</v>
      </c>
      <c r="C151" s="566">
        <v>2022</v>
      </c>
      <c r="D151" s="513" t="str">
        <f>IF('Res-Rec Calculations'!V151="NA","NA",'Res-Rec Calculations'!W151)</f>
        <v>NA</v>
      </c>
      <c r="E151" s="342"/>
      <c r="F151" s="126">
        <f>'Res-Rec Calculations'!Y151</f>
        <v>18</v>
      </c>
      <c r="G151" s="126" t="str">
        <f>'Res-Rec Calculations'!Z151</f>
        <v>Noncancer</v>
      </c>
      <c r="H151" s="127"/>
      <c r="I151" s="698">
        <f>IF(G151="BTV","NA",IF(G151="Max Limit","NA",IF(G151="Csat","NA",IF(ISNUMBER('Res-Rec Calculations'!U151),((H151/'Res-Rec Calculations'!U151)),"NA"))))</f>
        <v>0</v>
      </c>
      <c r="J151" s="704" t="str">
        <f>IF(G151="BTV","NA",IF(G151="Max Limit","NA",IF(G151="Csat","NA",IF(ISNUMBER('Res-Rec Calculations'!N151),((H151/'Res-Rec Calculations'!N151)*0.00001),"NA"))))</f>
        <v>NA</v>
      </c>
      <c r="K151" s="702" t="str">
        <f>IF('Chemical Info'!R152="X",'Res-Rec Worksheet'!I151,"")</f>
        <v/>
      </c>
      <c r="L151" s="702" t="str">
        <f>IF('Chemical Info'!S152="X",'Res-Rec Worksheet'!I151,"")</f>
        <v/>
      </c>
      <c r="M151" s="702" t="str">
        <f>IF('Chemical Info'!T152="X",'Res-Rec Worksheet'!I151,"")</f>
        <v/>
      </c>
      <c r="N151" s="702">
        <f>IF('Chemical Info'!U152="X",'Res-Rec Worksheet'!I151,"")</f>
        <v>0</v>
      </c>
      <c r="O151" s="702">
        <f>IF('Chemical Info'!V152="X",'Res-Rec Worksheet'!I151,"")</f>
        <v>0</v>
      </c>
      <c r="P151" s="702" t="str">
        <f>IF('Chemical Info'!W152="X",'Res-Rec Worksheet'!I151,"")</f>
        <v/>
      </c>
      <c r="Q151" s="702" t="str">
        <f>IF('Chemical Info'!X152="X",'Res-Rec Worksheet'!I151,"")</f>
        <v/>
      </c>
      <c r="R151" s="702" t="str">
        <f>IF('Chemical Info'!Y152="X",'Res-Rec Worksheet'!I151,"")</f>
        <v/>
      </c>
      <c r="S151" s="702" t="str">
        <f>IF('Chemical Info'!Z152="X",'Res-Rec Worksheet'!I151,"")</f>
        <v/>
      </c>
      <c r="T151" s="702" t="str">
        <f>IF('Chemical Info'!AA152="X",'Res-Rec Worksheet'!I151,"")</f>
        <v/>
      </c>
      <c r="U151" s="692" t="str">
        <f t="shared" si="2"/>
        <v/>
      </c>
    </row>
    <row r="152" spans="1:21">
      <c r="A152" s="185" t="s">
        <v>742</v>
      </c>
      <c r="B152" s="566" t="s">
        <v>238</v>
      </c>
      <c r="C152" s="566">
        <v>2022</v>
      </c>
      <c r="D152" s="521">
        <f>IF('Res-Rec Calculations'!V152="NA","NA",'Res-Rec Calculations'!W152)</f>
        <v>5.2</v>
      </c>
      <c r="E152" s="127"/>
      <c r="F152" s="126">
        <f>'Res-Rec Calculations'!Y152</f>
        <v>8.8000000000000007</v>
      </c>
      <c r="G152" s="126" t="str">
        <f>'Res-Rec Calculations'!Z152</f>
        <v>Cancer</v>
      </c>
      <c r="H152" s="127"/>
      <c r="I152" s="698">
        <f>IF(G152="BTV","NA",IF(G152="Max Limit","NA",IF(G152="Csat","NA",IF(ISNUMBER('Res-Rec Calculations'!U152),((H152/'Res-Rec Calculations'!U152)),"NA"))))</f>
        <v>0</v>
      </c>
      <c r="J152" s="704">
        <f>IF(G152="BTV","NA",IF(G152="Max Limit","NA",IF(G152="Csat","NA",IF(ISNUMBER('Res-Rec Calculations'!N152),((H152/'Res-Rec Calculations'!N152)*0.00001),"NA"))))</f>
        <v>0</v>
      </c>
      <c r="K152" s="702" t="str">
        <f>IF('Chemical Info'!R153="X",'Res-Rec Worksheet'!I152,"")</f>
        <v/>
      </c>
      <c r="L152" s="702" t="str">
        <f>IF('Chemical Info'!S153="X",'Res-Rec Worksheet'!I152,"")</f>
        <v/>
      </c>
      <c r="M152" s="702">
        <f>IF('Chemical Info'!T153="X",'Res-Rec Worksheet'!I152,"")</f>
        <v>0</v>
      </c>
      <c r="N152" s="702" t="str">
        <f>IF('Chemical Info'!U153="X",'Res-Rec Worksheet'!I152,"")</f>
        <v/>
      </c>
      <c r="O152" s="702">
        <f>IF('Chemical Info'!V153="X",'Res-Rec Worksheet'!I152,"")</f>
        <v>0</v>
      </c>
      <c r="P152" s="702">
        <f>IF('Chemical Info'!W153="X",'Res-Rec Worksheet'!I152,"")</f>
        <v>0</v>
      </c>
      <c r="Q152" s="702" t="str">
        <f>IF('Chemical Info'!X153="X",'Res-Rec Worksheet'!I152,"")</f>
        <v/>
      </c>
      <c r="R152" s="702" t="str">
        <f>IF('Chemical Info'!Y153="X",'Res-Rec Worksheet'!I152,"")</f>
        <v/>
      </c>
      <c r="S152" s="702" t="str">
        <f>IF('Chemical Info'!Z153="X",'Res-Rec Worksheet'!I152,"")</f>
        <v/>
      </c>
      <c r="T152" s="702">
        <f>IF('Chemical Info'!AA153="X",'Res-Rec Worksheet'!I152,"")</f>
        <v>0</v>
      </c>
      <c r="U152" s="692" t="str">
        <f t="shared" si="2"/>
        <v/>
      </c>
    </row>
    <row r="153" spans="1:21" s="123" customFormat="1" ht="10">
      <c r="A153" s="719" t="s">
        <v>1263</v>
      </c>
      <c r="B153" s="566" t="s">
        <v>242</v>
      </c>
      <c r="C153" s="566">
        <v>2022</v>
      </c>
      <c r="D153" s="513" t="str">
        <f>IF('Res-Rec Calculations'!V153="NA","NA",'Res-Rec Calculations'!W153)</f>
        <v>NA</v>
      </c>
      <c r="E153" s="342"/>
      <c r="F153" s="132">
        <f>'Res-Rec Calculations'!Y153</f>
        <v>1.1000000000000001</v>
      </c>
      <c r="G153" s="132" t="str">
        <f>'Res-Rec Calculations'!Z153</f>
        <v>Noncancer</v>
      </c>
      <c r="H153" s="127"/>
      <c r="I153" s="717">
        <f>IF(G153="BTV","NA",IF(G153="Max Limit","NA",IF(G153="Csat","NA",IF(ISNUMBER('Res-Rec Calculations'!U153),((H153/'Res-Rec Calculations'!U153)),"NA"))))</f>
        <v>0</v>
      </c>
      <c r="J153" s="718" t="str">
        <f>IF(G153="BTV","NA",IF(G153="Max Limit","NA",IF(G153="Csat","NA",IF(ISNUMBER('Res-Rec Calculations'!N153),((H153/'Res-Rec Calculations'!N153)*0.00001),"NA"))))</f>
        <v>NA</v>
      </c>
      <c r="K153" s="702" t="str">
        <f>IF('Chemical Info'!R154="X",'Res-Rec Worksheet'!I153,"")</f>
        <v/>
      </c>
      <c r="L153" s="702" t="str">
        <f>IF('Chemical Info'!S154="X",'Res-Rec Worksheet'!I153,"")</f>
        <v/>
      </c>
      <c r="M153" s="702" t="str">
        <f>IF('Chemical Info'!T154="X",'Res-Rec Worksheet'!I153,"")</f>
        <v/>
      </c>
      <c r="N153" s="702" t="str">
        <f>IF('Chemical Info'!U154="X",'Res-Rec Worksheet'!I153,"")</f>
        <v/>
      </c>
      <c r="O153" s="702" t="str">
        <f>IF('Chemical Info'!V154="X",'Res-Rec Worksheet'!I153,"")</f>
        <v/>
      </c>
      <c r="P153" s="702" t="str">
        <f>IF('Chemical Info'!W154="X",'Res-Rec Worksheet'!I153,"")</f>
        <v/>
      </c>
      <c r="Q153" s="702" t="str">
        <f>IF('Chemical Info'!X154="X",'Res-Rec Worksheet'!I153,"")</f>
        <v/>
      </c>
      <c r="R153" s="702" t="str">
        <f>IF('Chemical Info'!Y154="X",'Res-Rec Worksheet'!I153,"")</f>
        <v/>
      </c>
      <c r="S153" s="702" t="str">
        <f>IF('Chemical Info'!Z154="X",'Res-Rec Worksheet'!I153,"")</f>
        <v/>
      </c>
      <c r="T153" s="702">
        <f>IF('Chemical Info'!AA154="X",'Res-Rec Worksheet'!I153,"")</f>
        <v>0</v>
      </c>
      <c r="U153" s="133" t="str">
        <f t="shared" si="2"/>
        <v/>
      </c>
    </row>
    <row r="154" spans="1:21" ht="10">
      <c r="A154" s="129" t="s">
        <v>1264</v>
      </c>
      <c r="B154" s="566" t="s">
        <v>234</v>
      </c>
      <c r="C154" s="736">
        <v>2026</v>
      </c>
      <c r="D154" s="513" t="str">
        <f>IF('Res-Rec Calculations'!V154="NA","NA",'Res-Rec Calculations'!W154)</f>
        <v>NA</v>
      </c>
      <c r="E154" s="342"/>
      <c r="F154" s="126">
        <f>'Res-Rec Calculations'!Y154</f>
        <v>49</v>
      </c>
      <c r="G154" s="126" t="str">
        <f>'Res-Rec Calculations'!Z154</f>
        <v>Noncancer</v>
      </c>
      <c r="H154" s="127"/>
      <c r="I154" s="698">
        <f>IF(G154="BTV","NA",IF(G154="Max Limit","NA",IF(G154="Csat","NA",IF(ISNUMBER('Res-Rec Calculations'!U154),((H154/'Res-Rec Calculations'!U154)),"NA"))))</f>
        <v>0</v>
      </c>
      <c r="J154" s="704" t="str">
        <f>IF(G154="BTV","NA",IF(G154="Max Limit","NA",IF(G154="Csat","NA",IF(ISNUMBER('Res-Rec Calculations'!N154),((H154/'Res-Rec Calculations'!N154)*0.00001),"NA"))))</f>
        <v>NA</v>
      </c>
      <c r="K154" s="702" t="str">
        <f>IF('Chemical Info'!R155="X",'Res-Rec Worksheet'!I154,"")</f>
        <v/>
      </c>
      <c r="L154" s="702">
        <f>IF('Chemical Info'!S155="X",'Res-Rec Worksheet'!I154,"")</f>
        <v>0</v>
      </c>
      <c r="M154" s="702" t="str">
        <f>IF('Chemical Info'!T155="X",'Res-Rec Worksheet'!I154,"")</f>
        <v/>
      </c>
      <c r="N154" s="702" t="str">
        <f>IF('Chemical Info'!U155="X",'Res-Rec Worksheet'!I154,"")</f>
        <v/>
      </c>
      <c r="O154" s="702">
        <f>IF('Chemical Info'!V155="X",'Res-Rec Worksheet'!I154,"")</f>
        <v>0</v>
      </c>
      <c r="P154" s="702">
        <f>IF('Chemical Info'!W155="X",'Res-Rec Worksheet'!I154,"")</f>
        <v>0</v>
      </c>
      <c r="Q154" s="702" t="str">
        <f>IF('Chemical Info'!X155="X",'Res-Rec Worksheet'!I154,"")</f>
        <v/>
      </c>
      <c r="R154" s="702" t="str">
        <f>IF('Chemical Info'!Y155="X",'Res-Rec Worksheet'!I154,"")</f>
        <v/>
      </c>
      <c r="S154" s="702" t="str">
        <f>IF('Chemical Info'!Z155="X",'Res-Rec Worksheet'!I154,"")</f>
        <v/>
      </c>
      <c r="T154" s="702">
        <f>IF('Chemical Info'!AA155="X",'Res-Rec Worksheet'!I154,"")</f>
        <v>0</v>
      </c>
      <c r="U154" s="692" t="str">
        <f t="shared" si="2"/>
        <v/>
      </c>
    </row>
    <row r="155" spans="1:21" ht="10">
      <c r="A155" s="129" t="s">
        <v>1265</v>
      </c>
      <c r="B155" s="566" t="s">
        <v>58</v>
      </c>
      <c r="C155" s="566">
        <v>2026</v>
      </c>
      <c r="D155" s="513" t="str">
        <f>IF('Res-Rec Calculations'!V155="NA","NA",'Res-Rec Calculations'!W155)</f>
        <v>NA</v>
      </c>
      <c r="E155" s="342"/>
      <c r="F155" s="126">
        <f>'Res-Rec Calculations'!Y155</f>
        <v>1.2999999999999999E-2</v>
      </c>
      <c r="G155" s="126" t="str">
        <f>'Res-Rec Calculations'!Z155</f>
        <v>Noncancer</v>
      </c>
      <c r="H155" s="127"/>
      <c r="I155" s="698">
        <f>IF(G155="BTV","NA",IF(G155="Max Limit","NA",IF(G155="Csat","NA",IF(ISNUMBER('Res-Rec Calculations'!U155),((H155/'Res-Rec Calculations'!U155)),"NA"))))</f>
        <v>0</v>
      </c>
      <c r="J155" s="704">
        <f>IF(G155="BTV","NA",IF(G155="Max Limit","NA",IF(G155="Csat","NA",IF(ISNUMBER('Res-Rec Calculations'!N155),((H155/'Res-Rec Calculations'!N155)*0.00001),"NA"))))</f>
        <v>0</v>
      </c>
      <c r="K155" s="702" t="str">
        <f>IF('Chemical Info'!R156="X",'Res-Rec Worksheet'!I155,"")</f>
        <v/>
      </c>
      <c r="L155" s="702" t="str">
        <f>IF('Chemical Info'!S156="X",'Res-Rec Worksheet'!I155,"")</f>
        <v/>
      </c>
      <c r="M155" s="702">
        <f>IF('Chemical Info'!T156="X",'Res-Rec Worksheet'!I155,"")</f>
        <v>0</v>
      </c>
      <c r="N155" s="702">
        <f>IF('Chemical Info'!U156="X",'Res-Rec Worksheet'!I155,"")</f>
        <v>0</v>
      </c>
      <c r="O155" s="702">
        <f>IF('Chemical Info'!V156="X",'Res-Rec Worksheet'!I155,"")</f>
        <v>0</v>
      </c>
      <c r="P155" s="702">
        <f>IF('Chemical Info'!W156="X",'Res-Rec Worksheet'!I155,"")</f>
        <v>0</v>
      </c>
      <c r="Q155" s="702" t="str">
        <f>IF('Chemical Info'!X156="X",'Res-Rec Worksheet'!I155,"")</f>
        <v/>
      </c>
      <c r="R155" s="702" t="str">
        <f>IF('Chemical Info'!Y156="X",'Res-Rec Worksheet'!I155,"")</f>
        <v/>
      </c>
      <c r="S155" s="702" t="str">
        <f>IF('Chemical Info'!Z156="X",'Res-Rec Worksheet'!I155,"")</f>
        <v/>
      </c>
      <c r="T155" s="702">
        <f>IF('Chemical Info'!AA156="X",'Res-Rec Worksheet'!I155,"")</f>
        <v>0</v>
      </c>
      <c r="U155" s="692" t="str">
        <f t="shared" si="2"/>
        <v/>
      </c>
    </row>
    <row r="156" spans="1:21" ht="10">
      <c r="A156" s="129" t="s">
        <v>57</v>
      </c>
      <c r="B156" s="566" t="s">
        <v>59</v>
      </c>
      <c r="C156" s="566">
        <v>2026</v>
      </c>
      <c r="D156" s="513" t="str">
        <f>IF('Res-Rec Calculations'!V156="NA","NA",'Res-Rec Calculations'!W156)</f>
        <v>NA</v>
      </c>
      <c r="E156" s="342"/>
      <c r="F156" s="126">
        <f>'Res-Rec Calculations'!Y156</f>
        <v>3.6000000000000002E-4</v>
      </c>
      <c r="G156" s="126" t="str">
        <f>'Res-Rec Calculations'!Z156</f>
        <v>Cancer</v>
      </c>
      <c r="H156" s="127"/>
      <c r="I156" s="698">
        <f>IF(G156="BTV","NA",IF(G156="Max Limit","NA",IF(G156="Csat","NA",IF(ISNUMBER('Res-Rec Calculations'!U156),((H156/'Res-Rec Calculations'!U156)),"NA"))))</f>
        <v>0</v>
      </c>
      <c r="J156" s="704">
        <f>IF(G156="BTV","NA",IF(G156="Max Limit","NA",IF(G156="Csat","NA",IF(ISNUMBER('Res-Rec Calculations'!N156),((H156/'Res-Rec Calculations'!N156)*0.00001),"NA"))))</f>
        <v>0</v>
      </c>
      <c r="K156" s="702" t="str">
        <f>IF('Chemical Info'!R157="X",'Res-Rec Worksheet'!I156,"")</f>
        <v/>
      </c>
      <c r="L156" s="702" t="str">
        <f>IF('Chemical Info'!S157="X",'Res-Rec Worksheet'!I156,"")</f>
        <v/>
      </c>
      <c r="M156" s="702">
        <f>IF('Chemical Info'!T157="X",'Res-Rec Worksheet'!I156,"")</f>
        <v>0</v>
      </c>
      <c r="N156" s="702">
        <f>IF('Chemical Info'!U157="X",'Res-Rec Worksheet'!I156,"")</f>
        <v>0</v>
      </c>
      <c r="O156" s="702">
        <f>IF('Chemical Info'!V157="X",'Res-Rec Worksheet'!I156,"")</f>
        <v>0</v>
      </c>
      <c r="P156" s="702">
        <f>IF('Chemical Info'!W157="X",'Res-Rec Worksheet'!I156,"")</f>
        <v>0</v>
      </c>
      <c r="Q156" s="702" t="str">
        <f>IF('Chemical Info'!X157="X",'Res-Rec Worksheet'!I156,"")</f>
        <v/>
      </c>
      <c r="R156" s="702" t="str">
        <f>IF('Chemical Info'!Y157="X",'Res-Rec Worksheet'!I156,"")</f>
        <v/>
      </c>
      <c r="S156" s="702" t="str">
        <f>IF('Chemical Info'!Z157="X",'Res-Rec Worksheet'!I156,"")</f>
        <v/>
      </c>
      <c r="T156" s="702" t="str">
        <f>IF('Chemical Info'!AA157="X",'Res-Rec Worksheet'!I156,"")</f>
        <v/>
      </c>
      <c r="U156" s="692" t="str">
        <f t="shared" si="2"/>
        <v/>
      </c>
    </row>
    <row r="157" spans="1:21" ht="10">
      <c r="A157" s="129" t="s">
        <v>1266</v>
      </c>
      <c r="B157" s="566" t="s">
        <v>998</v>
      </c>
      <c r="C157" s="566">
        <v>2026</v>
      </c>
      <c r="D157" s="513" t="str">
        <f>IF('Res-Rec Calculations'!V157="NA","NA",'Res-Rec Calculations'!W157)</f>
        <v>NA</v>
      </c>
      <c r="E157" s="342"/>
      <c r="F157" s="126">
        <f>'Res-Rec Calculations'!Y157</f>
        <v>0.13</v>
      </c>
      <c r="G157" s="126" t="str">
        <f>'Res-Rec Calculations'!Z157</f>
        <v>Noncancer</v>
      </c>
      <c r="H157" s="127"/>
      <c r="I157" s="698">
        <f>IF(G157="BTV","NA",IF(G157="Max Limit","NA",IF(G157="Csat","NA",IF(ISNUMBER('Res-Rec Calculations'!U157),((H157/'Res-Rec Calculations'!U157)),"NA"))))</f>
        <v>0</v>
      </c>
      <c r="J157" s="704" t="str">
        <f>IF(G157="BTV","NA",IF(G157="Max Limit","NA",IF(G157="Csat","NA",IF(ISNUMBER('Res-Rec Calculations'!N157),((H157/'Res-Rec Calculations'!N157)*0.00001),"NA"))))</f>
        <v>NA</v>
      </c>
      <c r="K157" s="702" t="str">
        <f>IF('Chemical Info'!R158="X",'Res-Rec Worksheet'!I157,"")</f>
        <v/>
      </c>
      <c r="L157" s="702" t="str">
        <f>IF('Chemical Info'!S158="X",'Res-Rec Worksheet'!I157,"")</f>
        <v/>
      </c>
      <c r="M157" s="702">
        <f>IF('Chemical Info'!T158="X",'Res-Rec Worksheet'!I157,"")</f>
        <v>0</v>
      </c>
      <c r="N157" s="702" t="str">
        <f>IF('Chemical Info'!U158="X",'Res-Rec Worksheet'!I157,"")</f>
        <v/>
      </c>
      <c r="O157" s="702">
        <f>IF('Chemical Info'!V158="X",'Res-Rec Worksheet'!I157,"")</f>
        <v>0</v>
      </c>
      <c r="P157" s="702">
        <f>IF('Chemical Info'!W158="X",'Res-Rec Worksheet'!I157,"")</f>
        <v>0</v>
      </c>
      <c r="Q157" s="702" t="str">
        <f>IF('Chemical Info'!X158="X",'Res-Rec Worksheet'!I157,"")</f>
        <v/>
      </c>
      <c r="R157" s="702" t="str">
        <f>IF('Chemical Info'!Y158="X",'Res-Rec Worksheet'!I157,"")</f>
        <v/>
      </c>
      <c r="S157" s="702" t="str">
        <f>IF('Chemical Info'!Z158="X",'Res-Rec Worksheet'!I157,"")</f>
        <v/>
      </c>
      <c r="T157" s="702">
        <f>IF('Chemical Info'!AA158="X",'Res-Rec Worksheet'!I157,"")</f>
        <v>0</v>
      </c>
      <c r="U157" s="692" t="str">
        <f t="shared" si="2"/>
        <v/>
      </c>
    </row>
    <row r="158" spans="1:21" ht="10">
      <c r="A158" s="680" t="s">
        <v>1267</v>
      </c>
      <c r="B158" s="596" t="s">
        <v>1209</v>
      </c>
      <c r="C158" s="566">
        <v>2022</v>
      </c>
      <c r="D158" s="513" t="str">
        <f>IF('Res-Rec Calculations'!V158="NA","NA",'Res-Rec Calculations'!W158)</f>
        <v>NA</v>
      </c>
      <c r="E158" s="342"/>
      <c r="F158" s="126">
        <f>'Res-Rec Calculations'!Y158</f>
        <v>1.9</v>
      </c>
      <c r="G158" s="126" t="str">
        <f>'Res-Rec Calculations'!Z158</f>
        <v>Noncancer</v>
      </c>
      <c r="H158" s="127"/>
      <c r="I158" s="698">
        <f>IF(G158="BTV","NA",IF(G158="Max Limit","NA",IF(G158="Csat","NA",IF(ISNUMBER('Res-Rec Calculations'!U158),((H158/'Res-Rec Calculations'!U158)),"NA"))))</f>
        <v>0</v>
      </c>
      <c r="J158" s="704" t="str">
        <f>IF(G158="BTV","NA",IF(G158="Max Limit","NA",IF(G158="Csat","NA",IF(ISNUMBER('Res-Rec Calculations'!N158),((H158/'Res-Rec Calculations'!N158)*0.00001),"NA"))))</f>
        <v>NA</v>
      </c>
      <c r="K158" s="702" t="str">
        <f>IF('Chemical Info'!R159="X",'Res-Rec Worksheet'!I158,"")</f>
        <v/>
      </c>
      <c r="L158" s="702" t="str">
        <f>IF('Chemical Info'!S159="X",'Res-Rec Worksheet'!I158,"")</f>
        <v/>
      </c>
      <c r="M158" s="702" t="str">
        <f>IF('Chemical Info'!T159="X",'Res-Rec Worksheet'!I158,"")</f>
        <v/>
      </c>
      <c r="N158" s="702" t="str">
        <f>IF('Chemical Info'!U159="X",'Res-Rec Worksheet'!I158,"")</f>
        <v/>
      </c>
      <c r="O158" s="702">
        <f>IF('Chemical Info'!V159="X",'Res-Rec Worksheet'!I158,"")</f>
        <v>0</v>
      </c>
      <c r="P158" s="702" t="str">
        <f>IF('Chemical Info'!W159="X",'Res-Rec Worksheet'!I158,"")</f>
        <v/>
      </c>
      <c r="Q158" s="702">
        <f>IF('Chemical Info'!X159="X",'Res-Rec Worksheet'!I158,"")</f>
        <v>0</v>
      </c>
      <c r="R158" s="702" t="str">
        <f>IF('Chemical Info'!Y159="X",'Res-Rec Worksheet'!I158,"")</f>
        <v/>
      </c>
      <c r="S158" s="702" t="str">
        <f>IF('Chemical Info'!Z159="X",'Res-Rec Worksheet'!I158,"")</f>
        <v/>
      </c>
      <c r="T158" s="702" t="str">
        <f>IF('Chemical Info'!AA159="X",'Res-Rec Worksheet'!I158,"")</f>
        <v/>
      </c>
      <c r="U158" s="692" t="str">
        <f t="shared" si="2"/>
        <v/>
      </c>
    </row>
    <row r="159" spans="1:21" s="123" customFormat="1" ht="10">
      <c r="A159" s="727" t="s">
        <v>1323</v>
      </c>
      <c r="B159" s="728" t="s">
        <v>1324</v>
      </c>
      <c r="C159" s="566">
        <v>2025</v>
      </c>
      <c r="D159" s="513" t="str">
        <f>IF('Res-Rec Calculations'!V159="NA","NA",'Res-Rec Calculations'!W159)</f>
        <v>NA</v>
      </c>
      <c r="E159" s="342"/>
      <c r="F159" s="132">
        <f>'Res-Rec Calculations'!Y159</f>
        <v>2.6999999999999999E-5</v>
      </c>
      <c r="G159" s="132" t="str">
        <f>'Res-Rec Calculations'!Z159</f>
        <v>Noncancer</v>
      </c>
      <c r="H159" s="127"/>
      <c r="I159" s="717">
        <f>IF(G159="BTV","NA",IF(G159="Max Limit","NA",IF(G159="Csat","NA",IF(ISNUMBER('Res-Rec Calculations'!U159),((H159/'Res-Rec Calculations'!U159)),"NA"))))</f>
        <v>0</v>
      </c>
      <c r="J159" s="718" t="str">
        <f>IF(G159="BTV","NA",IF(G159="Max Limit","NA",IF(G159="Csat","NA",IF(ISNUMBER('Res-Rec Calculations'!N159),((H159/'Res-Rec Calculations'!N159)*0.00001),"NA"))))</f>
        <v>NA</v>
      </c>
      <c r="K159" s="702" t="str">
        <f>IF('Chemical Info'!R160="X",'Res-Rec Worksheet'!I159,"")</f>
        <v/>
      </c>
      <c r="L159" s="702" t="str">
        <f>IF('Chemical Info'!S160="X",'Res-Rec Worksheet'!I159,"")</f>
        <v/>
      </c>
      <c r="M159" s="702">
        <f>IF('Chemical Info'!T160="X",'Res-Rec Worksheet'!I159,"")</f>
        <v>0</v>
      </c>
      <c r="N159" s="702" t="str">
        <f>IF('Chemical Info'!U160="X",'Res-Rec Worksheet'!I159,"")</f>
        <v/>
      </c>
      <c r="O159" s="702" t="str">
        <f>IF('Chemical Info'!V160="X",'Res-Rec Worksheet'!I159,"")</f>
        <v/>
      </c>
      <c r="P159" s="702">
        <f>IF('Chemical Info'!W160="X",'Res-Rec Worksheet'!I159,"")</f>
        <v>0</v>
      </c>
      <c r="Q159" s="702" t="str">
        <f>IF('Chemical Info'!X160="X",'Res-Rec Worksheet'!I159,"")</f>
        <v/>
      </c>
      <c r="R159" s="702" t="str">
        <f>IF('Chemical Info'!Y160="X",'Res-Rec Worksheet'!I159,"")</f>
        <v/>
      </c>
      <c r="S159" s="702" t="str">
        <f>IF('Chemical Info'!Z160="X",'Res-Rec Worksheet'!I159,"")</f>
        <v/>
      </c>
      <c r="T159" s="702" t="str">
        <f>IF('Chemical Info'!AA160="X",'Res-Rec Worksheet'!I159,"")</f>
        <v/>
      </c>
      <c r="U159" s="133"/>
    </row>
    <row r="160" spans="1:21" s="123" customFormat="1" ht="10">
      <c r="A160" s="727" t="s">
        <v>1734</v>
      </c>
      <c r="B160" s="740" t="s">
        <v>1735</v>
      </c>
      <c r="C160" s="566">
        <v>2026</v>
      </c>
      <c r="D160" s="513" t="str">
        <f>IF('Res-Rec Calculations'!V160="NA","NA",'Res-Rec Calculations'!W160)</f>
        <v>NA</v>
      </c>
      <c r="E160" s="342"/>
      <c r="F160" s="132">
        <f>'Res-Rec Calculations'!Y160</f>
        <v>0.04</v>
      </c>
      <c r="G160" s="132" t="str">
        <f>'Res-Rec Calculations'!Z160</f>
        <v>Noncancer</v>
      </c>
      <c r="H160" s="127"/>
      <c r="I160" s="717">
        <f>IF(G160="BTV","NA",IF(G160="Max Limit","NA",IF(G160="Csat","NA",IF(ISNUMBER('Res-Rec Calculations'!U160),((H160/'Res-Rec Calculations'!U160)),"NA"))))</f>
        <v>0</v>
      </c>
      <c r="J160" s="718" t="str">
        <f>IF(G160="BTV","NA",IF(G160="Max Limit","NA",IF(G160="Csat","NA",IF(ISNUMBER('Res-Rec Calculations'!N160),((H160/'Res-Rec Calculations'!N160)*0.00001),"NA"))))</f>
        <v>NA</v>
      </c>
      <c r="K160" s="702" t="str">
        <f>IF('Chemical Info'!R161="X",'Res-Rec Worksheet'!I160,"")</f>
        <v/>
      </c>
      <c r="L160" s="702" t="str">
        <f>IF('Chemical Info'!S161="X",'Res-Rec Worksheet'!I160,"")</f>
        <v/>
      </c>
      <c r="M160" s="702" t="str">
        <f>IF('Chemical Info'!T161="X",'Res-Rec Worksheet'!I160,"")</f>
        <v/>
      </c>
      <c r="N160" s="702" t="str">
        <f>IF('Chemical Info'!U161="X",'Res-Rec Worksheet'!I160,"")</f>
        <v/>
      </c>
      <c r="O160" s="702">
        <f>IF('Chemical Info'!V161="X",'Res-Rec Worksheet'!I160,"")</f>
        <v>0</v>
      </c>
      <c r="P160" s="702">
        <f>IF('Chemical Info'!W161="X",'Res-Rec Worksheet'!I160,"")</f>
        <v>0</v>
      </c>
      <c r="Q160" s="702" t="str">
        <f>IF('Chemical Info'!X161="X",'Res-Rec Worksheet'!I160,"")</f>
        <v/>
      </c>
      <c r="R160" s="702" t="str">
        <f>IF('Chemical Info'!Y161="X",'Res-Rec Worksheet'!I160,"")</f>
        <v/>
      </c>
      <c r="S160" s="702" t="str">
        <f>IF('Chemical Info'!Z161="X",'Res-Rec Worksheet'!I160,"")</f>
        <v/>
      </c>
      <c r="T160" s="702" t="str">
        <f>IF('Chemical Info'!AA161="X",'Res-Rec Worksheet'!I160,"")</f>
        <v/>
      </c>
      <c r="U160" s="133"/>
    </row>
    <row r="161" spans="1:21" s="123" customFormat="1" ht="10">
      <c r="A161" s="680" t="s">
        <v>1269</v>
      </c>
      <c r="B161" s="596" t="s">
        <v>1270</v>
      </c>
      <c r="C161" s="566">
        <v>2023</v>
      </c>
      <c r="D161" s="513" t="str">
        <f>IF('Res-Rec Calculations'!V161="NA","NA",'Res-Rec Calculations'!W161)</f>
        <v>NA</v>
      </c>
      <c r="E161" s="342"/>
      <c r="F161" s="132">
        <f>'Res-Rec Calculations'!Y161</f>
        <v>6.6000000000000003E-2</v>
      </c>
      <c r="G161" s="132" t="str">
        <f>'Res-Rec Calculations'!Z161</f>
        <v>Noncancer</v>
      </c>
      <c r="H161" s="127"/>
      <c r="I161" s="717">
        <f>IF(G161="BTV","NA",IF(G161="Max Limit","NA",IF(G161="Csat","NA",IF(ISNUMBER('Res-Rec Calculations'!U161),((H161/'Res-Rec Calculations'!U161)),"NA"))))</f>
        <v>0</v>
      </c>
      <c r="J161" s="718" t="str">
        <f>IF(G161="BTV","NA",IF(G161="Max Limit","NA",IF(G161="Csat","NA",IF(ISNUMBER('Res-Rec Calculations'!N161),((H161/'Res-Rec Calculations'!N161)*0.00001),"NA"))))</f>
        <v>NA</v>
      </c>
      <c r="K161" s="702" t="str">
        <f>IF('Chemical Info'!R162="X",'Res-Rec Worksheet'!I161,"")</f>
        <v/>
      </c>
      <c r="L161" s="702" t="str">
        <f>IF('Chemical Info'!S162="X",'Res-Rec Worksheet'!I161,"")</f>
        <v/>
      </c>
      <c r="M161" s="702" t="str">
        <f>IF('Chemical Info'!T162="X",'Res-Rec Worksheet'!I161,"")</f>
        <v/>
      </c>
      <c r="N161" s="702" t="str">
        <f>IF('Chemical Info'!U162="X",'Res-Rec Worksheet'!I161,"")</f>
        <v/>
      </c>
      <c r="O161" s="702">
        <f>IF('Chemical Info'!V162="X",'Res-Rec Worksheet'!I161,"")</f>
        <v>0</v>
      </c>
      <c r="P161" s="702" t="str">
        <f>IF('Chemical Info'!W162="X",'Res-Rec Worksheet'!I161,"")</f>
        <v/>
      </c>
      <c r="Q161" s="702" t="str">
        <f>IF('Chemical Info'!X162="X",'Res-Rec Worksheet'!I161,"")</f>
        <v/>
      </c>
      <c r="R161" s="702" t="str">
        <f>IF('Chemical Info'!Y162="X",'Res-Rec Worksheet'!I161,"")</f>
        <v/>
      </c>
      <c r="S161" s="702" t="str">
        <f>IF('Chemical Info'!Z162="X",'Res-Rec Worksheet'!I161,"")</f>
        <v/>
      </c>
      <c r="T161" s="702" t="str">
        <f>IF('Chemical Info'!AA162="X",'Res-Rec Worksheet'!I161,"")</f>
        <v/>
      </c>
      <c r="U161" s="133" t="str">
        <f t="shared" ref="U161" si="3">IF(G161="Csat","Based on Csat. A concentration &gt; Csat indicates potential for free product in soil.",IF(G161="Max Limit","Based on maximum contaminant limit. Concentration should not be &gt; SRV.",""))</f>
        <v/>
      </c>
    </row>
    <row r="162" spans="1:21">
      <c r="A162" s="185" t="s">
        <v>987</v>
      </c>
      <c r="B162" s="566" t="s">
        <v>240</v>
      </c>
      <c r="C162" s="566">
        <v>2022</v>
      </c>
      <c r="D162" s="521">
        <f>IF('Res-Rec Calculations'!V162="NA","NA",'Res-Rec Calculations'!W162)</f>
        <v>1300</v>
      </c>
      <c r="E162" s="127"/>
      <c r="F162" s="126">
        <f>'Res-Rec Calculations'!Y162</f>
        <v>3600</v>
      </c>
      <c r="G162" s="126" t="str">
        <f>'Res-Rec Calculations'!Z162</f>
        <v>Noncancer</v>
      </c>
      <c r="H162" s="184"/>
      <c r="I162" s="698">
        <f>IF(G162="BTV","NA",IF(G162="Max Limit","NA",IF(G162="Csat","NA",IF(ISNUMBER('Res-Rec Calculations'!U162),((H162/'Res-Rec Calculations'!U162)),"NA"))))</f>
        <v>0</v>
      </c>
      <c r="J162" s="704" t="str">
        <f>IF(G162="BTV","NA",IF(G162="Max Limit","NA",IF(G162="Csat","NA",IF(ISNUMBER('Res-Rec Calculations'!N162),((H162/'Res-Rec Calculations'!N162)*0.00001),"NA"))))</f>
        <v>NA</v>
      </c>
      <c r="K162" s="702">
        <f>IF('Chemical Info'!R163="X",'Res-Rec Worksheet'!I162,"")</f>
        <v>0</v>
      </c>
      <c r="L162" s="702" t="str">
        <f>IF('Chemical Info'!S163="X",'Res-Rec Worksheet'!I162,"")</f>
        <v/>
      </c>
      <c r="M162" s="702" t="str">
        <f>IF('Chemical Info'!T163="X",'Res-Rec Worksheet'!I162,"")</f>
        <v/>
      </c>
      <c r="N162" s="702" t="str">
        <f>IF('Chemical Info'!U163="X",'Res-Rec Worksheet'!I162,"")</f>
        <v/>
      </c>
      <c r="O162" s="702">
        <f>IF('Chemical Info'!V163="X",'Res-Rec Worksheet'!I162,"")</f>
        <v>0</v>
      </c>
      <c r="P162" s="702">
        <f>IF('Chemical Info'!W163="X",'Res-Rec Worksheet'!I162,"")</f>
        <v>0</v>
      </c>
      <c r="Q162" s="702" t="str">
        <f>IF('Chemical Info'!X163="X",'Res-Rec Worksheet'!I162,"")</f>
        <v/>
      </c>
      <c r="R162" s="702" t="str">
        <f>IF('Chemical Info'!Y163="X",'Res-Rec Worksheet'!I162,"")</f>
        <v/>
      </c>
      <c r="S162" s="702" t="str">
        <f>IF('Chemical Info'!Z163="X",'Res-Rec Worksheet'!I162,"")</f>
        <v/>
      </c>
      <c r="T162" s="702" t="str">
        <f>IF('Chemical Info'!AA163="X",'Res-Rec Worksheet'!I162,"")</f>
        <v/>
      </c>
      <c r="U162" s="692" t="str">
        <f t="shared" si="2"/>
        <v/>
      </c>
    </row>
    <row r="163" spans="1:21">
      <c r="A163" s="129" t="s">
        <v>1179</v>
      </c>
      <c r="B163" s="566" t="s">
        <v>1180</v>
      </c>
      <c r="C163" s="566">
        <v>2022</v>
      </c>
      <c r="D163" s="513" t="str">
        <f>IF('Res-Rec Calculations'!V163="NA","NA",'Res-Rec Calculations'!W163)</f>
        <v>NA</v>
      </c>
      <c r="E163" s="342"/>
      <c r="F163" s="126">
        <f>'Res-Rec Calculations'!Y163</f>
        <v>430</v>
      </c>
      <c r="G163" s="126" t="str">
        <f>'Res-Rec Calculations'!Z163</f>
        <v>Noncancer</v>
      </c>
      <c r="H163" s="184"/>
      <c r="I163" s="698">
        <f>IF(G163="BTV","NA",IF(G163="Max Limit","NA",IF(G163="Csat","NA",IF(ISNUMBER('Res-Rec Calculations'!U163),((H163/'Res-Rec Calculations'!U163)),"NA"))))</f>
        <v>0</v>
      </c>
      <c r="J163" s="704" t="str">
        <f>IF(G163="BTV","NA",IF(G163="Max Limit","NA",IF(G163="Csat","NA",IF(ISNUMBER('Res-Rec Calculations'!N163),((H163/'Res-Rec Calculations'!N163)*0.00001),"NA"))))</f>
        <v>NA</v>
      </c>
      <c r="K163" s="702" t="str">
        <f>IF('Chemical Info'!R164="X",'Res-Rec Worksheet'!I163,"")</f>
        <v/>
      </c>
      <c r="L163" s="702" t="str">
        <f>IF('Chemical Info'!S164="X",'Res-Rec Worksheet'!I163,"")</f>
        <v/>
      </c>
      <c r="M163" s="702" t="str">
        <f>IF('Chemical Info'!T164="X",'Res-Rec Worksheet'!I163,"")</f>
        <v/>
      </c>
      <c r="N163" s="702">
        <f>IF('Chemical Info'!U164="X",'Res-Rec Worksheet'!I163,"")</f>
        <v>0</v>
      </c>
      <c r="O163" s="702" t="str">
        <f>IF('Chemical Info'!V164="X",'Res-Rec Worksheet'!I163,"")</f>
        <v/>
      </c>
      <c r="P163" s="702" t="str">
        <f>IF('Chemical Info'!W164="X",'Res-Rec Worksheet'!I163,"")</f>
        <v/>
      </c>
      <c r="Q163" s="702">
        <f>IF('Chemical Info'!X164="X",'Res-Rec Worksheet'!I163,"")</f>
        <v>0</v>
      </c>
      <c r="R163" s="702" t="str">
        <f>IF('Chemical Info'!Y164="X",'Res-Rec Worksheet'!I163,"")</f>
        <v/>
      </c>
      <c r="S163" s="702" t="str">
        <f>IF('Chemical Info'!Z164="X",'Res-Rec Worksheet'!I163,"")</f>
        <v/>
      </c>
      <c r="T163" s="702" t="str">
        <f>IF('Chemical Info'!AA164="X",'Res-Rec Worksheet'!I163,"")</f>
        <v/>
      </c>
      <c r="U163" s="692" t="str">
        <f t="shared" si="2"/>
        <v/>
      </c>
    </row>
    <row r="164" spans="1:21">
      <c r="A164" s="129" t="s">
        <v>1181</v>
      </c>
      <c r="B164" s="566" t="s">
        <v>1182</v>
      </c>
      <c r="C164" s="566">
        <v>2022</v>
      </c>
      <c r="D164" s="513" t="str">
        <f>IF('Res-Rec Calculations'!V164="NA","NA",'Res-Rec Calculations'!W164)</f>
        <v>NA</v>
      </c>
      <c r="E164" s="342"/>
      <c r="F164" s="126">
        <f>'Res-Rec Calculations'!Y164</f>
        <v>44</v>
      </c>
      <c r="G164" s="126" t="str">
        <f>'Res-Rec Calculations'!Z164</f>
        <v>Noncancer</v>
      </c>
      <c r="H164" s="184"/>
      <c r="I164" s="698">
        <f>IF(G164="BTV","NA",IF(G164="Max Limit","NA",IF(G164="Csat","NA",IF(ISNUMBER('Res-Rec Calculations'!U164),((H164/'Res-Rec Calculations'!U164)),"NA"))))</f>
        <v>0</v>
      </c>
      <c r="J164" s="704" t="str">
        <f>IF(G164="BTV","NA",IF(G164="Max Limit","NA",IF(G164="Csat","NA",IF(ISNUMBER('Res-Rec Calculations'!N164),((H164/'Res-Rec Calculations'!N164)*0.00001),"NA"))))</f>
        <v>NA</v>
      </c>
      <c r="K164" s="702" t="str">
        <f>IF('Chemical Info'!R165="X",'Res-Rec Worksheet'!I164,"")</f>
        <v/>
      </c>
      <c r="L164" s="702" t="str">
        <f>IF('Chemical Info'!S165="X",'Res-Rec Worksheet'!I164,"")</f>
        <v/>
      </c>
      <c r="M164" s="702" t="str">
        <f>IF('Chemical Info'!T165="X",'Res-Rec Worksheet'!I164,"")</f>
        <v/>
      </c>
      <c r="N164" s="702">
        <f>IF('Chemical Info'!U165="X",'Res-Rec Worksheet'!I164,"")</f>
        <v>0</v>
      </c>
      <c r="O164" s="702">
        <f>IF('Chemical Info'!V165="X",'Res-Rec Worksheet'!I164,"")</f>
        <v>0</v>
      </c>
      <c r="P164" s="702" t="str">
        <f>IF('Chemical Info'!W165="X",'Res-Rec Worksheet'!I164,"")</f>
        <v/>
      </c>
      <c r="Q164" s="702" t="str">
        <f>IF('Chemical Info'!X165="X",'Res-Rec Worksheet'!I164,"")</f>
        <v/>
      </c>
      <c r="R164" s="702" t="str">
        <f>IF('Chemical Info'!Y165="X",'Res-Rec Worksheet'!I164,"")</f>
        <v/>
      </c>
      <c r="S164" s="702" t="str">
        <f>IF('Chemical Info'!Z165="X",'Res-Rec Worksheet'!I164,"")</f>
        <v/>
      </c>
      <c r="T164" s="702" t="str">
        <f>IF('Chemical Info'!AA165="X",'Res-Rec Worksheet'!I164,"")</f>
        <v/>
      </c>
      <c r="U164" s="692" t="str">
        <f t="shared" si="2"/>
        <v/>
      </c>
    </row>
    <row r="165" spans="1:21">
      <c r="A165" s="129" t="s">
        <v>1159</v>
      </c>
      <c r="B165" s="566" t="s">
        <v>1160</v>
      </c>
      <c r="C165" s="566">
        <v>2022</v>
      </c>
      <c r="D165" s="513" t="str">
        <f>IF('Res-Rec Calculations'!V165="NA","NA",'Res-Rec Calculations'!W165)</f>
        <v>NA</v>
      </c>
      <c r="E165" s="342"/>
      <c r="F165" s="126">
        <f>'Res-Rec Calculations'!Y165</f>
        <v>0.66</v>
      </c>
      <c r="G165" s="126" t="str">
        <f>'Res-Rec Calculations'!Z165</f>
        <v>Noncancer</v>
      </c>
      <c r="H165" s="184"/>
      <c r="I165" s="698">
        <f>IF(G165="BTV","NA",IF(G165="Max Limit","NA",IF(G165="Csat","NA",IF(ISNUMBER('Res-Rec Calculations'!U165),((H165/'Res-Rec Calculations'!U165)),"NA"))))</f>
        <v>0</v>
      </c>
      <c r="J165" s="704" t="str">
        <f>IF(G165="BTV","NA",IF(G165="Max Limit","NA",IF(G165="Csat","NA",IF(ISNUMBER('Res-Rec Calculations'!N165),((H165/'Res-Rec Calculations'!N165)*0.00001),"NA"))))</f>
        <v>NA</v>
      </c>
      <c r="K165" s="702" t="str">
        <f>IF('Chemical Info'!R166="X",'Res-Rec Worksheet'!I165,"")</f>
        <v/>
      </c>
      <c r="L165" s="702" t="str">
        <f>IF('Chemical Info'!S166="X",'Res-Rec Worksheet'!I165,"")</f>
        <v/>
      </c>
      <c r="M165" s="702" t="str">
        <f>IF('Chemical Info'!T166="X",'Res-Rec Worksheet'!I165,"")</f>
        <v/>
      </c>
      <c r="N165" s="702" t="str">
        <f>IF('Chemical Info'!U166="X",'Res-Rec Worksheet'!I165,"")</f>
        <v/>
      </c>
      <c r="O165" s="702" t="str">
        <f>IF('Chemical Info'!V166="X",'Res-Rec Worksheet'!I165,"")</f>
        <v/>
      </c>
      <c r="P165" s="702" t="str">
        <f>IF('Chemical Info'!W166="X",'Res-Rec Worksheet'!I165,"")</f>
        <v/>
      </c>
      <c r="Q165" s="702" t="str">
        <f>IF('Chemical Info'!X166="X",'Res-Rec Worksheet'!I165,"")</f>
        <v/>
      </c>
      <c r="R165" s="702" t="str">
        <f>IF('Chemical Info'!Y166="X",'Res-Rec Worksheet'!I165,"")</f>
        <v/>
      </c>
      <c r="S165" s="702" t="str">
        <f>IF('Chemical Info'!Z166="X",'Res-Rec Worksheet'!I165,"")</f>
        <v/>
      </c>
      <c r="T165" s="702">
        <f>IF('Chemical Info'!AA166="X",'Res-Rec Worksheet'!I165,"")</f>
        <v>0</v>
      </c>
      <c r="U165" s="692" t="str">
        <f t="shared" si="2"/>
        <v/>
      </c>
    </row>
    <row r="166" spans="1:21" ht="10">
      <c r="A166" s="133" t="s">
        <v>408</v>
      </c>
      <c r="B166" s="566" t="s">
        <v>61</v>
      </c>
      <c r="C166" s="566">
        <v>2016</v>
      </c>
      <c r="D166" s="513" t="str">
        <f>IF('Res-Rec Calculations'!V166="NA","NA",'Res-Rec Calculations'!W166)</f>
        <v>NA</v>
      </c>
      <c r="E166" s="342"/>
      <c r="F166" s="126">
        <f>'Res-Rec Calculations'!Y166</f>
        <v>400</v>
      </c>
      <c r="G166" s="126" t="str">
        <f>'Res-Rec Calculations'!Z166</f>
        <v>Noncancer</v>
      </c>
      <c r="H166" s="127"/>
      <c r="I166" s="698">
        <f>IF(G166="BTV","NA",IF(G166="Max Limit","NA",IF(G166="Csat","NA",IF(ISNUMBER('Res-Rec Calculations'!U166),((H166/'Res-Rec Calculations'!U166)),"NA"))))</f>
        <v>0</v>
      </c>
      <c r="J166" s="704" t="str">
        <f>IF(G166="BTV","NA",IF(G166="Max Limit","NA",IF(G166="Csat","NA",IF(ISNUMBER('Res-Rec Calculations'!N166),((H166/'Res-Rec Calculations'!N166)*0.00001),"NA"))))</f>
        <v>NA</v>
      </c>
      <c r="K166" s="702" t="str">
        <f>IF('Chemical Info'!R167="X",'Res-Rec Worksheet'!I166,"")</f>
        <v/>
      </c>
      <c r="L166" s="702" t="str">
        <f>IF('Chemical Info'!S167="X",'Res-Rec Worksheet'!I166,"")</f>
        <v/>
      </c>
      <c r="M166" s="702" t="str">
        <f>IF('Chemical Info'!T167="X",'Res-Rec Worksheet'!I166,"")</f>
        <v/>
      </c>
      <c r="N166" s="702" t="str">
        <f>IF('Chemical Info'!U167="X",'Res-Rec Worksheet'!I166,"")</f>
        <v/>
      </c>
      <c r="O166" s="702">
        <f>IF('Chemical Info'!V167="X",'Res-Rec Worksheet'!I166,"")</f>
        <v>0</v>
      </c>
      <c r="P166" s="702" t="str">
        <f>IF('Chemical Info'!W167="X",'Res-Rec Worksheet'!I166,"")</f>
        <v/>
      </c>
      <c r="Q166" s="702" t="str">
        <f>IF('Chemical Info'!X167="X",'Res-Rec Worksheet'!I166,"")</f>
        <v/>
      </c>
      <c r="R166" s="702" t="str">
        <f>IF('Chemical Info'!Y167="X",'Res-Rec Worksheet'!I166,"")</f>
        <v/>
      </c>
      <c r="S166" s="702" t="str">
        <f>IF('Chemical Info'!Z167="X",'Res-Rec Worksheet'!I166,"")</f>
        <v/>
      </c>
      <c r="T166" s="702" t="str">
        <f>IF('Chemical Info'!AA167="X",'Res-Rec Worksheet'!I166,"")</f>
        <v/>
      </c>
      <c r="U166" s="692" t="str">
        <f t="shared" si="2"/>
        <v/>
      </c>
    </row>
    <row r="167" spans="1:21" ht="10">
      <c r="A167" s="133" t="s">
        <v>419</v>
      </c>
      <c r="B167" s="566" t="s">
        <v>62</v>
      </c>
      <c r="C167" s="566">
        <v>2016</v>
      </c>
      <c r="D167" s="513" t="str">
        <f>IF('Res-Rec Calculations'!V167="NA","NA",'Res-Rec Calculations'!W167)</f>
        <v>NA</v>
      </c>
      <c r="E167" s="342"/>
      <c r="F167" s="126">
        <f>'Res-Rec Calculations'!Y167</f>
        <v>1300</v>
      </c>
      <c r="G167" s="126" t="str">
        <f>'Res-Rec Calculations'!Z167</f>
        <v>Noncancer</v>
      </c>
      <c r="H167" s="127"/>
      <c r="I167" s="698">
        <f>IF(G167="BTV","NA",IF(G167="Max Limit","NA",IF(G167="Csat","NA",IF(ISNUMBER('Res-Rec Calculations'!U167),((H167/'Res-Rec Calculations'!U167)),"NA"))))</f>
        <v>0</v>
      </c>
      <c r="J167" s="704" t="str">
        <f>IF(G167="BTV","NA",IF(G167="Max Limit","NA",IF(G167="Csat","NA",IF(ISNUMBER('Res-Rec Calculations'!N167),((H167/'Res-Rec Calculations'!N167)*0.00001),"NA"))))</f>
        <v>NA</v>
      </c>
      <c r="K167" s="702" t="str">
        <f>IF('Chemical Info'!R168="X",'Res-Rec Worksheet'!I167,"")</f>
        <v/>
      </c>
      <c r="L167" s="702" t="str">
        <f>IF('Chemical Info'!S168="X",'Res-Rec Worksheet'!I167,"")</f>
        <v/>
      </c>
      <c r="M167" s="702" t="str">
        <f>IF('Chemical Info'!T168="X",'Res-Rec Worksheet'!I167,"")</f>
        <v/>
      </c>
      <c r="N167" s="702">
        <f>IF('Chemical Info'!U168="X",'Res-Rec Worksheet'!I167,"")</f>
        <v>0</v>
      </c>
      <c r="O167" s="702">
        <f>IF('Chemical Info'!V168="X",'Res-Rec Worksheet'!I167,"")</f>
        <v>0</v>
      </c>
      <c r="P167" s="702" t="str">
        <f>IF('Chemical Info'!W168="X",'Res-Rec Worksheet'!I167,"")</f>
        <v/>
      </c>
      <c r="Q167" s="702" t="str">
        <f>IF('Chemical Info'!X168="X",'Res-Rec Worksheet'!I167,"")</f>
        <v/>
      </c>
      <c r="R167" s="702" t="str">
        <f>IF('Chemical Info'!Y168="X",'Res-Rec Worksheet'!I167,"")</f>
        <v/>
      </c>
      <c r="S167" s="702" t="str">
        <f>IF('Chemical Info'!Z168="X",'Res-Rec Worksheet'!I167,"")</f>
        <v/>
      </c>
      <c r="T167" s="702" t="str">
        <f>IF('Chemical Info'!AA168="X",'Res-Rec Worksheet'!I167,"")</f>
        <v/>
      </c>
      <c r="U167" s="692" t="str">
        <f t="shared" si="2"/>
        <v/>
      </c>
    </row>
    <row r="168" spans="1:21" ht="10">
      <c r="A168" s="133" t="s">
        <v>420</v>
      </c>
      <c r="B168" s="566" t="s">
        <v>82</v>
      </c>
      <c r="C168" s="566">
        <v>2016</v>
      </c>
      <c r="D168" s="513" t="str">
        <f>IF('Res-Rec Calculations'!V168="NA","NA",'Res-Rec Calculations'!W168)</f>
        <v>NA</v>
      </c>
      <c r="E168" s="342"/>
      <c r="F168" s="126">
        <f>'Res-Rec Calculations'!Y168</f>
        <v>13</v>
      </c>
      <c r="G168" s="126" t="str">
        <f>'Res-Rec Calculations'!Z168</f>
        <v>Noncancer</v>
      </c>
      <c r="H168" s="127"/>
      <c r="I168" s="698">
        <f>IF(G168="BTV","NA",IF(G168="Max Limit","NA",IF(G168="Csat","NA",IF(ISNUMBER('Res-Rec Calculations'!U168),((H168/'Res-Rec Calculations'!U168)),"NA"))))</f>
        <v>0</v>
      </c>
      <c r="J168" s="704">
        <f>IF(G168="BTV","NA",IF(G168="Max Limit","NA",IF(G168="Csat","NA",IF(ISNUMBER('Res-Rec Calculations'!N168),((H168/'Res-Rec Calculations'!N168)*0.00001),"NA"))))</f>
        <v>0</v>
      </c>
      <c r="K168" s="702" t="str">
        <f>IF('Chemical Info'!R169="X",'Res-Rec Worksheet'!I168,"")</f>
        <v/>
      </c>
      <c r="L168" s="702" t="str">
        <f>IF('Chemical Info'!S169="X",'Res-Rec Worksheet'!I168,"")</f>
        <v/>
      </c>
      <c r="M168" s="702" t="str">
        <f>IF('Chemical Info'!T169="X",'Res-Rec Worksheet'!I168,"")</f>
        <v/>
      </c>
      <c r="N168" s="702" t="str">
        <f>IF('Chemical Info'!U169="X",'Res-Rec Worksheet'!I168,"")</f>
        <v/>
      </c>
      <c r="O168" s="702" t="str">
        <f>IF('Chemical Info'!V169="X",'Res-Rec Worksheet'!I168,"")</f>
        <v/>
      </c>
      <c r="P168" s="702">
        <f>IF('Chemical Info'!W169="X",'Res-Rec Worksheet'!I168,"")</f>
        <v>0</v>
      </c>
      <c r="Q168" s="702" t="str">
        <f>IF('Chemical Info'!X169="X",'Res-Rec Worksheet'!I168,"")</f>
        <v/>
      </c>
      <c r="R168" s="702" t="str">
        <f>IF('Chemical Info'!Y169="X",'Res-Rec Worksheet'!I168,"")</f>
        <v/>
      </c>
      <c r="S168" s="702" t="str">
        <f>IF('Chemical Info'!Z169="X",'Res-Rec Worksheet'!I168,"")</f>
        <v/>
      </c>
      <c r="T168" s="702" t="str">
        <f>IF('Chemical Info'!AA169="X",'Res-Rec Worksheet'!I168,"")</f>
        <v/>
      </c>
      <c r="U168" s="692" t="str">
        <f t="shared" si="2"/>
        <v/>
      </c>
    </row>
    <row r="169" spans="1:21" ht="10">
      <c r="A169" s="391" t="s">
        <v>968</v>
      </c>
      <c r="B169" s="593"/>
      <c r="C169" s="665"/>
      <c r="D169" s="515"/>
      <c r="E169" s="392"/>
      <c r="F169" s="384"/>
      <c r="G169" s="384"/>
      <c r="H169" s="392"/>
      <c r="I169" s="409"/>
      <c r="J169" s="705"/>
      <c r="K169" s="709" t="str">
        <f>IF('Chemical Info'!R170="X",'Res-Rec Worksheet'!I169,"")</f>
        <v/>
      </c>
      <c r="L169" s="710" t="str">
        <f>IF('Chemical Info'!S170="X",'Res-Rec Worksheet'!I169,"")</f>
        <v/>
      </c>
      <c r="M169" s="710" t="str">
        <f>IF('Chemical Info'!T170="X",'Res-Rec Worksheet'!I169,"")</f>
        <v/>
      </c>
      <c r="N169" s="710" t="str">
        <f>IF('Chemical Info'!U170="X",'Res-Rec Worksheet'!I169,"")</f>
        <v/>
      </c>
      <c r="O169" s="710" t="str">
        <f>IF('Chemical Info'!V170="X",'Res-Rec Worksheet'!I169,"")</f>
        <v/>
      </c>
      <c r="P169" s="710" t="str">
        <f>IF('Chemical Info'!W170="X",'Res-Rec Worksheet'!I169,"")</f>
        <v/>
      </c>
      <c r="Q169" s="710" t="str">
        <f>IF('Chemical Info'!X170="X",'Res-Rec Worksheet'!I169,"")</f>
        <v/>
      </c>
      <c r="R169" s="710" t="str">
        <f>IF('Chemical Info'!Y170="X",'Res-Rec Worksheet'!I169,"")</f>
        <v/>
      </c>
      <c r="S169" s="710" t="str">
        <f>IF('Chemical Info'!Z170="X",'Res-Rec Worksheet'!I169,"")</f>
        <v/>
      </c>
      <c r="T169" s="711" t="str">
        <f>IF('Chemical Info'!AA170="X",'Res-Rec Worksheet'!I169,"")</f>
        <v/>
      </c>
      <c r="U169" s="691"/>
    </row>
    <row r="170" spans="1:21" ht="10">
      <c r="A170" s="134" t="s">
        <v>182</v>
      </c>
      <c r="B170" s="566" t="s">
        <v>80</v>
      </c>
      <c r="C170" s="566">
        <v>2022</v>
      </c>
      <c r="D170" s="513" t="str">
        <f>IF('Res-Rec Calculations'!V170="NA","NA",'Res-Rec Calculations'!W170)</f>
        <v>NA</v>
      </c>
      <c r="E170" s="522"/>
      <c r="F170" s="135">
        <f>'Res-Rec Calculations'!Y170</f>
        <v>460</v>
      </c>
      <c r="G170" s="126" t="str">
        <f>'Res-Rec Calculations'!Z170</f>
        <v>Noncancer</v>
      </c>
      <c r="H170" s="136"/>
      <c r="I170" s="698">
        <f>IF(G170="BTV","NA",IF(G170="Max Limit","NA",IF(G170="Csat","NA",IF(ISNUMBER('Res-Rec Calculations'!U170),((H170/'Res-Rec Calculations'!U170)),"NA"))))</f>
        <v>0</v>
      </c>
      <c r="J170" s="704" t="str">
        <f>IF(G170="BTV","NA",IF(G170="Max Limit","NA",IF(G170="Csat","NA",IF(ISNUMBER('Res-Rec Calculations'!N170),((H170/'Res-Rec Calculations'!N170)*0.00001),"NA"))))</f>
        <v>NA</v>
      </c>
      <c r="K170" s="702" t="str">
        <f>IF('Chemical Info'!R171="X",'Res-Rec Worksheet'!I170,"")</f>
        <v/>
      </c>
      <c r="L170" s="702" t="str">
        <f>IF('Chemical Info'!S171="X",'Res-Rec Worksheet'!I170,"")</f>
        <v/>
      </c>
      <c r="M170" s="702" t="str">
        <f>IF('Chemical Info'!T171="X",'Res-Rec Worksheet'!I170,"")</f>
        <v/>
      </c>
      <c r="N170" s="702">
        <f>IF('Chemical Info'!U171="X",'Res-Rec Worksheet'!I170,"")</f>
        <v>0</v>
      </c>
      <c r="O170" s="702">
        <f>IF('Chemical Info'!V171="X",'Res-Rec Worksheet'!I170,"")</f>
        <v>0</v>
      </c>
      <c r="P170" s="702" t="str">
        <f>IF('Chemical Info'!W171="X",'Res-Rec Worksheet'!I170,"")</f>
        <v/>
      </c>
      <c r="Q170" s="702" t="str">
        <f>IF('Chemical Info'!X171="X",'Res-Rec Worksheet'!I170,"")</f>
        <v/>
      </c>
      <c r="R170" s="702" t="str">
        <f>IF('Chemical Info'!Y171="X",'Res-Rec Worksheet'!I170,"")</f>
        <v/>
      </c>
      <c r="S170" s="702" t="str">
        <f>IF('Chemical Info'!Z171="X",'Res-Rec Worksheet'!I170,"")</f>
        <v/>
      </c>
      <c r="T170" s="702" t="str">
        <f>IF('Chemical Info'!AA171="X",'Res-Rec Worksheet'!I170,"")</f>
        <v/>
      </c>
      <c r="U170" s="692" t="str">
        <f t="shared" si="2"/>
        <v/>
      </c>
    </row>
    <row r="171" spans="1:21" ht="10">
      <c r="A171" s="137" t="s">
        <v>181</v>
      </c>
      <c r="B171" s="566" t="s">
        <v>81</v>
      </c>
      <c r="C171" s="566">
        <v>2021</v>
      </c>
      <c r="D171" s="513" t="str">
        <f>IF('Res-Rec Calculations'!V171="NA","NA",'Res-Rec Calculations'!W171)</f>
        <v>NA</v>
      </c>
      <c r="E171" s="342"/>
      <c r="F171" s="126">
        <f>'Res-Rec Calculations'!Y171</f>
        <v>2800</v>
      </c>
      <c r="G171" s="126" t="str">
        <f>'Res-Rec Calculations'!Z171</f>
        <v>Noncancer</v>
      </c>
      <c r="H171" s="127"/>
      <c r="I171" s="698">
        <f>IF(G171="BTV","NA",IF(G171="Max Limit","NA",IF(G171="Csat","NA",IF(ISNUMBER('Res-Rec Calculations'!U171),((H171/'Res-Rec Calculations'!U171)),"NA"))))</f>
        <v>0</v>
      </c>
      <c r="J171" s="704" t="str">
        <f>IF(G171="BTV","NA",IF(G171="Max Limit","NA",IF(G171="Csat","NA",IF(ISNUMBER('Res-Rec Calculations'!N171),((H171/'Res-Rec Calculations'!N171)*0.00001),"NA"))))</f>
        <v>NA</v>
      </c>
      <c r="K171" s="702" t="str">
        <f>IF('Chemical Info'!R172="X",'Res-Rec Worksheet'!I171,"")</f>
        <v/>
      </c>
      <c r="L171" s="702" t="str">
        <f>IF('Chemical Info'!S172="X",'Res-Rec Worksheet'!I171,"")</f>
        <v/>
      </c>
      <c r="M171" s="702" t="str">
        <f>IF('Chemical Info'!T172="X",'Res-Rec Worksheet'!I171,"")</f>
        <v/>
      </c>
      <c r="N171" s="702" t="str">
        <f>IF('Chemical Info'!U172="X",'Res-Rec Worksheet'!I171,"")</f>
        <v/>
      </c>
      <c r="O171" s="702" t="str">
        <f>IF('Chemical Info'!V172="X",'Res-Rec Worksheet'!I171,"")</f>
        <v/>
      </c>
      <c r="P171" s="702" t="str">
        <f>IF('Chemical Info'!W172="X",'Res-Rec Worksheet'!I171,"")</f>
        <v/>
      </c>
      <c r="Q171" s="702" t="str">
        <f>IF('Chemical Info'!X172="X",'Res-Rec Worksheet'!I171,"")</f>
        <v/>
      </c>
      <c r="R171" s="702" t="str">
        <f>IF('Chemical Info'!Y172="X",'Res-Rec Worksheet'!I171,"")</f>
        <v/>
      </c>
      <c r="S171" s="702" t="str">
        <f>IF('Chemical Info'!Z172="X",'Res-Rec Worksheet'!I171,"")</f>
        <v/>
      </c>
      <c r="T171" s="702" t="str">
        <f>IF('Chemical Info'!AA172="X",'Res-Rec Worksheet'!I171,"")</f>
        <v/>
      </c>
      <c r="U171" s="692" t="str">
        <f t="shared" si="2"/>
        <v/>
      </c>
    </row>
    <row r="172" spans="1:21" ht="12">
      <c r="A172" s="527" t="s">
        <v>899</v>
      </c>
      <c r="B172" s="599" t="s">
        <v>99</v>
      </c>
      <c r="C172" s="566">
        <v>2019</v>
      </c>
      <c r="D172" s="513" t="str">
        <f>IF('Res-Rec Calculations'!V172="NA","NA",'Res-Rec Calculations'!W172)</f>
        <v>NA</v>
      </c>
      <c r="E172" s="342"/>
      <c r="F172" s="524">
        <v>2</v>
      </c>
      <c r="G172" s="524" t="s">
        <v>890</v>
      </c>
      <c r="H172" s="127"/>
      <c r="I172" s="698" t="str">
        <f>IF(G172="BTV","NA",IF(G172="Max Limit","NA",IF(G172="Csat","NA",IF(ISNUMBER('Res-Rec Calculations'!U172),((H172/'Res-Rec Calculations'!U172)),"NA"))))</f>
        <v>NA</v>
      </c>
      <c r="J172" s="704" t="str">
        <f>IF(G172="BTV","NA",IF(G172="Max Limit","NA",IF(G172="Csat","NA",IF(ISNUMBER('Res-Rec Calculations'!N172),((H172/'Res-Rec Calculations'!N172)*0.00001),"NA"))))</f>
        <v>NA</v>
      </c>
      <c r="K172" s="702" t="str">
        <f>IF('Chemical Info'!R173="X",'Res-Rec Worksheet'!I172,"")</f>
        <v>NA</v>
      </c>
      <c r="L172" s="702" t="str">
        <f>IF('Chemical Info'!S173="X",'Res-Rec Worksheet'!I172,"")</f>
        <v/>
      </c>
      <c r="M172" s="702" t="str">
        <f>IF('Chemical Info'!T173="X",'Res-Rec Worksheet'!I172,"")</f>
        <v/>
      </c>
      <c r="N172" s="702" t="str">
        <f>IF('Chemical Info'!U173="X",'Res-Rec Worksheet'!I172,"")</f>
        <v/>
      </c>
      <c r="O172" s="702" t="str">
        <f>IF('Chemical Info'!V173="X",'Res-Rec Worksheet'!I172,"")</f>
        <v/>
      </c>
      <c r="P172" s="702" t="str">
        <f>IF('Chemical Info'!W173="X",'Res-Rec Worksheet'!I172,"")</f>
        <v>NA</v>
      </c>
      <c r="Q172" s="702" t="str">
        <f>IF('Chemical Info'!X173="X",'Res-Rec Worksheet'!I172,"")</f>
        <v/>
      </c>
      <c r="R172" s="702" t="str">
        <f>IF('Chemical Info'!Y173="X",'Res-Rec Worksheet'!I172,"")</f>
        <v/>
      </c>
      <c r="S172" s="702" t="str">
        <f>IF('Chemical Info'!Z173="X",'Res-Rec Worksheet'!I172,"")</f>
        <v/>
      </c>
      <c r="T172" s="702" t="str">
        <f>IF('Chemical Info'!AA173="X",'Res-Rec Worksheet'!I172,"")</f>
        <v/>
      </c>
      <c r="U172" s="692" t="str">
        <f t="shared" si="2"/>
        <v/>
      </c>
    </row>
    <row r="173" spans="1:21" ht="10">
      <c r="A173" s="129" t="s">
        <v>1195</v>
      </c>
      <c r="B173" s="566" t="s">
        <v>1163</v>
      </c>
      <c r="C173" s="566">
        <v>2022</v>
      </c>
      <c r="D173" s="513" t="str">
        <f>IF('Res-Rec Calculations'!V173="NA","NA",'Res-Rec Calculations'!W173)</f>
        <v>NA</v>
      </c>
      <c r="E173" s="342"/>
      <c r="F173" s="126">
        <f>'Res-Rec Calculations'!Y173</f>
        <v>1800</v>
      </c>
      <c r="G173" s="126" t="str">
        <f>'Res-Rec Calculations'!Z173</f>
        <v>Noncancer</v>
      </c>
      <c r="H173" s="127"/>
      <c r="I173" s="698">
        <f>IF(G173="BTV","NA",IF(G173="Max Limit","NA",IF(G173="Csat","NA",IF(ISNUMBER('Res-Rec Calculations'!U173),((H173/'Res-Rec Calculations'!U173)),"NA"))))</f>
        <v>0</v>
      </c>
      <c r="J173" s="704" t="str">
        <f>IF(G173="BTV","NA",IF(G173="Max Limit","NA",IF(G173="Csat","NA",IF(ISNUMBER('Res-Rec Calculations'!N173),((H173/'Res-Rec Calculations'!N173)*0.00001),"NA"))))</f>
        <v>NA</v>
      </c>
      <c r="K173" s="702" t="str">
        <f>IF('Chemical Info'!R174="X",'Res-Rec Worksheet'!I173,"")</f>
        <v/>
      </c>
      <c r="L173" s="702" t="str">
        <f>IF('Chemical Info'!S174="X",'Res-Rec Worksheet'!I173,"")</f>
        <v/>
      </c>
      <c r="M173" s="702" t="str">
        <f>IF('Chemical Info'!T174="X",'Res-Rec Worksheet'!I173,"")</f>
        <v/>
      </c>
      <c r="N173" s="702" t="str">
        <f>IF('Chemical Info'!U174="X",'Res-Rec Worksheet'!I173,"")</f>
        <v/>
      </c>
      <c r="O173" s="702">
        <f>IF('Chemical Info'!V174="X",'Res-Rec Worksheet'!I173,"")</f>
        <v>0</v>
      </c>
      <c r="P173" s="702" t="str">
        <f>IF('Chemical Info'!W174="X",'Res-Rec Worksheet'!I173,"")</f>
        <v/>
      </c>
      <c r="Q173" s="702">
        <f>IF('Chemical Info'!X174="X",'Res-Rec Worksheet'!I173,"")</f>
        <v>0</v>
      </c>
      <c r="R173" s="702" t="str">
        <f>IF('Chemical Info'!Y174="X",'Res-Rec Worksheet'!I173,"")</f>
        <v/>
      </c>
      <c r="S173" s="702" t="str">
        <f>IF('Chemical Info'!Z174="X",'Res-Rec Worksheet'!I173,"")</f>
        <v/>
      </c>
      <c r="T173" s="702" t="str">
        <f>IF('Chemical Info'!AA174="X",'Res-Rec Worksheet'!I173,"")</f>
        <v/>
      </c>
      <c r="U173" s="692" t="str">
        <f t="shared" si="2"/>
        <v/>
      </c>
    </row>
    <row r="174" spans="1:21" ht="10">
      <c r="A174" s="129" t="s">
        <v>180</v>
      </c>
      <c r="B174" s="566" t="s">
        <v>37</v>
      </c>
      <c r="C174" s="566">
        <v>2022</v>
      </c>
      <c r="D174" s="513" t="str">
        <f>IF('Res-Rec Calculations'!V174="NA","NA",'Res-Rec Calculations'!W174)</f>
        <v>NA</v>
      </c>
      <c r="E174" s="342"/>
      <c r="F174" s="126">
        <f>'Res-Rec Calculations'!Y174</f>
        <v>210</v>
      </c>
      <c r="G174" s="126" t="str">
        <f>'Res-Rec Calculations'!Z174</f>
        <v>Noncancer</v>
      </c>
      <c r="H174" s="127"/>
      <c r="I174" s="698">
        <f>IF(G174="BTV","NA",IF(G174="Max Limit","NA",IF(G174="Csat","NA",IF(ISNUMBER('Res-Rec Calculations'!U174),((H174/'Res-Rec Calculations'!U174)),"NA"))))</f>
        <v>0</v>
      </c>
      <c r="J174" s="704" t="str">
        <f>IF(G174="BTV","NA",IF(G174="Max Limit","NA",IF(G174="Csat","NA",IF(ISNUMBER('Res-Rec Calculations'!N174),((H174/'Res-Rec Calculations'!N174)*0.00001),"NA"))))</f>
        <v>NA</v>
      </c>
      <c r="K174" s="702" t="str">
        <f>IF('Chemical Info'!R175="X",'Res-Rec Worksheet'!I174,"")</f>
        <v/>
      </c>
      <c r="L174" s="702" t="str">
        <f>IF('Chemical Info'!S175="X",'Res-Rec Worksheet'!I174,"")</f>
        <v/>
      </c>
      <c r="M174" s="702" t="str">
        <f>IF('Chemical Info'!T175="X",'Res-Rec Worksheet'!I174,"")</f>
        <v/>
      </c>
      <c r="N174" s="702">
        <f>IF('Chemical Info'!U175="X",'Res-Rec Worksheet'!I174,"")</f>
        <v>0</v>
      </c>
      <c r="O174" s="702">
        <f>IF('Chemical Info'!V175="X",'Res-Rec Worksheet'!I174,"")</f>
        <v>0</v>
      </c>
      <c r="P174" s="702" t="str">
        <f>IF('Chemical Info'!W175="X",'Res-Rec Worksheet'!I174,"")</f>
        <v/>
      </c>
      <c r="Q174" s="702" t="str">
        <f>IF('Chemical Info'!X175="X",'Res-Rec Worksheet'!I174,"")</f>
        <v/>
      </c>
      <c r="R174" s="702" t="str">
        <f>IF('Chemical Info'!Y175="X",'Res-Rec Worksheet'!I174,"")</f>
        <v/>
      </c>
      <c r="S174" s="702" t="str">
        <f>IF('Chemical Info'!Z175="X",'Res-Rec Worksheet'!I174,"")</f>
        <v/>
      </c>
      <c r="T174" s="702" t="str">
        <f>IF('Chemical Info'!AA175="X",'Res-Rec Worksheet'!I174,"")</f>
        <v/>
      </c>
      <c r="U174" s="692" t="str">
        <f t="shared" si="2"/>
        <v/>
      </c>
    </row>
    <row r="175" spans="1:21" ht="10">
      <c r="A175" s="129" t="s">
        <v>179</v>
      </c>
      <c r="B175" s="566" t="s">
        <v>121</v>
      </c>
      <c r="C175" s="566">
        <v>2021</v>
      </c>
      <c r="D175" s="513" t="str">
        <f>IF('Res-Rec Calculations'!V175="NA","NA",'Res-Rec Calculations'!W175)</f>
        <v>NA</v>
      </c>
      <c r="E175" s="342"/>
      <c r="F175" s="126">
        <f>'Res-Rec Calculations'!Y175</f>
        <v>390</v>
      </c>
      <c r="G175" s="126" t="str">
        <f>'Res-Rec Calculations'!Z175</f>
        <v>Noncancer</v>
      </c>
      <c r="H175" s="127"/>
      <c r="I175" s="698">
        <f>IF(G175="BTV","NA",IF(G175="Max Limit","NA",IF(G175="Csat","NA",IF(ISNUMBER('Res-Rec Calculations'!U175),((H175/'Res-Rec Calculations'!U175)),"NA"))))</f>
        <v>0</v>
      </c>
      <c r="J175" s="704" t="str">
        <f>IF(G175="BTV","NA",IF(G175="Max Limit","NA",IF(G175="Csat","NA",IF(ISNUMBER('Res-Rec Calculations'!N175),((H175/'Res-Rec Calculations'!N175)*0.00001),"NA"))))</f>
        <v>NA</v>
      </c>
      <c r="K175" s="702" t="str">
        <f>IF('Chemical Info'!R176="X",'Res-Rec Worksheet'!I175,"")</f>
        <v/>
      </c>
      <c r="L175" s="702">
        <f>IF('Chemical Info'!S176="X",'Res-Rec Worksheet'!I175,"")</f>
        <v>0</v>
      </c>
      <c r="M175" s="702">
        <f>IF('Chemical Info'!T176="X",'Res-Rec Worksheet'!I175,"")</f>
        <v>0</v>
      </c>
      <c r="N175" s="702" t="str">
        <f>IF('Chemical Info'!U176="X",'Res-Rec Worksheet'!I175,"")</f>
        <v/>
      </c>
      <c r="O175" s="702" t="str">
        <f>IF('Chemical Info'!V176="X",'Res-Rec Worksheet'!I175,"")</f>
        <v/>
      </c>
      <c r="P175" s="702" t="str">
        <f>IF('Chemical Info'!W176="X",'Res-Rec Worksheet'!I175,"")</f>
        <v/>
      </c>
      <c r="Q175" s="702" t="str">
        <f>IF('Chemical Info'!X176="X",'Res-Rec Worksheet'!I175,"")</f>
        <v/>
      </c>
      <c r="R175" s="702" t="str">
        <f>IF('Chemical Info'!Y176="X",'Res-Rec Worksheet'!I175,"")</f>
        <v/>
      </c>
      <c r="S175" s="702" t="str">
        <f>IF('Chemical Info'!Z176="X",'Res-Rec Worksheet'!I175,"")</f>
        <v/>
      </c>
      <c r="T175" s="702" t="str">
        <f>IF('Chemical Info'!AA176="X",'Res-Rec Worksheet'!I175,"")</f>
        <v/>
      </c>
      <c r="U175" s="692" t="str">
        <f t="shared" si="2"/>
        <v/>
      </c>
    </row>
    <row r="176" spans="1:21" ht="10">
      <c r="A176" s="129" t="s">
        <v>1115</v>
      </c>
      <c r="B176" s="566" t="s">
        <v>1109</v>
      </c>
      <c r="C176" s="736">
        <v>2025</v>
      </c>
      <c r="D176" s="513" t="str">
        <f>IF('Res-Rec Calculations'!V176="NA","NA",'Res-Rec Calculations'!W176)</f>
        <v>NA</v>
      </c>
      <c r="E176" s="342"/>
      <c r="F176" s="126">
        <f>'Res-Rec Calculations'!Y176</f>
        <v>7.8E-2</v>
      </c>
      <c r="G176" s="126" t="str">
        <f>'Res-Rec Calculations'!Z176</f>
        <v>Noncancer</v>
      </c>
      <c r="H176" s="127"/>
      <c r="I176" s="698">
        <f>IF(G176="BTV","NA",IF(G176="Max Limit","NA",IF(G176="Csat","NA",IF(ISNUMBER('Res-Rec Calculations'!U176),((H176/'Res-Rec Calculations'!U176)),"NA"))))</f>
        <v>0</v>
      </c>
      <c r="J176" s="704">
        <f>IF(G176="BTV","NA",IF(G176="Max Limit","NA",IF(G176="Csat","NA",IF(ISNUMBER('Res-Rec Calculations'!N176),((H176/'Res-Rec Calculations'!N176)*0.00001),"NA"))))</f>
        <v>0</v>
      </c>
      <c r="K176" s="702" t="str">
        <f>IF('Chemical Info'!R177="X",'Res-Rec Worksheet'!I176,"")</f>
        <v/>
      </c>
      <c r="L176" s="702" t="str">
        <f>IF('Chemical Info'!S177="X",'Res-Rec Worksheet'!I176,"")</f>
        <v/>
      </c>
      <c r="M176" s="702" t="str">
        <f>IF('Chemical Info'!T177="X",'Res-Rec Worksheet'!I176,"")</f>
        <v/>
      </c>
      <c r="N176" s="702" t="str">
        <f>IF('Chemical Info'!U177="X",'Res-Rec Worksheet'!I176,"")</f>
        <v/>
      </c>
      <c r="O176" s="702" t="str">
        <f>IF('Chemical Info'!V177="X",'Res-Rec Worksheet'!I176,"")</f>
        <v/>
      </c>
      <c r="P176" s="702" t="str">
        <f>IF('Chemical Info'!W177="X",'Res-Rec Worksheet'!I176,"")</f>
        <v/>
      </c>
      <c r="Q176" s="702">
        <f>IF('Chemical Info'!X177="X",'Res-Rec Worksheet'!I176,"")</f>
        <v>0</v>
      </c>
      <c r="R176" s="702" t="str">
        <f>IF('Chemical Info'!Y177="X",'Res-Rec Worksheet'!I176,"")</f>
        <v/>
      </c>
      <c r="S176" s="702" t="str">
        <f>IF('Chemical Info'!Z177="X",'Res-Rec Worksheet'!I176,"")</f>
        <v/>
      </c>
      <c r="T176" s="702" t="str">
        <f>IF('Chemical Info'!AA177="X",'Res-Rec Worksheet'!I176,"")</f>
        <v/>
      </c>
      <c r="U176" s="692" t="str">
        <f t="shared" si="2"/>
        <v/>
      </c>
    </row>
    <row r="177" spans="1:21" ht="10">
      <c r="A177" s="133" t="s">
        <v>685</v>
      </c>
      <c r="B177" s="566" t="s">
        <v>35</v>
      </c>
      <c r="C177" s="566">
        <v>2016</v>
      </c>
      <c r="D177" s="513" t="str">
        <f>IF('Res-Rec Calculations'!V177="NA","NA",'Res-Rec Calculations'!W177)</f>
        <v>NA</v>
      </c>
      <c r="E177" s="342"/>
      <c r="F177" s="126">
        <f>'Res-Rec Calculations'!Y177</f>
        <v>39</v>
      </c>
      <c r="G177" s="126" t="str">
        <f>'Res-Rec Calculations'!Z177</f>
        <v>Noncancer</v>
      </c>
      <c r="H177" s="127"/>
      <c r="I177" s="698">
        <f>IF(G177="BTV","NA",IF(G177="Max Limit","NA",IF(G177="Csat","NA",IF(ISNUMBER('Res-Rec Calculations'!U177),((H177/'Res-Rec Calculations'!U177)),"NA"))))</f>
        <v>0</v>
      </c>
      <c r="J177" s="704" t="str">
        <f>IF(G177="BTV","NA",IF(G177="Max Limit","NA",IF(G177="Csat","NA",IF(ISNUMBER('Res-Rec Calculations'!N177),((H177/'Res-Rec Calculations'!N177)*0.00001),"NA"))))</f>
        <v>NA</v>
      </c>
      <c r="K177" s="702" t="str">
        <f>IF('Chemical Info'!R178="X",'Res-Rec Worksheet'!I177,"")</f>
        <v/>
      </c>
      <c r="L177" s="702" t="str">
        <f>IF('Chemical Info'!S178="X",'Res-Rec Worksheet'!I177,"")</f>
        <v/>
      </c>
      <c r="M177" s="702" t="str">
        <f>IF('Chemical Info'!T178="X",'Res-Rec Worksheet'!I177,"")</f>
        <v/>
      </c>
      <c r="N177" s="702" t="str">
        <f>IF('Chemical Info'!U178="X",'Res-Rec Worksheet'!I177,"")</f>
        <v/>
      </c>
      <c r="O177" s="702" t="str">
        <f>IF('Chemical Info'!V178="X",'Res-Rec Worksheet'!I177,"")</f>
        <v/>
      </c>
      <c r="P177" s="702" t="str">
        <f>IF('Chemical Info'!W178="X",'Res-Rec Worksheet'!I177,"")</f>
        <v/>
      </c>
      <c r="Q177" s="702">
        <f>IF('Chemical Info'!X178="X",'Res-Rec Worksheet'!I177,"")</f>
        <v>0</v>
      </c>
      <c r="R177" s="702" t="str">
        <f>IF('Chemical Info'!Y178="X",'Res-Rec Worksheet'!I177,"")</f>
        <v/>
      </c>
      <c r="S177" s="702" t="str">
        <f>IF('Chemical Info'!Z178="X",'Res-Rec Worksheet'!I177,"")</f>
        <v/>
      </c>
      <c r="T177" s="702" t="str">
        <f>IF('Chemical Info'!AA178="X",'Res-Rec Worksheet'!I177,"")</f>
        <v/>
      </c>
      <c r="U177" s="692" t="str">
        <f t="shared" si="2"/>
        <v/>
      </c>
    </row>
    <row r="178" spans="1:21" ht="10">
      <c r="A178" s="133" t="s">
        <v>1304</v>
      </c>
      <c r="B178" s="566" t="s">
        <v>1305</v>
      </c>
      <c r="C178" s="566">
        <v>2024</v>
      </c>
      <c r="D178" s="513" t="str">
        <f>IF('Res-Rec Calculations'!V178="NA","NA",'Res-Rec Calculations'!W178)</f>
        <v>NA</v>
      </c>
      <c r="E178" s="342"/>
      <c r="F178" s="126">
        <f>'Res-Rec Calculations'!Y178</f>
        <v>1.1000000000000001</v>
      </c>
      <c r="G178" s="126" t="str">
        <f>'Res-Rec Calculations'!Z178</f>
        <v>Noncancer</v>
      </c>
      <c r="H178" s="127"/>
      <c r="I178" s="698">
        <f>IF(G178="BTV","NA",IF(G178="Max Limit","NA",IF(G178="Csat","NA",IF(ISNUMBER('Res-Rec Calculations'!U178),((H178/'Res-Rec Calculations'!U178)),"NA"))))</f>
        <v>0</v>
      </c>
      <c r="J178" s="704" t="str">
        <f>IF(G178="BTV","NA",IF(G178="Max Limit","NA",IF(G178="Csat","NA",IF(ISNUMBER('Res-Rec Calculations'!N178),((H178/'Res-Rec Calculations'!N178)*0.00001),"NA"))))</f>
        <v>NA</v>
      </c>
      <c r="K178" s="702">
        <f>IF('Chemical Info'!R179="X",'Res-Rec Worksheet'!I178,"")</f>
        <v>0</v>
      </c>
      <c r="L178" s="702" t="str">
        <f>IF('Chemical Info'!S179="X",'Res-Rec Worksheet'!I178,"")</f>
        <v/>
      </c>
      <c r="M178" s="702" t="str">
        <f>IF('Chemical Info'!T179="X",'Res-Rec Worksheet'!I178,"")</f>
        <v/>
      </c>
      <c r="N178" s="702" t="str">
        <f>IF('Chemical Info'!U179="X",'Res-Rec Worksheet'!I178,"")</f>
        <v/>
      </c>
      <c r="O178" s="702" t="str">
        <f>IF('Chemical Info'!V179="X",'Res-Rec Worksheet'!I178,"")</f>
        <v/>
      </c>
      <c r="P178" s="702">
        <f>IF('Chemical Info'!W179="X",'Res-Rec Worksheet'!I178,"")</f>
        <v>0</v>
      </c>
      <c r="Q178" s="702" t="str">
        <f>IF('Chemical Info'!X179="X",'Res-Rec Worksheet'!I178,"")</f>
        <v/>
      </c>
      <c r="R178" s="702" t="str">
        <f>IF('Chemical Info'!Y179="X",'Res-Rec Worksheet'!I178,"")</f>
        <v/>
      </c>
      <c r="S178" s="702" t="str">
        <f>IF('Chemical Info'!Z179="X",'Res-Rec Worksheet'!I178,"")</f>
        <v/>
      </c>
      <c r="T178" s="702" t="str">
        <f>IF('Chemical Info'!AA179="X",'Res-Rec Worksheet'!I178,"")</f>
        <v/>
      </c>
      <c r="U178" s="692" t="str">
        <f t="shared" si="2"/>
        <v/>
      </c>
    </row>
    <row r="179" spans="1:21" ht="10">
      <c r="A179" s="129" t="s">
        <v>177</v>
      </c>
      <c r="B179" s="566" t="s">
        <v>237</v>
      </c>
      <c r="C179" s="566">
        <v>2021</v>
      </c>
      <c r="D179" s="513" t="str">
        <f>IF('Res-Rec Calculations'!V179="NA","NA",'Res-Rec Calculations'!W179)</f>
        <v>NA</v>
      </c>
      <c r="E179" s="342"/>
      <c r="F179" s="126">
        <f>'Res-Rec Calculations'!Y179</f>
        <v>220</v>
      </c>
      <c r="G179" s="126" t="str">
        <f>'Res-Rec Calculations'!Z179</f>
        <v>Noncancer</v>
      </c>
      <c r="H179" s="127"/>
      <c r="I179" s="698">
        <f>IF(G179="BTV","NA",IF(G179="Max Limit","NA",IF(G179="Csat","NA",IF(ISNUMBER('Res-Rec Calculations'!U179),((H179/'Res-Rec Calculations'!U179)),"NA"))))</f>
        <v>0</v>
      </c>
      <c r="J179" s="704" t="str">
        <f>IF(G179="BTV","NA",IF(G179="Max Limit","NA",IF(G179="Csat","NA",IF(ISNUMBER('Res-Rec Calculations'!N179),((H179/'Res-Rec Calculations'!N179)*0.00001),"NA"))))</f>
        <v>NA</v>
      </c>
      <c r="K179" s="702" t="str">
        <f>IF('Chemical Info'!R180="X",'Res-Rec Worksheet'!I179,"")</f>
        <v/>
      </c>
      <c r="L179" s="702" t="str">
        <f>IF('Chemical Info'!S180="X",'Res-Rec Worksheet'!I179,"")</f>
        <v/>
      </c>
      <c r="M179" s="702" t="str">
        <f>IF('Chemical Info'!T180="X",'Res-Rec Worksheet'!I179,"")</f>
        <v/>
      </c>
      <c r="N179" s="702">
        <f>IF('Chemical Info'!U180="X",'Res-Rec Worksheet'!I179,"")</f>
        <v>0</v>
      </c>
      <c r="O179" s="702" t="str">
        <f>IF('Chemical Info'!V180="X",'Res-Rec Worksheet'!I179,"")</f>
        <v/>
      </c>
      <c r="P179" s="702" t="str">
        <f>IF('Chemical Info'!W180="X",'Res-Rec Worksheet'!I179,"")</f>
        <v/>
      </c>
      <c r="Q179" s="702" t="str">
        <f>IF('Chemical Info'!X180="X",'Res-Rec Worksheet'!I179,"")</f>
        <v/>
      </c>
      <c r="R179" s="702" t="str">
        <f>IF('Chemical Info'!Y180="X",'Res-Rec Worksheet'!I179,"")</f>
        <v/>
      </c>
      <c r="S179" s="702" t="str">
        <f>IF('Chemical Info'!Z180="X",'Res-Rec Worksheet'!I179,"")</f>
        <v/>
      </c>
      <c r="T179" s="702" t="str">
        <f>IF('Chemical Info'!AA180="X",'Res-Rec Worksheet'!I179,"")</f>
        <v/>
      </c>
      <c r="U179" s="692" t="str">
        <f t="shared" si="2"/>
        <v/>
      </c>
    </row>
    <row r="180" spans="1:21" ht="10">
      <c r="A180" s="129" t="s">
        <v>178</v>
      </c>
      <c r="B180" s="566" t="s">
        <v>231</v>
      </c>
      <c r="C180" s="566">
        <v>2016</v>
      </c>
      <c r="D180" s="513" t="str">
        <f>IF('Res-Rec Calculations'!V180="NA","NA",'Res-Rec Calculations'!W180)</f>
        <v>NA</v>
      </c>
      <c r="E180" s="342"/>
      <c r="F180" s="126">
        <f>'Res-Rec Calculations'!Y180</f>
        <v>1.4</v>
      </c>
      <c r="G180" s="126" t="str">
        <f>'Res-Rec Calculations'!Z180</f>
        <v>Cancer</v>
      </c>
      <c r="H180" s="127"/>
      <c r="I180" s="698">
        <f>IF(G180="BTV","NA",IF(G180="Max Limit","NA",IF(G180="Csat","NA",IF(ISNUMBER('Res-Rec Calculations'!U180),((H180/'Res-Rec Calculations'!U180)),"NA"))))</f>
        <v>0</v>
      </c>
      <c r="J180" s="704">
        <f>IF(G180="BTV","NA",IF(G180="Max Limit","NA",IF(G180="Csat","NA",IF(ISNUMBER('Res-Rec Calculations'!N180),((H180/'Res-Rec Calculations'!N180)*0.00001),"NA"))))</f>
        <v>0</v>
      </c>
      <c r="K180" s="702" t="str">
        <f>IF('Chemical Info'!R181="X",'Res-Rec Worksheet'!I180,"")</f>
        <v/>
      </c>
      <c r="L180" s="702">
        <f>IF('Chemical Info'!S181="X",'Res-Rec Worksheet'!I180,"")</f>
        <v>0</v>
      </c>
      <c r="M180" s="702">
        <f>IF('Chemical Info'!T181="X",'Res-Rec Worksheet'!I180,"")</f>
        <v>0</v>
      </c>
      <c r="N180" s="702">
        <f>IF('Chemical Info'!U181="X",'Res-Rec Worksheet'!I180,"")</f>
        <v>0</v>
      </c>
      <c r="O180" s="702">
        <f>IF('Chemical Info'!V181="X",'Res-Rec Worksheet'!I180,"")</f>
        <v>0</v>
      </c>
      <c r="P180" s="702" t="str">
        <f>IF('Chemical Info'!W181="X",'Res-Rec Worksheet'!I180,"")</f>
        <v/>
      </c>
      <c r="Q180" s="702">
        <f>IF('Chemical Info'!X181="X",'Res-Rec Worksheet'!I180,"")</f>
        <v>0</v>
      </c>
      <c r="R180" s="702" t="str">
        <f>IF('Chemical Info'!Y181="X",'Res-Rec Worksheet'!I180,"")</f>
        <v/>
      </c>
      <c r="S180" s="702" t="str">
        <f>IF('Chemical Info'!Z181="X",'Res-Rec Worksheet'!I180,"")</f>
        <v/>
      </c>
      <c r="T180" s="702" t="str">
        <f>IF('Chemical Info'!AA181="X",'Res-Rec Worksheet'!I180,"")</f>
        <v/>
      </c>
      <c r="U180" s="692" t="str">
        <f t="shared" si="2"/>
        <v/>
      </c>
    </row>
    <row r="181" spans="1:21" ht="10">
      <c r="A181" s="391" t="s">
        <v>389</v>
      </c>
      <c r="B181" s="593"/>
      <c r="C181" s="665"/>
      <c r="D181" s="515"/>
      <c r="E181" s="390"/>
      <c r="F181" s="388"/>
      <c r="G181" s="389"/>
      <c r="H181" s="390"/>
      <c r="I181" s="409"/>
      <c r="J181" s="705"/>
      <c r="K181" s="709" t="str">
        <f>IF('Chemical Info'!R182="X",'Res-Rec Worksheet'!I181,"")</f>
        <v/>
      </c>
      <c r="L181" s="710" t="str">
        <f>IF('Chemical Info'!S182="X",'Res-Rec Worksheet'!I181,"")</f>
        <v/>
      </c>
      <c r="M181" s="710" t="str">
        <f>IF('Chemical Info'!T182="X",'Res-Rec Worksheet'!I181,"")</f>
        <v/>
      </c>
      <c r="N181" s="710" t="str">
        <f>IF('Chemical Info'!U182="X",'Res-Rec Worksheet'!I181,"")</f>
        <v/>
      </c>
      <c r="O181" s="710" t="str">
        <f>IF('Chemical Info'!V182="X",'Res-Rec Worksheet'!I181,"")</f>
        <v/>
      </c>
      <c r="P181" s="710" t="str">
        <f>IF('Chemical Info'!W182="X",'Res-Rec Worksheet'!I181,"")</f>
        <v/>
      </c>
      <c r="Q181" s="710" t="str">
        <f>IF('Chemical Info'!X182="X",'Res-Rec Worksheet'!I181,"")</f>
        <v/>
      </c>
      <c r="R181" s="710" t="str">
        <f>IF('Chemical Info'!Y182="X",'Res-Rec Worksheet'!I181,"")</f>
        <v/>
      </c>
      <c r="S181" s="710" t="str">
        <f>IF('Chemical Info'!Z182="X",'Res-Rec Worksheet'!I181,"")</f>
        <v/>
      </c>
      <c r="T181" s="711" t="str">
        <f>IF('Chemical Info'!AA182="X",'Res-Rec Worksheet'!I181,"")</f>
        <v/>
      </c>
      <c r="U181" s="691"/>
    </row>
    <row r="182" spans="1:21" ht="10">
      <c r="A182" s="129" t="s">
        <v>232</v>
      </c>
      <c r="B182" s="566" t="s">
        <v>233</v>
      </c>
      <c r="C182" s="566">
        <v>2022</v>
      </c>
      <c r="D182" s="513" t="str">
        <f>IF('Res-Rec Calculations'!V182="NA","NA",'Res-Rec Calculations'!W182)</f>
        <v>NA</v>
      </c>
      <c r="E182" s="342"/>
      <c r="F182" s="126">
        <f>'Res-Rec Calculations'!Y182</f>
        <v>0.82</v>
      </c>
      <c r="G182" s="126" t="str">
        <f>'Res-Rec Calculations'!Z182</f>
        <v>Noncancer</v>
      </c>
      <c r="H182" s="127"/>
      <c r="I182" s="698">
        <f>IF(G182="BTV","NA",IF(G182="Max Limit","NA",IF(G182="Csat","NA",IF(ISNUMBER('Res-Rec Calculations'!U182),((H182/'Res-Rec Calculations'!U182)),"NA"))))</f>
        <v>0</v>
      </c>
      <c r="J182" s="704">
        <f>IF(G182="BTV","NA",IF(G182="Max Limit","NA",IF(G182="Csat","NA",IF(ISNUMBER('Res-Rec Calculations'!N182),((H182/'Res-Rec Calculations'!N182)*0.00001),"NA"))))</f>
        <v>0</v>
      </c>
      <c r="K182" s="702" t="str">
        <f>IF('Chemical Info'!R183="X",'Res-Rec Worksheet'!I182,"")</f>
        <v/>
      </c>
      <c r="L182" s="702" t="str">
        <f>IF('Chemical Info'!S183="X",'Res-Rec Worksheet'!I182,"")</f>
        <v/>
      </c>
      <c r="M182" s="702" t="str">
        <f>IF('Chemical Info'!T183="X",'Res-Rec Worksheet'!I182,"")</f>
        <v/>
      </c>
      <c r="N182" s="702" t="str">
        <f>IF('Chemical Info'!U183="X",'Res-Rec Worksheet'!I182,"")</f>
        <v/>
      </c>
      <c r="O182" s="702" t="str">
        <f>IF('Chemical Info'!V183="X",'Res-Rec Worksheet'!I182,"")</f>
        <v/>
      </c>
      <c r="P182" s="702">
        <f>IF('Chemical Info'!W183="X",'Res-Rec Worksheet'!I182,"")</f>
        <v>0</v>
      </c>
      <c r="Q182" s="702" t="str">
        <f>IF('Chemical Info'!X183="X",'Res-Rec Worksheet'!I182,"")</f>
        <v/>
      </c>
      <c r="R182" s="702" t="str">
        <f>IF('Chemical Info'!Y183="X",'Res-Rec Worksheet'!I182,"")</f>
        <v/>
      </c>
      <c r="S182" s="702" t="str">
        <f>IF('Chemical Info'!Z183="X",'Res-Rec Worksheet'!I182,"")</f>
        <v/>
      </c>
      <c r="T182" s="702" t="str">
        <f>IF('Chemical Info'!AA183="X",'Res-Rec Worksheet'!I182,"")</f>
        <v/>
      </c>
      <c r="U182" s="692" t="str">
        <f t="shared" si="2"/>
        <v/>
      </c>
    </row>
    <row r="183" spans="1:21" ht="12.75" customHeight="1">
      <c r="A183" s="387" t="s">
        <v>900</v>
      </c>
      <c r="B183" s="593"/>
      <c r="C183" s="665"/>
      <c r="D183" s="515"/>
      <c r="E183" s="390"/>
      <c r="F183" s="388"/>
      <c r="G183" s="389"/>
      <c r="H183" s="390"/>
      <c r="I183" s="409"/>
      <c r="J183" s="705"/>
      <c r="K183" s="709" t="str">
        <f>IF('Chemical Info'!R184="X",'Res-Rec Worksheet'!I183,"")</f>
        <v/>
      </c>
      <c r="L183" s="710" t="str">
        <f>IF('Chemical Info'!S184="X",'Res-Rec Worksheet'!I183,"")</f>
        <v/>
      </c>
      <c r="M183" s="710" t="str">
        <f>IF('Chemical Info'!T184="X",'Res-Rec Worksheet'!I183,"")</f>
        <v/>
      </c>
      <c r="N183" s="710" t="str">
        <f>IF('Chemical Info'!U184="X",'Res-Rec Worksheet'!I183,"")</f>
        <v/>
      </c>
      <c r="O183" s="710" t="str">
        <f>IF('Chemical Info'!V184="X",'Res-Rec Worksheet'!I183,"")</f>
        <v/>
      </c>
      <c r="P183" s="710" t="str">
        <f>IF('Chemical Info'!W184="X",'Res-Rec Worksheet'!I183,"")</f>
        <v/>
      </c>
      <c r="Q183" s="710" t="str">
        <f>IF('Chemical Info'!X184="X",'Res-Rec Worksheet'!I183,"")</f>
        <v/>
      </c>
      <c r="R183" s="710" t="str">
        <f>IF('Chemical Info'!Y184="X",'Res-Rec Worksheet'!I183,"")</f>
        <v/>
      </c>
      <c r="S183" s="710" t="str">
        <f>IF('Chemical Info'!Z184="X",'Res-Rec Worksheet'!I183,"")</f>
        <v/>
      </c>
      <c r="T183" s="711" t="str">
        <f>IF('Chemical Info'!AA184="X",'Res-Rec Worksheet'!I183,"")</f>
        <v/>
      </c>
      <c r="U183" s="691"/>
    </row>
    <row r="184" spans="1:21" ht="10">
      <c r="A184" s="129" t="s">
        <v>45</v>
      </c>
      <c r="B184" s="566" t="s">
        <v>46</v>
      </c>
      <c r="C184" s="566">
        <v>2016</v>
      </c>
      <c r="D184" s="513" t="str">
        <f>IF('Res-Rec Calculations'!V184="NA","NA",'Res-Rec Calculations'!W184)</f>
        <v>NA</v>
      </c>
      <c r="E184" s="342"/>
      <c r="F184" s="126">
        <f>'Res-Rec Calculations'!Y184</f>
        <v>0.45</v>
      </c>
      <c r="G184" s="126" t="str">
        <f>'Res-Rec Calculations'!Z184</f>
        <v>Cancer</v>
      </c>
      <c r="H184" s="127"/>
      <c r="I184" s="698">
        <f>IF(G184="BTV","NA",IF(G184="Max Limit","NA",IF(G184="Csat","NA",IF(ISNUMBER('Res-Rec Calculations'!U184),((H184/'Res-Rec Calculations'!U184)),"NA"))))</f>
        <v>0</v>
      </c>
      <c r="J184" s="704">
        <f>IF(G184="BTV","NA",IF(G184="Max Limit","NA",IF(G184="Csat","NA",IF(ISNUMBER('Res-Rec Calculations'!N184),((H184/'Res-Rec Calculations'!N184)*0.00001),"NA"))))</f>
        <v>0</v>
      </c>
      <c r="K184" s="702" t="str">
        <f>IF('Chemical Info'!R185="X",'Res-Rec Worksheet'!I184,"")</f>
        <v/>
      </c>
      <c r="L184" s="702" t="str">
        <f>IF('Chemical Info'!R185="X",'Res-Rec Worksheet'!I184,"")</f>
        <v/>
      </c>
      <c r="M184" s="702" t="str">
        <f>IF('Chemical Info'!T185="X",'Res-Rec Worksheet'!I184,"")</f>
        <v/>
      </c>
      <c r="N184" s="702" t="str">
        <f>IF('Chemical Info'!U185="X",'Res-Rec Worksheet'!I184,"")</f>
        <v/>
      </c>
      <c r="O184" s="702">
        <f>IF('Chemical Info'!V185="X",'Res-Rec Worksheet'!I184,"")</f>
        <v>0</v>
      </c>
      <c r="P184" s="702" t="str">
        <f>IF('Chemical Info'!W185="X",'Res-Rec Worksheet'!I184,"")</f>
        <v/>
      </c>
      <c r="Q184" s="702" t="str">
        <f>IF('Chemical Info'!X185="X",'Res-Rec Worksheet'!I184,"")</f>
        <v/>
      </c>
      <c r="R184" s="702" t="str">
        <f>IF('Chemical Info'!Y185="X",'Res-Rec Worksheet'!I184,"")</f>
        <v/>
      </c>
      <c r="S184" s="702" t="str">
        <f>IF('Chemical Info'!Z185="X",'Res-Rec Worksheet'!I184,"")</f>
        <v/>
      </c>
      <c r="T184" s="702" t="str">
        <f>IF('Chemical Info'!AA185="X",'Res-Rec Worksheet'!I184,"")</f>
        <v/>
      </c>
      <c r="U184" s="692" t="str">
        <f t="shared" si="2"/>
        <v/>
      </c>
    </row>
    <row r="185" spans="1:21" ht="10">
      <c r="A185" s="129" t="s">
        <v>191</v>
      </c>
      <c r="B185" s="566" t="s">
        <v>192</v>
      </c>
      <c r="C185" s="566">
        <v>2022</v>
      </c>
      <c r="D185" s="513" t="str">
        <f>IF('Res-Rec Calculations'!V185="NA","NA",'Res-Rec Calculations'!W185)</f>
        <v>NA</v>
      </c>
      <c r="E185" s="342"/>
      <c r="F185" s="126">
        <f>'Res-Rec Calculations'!Y185</f>
        <v>230</v>
      </c>
      <c r="G185" s="126" t="str">
        <f>'Res-Rec Calculations'!Z185</f>
        <v>Cancer</v>
      </c>
      <c r="H185" s="127"/>
      <c r="I185" s="698" t="str">
        <f>IF(G185="BTV","NA",IF(G185="Max Limit","NA",IF(G185="Csat","NA",IF(ISNUMBER('Res-Rec Calculations'!U185),((H185/'Res-Rec Calculations'!U185)),"NA"))))</f>
        <v>NA</v>
      </c>
      <c r="J185" s="704">
        <f>IF(G185="BTV","NA",IF(G185="Max Limit","NA",IF(G185="Csat","NA",IF(ISNUMBER('Res-Rec Calculations'!N185),((H185/'Res-Rec Calculations'!N185)*0.00001),"NA"))))</f>
        <v>0</v>
      </c>
      <c r="K185" s="702" t="str">
        <f>IF('Chemical Info'!R186="X",'Res-Rec Worksheet'!I185,"")</f>
        <v/>
      </c>
      <c r="L185" s="702" t="str">
        <f>IF('Chemical Info'!S186="X",'Res-Rec Worksheet'!I185,"")</f>
        <v/>
      </c>
      <c r="M185" s="702" t="str">
        <f>IF('Chemical Info'!T186="X",'Res-Rec Worksheet'!I185,"")</f>
        <v/>
      </c>
      <c r="N185" s="702" t="str">
        <f>IF('Chemical Info'!U186="X",'Res-Rec Worksheet'!I185,"")</f>
        <v/>
      </c>
      <c r="O185" s="702" t="str">
        <f>IF('Chemical Info'!V186="X",'Res-Rec Worksheet'!I185,"")</f>
        <v/>
      </c>
      <c r="P185" s="702" t="str">
        <f>IF('Chemical Info'!W186="X",'Res-Rec Worksheet'!I185,"")</f>
        <v/>
      </c>
      <c r="Q185" s="702" t="str">
        <f>IF('Chemical Info'!X186="X",'Res-Rec Worksheet'!I185,"")</f>
        <v/>
      </c>
      <c r="R185" s="702" t="str">
        <f>IF('Chemical Info'!Y186="X",'Res-Rec Worksheet'!I185,"")</f>
        <v/>
      </c>
      <c r="S185" s="702" t="str">
        <f>IF('Chemical Info'!Z186="X",'Res-Rec Worksheet'!I185,"")</f>
        <v/>
      </c>
      <c r="T185" s="702" t="str">
        <f>IF('Chemical Info'!AA186="X",'Res-Rec Worksheet'!I185,"")</f>
        <v/>
      </c>
      <c r="U185" s="692" t="str">
        <f t="shared" si="2"/>
        <v/>
      </c>
    </row>
    <row r="186" spans="1:21" ht="10">
      <c r="A186" s="129" t="s">
        <v>193</v>
      </c>
      <c r="B186" s="566" t="s">
        <v>194</v>
      </c>
      <c r="C186" s="566">
        <v>2016</v>
      </c>
      <c r="D186" s="513" t="str">
        <f>IF('Res-Rec Calculations'!V186="NA","NA",'Res-Rec Calculations'!W186)</f>
        <v>NA</v>
      </c>
      <c r="E186" s="342"/>
      <c r="F186" s="126">
        <f>'Res-Rec Calculations'!Y186</f>
        <v>200</v>
      </c>
      <c r="G186" s="126" t="str">
        <f>'Res-Rec Calculations'!Z186</f>
        <v>Noncancer</v>
      </c>
      <c r="H186" s="127"/>
      <c r="I186" s="698">
        <f>IF(G186="BTV","NA",IF(G186="Max Limit","NA",IF(G186="Csat","NA",IF(ISNUMBER('Res-Rec Calculations'!U186),((H186/'Res-Rec Calculations'!U186)),"NA"))))</f>
        <v>0</v>
      </c>
      <c r="J186" s="704" t="str">
        <f>IF(G186="BTV","NA",IF(G186="Max Limit","NA",IF(G186="Csat","NA",IF(ISNUMBER('Res-Rec Calculations'!N186),((H186/'Res-Rec Calculations'!N186)*0.00001),"NA"))))</f>
        <v>NA</v>
      </c>
      <c r="K186" s="702" t="str">
        <f>IF('Chemical Info'!R187="X",'Res-Rec Worksheet'!I186,"")</f>
        <v/>
      </c>
      <c r="L186" s="702" t="str">
        <f>IF('Chemical Info'!S187="X",'Res-Rec Worksheet'!I186,"")</f>
        <v/>
      </c>
      <c r="M186" s="702" t="str">
        <f>IF('Chemical Info'!T187="X",'Res-Rec Worksheet'!I186,"")</f>
        <v/>
      </c>
      <c r="N186" s="702" t="str">
        <f>IF('Chemical Info'!U187="X",'Res-Rec Worksheet'!I186,"")</f>
        <v/>
      </c>
      <c r="O186" s="702">
        <f>IF('Chemical Info'!V187="X",'Res-Rec Worksheet'!I186,"")</f>
        <v>0</v>
      </c>
      <c r="P186" s="702" t="str">
        <f>IF('Chemical Info'!W187="X",'Res-Rec Worksheet'!I186,"")</f>
        <v/>
      </c>
      <c r="Q186" s="702" t="str">
        <f>IF('Chemical Info'!X187="X",'Res-Rec Worksheet'!I186,"")</f>
        <v/>
      </c>
      <c r="R186" s="702" t="str">
        <f>IF('Chemical Info'!Y187="X",'Res-Rec Worksheet'!I186,"")</f>
        <v/>
      </c>
      <c r="S186" s="702" t="str">
        <f>IF('Chemical Info'!Z187="X",'Res-Rec Worksheet'!I186,"")</f>
        <v/>
      </c>
      <c r="T186" s="702" t="str">
        <f>IF('Chemical Info'!AA187="X",'Res-Rec Worksheet'!I186,"")</f>
        <v/>
      </c>
      <c r="U186" s="692" t="str">
        <f t="shared" si="2"/>
        <v/>
      </c>
    </row>
    <row r="187" spans="1:21" ht="10">
      <c r="A187" s="129" t="s">
        <v>16</v>
      </c>
      <c r="B187" s="590" t="s">
        <v>426</v>
      </c>
      <c r="C187" s="590">
        <v>2022</v>
      </c>
      <c r="D187" s="513" t="str">
        <f>IF('Res-Rec Calculations'!V187="NA","NA",'Res-Rec Calculations'!W187)</f>
        <v>NA</v>
      </c>
      <c r="E187" s="342"/>
      <c r="F187" s="126">
        <f>'Res-Rec Calculations'!Y187</f>
        <v>9.6</v>
      </c>
      <c r="G187" s="126" t="str">
        <f>'Res-Rec Calculations'!Z187</f>
        <v>Noncancer</v>
      </c>
      <c r="H187" s="127"/>
      <c r="I187" s="698">
        <f>IF(G187="BTV","NA",IF(G187="Max Limit","NA",IF(G187="Csat","NA",IF(ISNUMBER('Res-Rec Calculations'!U187),((H187/'Res-Rec Calculations'!U187)),"NA"))))</f>
        <v>0</v>
      </c>
      <c r="J187" s="704">
        <f>IF(G187="BTV","NA",IF(G187="Max Limit","NA",IF(G187="Csat","NA",IF(ISNUMBER('Res-Rec Calculations'!N187),((H187/'Res-Rec Calculations'!N187)*0.00001),"NA"))))</f>
        <v>0</v>
      </c>
      <c r="K187" s="702" t="str">
        <f>IF('Chemical Info'!R188="X",'Res-Rec Worksheet'!I187,"")</f>
        <v/>
      </c>
      <c r="L187" s="702" t="str">
        <f>IF('Chemical Info'!S188="X",'Res-Rec Worksheet'!I187,"")</f>
        <v/>
      </c>
      <c r="M187" s="702" t="str">
        <f>IF('Chemical Info'!T188="X",'Res-Rec Worksheet'!I187,"")</f>
        <v/>
      </c>
      <c r="N187" s="702" t="str">
        <f>IF('Chemical Info'!U188="X",'Res-Rec Worksheet'!I187,"")</f>
        <v/>
      </c>
      <c r="O187" s="702">
        <f>IF('Chemical Info'!V188="X",'Res-Rec Worksheet'!I187,"")</f>
        <v>0</v>
      </c>
      <c r="P187" s="702" t="str">
        <f>IF('Chemical Info'!W188="X",'Res-Rec Worksheet'!I187,"")</f>
        <v/>
      </c>
      <c r="Q187" s="702" t="str">
        <f>IF('Chemical Info'!X188="X",'Res-Rec Worksheet'!I187,"")</f>
        <v/>
      </c>
      <c r="R187" s="702" t="str">
        <f>IF('Chemical Info'!Y188="X",'Res-Rec Worksheet'!I187,"")</f>
        <v/>
      </c>
      <c r="S187" s="702" t="str">
        <f>IF('Chemical Info'!Z188="X",'Res-Rec Worksheet'!I187,"")</f>
        <v/>
      </c>
      <c r="T187" s="702" t="str">
        <f>IF('Chemical Info'!AA188="X",'Res-Rec Worksheet'!I187,"")</f>
        <v/>
      </c>
      <c r="U187" s="692" t="str">
        <f t="shared" si="2"/>
        <v/>
      </c>
    </row>
    <row r="188" spans="1:21" s="123" customFormat="1" ht="10">
      <c r="A188" s="133" t="s">
        <v>492</v>
      </c>
      <c r="B188" s="566" t="s">
        <v>1</v>
      </c>
      <c r="C188" s="566">
        <v>2023</v>
      </c>
      <c r="D188" s="513" t="str">
        <f>IF('Res-Rec Calculations'!V188="NA","NA",'Res-Rec Calculations'!W188)</f>
        <v>NA</v>
      </c>
      <c r="E188" s="342"/>
      <c r="F188" s="132">
        <f>'Res-Rec Calculations'!Y188</f>
        <v>6.7</v>
      </c>
      <c r="G188" s="132" t="str">
        <f>'Res-Rec Calculations'!Z188</f>
        <v>Noncancer</v>
      </c>
      <c r="H188" s="127"/>
      <c r="I188" s="717">
        <f>IF(G188="BTV","NA",IF(G188="Max Limit","NA",IF(G188="Csat","NA",IF(ISNUMBER('Res-Rec Calculations'!U188),((H188/'Res-Rec Calculations'!U188)),"NA"))))</f>
        <v>0</v>
      </c>
      <c r="J188" s="718">
        <f>IF(G188="BTV","NA",IF(G188="Max Limit","NA",IF(G188="Csat","NA",IF(ISNUMBER('Res-Rec Calculations'!N188),((H188/'Res-Rec Calculations'!N188)*0.00001),"NA"))))</f>
        <v>0</v>
      </c>
      <c r="K188" s="702" t="str">
        <f>IF('Chemical Info'!R189="X",'Res-Rec Worksheet'!I188,"")</f>
        <v/>
      </c>
      <c r="L188" s="702" t="str">
        <f>IF('Chemical Info'!S189="X",'Res-Rec Worksheet'!I188,"")</f>
        <v/>
      </c>
      <c r="M188" s="702" t="str">
        <f>IF('Chemical Info'!T189="X",'Res-Rec Worksheet'!I188,"")</f>
        <v/>
      </c>
      <c r="N188" s="702" t="str">
        <f>IF('Chemical Info'!U189="X",'Res-Rec Worksheet'!I188,"")</f>
        <v/>
      </c>
      <c r="O188" s="702">
        <f>IF('Chemical Info'!V189="X",'Res-Rec Worksheet'!I188,"")</f>
        <v>0</v>
      </c>
      <c r="P188" s="702" t="str">
        <f>IF('Chemical Info'!W189="X",'Res-Rec Worksheet'!I188,"")</f>
        <v/>
      </c>
      <c r="Q188" s="702" t="str">
        <f>IF('Chemical Info'!X189="X",'Res-Rec Worksheet'!I188,"")</f>
        <v/>
      </c>
      <c r="R188" s="702" t="str">
        <f>IF('Chemical Info'!Y189="X",'Res-Rec Worksheet'!I188,"")</f>
        <v/>
      </c>
      <c r="S188" s="702" t="str">
        <f>IF('Chemical Info'!Z189="X",'Res-Rec Worksheet'!I188,"")</f>
        <v/>
      </c>
      <c r="T188" s="702" t="str">
        <f>IF('Chemical Info'!AA189="X",'Res-Rec Worksheet'!I188,"")</f>
        <v/>
      </c>
      <c r="U188" s="133" t="str">
        <f t="shared" si="2"/>
        <v/>
      </c>
    </row>
    <row r="189" spans="1:21" s="123" customFormat="1" ht="10">
      <c r="A189" s="133" t="s">
        <v>390</v>
      </c>
      <c r="B189" s="566" t="s">
        <v>2</v>
      </c>
      <c r="C189" s="566">
        <v>2023</v>
      </c>
      <c r="D189" s="513" t="str">
        <f>IF('Res-Rec Calculations'!V189="NA","NA",'Res-Rec Calculations'!W189)</f>
        <v>NA</v>
      </c>
      <c r="E189" s="342"/>
      <c r="F189" s="132">
        <f>'Res-Rec Calculations'!Y189</f>
        <v>11</v>
      </c>
      <c r="G189" s="132" t="str">
        <f>'Res-Rec Calculations'!Z189</f>
        <v>Noncancer</v>
      </c>
      <c r="H189" s="127"/>
      <c r="I189" s="717">
        <f>IF(G189="BTV","NA",IF(G189="Max Limit","NA",IF(G189="Csat","NA",IF(ISNUMBER('Res-Rec Calculations'!U189),((H189/'Res-Rec Calculations'!U189)),"NA"))))</f>
        <v>0</v>
      </c>
      <c r="J189" s="718">
        <f>IF(G189="BTV","NA",IF(G189="Max Limit","NA",IF(G189="Csat","NA",IF(ISNUMBER('Res-Rec Calculations'!N189),((H189/'Res-Rec Calculations'!N189)*0.00001),"NA"))))</f>
        <v>0</v>
      </c>
      <c r="K189" s="702" t="str">
        <f>IF('Chemical Info'!R190="X",'Res-Rec Worksheet'!I189,"")</f>
        <v/>
      </c>
      <c r="L189" s="702" t="str">
        <f>IF('Chemical Info'!S190="X",'Res-Rec Worksheet'!I189,"")</f>
        <v/>
      </c>
      <c r="M189" s="702" t="str">
        <f>IF('Chemical Info'!T190="X",'Res-Rec Worksheet'!I189,"")</f>
        <v/>
      </c>
      <c r="N189" s="702" t="str">
        <f>IF('Chemical Info'!U190="X",'Res-Rec Worksheet'!I189,"")</f>
        <v/>
      </c>
      <c r="O189" s="702">
        <f>IF('Chemical Info'!V190="X",'Res-Rec Worksheet'!I189,"")</f>
        <v>0</v>
      </c>
      <c r="P189" s="702" t="str">
        <f>IF('Chemical Info'!W190="X",'Res-Rec Worksheet'!I189,"")</f>
        <v/>
      </c>
      <c r="Q189" s="702" t="str">
        <f>IF('Chemical Info'!X190="X",'Res-Rec Worksheet'!I189,"")</f>
        <v/>
      </c>
      <c r="R189" s="702" t="str">
        <f>IF('Chemical Info'!Y190="X",'Res-Rec Worksheet'!I189,"")</f>
        <v/>
      </c>
      <c r="S189" s="702" t="str">
        <f>IF('Chemical Info'!Z190="X",'Res-Rec Worksheet'!I189,"")</f>
        <v/>
      </c>
      <c r="T189" s="702" t="str">
        <f>IF('Chemical Info'!AA190="X",'Res-Rec Worksheet'!I189,"")</f>
        <v/>
      </c>
      <c r="U189" s="133" t="str">
        <f t="shared" si="2"/>
        <v/>
      </c>
    </row>
    <row r="190" spans="1:21" ht="10">
      <c r="A190" s="133" t="s">
        <v>409</v>
      </c>
      <c r="B190" s="566" t="s">
        <v>3</v>
      </c>
      <c r="C190" s="566">
        <v>2022</v>
      </c>
      <c r="D190" s="513" t="str">
        <f>IF('Res-Rec Calculations'!V190="NA","NA",'Res-Rec Calculations'!W190)</f>
        <v>NA</v>
      </c>
      <c r="E190" s="342"/>
      <c r="F190" s="126">
        <f>'Res-Rec Calculations'!Y190</f>
        <v>7.4</v>
      </c>
      <c r="G190" s="126" t="str">
        <f>'Res-Rec Calculations'!Z190</f>
        <v>Noncancer</v>
      </c>
      <c r="H190" s="127"/>
      <c r="I190" s="698">
        <f>IF(G190="BTV","NA",IF(G190="Max Limit","NA",IF(G190="Csat","NA",IF(ISNUMBER('Res-Rec Calculations'!U190),((H190/'Res-Rec Calculations'!U190)),"NA"))))</f>
        <v>0</v>
      </c>
      <c r="J190" s="704">
        <f>IF(G190="BTV","NA",IF(G190="Max Limit","NA",IF(G190="Csat","NA",IF(ISNUMBER('Res-Rec Calculations'!N190),((H190/'Res-Rec Calculations'!N190)*0.00001),"NA"))))</f>
        <v>0</v>
      </c>
      <c r="K190" s="702" t="str">
        <f>IF('Chemical Info'!R191="X",'Res-Rec Worksheet'!I190,"")</f>
        <v/>
      </c>
      <c r="L190" s="702" t="str">
        <f>IF('Chemical Info'!S191="X",'Res-Rec Worksheet'!I190,"")</f>
        <v/>
      </c>
      <c r="M190" s="702" t="str">
        <f>IF('Chemical Info'!T191="X",'Res-Rec Worksheet'!I190,"")</f>
        <v/>
      </c>
      <c r="N190" s="702" t="str">
        <f>IF('Chemical Info'!U191="X",'Res-Rec Worksheet'!I190,"")</f>
        <v/>
      </c>
      <c r="O190" s="702">
        <f>IF('Chemical Info'!V191="X",'Res-Rec Worksheet'!I190,"")</f>
        <v>0</v>
      </c>
      <c r="P190" s="702" t="str">
        <f>IF('Chemical Info'!W191="X",'Res-Rec Worksheet'!I190,"")</f>
        <v/>
      </c>
      <c r="Q190" s="702" t="str">
        <f>IF('Chemical Info'!X191="X",'Res-Rec Worksheet'!I190,"")</f>
        <v/>
      </c>
      <c r="R190" s="702" t="str">
        <f>IF('Chemical Info'!Y191="X",'Res-Rec Worksheet'!I190,"")</f>
        <v/>
      </c>
      <c r="S190" s="702" t="str">
        <f>IF('Chemical Info'!Z191="X",'Res-Rec Worksheet'!I190,"")</f>
        <v/>
      </c>
      <c r="T190" s="702" t="str">
        <f>IF('Chemical Info'!AA191="X",'Res-Rec Worksheet'!I190,"")</f>
        <v/>
      </c>
      <c r="U190" s="692" t="str">
        <f t="shared" si="2"/>
        <v/>
      </c>
    </row>
    <row r="191" spans="1:21" ht="10">
      <c r="A191" s="129" t="s">
        <v>4</v>
      </c>
      <c r="B191" s="566" t="s">
        <v>5</v>
      </c>
      <c r="C191" s="566">
        <v>2022</v>
      </c>
      <c r="D191" s="513" t="str">
        <f>IF('Res-Rec Calculations'!V191="NA","NA",'Res-Rec Calculations'!W191)</f>
        <v>NA</v>
      </c>
      <c r="E191" s="342"/>
      <c r="F191" s="126">
        <f>'Res-Rec Calculations'!Y191</f>
        <v>9.4</v>
      </c>
      <c r="G191" s="126" t="str">
        <f>'Res-Rec Calculations'!Z191</f>
        <v>Noncancer</v>
      </c>
      <c r="H191" s="127"/>
      <c r="I191" s="698">
        <f>IF(G191="BTV","NA",IF(G191="Max Limit","NA",IF(G191="Csat","NA",IF(ISNUMBER('Res-Rec Calculations'!U191),((H191/'Res-Rec Calculations'!U191)),"NA"))))</f>
        <v>0</v>
      </c>
      <c r="J191" s="704" t="str">
        <f>IF(G191="BTV","NA",IF(G191="Max Limit","NA",IF(G191="Csat","NA",IF(ISNUMBER('Res-Rec Calculations'!N191),((H191/'Res-Rec Calculations'!N191)*0.00001),"NA"))))</f>
        <v>NA</v>
      </c>
      <c r="K191" s="702">
        <f>IF('Chemical Info'!R192="X",'Res-Rec Worksheet'!I191,"")</f>
        <v>0</v>
      </c>
      <c r="L191" s="702" t="str">
        <f>IF('Chemical Info'!S192="X",'Res-Rec Worksheet'!I191,"")</f>
        <v/>
      </c>
      <c r="M191" s="702" t="str">
        <f>IF('Chemical Info'!T192="X",'Res-Rec Worksheet'!I191,"")</f>
        <v/>
      </c>
      <c r="N191" s="702" t="str">
        <f>IF('Chemical Info'!U192="X",'Res-Rec Worksheet'!I191,"")</f>
        <v/>
      </c>
      <c r="O191" s="702" t="str">
        <f>IF('Chemical Info'!V192="X",'Res-Rec Worksheet'!I191,"")</f>
        <v/>
      </c>
      <c r="P191" s="702" t="str">
        <f>IF('Chemical Info'!W192="X",'Res-Rec Worksheet'!I191,"")</f>
        <v/>
      </c>
      <c r="Q191" s="702" t="str">
        <f>IF('Chemical Info'!X192="X",'Res-Rec Worksheet'!I191,"")</f>
        <v/>
      </c>
      <c r="R191" s="702" t="str">
        <f>IF('Chemical Info'!Y192="X",'Res-Rec Worksheet'!I191,"")</f>
        <v/>
      </c>
      <c r="S191" s="702" t="str">
        <f>IF('Chemical Info'!Z192="X",'Res-Rec Worksheet'!I191,"")</f>
        <v/>
      </c>
      <c r="T191" s="702" t="str">
        <f>IF('Chemical Info'!AA192="X",'Res-Rec Worksheet'!I191,"")</f>
        <v/>
      </c>
      <c r="U191" s="692" t="str">
        <f t="shared" si="2"/>
        <v/>
      </c>
    </row>
    <row r="192" spans="1:21" ht="10">
      <c r="A192" s="129" t="s">
        <v>6</v>
      </c>
      <c r="B192" s="566" t="s">
        <v>7</v>
      </c>
      <c r="C192" s="566">
        <v>2016</v>
      </c>
      <c r="D192" s="513" t="str">
        <f>IF('Res-Rec Calculations'!V192="NA","NA",'Res-Rec Calculations'!W192)</f>
        <v>NA</v>
      </c>
      <c r="E192" s="342"/>
      <c r="F192" s="126">
        <f>'Res-Rec Calculations'!Y192</f>
        <v>0.11</v>
      </c>
      <c r="G192" s="126" t="str">
        <f>'Res-Rec Calculations'!Z192</f>
        <v>Cancer</v>
      </c>
      <c r="H192" s="127"/>
      <c r="I192" s="698">
        <f>IF(G192="BTV","NA",IF(G192="Max Limit","NA",IF(G192="Csat","NA",IF(ISNUMBER('Res-Rec Calculations'!U192),((H192/'Res-Rec Calculations'!U192)),"NA"))))</f>
        <v>0</v>
      </c>
      <c r="J192" s="704">
        <f>IF(G192="BTV","NA",IF(G192="Max Limit","NA",IF(G192="Csat","NA",IF(ISNUMBER('Res-Rec Calculations'!N192),((H192/'Res-Rec Calculations'!N192)*0.00001),"NA"))))</f>
        <v>0</v>
      </c>
      <c r="K192" s="702">
        <f>IF('Chemical Info'!R193="X",'Res-Rec Worksheet'!I192,"")</f>
        <v>0</v>
      </c>
      <c r="L192" s="702" t="str">
        <f>IF('Chemical Info'!S193="X",'Res-Rec Worksheet'!I192,"")</f>
        <v/>
      </c>
      <c r="M192" s="702" t="str">
        <f>IF('Chemical Info'!T193="X",'Res-Rec Worksheet'!I192,"")</f>
        <v/>
      </c>
      <c r="N192" s="702" t="str">
        <f>IF('Chemical Info'!U193="X",'Res-Rec Worksheet'!I192,"")</f>
        <v/>
      </c>
      <c r="O192" s="702">
        <f>IF('Chemical Info'!V193="X",'Res-Rec Worksheet'!I192,"")</f>
        <v>0</v>
      </c>
      <c r="P192" s="702" t="str">
        <f>IF('Chemical Info'!W193="X",'Res-Rec Worksheet'!I192,"")</f>
        <v/>
      </c>
      <c r="Q192" s="702" t="str">
        <f>IF('Chemical Info'!X193="X",'Res-Rec Worksheet'!I192,"")</f>
        <v/>
      </c>
      <c r="R192" s="702" t="str">
        <f>IF('Chemical Info'!Y193="X",'Res-Rec Worksheet'!I192,"")</f>
        <v/>
      </c>
      <c r="S192" s="702" t="str">
        <f>IF('Chemical Info'!Z193="X",'Res-Rec Worksheet'!I192,"")</f>
        <v/>
      </c>
      <c r="T192" s="702" t="str">
        <f>IF('Chemical Info'!AA193="X",'Res-Rec Worksheet'!I192,"")</f>
        <v/>
      </c>
      <c r="U192" s="692" t="str">
        <f t="shared" si="2"/>
        <v/>
      </c>
    </row>
    <row r="193" spans="1:21" ht="10">
      <c r="A193" s="129" t="s">
        <v>134</v>
      </c>
      <c r="B193" s="566" t="s">
        <v>135</v>
      </c>
      <c r="C193" s="566">
        <v>2021</v>
      </c>
      <c r="D193" s="513" t="str">
        <f>IF('Res-Rec Calculations'!V193="NA","NA",'Res-Rec Calculations'!W193)</f>
        <v>NA</v>
      </c>
      <c r="E193" s="342"/>
      <c r="F193" s="126">
        <f>'Res-Rec Calculations'!Y193</f>
        <v>130</v>
      </c>
      <c r="G193" s="126" t="str">
        <f>'Res-Rec Calculations'!Z193</f>
        <v>Noncancer</v>
      </c>
      <c r="H193" s="127"/>
      <c r="I193" s="698">
        <f>IF(G193="BTV","NA",IF(G193="Max Limit","NA",IF(G193="Csat","NA",IF(ISNUMBER('Res-Rec Calculations'!U193),((H193/'Res-Rec Calculations'!U193)),"NA"))))</f>
        <v>0</v>
      </c>
      <c r="J193" s="704" t="str">
        <f>IF(G193="BTV","NA",IF(G193="Max Limit","NA",IF(G193="Csat","NA",IF(ISNUMBER('Res-Rec Calculations'!N193),((H193/'Res-Rec Calculations'!N193)*0.00001),"NA"))))</f>
        <v>NA</v>
      </c>
      <c r="K193" s="702">
        <f>IF('Chemical Info'!R194="X",'Res-Rec Worksheet'!I193,"")</f>
        <v>0</v>
      </c>
      <c r="L193" s="702">
        <f>IF('Chemical Info'!S194="X",'Res-Rec Worksheet'!I193,"")</f>
        <v>0</v>
      </c>
      <c r="M193" s="702" t="str">
        <f>IF('Chemical Info'!T194="X",'Res-Rec Worksheet'!I193,"")</f>
        <v/>
      </c>
      <c r="N193" s="702">
        <f>IF('Chemical Info'!U194="X",'Res-Rec Worksheet'!I193,"")</f>
        <v>0</v>
      </c>
      <c r="O193" s="702" t="str">
        <f>IF('Chemical Info'!V194="X",'Res-Rec Worksheet'!I193,"")</f>
        <v/>
      </c>
      <c r="P193" s="702" t="str">
        <f>IF('Chemical Info'!W194="X",'Res-Rec Worksheet'!I193,"")</f>
        <v/>
      </c>
      <c r="Q193" s="702" t="str">
        <f>IF('Chemical Info'!X194="X",'Res-Rec Worksheet'!I193,"")</f>
        <v/>
      </c>
      <c r="R193" s="702" t="str">
        <f>IF('Chemical Info'!Y194="X",'Res-Rec Worksheet'!I193,"")</f>
        <v/>
      </c>
      <c r="S193" s="702" t="str">
        <f>IF('Chemical Info'!Z194="X",'Res-Rec Worksheet'!I193,"")</f>
        <v/>
      </c>
      <c r="T193" s="702" t="str">
        <f>IF('Chemical Info'!AA194="X",'Res-Rec Worksheet'!I193,"")</f>
        <v/>
      </c>
      <c r="U193" s="692" t="str">
        <f t="shared" si="2"/>
        <v/>
      </c>
    </row>
    <row r="194" spans="1:21" ht="10">
      <c r="A194" s="129" t="s">
        <v>136</v>
      </c>
      <c r="B194" s="566" t="s">
        <v>137</v>
      </c>
      <c r="C194" s="566">
        <v>2016</v>
      </c>
      <c r="D194" s="513" t="str">
        <f>IF('Res-Rec Calculations'!V194="NA","NA",'Res-Rec Calculations'!W194)</f>
        <v>NA</v>
      </c>
      <c r="E194" s="342"/>
      <c r="F194" s="126">
        <f>'Res-Rec Calculations'!Y194</f>
        <v>4</v>
      </c>
      <c r="G194" s="126" t="str">
        <f>'Res-Rec Calculations'!Z194</f>
        <v>Noncancer</v>
      </c>
      <c r="H194" s="127"/>
      <c r="I194" s="698">
        <f>IF(G194="BTV","NA",IF(G194="Max Limit","NA",IF(G194="Csat","NA",IF(ISNUMBER('Res-Rec Calculations'!U194),((H194/'Res-Rec Calculations'!U194)),"NA"))))</f>
        <v>0</v>
      </c>
      <c r="J194" s="704" t="str">
        <f>IF(G194="BTV","NA",IF(G194="Max Limit","NA",IF(G194="Csat","NA",IF(ISNUMBER('Res-Rec Calculations'!N194),((H194/'Res-Rec Calculations'!N194)*0.00001),"NA"))))</f>
        <v>NA</v>
      </c>
      <c r="K194" s="702">
        <f>IF('Chemical Info'!R195="X",'Res-Rec Worksheet'!I194,"")</f>
        <v>0</v>
      </c>
      <c r="L194" s="702" t="str">
        <f>IF('Chemical Info'!S195="X",'Res-Rec Worksheet'!I194,"")</f>
        <v/>
      </c>
      <c r="M194" s="702" t="str">
        <f>IF('Chemical Info'!T195="X",'Res-Rec Worksheet'!I194,"")</f>
        <v/>
      </c>
      <c r="N194" s="702" t="str">
        <f>IF('Chemical Info'!U195="X",'Res-Rec Worksheet'!I194,"")</f>
        <v/>
      </c>
      <c r="O194" s="702">
        <f>IF('Chemical Info'!V195="X",'Res-Rec Worksheet'!I194,"")</f>
        <v>0</v>
      </c>
      <c r="P194" s="702" t="str">
        <f>IF('Chemical Info'!W195="X",'Res-Rec Worksheet'!I194,"")</f>
        <v/>
      </c>
      <c r="Q194" s="702" t="str">
        <f>IF('Chemical Info'!X195="X",'Res-Rec Worksheet'!I194,"")</f>
        <v/>
      </c>
      <c r="R194" s="702" t="str">
        <f>IF('Chemical Info'!Y195="X",'Res-Rec Worksheet'!I194,"")</f>
        <v/>
      </c>
      <c r="S194" s="702" t="str">
        <f>IF('Chemical Info'!Z195="X",'Res-Rec Worksheet'!I194,"")</f>
        <v/>
      </c>
      <c r="T194" s="702" t="str">
        <f>IF('Chemical Info'!AA195="X",'Res-Rec Worksheet'!I194,"")</f>
        <v/>
      </c>
      <c r="U194" s="692" t="str">
        <f t="shared" si="2"/>
        <v/>
      </c>
    </row>
    <row r="195" spans="1:21" ht="10">
      <c r="A195" s="129" t="s">
        <v>12</v>
      </c>
      <c r="B195" s="566" t="s">
        <v>13</v>
      </c>
      <c r="C195" s="566">
        <v>2016</v>
      </c>
      <c r="D195" s="513" t="str">
        <f>IF('Res-Rec Calculations'!V195="NA","NA",'Res-Rec Calculations'!W195)</f>
        <v>NA</v>
      </c>
      <c r="E195" s="342"/>
      <c r="F195" s="126">
        <f>'Res-Rec Calculations'!Y195</f>
        <v>1.6</v>
      </c>
      <c r="G195" s="126" t="str">
        <f>'Res-Rec Calculations'!Z195</f>
        <v>Cancer</v>
      </c>
      <c r="H195" s="127"/>
      <c r="I195" s="698">
        <f>IF(G195="BTV","NA",IF(G195="Max Limit","NA",IF(G195="Csat","NA",IF(ISNUMBER('Res-Rec Calculations'!U195),((H195/'Res-Rec Calculations'!U195)),"NA"))))</f>
        <v>0</v>
      </c>
      <c r="J195" s="704">
        <f>IF(G195="BTV","NA",IF(G195="Max Limit","NA",IF(G195="Csat","NA",IF(ISNUMBER('Res-Rec Calculations'!N195),((H195/'Res-Rec Calculations'!N195)*0.00001),"NA"))))</f>
        <v>0</v>
      </c>
      <c r="K195" s="702" t="str">
        <f>IF('Chemical Info'!R196="X",'Res-Rec Worksheet'!I195,"")</f>
        <v/>
      </c>
      <c r="L195" s="702" t="str">
        <f>IF('Chemical Info'!S196="X",'Res-Rec Worksheet'!I195,"")</f>
        <v/>
      </c>
      <c r="M195" s="702">
        <f>IF('Chemical Info'!T196="X",'Res-Rec Worksheet'!I195,"")</f>
        <v>0</v>
      </c>
      <c r="N195" s="702" t="str">
        <f>IF('Chemical Info'!U196="X",'Res-Rec Worksheet'!I195,"")</f>
        <v/>
      </c>
      <c r="O195" s="702" t="str">
        <f>IF('Chemical Info'!V196="X",'Res-Rec Worksheet'!I195,"")</f>
        <v/>
      </c>
      <c r="P195" s="702" t="str">
        <f>IF('Chemical Info'!W196="X",'Res-Rec Worksheet'!I195,"")</f>
        <v/>
      </c>
      <c r="Q195" s="702" t="str">
        <f>IF('Chemical Info'!X196="X",'Res-Rec Worksheet'!I195,"")</f>
        <v/>
      </c>
      <c r="R195" s="702" t="str">
        <f>IF('Chemical Info'!Y196="X",'Res-Rec Worksheet'!I195,"")</f>
        <v/>
      </c>
      <c r="S195" s="702" t="str">
        <f>IF('Chemical Info'!Z196="X",'Res-Rec Worksheet'!I195,"")</f>
        <v/>
      </c>
      <c r="T195" s="702" t="str">
        <f>IF('Chemical Info'!AA196="X",'Res-Rec Worksheet'!I195,"")</f>
        <v/>
      </c>
      <c r="U195" s="692" t="str">
        <f t="shared" si="2"/>
        <v/>
      </c>
    </row>
    <row r="196" spans="1:21" ht="10">
      <c r="A196" s="129" t="s">
        <v>10</v>
      </c>
      <c r="B196" s="566" t="s">
        <v>11</v>
      </c>
      <c r="C196" s="566">
        <v>2016</v>
      </c>
      <c r="D196" s="513" t="str">
        <f>IF('Res-Rec Calculations'!V196="NA","NA",'Res-Rec Calculations'!W196)</f>
        <v>NA</v>
      </c>
      <c r="E196" s="342"/>
      <c r="F196" s="126">
        <f>'Res-Rec Calculations'!Y196</f>
        <v>0.28000000000000003</v>
      </c>
      <c r="G196" s="126" t="str">
        <f>'Res-Rec Calculations'!Z196</f>
        <v>Noncancer</v>
      </c>
      <c r="H196" s="127"/>
      <c r="I196" s="698">
        <f>IF(G196="BTV","NA",IF(G196="Max Limit","NA",IF(G196="Csat","NA",IF(ISNUMBER('Res-Rec Calculations'!U196),((H196/'Res-Rec Calculations'!U196)),"NA"))))</f>
        <v>0</v>
      </c>
      <c r="J196" s="704">
        <f>IF(G196="BTV","NA",IF(G196="Max Limit","NA",IF(G196="Csat","NA",IF(ISNUMBER('Res-Rec Calculations'!N196),((H196/'Res-Rec Calculations'!N196)*0.00001),"NA"))))</f>
        <v>0</v>
      </c>
      <c r="K196" s="702" t="str">
        <f>IF('Chemical Info'!R197="X",'Res-Rec Worksheet'!I196,"")</f>
        <v/>
      </c>
      <c r="L196" s="702" t="str">
        <f>IF('Chemical Info'!S197="X",'Res-Rec Worksheet'!I196,"")</f>
        <v/>
      </c>
      <c r="M196" s="702" t="str">
        <f>IF('Chemical Info'!T197="X",'Res-Rec Worksheet'!I196,"")</f>
        <v/>
      </c>
      <c r="N196" s="702" t="str">
        <f>IF('Chemical Info'!U197="X",'Res-Rec Worksheet'!I196,"")</f>
        <v/>
      </c>
      <c r="O196" s="702">
        <f>IF('Chemical Info'!V197="X",'Res-Rec Worksheet'!I196,"")</f>
        <v>0</v>
      </c>
      <c r="P196" s="702" t="str">
        <f>IF('Chemical Info'!W197="X",'Res-Rec Worksheet'!I196,"")</f>
        <v/>
      </c>
      <c r="Q196" s="702" t="str">
        <f>IF('Chemical Info'!X197="X",'Res-Rec Worksheet'!I196,"")</f>
        <v/>
      </c>
      <c r="R196" s="702" t="str">
        <f>IF('Chemical Info'!Y197="X",'Res-Rec Worksheet'!I196,"")</f>
        <v/>
      </c>
      <c r="S196" s="702" t="str">
        <f>IF('Chemical Info'!Z197="X",'Res-Rec Worksheet'!I196,"")</f>
        <v/>
      </c>
      <c r="T196" s="702" t="str">
        <f>IF('Chemical Info'!AA197="X",'Res-Rec Worksheet'!I196,"")</f>
        <v/>
      </c>
      <c r="U196" s="692" t="str">
        <f t="shared" si="2"/>
        <v/>
      </c>
    </row>
    <row r="197" spans="1:21" ht="20">
      <c r="A197" s="125" t="s">
        <v>493</v>
      </c>
      <c r="B197" s="566" t="s">
        <v>118</v>
      </c>
      <c r="C197" s="566">
        <v>2022</v>
      </c>
      <c r="D197" s="513" t="str">
        <f>IF('Res-Rec Calculations'!V197="NA","NA",'Res-Rec Calculations'!W197)</f>
        <v>NA</v>
      </c>
      <c r="E197" s="342"/>
      <c r="F197" s="126">
        <f>'Res-Rec Calculations'!Y197</f>
        <v>0.7</v>
      </c>
      <c r="G197" s="126" t="str">
        <f>'Res-Rec Calculations'!Z197</f>
        <v>Cancer</v>
      </c>
      <c r="H197" s="127"/>
      <c r="I197" s="698">
        <f>IF(G197="BTV","NA",IF(G197="Max Limit","NA",IF(G197="Csat","NA",IF(ISNUMBER('Res-Rec Calculations'!U197),((H197/'Res-Rec Calculations'!U197)),"NA"))))</f>
        <v>0</v>
      </c>
      <c r="J197" s="704">
        <f>IF(G197="BTV","NA",IF(G197="Max Limit","NA",IF(G197="Csat","NA",IF(ISNUMBER('Res-Rec Calculations'!N197),((H197/'Res-Rec Calculations'!N197)*0.00001),"NA"))))</f>
        <v>0</v>
      </c>
      <c r="K197" s="702" t="str">
        <f>IF('Chemical Info'!R198="X",'Res-Rec Worksheet'!I197,"")</f>
        <v/>
      </c>
      <c r="L197" s="702" t="str">
        <f>IF('Chemical Info'!S198="X",'Res-Rec Worksheet'!I197,"")</f>
        <v/>
      </c>
      <c r="M197" s="702" t="str">
        <f>IF('Chemical Info'!T198="X",'Res-Rec Worksheet'!I197,"")</f>
        <v/>
      </c>
      <c r="N197" s="702" t="str">
        <f>IF('Chemical Info'!U198="X",'Res-Rec Worksheet'!I197,"")</f>
        <v/>
      </c>
      <c r="O197" s="702">
        <f>IF('Chemical Info'!V198="X",'Res-Rec Worksheet'!I197,"")</f>
        <v>0</v>
      </c>
      <c r="P197" s="702" t="str">
        <f>IF('Chemical Info'!W198="X",'Res-Rec Worksheet'!I197,"")</f>
        <v/>
      </c>
      <c r="Q197" s="702" t="str">
        <f>IF('Chemical Info'!X198="X",'Res-Rec Worksheet'!I197,"")</f>
        <v/>
      </c>
      <c r="R197" s="702" t="str">
        <f>IF('Chemical Info'!Y198="X",'Res-Rec Worksheet'!I197,"")</f>
        <v/>
      </c>
      <c r="S197" s="702" t="str">
        <f>IF('Chemical Info'!Z198="X",'Res-Rec Worksheet'!I197,"")</f>
        <v/>
      </c>
      <c r="T197" s="702" t="str">
        <f>IF('Chemical Info'!AA198="X",'Res-Rec Worksheet'!I197,"")</f>
        <v/>
      </c>
      <c r="U197" s="692" t="str">
        <f t="shared" si="2"/>
        <v/>
      </c>
    </row>
    <row r="198" spans="1:21" ht="10">
      <c r="A198" s="129" t="s">
        <v>391</v>
      </c>
      <c r="B198" s="566" t="s">
        <v>119</v>
      </c>
      <c r="C198" s="566">
        <v>2016</v>
      </c>
      <c r="D198" s="513" t="str">
        <f>IF('Res-Rec Calculations'!V198="NA","NA",'Res-Rec Calculations'!W198)</f>
        <v>NA</v>
      </c>
      <c r="E198" s="342"/>
      <c r="F198" s="126">
        <f>'Res-Rec Calculations'!Y198</f>
        <v>2.5</v>
      </c>
      <c r="G198" s="126" t="str">
        <f>'Res-Rec Calculations'!Z198</f>
        <v>Cancer</v>
      </c>
      <c r="H198" s="127"/>
      <c r="I198" s="698" t="str">
        <f>IF(G198="BTV","NA",IF(G198="Max Limit","NA",IF(G198="Csat","NA",IF(ISNUMBER('Res-Rec Calculations'!U198),((H198/'Res-Rec Calculations'!U198)),"NA"))))</f>
        <v>NA</v>
      </c>
      <c r="J198" s="704">
        <f>IF(G198="BTV","NA",IF(G198="Max Limit","NA",IF(G198="Csat","NA",IF(ISNUMBER('Res-Rec Calculations'!N198),((H198/'Res-Rec Calculations'!N198)*0.00001),"NA"))))</f>
        <v>0</v>
      </c>
      <c r="K198" s="702" t="str">
        <f>IF('Chemical Info'!R199="X",'Res-Rec Worksheet'!I198,"")</f>
        <v/>
      </c>
      <c r="L198" s="702" t="str">
        <f>IF('Chemical Info'!S199="X",'Res-Rec Worksheet'!I198,"")</f>
        <v/>
      </c>
      <c r="M198" s="702" t="str">
        <f>IF('Chemical Info'!T199="X",'Res-Rec Worksheet'!I198,"")</f>
        <v/>
      </c>
      <c r="N198" s="702" t="str">
        <f>IF('Chemical Info'!U199="X",'Res-Rec Worksheet'!I198,"")</f>
        <v/>
      </c>
      <c r="O198" s="702" t="str">
        <f>IF('Chemical Info'!V199="X",'Res-Rec Worksheet'!I198,"")</f>
        <v/>
      </c>
      <c r="P198" s="702" t="str">
        <f>IF('Chemical Info'!W199="X",'Res-Rec Worksheet'!I198,"")</f>
        <v/>
      </c>
      <c r="Q198" s="702" t="str">
        <f>IF('Chemical Info'!X199="X",'Res-Rec Worksheet'!I198,"")</f>
        <v/>
      </c>
      <c r="R198" s="702" t="str">
        <f>IF('Chemical Info'!Y199="X",'Res-Rec Worksheet'!I198,"")</f>
        <v/>
      </c>
      <c r="S198" s="702" t="str">
        <f>IF('Chemical Info'!Z199="X",'Res-Rec Worksheet'!I198,"")</f>
        <v/>
      </c>
      <c r="T198" s="702" t="str">
        <f>IF('Chemical Info'!AA199="X",'Res-Rec Worksheet'!I198,"")</f>
        <v/>
      </c>
      <c r="U198" s="692" t="str">
        <f t="shared" si="2"/>
        <v/>
      </c>
    </row>
    <row r="199" spans="1:21" ht="10">
      <c r="A199" s="129" t="s">
        <v>392</v>
      </c>
      <c r="B199" s="566" t="s">
        <v>120</v>
      </c>
      <c r="C199" s="736">
        <v>2025</v>
      </c>
      <c r="D199" s="513" t="str">
        <f>IF('Res-Rec Calculations'!V199="NA","NA",'Res-Rec Calculations'!W199)</f>
        <v>NA</v>
      </c>
      <c r="E199" s="342"/>
      <c r="F199" s="126">
        <f>'Res-Rec Calculations'!Y199</f>
        <v>1.2E-2</v>
      </c>
      <c r="G199" s="126" t="str">
        <f>'Res-Rec Calculations'!Z199</f>
        <v>Noncancer</v>
      </c>
      <c r="H199" s="127"/>
      <c r="I199" s="698">
        <f>IF(G199="BTV","NA",IF(G199="Max Limit","NA",IF(G199="Csat","NA",IF(ISNUMBER('Res-Rec Calculations'!U199),((H199/'Res-Rec Calculations'!U199)),"NA"))))</f>
        <v>0</v>
      </c>
      <c r="J199" s="704">
        <f>IF(G199="BTV","NA",IF(G199="Max Limit","NA",IF(G199="Csat","NA",IF(ISNUMBER('Res-Rec Calculations'!N199),((H199/'Res-Rec Calculations'!N199)*0.00001),"NA"))))</f>
        <v>0</v>
      </c>
      <c r="K199" s="702" t="str">
        <f>IF('Chemical Info'!R200="X",'Res-Rec Worksheet'!I199,"")</f>
        <v/>
      </c>
      <c r="L199" s="702">
        <f>IF('Chemical Info'!S200="X",'Res-Rec Worksheet'!I199,"")</f>
        <v>0</v>
      </c>
      <c r="M199" s="702" t="str">
        <f>IF('Chemical Info'!T200="X",'Res-Rec Worksheet'!I199,"")</f>
        <v/>
      </c>
      <c r="N199" s="702" t="str">
        <f>IF('Chemical Info'!U200="X",'Res-Rec Worksheet'!I199,"")</f>
        <v/>
      </c>
      <c r="O199" s="702" t="str">
        <f>IF('Chemical Info'!V200="X",'Res-Rec Worksheet'!I199,"")</f>
        <v/>
      </c>
      <c r="P199" s="702">
        <f>IF('Chemical Info'!W200="X",'Res-Rec Worksheet'!I199,"")</f>
        <v>0</v>
      </c>
      <c r="Q199" s="702" t="str">
        <f>IF('Chemical Info'!X200="X",'Res-Rec Worksheet'!I199,"")</f>
        <v/>
      </c>
      <c r="R199" s="702" t="str">
        <f>IF('Chemical Info'!Y200="X",'Res-Rec Worksheet'!I199,"")</f>
        <v/>
      </c>
      <c r="S199" s="702" t="str">
        <f>IF('Chemical Info'!Z200="X",'Res-Rec Worksheet'!I199,"")</f>
        <v/>
      </c>
      <c r="T199" s="702" t="str">
        <f>IF('Chemical Info'!AA200="X",'Res-Rec Worksheet'!I199,"")</f>
        <v/>
      </c>
      <c r="U199" s="692" t="str">
        <f t="shared" si="2"/>
        <v/>
      </c>
    </row>
    <row r="200" spans="1:21" ht="10">
      <c r="A200" s="129" t="s">
        <v>122</v>
      </c>
      <c r="B200" s="566" t="s">
        <v>208</v>
      </c>
      <c r="C200" s="566">
        <v>2016</v>
      </c>
      <c r="D200" s="513" t="str">
        <f>IF('Res-Rec Calculations'!V200="NA","NA",'Res-Rec Calculations'!W200)</f>
        <v>NA</v>
      </c>
      <c r="E200" s="342"/>
      <c r="F200" s="126">
        <f>'Res-Rec Calculations'!Y200</f>
        <v>1.1000000000000001</v>
      </c>
      <c r="G200" s="126" t="str">
        <f>'Res-Rec Calculations'!Z200</f>
        <v>Cancer</v>
      </c>
      <c r="H200" s="127"/>
      <c r="I200" s="698" t="str">
        <f>IF(G200="BTV","NA",IF(G200="Max Limit","NA",IF(G200="Csat","NA",IF(ISNUMBER('Res-Rec Calculations'!U200),((H200/'Res-Rec Calculations'!U200)),"NA"))))</f>
        <v>NA</v>
      </c>
      <c r="J200" s="704">
        <f>IF(G200="BTV","NA",IF(G200="Max Limit","NA",IF(G200="Csat","NA",IF(ISNUMBER('Res-Rec Calculations'!N200),((H200/'Res-Rec Calculations'!N200)*0.00001),"NA"))))</f>
        <v>0</v>
      </c>
      <c r="K200" s="702" t="str">
        <f>IF('Chemical Info'!R201="X",'Res-Rec Worksheet'!I200,"")</f>
        <v/>
      </c>
      <c r="L200" s="702" t="str">
        <f>IF('Chemical Info'!S201="X",'Res-Rec Worksheet'!I200,"")</f>
        <v/>
      </c>
      <c r="M200" s="702" t="str">
        <f>IF('Chemical Info'!T201="X",'Res-Rec Worksheet'!I200,"")</f>
        <v/>
      </c>
      <c r="N200" s="702" t="str">
        <f>IF('Chemical Info'!U201="X",'Res-Rec Worksheet'!I200,"")</f>
        <v/>
      </c>
      <c r="O200" s="702" t="str">
        <f>IF('Chemical Info'!V201="X",'Res-Rec Worksheet'!I200,"")</f>
        <v/>
      </c>
      <c r="P200" s="702" t="str">
        <f>IF('Chemical Info'!W201="X",'Res-Rec Worksheet'!I200,"")</f>
        <v/>
      </c>
      <c r="Q200" s="702" t="str">
        <f>IF('Chemical Info'!X201="X",'Res-Rec Worksheet'!I200,"")</f>
        <v/>
      </c>
      <c r="R200" s="702" t="str">
        <f>IF('Chemical Info'!Y201="X",'Res-Rec Worksheet'!I200,"")</f>
        <v/>
      </c>
      <c r="S200" s="702" t="str">
        <f>IF('Chemical Info'!Z201="X",'Res-Rec Worksheet'!I200,"")</f>
        <v/>
      </c>
      <c r="T200" s="702" t="str">
        <f>IF('Chemical Info'!AA201="X",'Res-Rec Worksheet'!I200,"")</f>
        <v/>
      </c>
      <c r="U200" s="692" t="str">
        <f t="shared" si="2"/>
        <v/>
      </c>
    </row>
    <row r="201" spans="1:21" ht="10">
      <c r="A201" s="133" t="s">
        <v>393</v>
      </c>
      <c r="B201" s="566" t="s">
        <v>79</v>
      </c>
      <c r="C201" s="566">
        <v>2016</v>
      </c>
      <c r="D201" s="513" t="str">
        <f>IF('Res-Rec Calculations'!V201="NA","NA",'Res-Rec Calculations'!W201)</f>
        <v>NA</v>
      </c>
      <c r="E201" s="342"/>
      <c r="F201" s="126">
        <f>'Res-Rec Calculations'!Y201</f>
        <v>13</v>
      </c>
      <c r="G201" s="126" t="str">
        <f>'Res-Rec Calculations'!Z201</f>
        <v>Noncancer</v>
      </c>
      <c r="H201" s="127"/>
      <c r="I201" s="698">
        <f>IF(G201="BTV","NA",IF(G201="Max Limit","NA",IF(G201="Csat","NA",IF(ISNUMBER('Res-Rec Calculations'!U201),((H201/'Res-Rec Calculations'!U201)),"NA"))))</f>
        <v>0</v>
      </c>
      <c r="J201" s="704" t="str">
        <f>IF(G201="BTV","NA",IF(G201="Max Limit","NA",IF(G201="Csat","NA",IF(ISNUMBER('Res-Rec Calculations'!N201),((H201/'Res-Rec Calculations'!N201)*0.00001),"NA"))))</f>
        <v>NA</v>
      </c>
      <c r="K201" s="702" t="str">
        <f>IF('Chemical Info'!R202="X",'Res-Rec Worksheet'!I201,"")</f>
        <v/>
      </c>
      <c r="L201" s="702" t="str">
        <f>IF('Chemical Info'!S202="X",'Res-Rec Worksheet'!I201,"")</f>
        <v/>
      </c>
      <c r="M201" s="702" t="str">
        <f>IF('Chemical Info'!T202="X",'Res-Rec Worksheet'!I201,"")</f>
        <v/>
      </c>
      <c r="N201" s="702">
        <f>IF('Chemical Info'!U202="X",'Res-Rec Worksheet'!I201,"")</f>
        <v>0</v>
      </c>
      <c r="O201" s="702" t="str">
        <f>IF('Chemical Info'!V202="X",'Res-Rec Worksheet'!I201,"")</f>
        <v/>
      </c>
      <c r="P201" s="702" t="str">
        <f>IF('Chemical Info'!W202="X",'Res-Rec Worksheet'!I201,"")</f>
        <v/>
      </c>
      <c r="Q201" s="702" t="str">
        <f>IF('Chemical Info'!X202="X",'Res-Rec Worksheet'!I201,"")</f>
        <v/>
      </c>
      <c r="R201" s="702" t="str">
        <f>IF('Chemical Info'!Y202="X",'Res-Rec Worksheet'!I201,"")</f>
        <v/>
      </c>
      <c r="S201" s="702" t="str">
        <f>IF('Chemical Info'!Z202="X",'Res-Rec Worksheet'!I201,"")</f>
        <v/>
      </c>
      <c r="T201" s="702" t="str">
        <f>IF('Chemical Info'!AA202="X",'Res-Rec Worksheet'!I201,"")</f>
        <v/>
      </c>
      <c r="U201" s="692" t="str">
        <f t="shared" ref="U201:U213" si="4">IF(G201="Csat","Based on Csat. A concentration &gt; Csat indicates potential for free product in soil.",IF(G201="Max Limit","Based on maximum contaminant limit. Concentration should not be &gt; SRV.",""))</f>
        <v/>
      </c>
    </row>
    <row r="202" spans="1:21" ht="10">
      <c r="A202" s="129" t="s">
        <v>116</v>
      </c>
      <c r="B202" s="566" t="s">
        <v>117</v>
      </c>
      <c r="C202" s="566">
        <v>2022</v>
      </c>
      <c r="D202" s="513" t="str">
        <f>IF('Res-Rec Calculations'!V202="NA","NA",'Res-Rec Calculations'!W202)</f>
        <v>NA</v>
      </c>
      <c r="E202" s="342"/>
      <c r="F202" s="126">
        <f>'Res-Rec Calculations'!Y202</f>
        <v>1.2</v>
      </c>
      <c r="G202" s="126" t="str">
        <f>'Res-Rec Calculations'!Z202</f>
        <v>Noncancer</v>
      </c>
      <c r="H202" s="127"/>
      <c r="I202" s="698">
        <f>IF(G202="BTV","NA",IF(G202="Max Limit","NA",IF(G202="Csat","NA",IF(ISNUMBER('Res-Rec Calculations'!U202),((H202/'Res-Rec Calculations'!U202)),"NA"))))</f>
        <v>0</v>
      </c>
      <c r="J202" s="704">
        <f>IF(G202="BTV","NA",IF(G202="Max Limit","NA",IF(G202="Csat","NA",IF(ISNUMBER('Res-Rec Calculations'!N202),((H202/'Res-Rec Calculations'!N202)*0.00001),"NA"))))</f>
        <v>0</v>
      </c>
      <c r="K202" s="702" t="str">
        <f>IF('Chemical Info'!R203="X",'Res-Rec Worksheet'!I202,"")</f>
        <v/>
      </c>
      <c r="L202" s="702" t="str">
        <f>IF('Chemical Info'!S203="X",'Res-Rec Worksheet'!I202,"")</f>
        <v/>
      </c>
      <c r="M202" s="702" t="str">
        <f>IF('Chemical Info'!T203="X",'Res-Rec Worksheet'!I202,"")</f>
        <v/>
      </c>
      <c r="N202" s="702" t="str">
        <f>IF('Chemical Info'!U203="X",'Res-Rec Worksheet'!I202,"")</f>
        <v/>
      </c>
      <c r="O202" s="702" t="str">
        <f>IF('Chemical Info'!V203="X",'Res-Rec Worksheet'!I202,"")</f>
        <v/>
      </c>
      <c r="P202" s="702" t="str">
        <f>IF('Chemical Info'!W203="X",'Res-Rec Worksheet'!I202,"")</f>
        <v/>
      </c>
      <c r="Q202" s="702" t="str">
        <f>IF('Chemical Info'!X203="X",'Res-Rec Worksheet'!I202,"")</f>
        <v/>
      </c>
      <c r="R202" s="702" t="str">
        <f>IF('Chemical Info'!Y203="X",'Res-Rec Worksheet'!I202,"")</f>
        <v/>
      </c>
      <c r="S202" s="702" t="str">
        <f>IF('Chemical Info'!Z203="X",'Res-Rec Worksheet'!I202,"")</f>
        <v/>
      </c>
      <c r="T202" s="702">
        <f>IF('Chemical Info'!AA203="X",'Res-Rec Worksheet'!I202,"")</f>
        <v>0</v>
      </c>
      <c r="U202" s="692" t="str">
        <f t="shared" si="4"/>
        <v/>
      </c>
    </row>
    <row r="203" spans="1:21">
      <c r="A203" s="380" t="s">
        <v>394</v>
      </c>
      <c r="B203" s="593"/>
      <c r="C203" s="663"/>
      <c r="D203" s="514"/>
      <c r="E203" s="395"/>
      <c r="F203" s="393"/>
      <c r="G203" s="394"/>
      <c r="H203" s="395"/>
      <c r="I203" s="409"/>
      <c r="J203" s="705"/>
      <c r="K203" s="709" t="str">
        <f>IF('Chemical Info'!R204="X",'Res-Rec Worksheet'!I203,"")</f>
        <v/>
      </c>
      <c r="L203" s="710" t="str">
        <f>IF('Chemical Info'!S204="X",'Res-Rec Worksheet'!I203,"")</f>
        <v/>
      </c>
      <c r="M203" s="710" t="str">
        <f>IF('Chemical Info'!T204="X",'Res-Rec Worksheet'!I203,"")</f>
        <v/>
      </c>
      <c r="N203" s="710" t="str">
        <f>IF('Chemical Info'!U204="X",'Res-Rec Worksheet'!I203,"")</f>
        <v/>
      </c>
      <c r="O203" s="710" t="str">
        <f>IF('Chemical Info'!V204="X",'Res-Rec Worksheet'!I203,"")</f>
        <v/>
      </c>
      <c r="P203" s="710" t="str">
        <f>IF('Chemical Info'!W204="X",'Res-Rec Worksheet'!I203,"")</f>
        <v/>
      </c>
      <c r="Q203" s="710" t="str">
        <f>IF('Chemical Info'!X204="X",'Res-Rec Worksheet'!I203,"")</f>
        <v/>
      </c>
      <c r="R203" s="710" t="str">
        <f>IF('Chemical Info'!Y204="X",'Res-Rec Worksheet'!I203,"")</f>
        <v/>
      </c>
      <c r="S203" s="710" t="str">
        <f>IF('Chemical Info'!Z204="X",'Res-Rec Worksheet'!I203,"")</f>
        <v/>
      </c>
      <c r="T203" s="711" t="str">
        <f>IF('Chemical Info'!AA204="X",'Res-Rec Worksheet'!I203,"")</f>
        <v/>
      </c>
      <c r="U203" s="691"/>
    </row>
    <row r="204" spans="1:21" ht="22">
      <c r="A204" s="608" t="s">
        <v>1018</v>
      </c>
      <c r="B204" s="599" t="s">
        <v>104</v>
      </c>
      <c r="C204" s="566">
        <v>2021</v>
      </c>
      <c r="D204" s="606" t="str">
        <f>IF('Res-Rec Calculations'!V204="NA","NA",'Res-Rec Calculations'!W204)</f>
        <v>NA</v>
      </c>
      <c r="E204" s="522"/>
      <c r="F204" s="607">
        <v>6.9999999999999999E-6</v>
      </c>
      <c r="G204" s="524" t="s">
        <v>890</v>
      </c>
      <c r="H204" s="136"/>
      <c r="I204" s="698" t="str">
        <f>IF(G204="BTV","NA",IF(G204="Max Limit","NA",IF(G204="Csat","NA",IF(ISNUMBER('Res-Rec Calculations'!U204),((H204/'Res-Rec Calculations'!U204)),"NA"))))</f>
        <v>NA</v>
      </c>
      <c r="J204" s="704" t="str">
        <f>IF(G204="BTV","NA",IF(G204="Max Limit","NA",IF(G204="Csat","NA",IF(ISNUMBER('Res-Rec Calculations'!N204),((H204/'Res-Rec Calculations'!N204)*0.00001),"NA"))))</f>
        <v>NA</v>
      </c>
      <c r="K204" s="702" t="str">
        <f>IF('Chemical Info'!R205="X",'Res-Rec Worksheet'!I204,"")</f>
        <v/>
      </c>
      <c r="L204" s="702" t="str">
        <f>IF('Chemical Info'!S205="X",'Res-Rec Worksheet'!I204,"")</f>
        <v>NA</v>
      </c>
      <c r="M204" s="702" t="str">
        <f>IF('Chemical Info'!T205="X",'Res-Rec Worksheet'!I204,"")</f>
        <v/>
      </c>
      <c r="N204" s="702" t="str">
        <f>IF('Chemical Info'!U205="X",'Res-Rec Worksheet'!I204,"")</f>
        <v/>
      </c>
      <c r="O204" s="702" t="str">
        <f>IF('Chemical Info'!V205="X",'Res-Rec Worksheet'!I204,"")</f>
        <v>NA</v>
      </c>
      <c r="P204" s="702" t="str">
        <f>IF('Chemical Info'!W205="X",'Res-Rec Worksheet'!I204,"")</f>
        <v>NA</v>
      </c>
      <c r="Q204" s="702" t="str">
        <f>IF('Chemical Info'!X205="X",'Res-Rec Worksheet'!I204,"")</f>
        <v>NA</v>
      </c>
      <c r="R204" s="702" t="str">
        <f>IF('Chemical Info'!Y205="X",'Res-Rec Worksheet'!I204,"")</f>
        <v/>
      </c>
      <c r="S204" s="702" t="str">
        <f>IF('Chemical Info'!Z205="X",'Res-Rec Worksheet'!I204,"")</f>
        <v/>
      </c>
      <c r="T204" s="702" t="str">
        <f>IF('Chemical Info'!AA205="X",'Res-Rec Worksheet'!I204,"")</f>
        <v/>
      </c>
      <c r="U204" s="692" t="str">
        <f t="shared" si="4"/>
        <v/>
      </c>
    </row>
    <row r="205" spans="1:21">
      <c r="A205" s="380" t="s">
        <v>395</v>
      </c>
      <c r="B205" s="593"/>
      <c r="C205" s="663"/>
      <c r="D205" s="514"/>
      <c r="E205" s="395"/>
      <c r="F205" s="393"/>
      <c r="G205" s="394"/>
      <c r="H205" s="395"/>
      <c r="I205" s="409"/>
      <c r="J205" s="705"/>
      <c r="K205" s="709" t="str">
        <f>IF('Chemical Info'!R206="X",'Res-Rec Worksheet'!I205,"")</f>
        <v/>
      </c>
      <c r="L205" s="710" t="str">
        <f>IF('Chemical Info'!S206="X",'Res-Rec Worksheet'!I205,"")</f>
        <v/>
      </c>
      <c r="M205" s="710" t="str">
        <f>IF('Chemical Info'!T206="X",'Res-Rec Worksheet'!I205,"")</f>
        <v/>
      </c>
      <c r="N205" s="710" t="str">
        <f>IF('Chemical Info'!U206="X",'Res-Rec Worksheet'!I205,"")</f>
        <v/>
      </c>
      <c r="O205" s="710" t="str">
        <f>IF('Chemical Info'!V206="X",'Res-Rec Worksheet'!I205,"")</f>
        <v/>
      </c>
      <c r="P205" s="710" t="str">
        <f>IF('Chemical Info'!W206="X",'Res-Rec Worksheet'!I205,"")</f>
        <v/>
      </c>
      <c r="Q205" s="710" t="str">
        <f>IF('Chemical Info'!X206="X",'Res-Rec Worksheet'!I205,"")</f>
        <v/>
      </c>
      <c r="R205" s="710" t="str">
        <f>IF('Chemical Info'!Y206="X",'Res-Rec Worksheet'!I205,"")</f>
        <v/>
      </c>
      <c r="S205" s="710" t="str">
        <f>IF('Chemical Info'!Z206="X",'Res-Rec Worksheet'!I205,"")</f>
        <v/>
      </c>
      <c r="T205" s="711" t="str">
        <f>IF('Chemical Info'!AA206="X",'Res-Rec Worksheet'!I205,"")</f>
        <v/>
      </c>
      <c r="U205" s="691"/>
    </row>
    <row r="206" spans="1:21" ht="10">
      <c r="A206" s="129" t="s">
        <v>413</v>
      </c>
      <c r="B206" s="566" t="s">
        <v>130</v>
      </c>
      <c r="C206" s="566">
        <v>2022</v>
      </c>
      <c r="D206" s="513" t="str">
        <f>IF('Res-Rec Calculations'!V206="NA","NA",'Res-Rec Calculations'!W206)</f>
        <v>NA</v>
      </c>
      <c r="E206" s="522"/>
      <c r="F206" s="135">
        <f>'Res-Rec Calculations'!Y206</f>
        <v>61</v>
      </c>
      <c r="G206" s="126" t="str">
        <f>'Res-Rec Calculations'!Z206</f>
        <v>Noncancer</v>
      </c>
      <c r="H206" s="136"/>
      <c r="I206" s="698">
        <f>IF(G206="BTV","NA",IF(G206="Max Limit","NA",IF(G206="Csat","NA",IF(ISNUMBER('Res-Rec Calculations'!U206),((H206/'Res-Rec Calculations'!U206)),"NA"))))</f>
        <v>0</v>
      </c>
      <c r="J206" s="704">
        <f>IF(G206="BTV","NA",IF(G206="Max Limit","NA",IF(G206="Csat","NA",IF(ISNUMBER('Res-Rec Calculations'!N206),((H206/'Res-Rec Calculations'!N206)*0.00001),"NA"))))</f>
        <v>0</v>
      </c>
      <c r="K206" s="702">
        <f>IF('Chemical Info'!R207="X",'Res-Rec Worksheet'!I206,"")</f>
        <v>0</v>
      </c>
      <c r="L206" s="702" t="str">
        <f>IF('Chemical Info'!S207="X",'Res-Rec Worksheet'!I206,"")</f>
        <v/>
      </c>
      <c r="M206" s="702" t="str">
        <f>IF('Chemical Info'!T207="X",'Res-Rec Worksheet'!I206,"")</f>
        <v/>
      </c>
      <c r="N206" s="702" t="str">
        <f>IF('Chemical Info'!U207="X",'Res-Rec Worksheet'!I206,"")</f>
        <v/>
      </c>
      <c r="O206" s="702" t="str">
        <f>IF('Chemical Info'!V207="X",'Res-Rec Worksheet'!I206,"")</f>
        <v/>
      </c>
      <c r="P206" s="702" t="str">
        <f>IF('Chemical Info'!W207="X",'Res-Rec Worksheet'!I206,"")</f>
        <v/>
      </c>
      <c r="Q206" s="702" t="str">
        <f>IF('Chemical Info'!X207="X",'Res-Rec Worksheet'!I206,"")</f>
        <v/>
      </c>
      <c r="R206" s="702" t="str">
        <f>IF('Chemical Info'!Y207="X",'Res-Rec Worksheet'!I206,"")</f>
        <v/>
      </c>
      <c r="S206" s="702" t="str">
        <f>IF('Chemical Info'!Z207="X",'Res-Rec Worksheet'!I206,"")</f>
        <v/>
      </c>
      <c r="T206" s="702" t="str">
        <f>IF('Chemical Info'!AA207="X",'Res-Rec Worksheet'!I206,"")</f>
        <v/>
      </c>
      <c r="U206" s="692" t="str">
        <f t="shared" si="4"/>
        <v/>
      </c>
    </row>
    <row r="207" spans="1:21" ht="10">
      <c r="A207" s="133" t="s">
        <v>411</v>
      </c>
      <c r="B207" s="566" t="s">
        <v>91</v>
      </c>
      <c r="C207" s="566">
        <v>2016</v>
      </c>
      <c r="D207" s="513" t="str">
        <f>IF('Res-Rec Calculations'!V207="NA","NA",'Res-Rec Calculations'!W207)</f>
        <v>NA</v>
      </c>
      <c r="E207" s="342"/>
      <c r="F207" s="126">
        <f>'Res-Rec Calculations'!Y207</f>
        <v>1.3</v>
      </c>
      <c r="G207" s="126" t="str">
        <f>'Res-Rec Calculations'!Z207</f>
        <v>Noncancer</v>
      </c>
      <c r="H207" s="127"/>
      <c r="I207" s="698">
        <f>IF(G207="BTV","NA",IF(G207="Max Limit","NA",IF(G207="Csat","NA",IF(ISNUMBER('Res-Rec Calculations'!U207),((H207/'Res-Rec Calculations'!U207)),"NA"))))</f>
        <v>0</v>
      </c>
      <c r="J207" s="704" t="str">
        <f>IF(G207="BTV","NA",IF(G207="Max Limit","NA",IF(G207="Csat","NA",IF(ISNUMBER('Res-Rec Calculations'!N207),((H207/'Res-Rec Calculations'!N207)*0.00001),"NA"))))</f>
        <v>NA</v>
      </c>
      <c r="K207" s="702" t="str">
        <f>IF('Chemical Info'!R208="X",'Res-Rec Worksheet'!I207,"")</f>
        <v/>
      </c>
      <c r="L207" s="702">
        <f>IF('Chemical Info'!S208="X",'Res-Rec Worksheet'!I207,"")</f>
        <v>0</v>
      </c>
      <c r="M207" s="702">
        <f>IF('Chemical Info'!T208="X",'Res-Rec Worksheet'!I207,"")</f>
        <v>0</v>
      </c>
      <c r="N207" s="702" t="str">
        <f>IF('Chemical Info'!U208="X",'Res-Rec Worksheet'!I207,"")</f>
        <v/>
      </c>
      <c r="O207" s="702" t="str">
        <f>IF('Chemical Info'!V208="X",'Res-Rec Worksheet'!I207,"")</f>
        <v/>
      </c>
      <c r="P207" s="702" t="str">
        <f>IF('Chemical Info'!W208="X",'Res-Rec Worksheet'!I207,"")</f>
        <v/>
      </c>
      <c r="Q207" s="702" t="str">
        <f>IF('Chemical Info'!X208="X",'Res-Rec Worksheet'!I207,"")</f>
        <v/>
      </c>
      <c r="R207" s="702" t="str">
        <f>IF('Chemical Info'!Y208="X",'Res-Rec Worksheet'!I207,"")</f>
        <v/>
      </c>
      <c r="S207" s="702" t="str">
        <f>IF('Chemical Info'!Z208="X",'Res-Rec Worksheet'!I207,"")</f>
        <v/>
      </c>
      <c r="T207" s="702" t="str">
        <f>IF('Chemical Info'!AA208="X",'Res-Rec Worksheet'!I207,"")</f>
        <v/>
      </c>
      <c r="U207" s="692" t="str">
        <f t="shared" si="4"/>
        <v/>
      </c>
    </row>
    <row r="208" spans="1:21" ht="10">
      <c r="A208" s="357" t="s">
        <v>687</v>
      </c>
      <c r="B208" s="566" t="s">
        <v>92</v>
      </c>
      <c r="C208" s="566">
        <v>2016</v>
      </c>
      <c r="D208" s="513" t="str">
        <f>IF('Res-Rec Calculations'!V208="NA","NA",'Res-Rec Calculations'!W208)</f>
        <v>NA</v>
      </c>
      <c r="E208" s="342"/>
      <c r="F208" s="126">
        <f>'Res-Rec Calculations'!Y208</f>
        <v>14</v>
      </c>
      <c r="G208" s="126" t="str">
        <f>'Res-Rec Calculations'!Z208</f>
        <v>Cancer</v>
      </c>
      <c r="H208" s="127"/>
      <c r="I208" s="698">
        <f>IF(G208="BTV","NA",IF(G208="Max Limit","NA",IF(G208="Csat","NA",IF(ISNUMBER('Res-Rec Calculations'!U208),((H208/'Res-Rec Calculations'!U208)),"NA"))))</f>
        <v>0</v>
      </c>
      <c r="J208" s="704">
        <f>IF(G208="BTV","NA",IF(G208="Max Limit","NA",IF(G208="Csat","NA",IF(ISNUMBER('Res-Rec Calculations'!N208),((H208/'Res-Rec Calculations'!N208)*0.00001),"NA"))))</f>
        <v>0</v>
      </c>
      <c r="K208" s="702">
        <f>IF('Chemical Info'!R209="X",'Res-Rec Worksheet'!I208,"")</f>
        <v>0</v>
      </c>
      <c r="L208" s="702">
        <f>IF('Chemical Info'!S209="X",'Res-Rec Worksheet'!I208,"")</f>
        <v>0</v>
      </c>
      <c r="M208" s="702" t="str">
        <f>IF('Chemical Info'!T209="X",'Res-Rec Worksheet'!I208,"")</f>
        <v/>
      </c>
      <c r="N208" s="702" t="str">
        <f>IF('Chemical Info'!U209="X",'Res-Rec Worksheet'!I208,"")</f>
        <v/>
      </c>
      <c r="O208" s="702">
        <f>IF('Chemical Info'!V209="X",'Res-Rec Worksheet'!I208,"")</f>
        <v>0</v>
      </c>
      <c r="P208" s="702" t="str">
        <f>IF('Chemical Info'!W209="X",'Res-Rec Worksheet'!I208,"")</f>
        <v/>
      </c>
      <c r="Q208" s="702" t="str">
        <f>IF('Chemical Info'!X209="X",'Res-Rec Worksheet'!I208,"")</f>
        <v/>
      </c>
      <c r="R208" s="702" t="str">
        <f>IF('Chemical Info'!Y209="X",'Res-Rec Worksheet'!I208,"")</f>
        <v/>
      </c>
      <c r="S208" s="702" t="str">
        <f>IF('Chemical Info'!Z209="X",'Res-Rec Worksheet'!I208,"")</f>
        <v/>
      </c>
      <c r="T208" s="702" t="str">
        <f>IF('Chemical Info'!AA209="X",'Res-Rec Worksheet'!I208,"")</f>
        <v/>
      </c>
      <c r="U208" s="692" t="str">
        <f t="shared" si="4"/>
        <v/>
      </c>
    </row>
    <row r="209" spans="1:227" ht="10">
      <c r="A209" s="357" t="s">
        <v>688</v>
      </c>
      <c r="B209" s="566" t="s">
        <v>230</v>
      </c>
      <c r="C209" s="566">
        <v>2016</v>
      </c>
      <c r="D209" s="513" t="str">
        <f>IF('Res-Rec Calculations'!V209="NA","NA",'Res-Rec Calculations'!W209)</f>
        <v>NA</v>
      </c>
      <c r="E209" s="342"/>
      <c r="F209" s="126">
        <f>'Res-Rec Calculations'!Y209</f>
        <v>3</v>
      </c>
      <c r="G209" s="126" t="str">
        <f>'Res-Rec Calculations'!Z209</f>
        <v>Cancer</v>
      </c>
      <c r="H209" s="127"/>
      <c r="I209" s="698">
        <f>IF(G209="BTV","NA",IF(G209="Max Limit","NA",IF(G209="Csat","NA",IF(ISNUMBER('Res-Rec Calculations'!U209),((H209/'Res-Rec Calculations'!U209)),"NA"))))</f>
        <v>0</v>
      </c>
      <c r="J209" s="704">
        <f>IF(G209="BTV","NA",IF(G209="Max Limit","NA",IF(G209="Csat","NA",IF(ISNUMBER('Res-Rec Calculations'!N209),((H209/'Res-Rec Calculations'!N209)*0.00001),"NA"))))</f>
        <v>0</v>
      </c>
      <c r="K209" s="702" t="str">
        <f>IF('Chemical Info'!R210="X",'Res-Rec Worksheet'!I209,"")</f>
        <v/>
      </c>
      <c r="L209" s="702">
        <f>IF('Chemical Info'!S210="X",'Res-Rec Worksheet'!I209,"")</f>
        <v>0</v>
      </c>
      <c r="M209" s="702" t="str">
        <f>IF('Chemical Info'!T210="X",'Res-Rec Worksheet'!I209,"")</f>
        <v/>
      </c>
      <c r="N209" s="702" t="str">
        <f>IF('Chemical Info'!U210="X",'Res-Rec Worksheet'!I209,"")</f>
        <v/>
      </c>
      <c r="O209" s="702" t="str">
        <f>IF('Chemical Info'!V210="X",'Res-Rec Worksheet'!I209,"")</f>
        <v/>
      </c>
      <c r="P209" s="702" t="str">
        <f>IF('Chemical Info'!W210="X",'Res-Rec Worksheet'!I209,"")</f>
        <v/>
      </c>
      <c r="Q209" s="702" t="str">
        <f>IF('Chemical Info'!X210="X",'Res-Rec Worksheet'!I209,"")</f>
        <v/>
      </c>
      <c r="R209" s="702" t="str">
        <f>IF('Chemical Info'!Y210="X",'Res-Rec Worksheet'!I209,"")</f>
        <v/>
      </c>
      <c r="S209" s="702" t="str">
        <f>IF('Chemical Info'!Z210="X",'Res-Rec Worksheet'!I209,"")</f>
        <v/>
      </c>
      <c r="T209" s="702" t="str">
        <f>IF('Chemical Info'!AA210="X",'Res-Rec Worksheet'!I209,"")</f>
        <v/>
      </c>
      <c r="U209" s="692" t="str">
        <f t="shared" si="4"/>
        <v/>
      </c>
    </row>
    <row r="210" spans="1:227" ht="10">
      <c r="A210" s="133" t="s">
        <v>38</v>
      </c>
      <c r="B210" s="566" t="s">
        <v>427</v>
      </c>
      <c r="C210" s="566">
        <v>2022</v>
      </c>
      <c r="D210" s="513" t="str">
        <f>IF('Res-Rec Calculations'!V210="NA","NA",'Res-Rec Calculations'!W210)</f>
        <v>NA</v>
      </c>
      <c r="E210" s="342"/>
      <c r="F210" s="126">
        <f>'Res-Rec Calculations'!Y210</f>
        <v>6.7</v>
      </c>
      <c r="G210" s="126" t="str">
        <f>'Res-Rec Calculations'!Z210</f>
        <v>Cancer</v>
      </c>
      <c r="H210" s="127"/>
      <c r="I210" s="698">
        <f>IF(G210="BTV","NA",IF(G210="Max Limit","NA",IF(G210="Csat","NA",IF(ISNUMBER('Res-Rec Calculations'!U210),((H210/'Res-Rec Calculations'!U210)),"NA"))))</f>
        <v>0</v>
      </c>
      <c r="J210" s="704">
        <f>IF(G210="BTV","NA",IF(G210="Max Limit","NA",IF(G210="Csat","NA",IF(ISNUMBER('Res-Rec Calculations'!N210),((H210/'Res-Rec Calculations'!N210)*0.00001),"NA"))))</f>
        <v>0</v>
      </c>
      <c r="K210" s="702" t="str">
        <f>IF('Chemical Info'!R211="X",'Res-Rec Worksheet'!I210,"")</f>
        <v/>
      </c>
      <c r="L210" s="702" t="str">
        <f>IF('Chemical Info'!S211="X",'Res-Rec Worksheet'!I210,"")</f>
        <v/>
      </c>
      <c r="M210" s="702" t="str">
        <f>IF('Chemical Info'!T211="X",'Res-Rec Worksheet'!I210,"")</f>
        <v/>
      </c>
      <c r="N210" s="702" t="str">
        <f>IF('Chemical Info'!U211="X",'Res-Rec Worksheet'!I210,"")</f>
        <v/>
      </c>
      <c r="O210" s="702">
        <f>IF('Chemical Info'!V211="X",'Res-Rec Worksheet'!I210,"")</f>
        <v>0</v>
      </c>
      <c r="P210" s="702" t="str">
        <f>IF('Chemical Info'!W211="X",'Res-Rec Worksheet'!I210,"")</f>
        <v/>
      </c>
      <c r="Q210" s="702" t="str">
        <f>IF('Chemical Info'!X211="X",'Res-Rec Worksheet'!I210,"")</f>
        <v/>
      </c>
      <c r="R210" s="702" t="str">
        <f>IF('Chemical Info'!Y211="X",'Res-Rec Worksheet'!I210,"")</f>
        <v/>
      </c>
      <c r="S210" s="702" t="str">
        <f>IF('Chemical Info'!Z211="X",'Res-Rec Worksheet'!I210,"")</f>
        <v/>
      </c>
      <c r="T210" s="702" t="str">
        <f>IF('Chemical Info'!AA211="X",'Res-Rec Worksheet'!I210,"")</f>
        <v/>
      </c>
      <c r="U210" s="692" t="str">
        <f t="shared" si="4"/>
        <v/>
      </c>
    </row>
    <row r="211" spans="1:227" ht="20">
      <c r="A211" s="146" t="s">
        <v>489</v>
      </c>
      <c r="B211" s="566" t="s">
        <v>129</v>
      </c>
      <c r="C211" s="566">
        <v>2022</v>
      </c>
      <c r="D211" s="513" t="str">
        <f>IF('Res-Rec Calculations'!V211="NA","NA",'Res-Rec Calculations'!W211)</f>
        <v>NA</v>
      </c>
      <c r="E211" s="342"/>
      <c r="F211" s="126">
        <f>'Res-Rec Calculations'!Y211</f>
        <v>770</v>
      </c>
      <c r="G211" s="126" t="str">
        <f>'Res-Rec Calculations'!Z211</f>
        <v>Noncancer</v>
      </c>
      <c r="H211" s="127"/>
      <c r="I211" s="698">
        <f>IF(G211="BTV","NA",IF(G211="Max Limit","NA",IF(G211="Csat","NA",IF(ISNUMBER('Res-Rec Calculations'!U211),((H211/'Res-Rec Calculations'!U211)),"NA"))))</f>
        <v>0</v>
      </c>
      <c r="J211" s="704" t="str">
        <f>IF(G211="BTV","NA",IF(G211="Max Limit","NA",IF(G211="Csat","NA",IF(ISNUMBER('Res-Rec Calculations'!N211),((H211/'Res-Rec Calculations'!N211)*0.00001),"NA"))))</f>
        <v>NA</v>
      </c>
      <c r="K211" s="702" t="str">
        <f>IF('Chemical Info'!R212="X",'Res-Rec Worksheet'!I211,"")</f>
        <v/>
      </c>
      <c r="L211" s="702" t="str">
        <f>IF('Chemical Info'!S212="X",'Res-Rec Worksheet'!I211,"")</f>
        <v/>
      </c>
      <c r="M211" s="702" t="str">
        <f>IF('Chemical Info'!T212="X",'Res-Rec Worksheet'!I211,"")</f>
        <v/>
      </c>
      <c r="N211" s="702" t="str">
        <f>IF('Chemical Info'!U212="X",'Res-Rec Worksheet'!I211,"")</f>
        <v/>
      </c>
      <c r="O211" s="702">
        <f>IF('Chemical Info'!V212="X",'Res-Rec Worksheet'!I211,"")</f>
        <v>0</v>
      </c>
      <c r="P211" s="702" t="str">
        <f>IF('Chemical Info'!W212="X",'Res-Rec Worksheet'!I211,"")</f>
        <v/>
      </c>
      <c r="Q211" s="702" t="str">
        <f>IF('Chemical Info'!X212="X",'Res-Rec Worksheet'!I211,"")</f>
        <v/>
      </c>
      <c r="R211" s="702" t="str">
        <f>IF('Chemical Info'!Y212="X",'Res-Rec Worksheet'!I211,"")</f>
        <v/>
      </c>
      <c r="S211" s="702" t="str">
        <f>IF('Chemical Info'!Z212="X",'Res-Rec Worksheet'!I211,"")</f>
        <v/>
      </c>
      <c r="T211" s="702" t="str">
        <f>IF('Chemical Info'!AA212="X",'Res-Rec Worksheet'!I211,"")</f>
        <v/>
      </c>
      <c r="U211" s="692" t="str">
        <f t="shared" si="4"/>
        <v/>
      </c>
    </row>
    <row r="212" spans="1:227" ht="10">
      <c r="A212" s="133" t="s">
        <v>414</v>
      </c>
      <c r="B212" s="566" t="s">
        <v>131</v>
      </c>
      <c r="C212" s="566">
        <v>2016</v>
      </c>
      <c r="D212" s="513" t="str">
        <f>IF('Res-Rec Calculations'!V212="NA","NA",'Res-Rec Calculations'!W212)</f>
        <v>NA</v>
      </c>
      <c r="E212" s="342"/>
      <c r="F212" s="126">
        <f>'Res-Rec Calculations'!Y212</f>
        <v>450</v>
      </c>
      <c r="G212" s="126" t="str">
        <f>'Res-Rec Calculations'!Z212</f>
        <v>Noncancer</v>
      </c>
      <c r="H212" s="127"/>
      <c r="I212" s="698">
        <f>IF(G212="BTV","NA",IF(G212="Max Limit","NA",IF(G212="Csat","NA",IF(ISNUMBER('Res-Rec Calculations'!U212),((H212/'Res-Rec Calculations'!U212)),"NA"))))</f>
        <v>0</v>
      </c>
      <c r="J212" s="704" t="str">
        <f>IF(G212="BTV","NA",IF(G212="Max Limit","NA",IF(G212="Csat","NA",IF(ISNUMBER('Res-Rec Calculations'!N212),((H212/'Res-Rec Calculations'!N212)*0.00001),"NA"))))</f>
        <v>NA</v>
      </c>
      <c r="K212" s="702" t="str">
        <f>IF('Chemical Info'!R213="X",'Res-Rec Worksheet'!I212,"")</f>
        <v/>
      </c>
      <c r="L212" s="702">
        <f>IF('Chemical Info'!S213="X",'Res-Rec Worksheet'!I212,"")</f>
        <v>0</v>
      </c>
      <c r="M212" s="702">
        <f>IF('Chemical Info'!T213="X",'Res-Rec Worksheet'!I212,"")</f>
        <v>0</v>
      </c>
      <c r="N212" s="702" t="str">
        <f>IF('Chemical Info'!U213="X",'Res-Rec Worksheet'!I212,"")</f>
        <v/>
      </c>
      <c r="O212" s="702" t="str">
        <f>IF('Chemical Info'!V213="X",'Res-Rec Worksheet'!I212,"")</f>
        <v/>
      </c>
      <c r="P212" s="702" t="str">
        <f>IF('Chemical Info'!W213="X",'Res-Rec Worksheet'!I212,"")</f>
        <v/>
      </c>
      <c r="Q212" s="702" t="str">
        <f>IF('Chemical Info'!X213="X",'Res-Rec Worksheet'!I212,"")</f>
        <v/>
      </c>
      <c r="R212" s="702" t="str">
        <f>IF('Chemical Info'!Y213="X",'Res-Rec Worksheet'!I212,"")</f>
        <v/>
      </c>
      <c r="S212" s="702" t="str">
        <f>IF('Chemical Info'!Z213="X",'Res-Rec Worksheet'!I212,"")</f>
        <v/>
      </c>
      <c r="T212" s="702" t="str">
        <f>IF('Chemical Info'!AA213="X",'Res-Rec Worksheet'!I212,"")</f>
        <v/>
      </c>
      <c r="U212" s="692" t="str">
        <f t="shared" si="4"/>
        <v/>
      </c>
    </row>
    <row r="213" spans="1:227" ht="10">
      <c r="A213" s="133" t="s">
        <v>415</v>
      </c>
      <c r="B213" s="566" t="s">
        <v>93</v>
      </c>
      <c r="C213" s="566">
        <v>2022</v>
      </c>
      <c r="D213" s="513" t="str">
        <f>IF('Res-Rec Calculations'!V213="NA","NA",'Res-Rec Calculations'!W213)</f>
        <v>NA</v>
      </c>
      <c r="E213" s="342"/>
      <c r="F213" s="126">
        <f>'Res-Rec Calculations'!Y213</f>
        <v>7.4</v>
      </c>
      <c r="G213" s="126" t="str">
        <f>'Res-Rec Calculations'!Z213</f>
        <v>Noncancer</v>
      </c>
      <c r="H213" s="127"/>
      <c r="I213" s="698">
        <f>IF(G213="BTV","NA",IF(G213="Max Limit","NA",IF(G213="Csat","NA",IF(ISNUMBER('Res-Rec Calculations'!U213),((H213/'Res-Rec Calculations'!U213)),"NA"))))</f>
        <v>0</v>
      </c>
      <c r="J213" s="704">
        <f>IF(G213="BTV","NA",IF(G213="Max Limit","NA",IF(G213="Csat","NA",IF(ISNUMBER('Res-Rec Calculations'!N213),((H213/'Res-Rec Calculations'!N213)*0.00001),"NA"))))</f>
        <v>0</v>
      </c>
      <c r="K213" s="702" t="str">
        <f>IF('Chemical Info'!R214="X",'Res-Rec Worksheet'!I213,"")</f>
        <v/>
      </c>
      <c r="L213" s="702" t="str">
        <f>IF('Chemical Info'!S214="X",'Res-Rec Worksheet'!I213,"")</f>
        <v/>
      </c>
      <c r="M213" s="702" t="str">
        <f>IF('Chemical Info'!T214="X",'Res-Rec Worksheet'!I213,"")</f>
        <v/>
      </c>
      <c r="N213" s="702" t="str">
        <f>IF('Chemical Info'!U214="X",'Res-Rec Worksheet'!I213,"")</f>
        <v/>
      </c>
      <c r="O213" s="702">
        <f>IF('Chemical Info'!V214="X",'Res-Rec Worksheet'!I213,"")</f>
        <v>0</v>
      </c>
      <c r="P213" s="702" t="str">
        <f>IF('Chemical Info'!W214="X",'Res-Rec Worksheet'!I213,"")</f>
        <v/>
      </c>
      <c r="Q213" s="702" t="str">
        <f>IF('Chemical Info'!X214="X",'Res-Rec Worksheet'!I213,"")</f>
        <v/>
      </c>
      <c r="R213" s="702" t="str">
        <f>IF('Chemical Info'!Y214="X",'Res-Rec Worksheet'!I213,"")</f>
        <v/>
      </c>
      <c r="S213" s="702" t="str">
        <f>IF('Chemical Info'!Z214="X",'Res-Rec Worksheet'!I213,"")</f>
        <v/>
      </c>
      <c r="T213" s="702" t="str">
        <f>IF('Chemical Info'!AA214="X",'Res-Rec Worksheet'!I213,"")</f>
        <v/>
      </c>
      <c r="U213" s="692" t="str">
        <f t="shared" si="4"/>
        <v/>
      </c>
    </row>
    <row r="214" spans="1:227" ht="16.5" hidden="1" customHeight="1">
      <c r="A214" s="838" t="s">
        <v>1086</v>
      </c>
      <c r="B214" s="839"/>
      <c r="C214" s="839"/>
      <c r="D214" s="839"/>
      <c r="E214" s="839"/>
      <c r="F214" s="839"/>
      <c r="G214" s="839"/>
      <c r="H214" s="839"/>
      <c r="I214" s="839"/>
      <c r="J214" s="706">
        <f>SUM(J4:J213)</f>
        <v>0</v>
      </c>
      <c r="K214" s="712">
        <f t="shared" ref="K214:T214" si="5">SUM(K4:K213)</f>
        <v>0</v>
      </c>
      <c r="L214" s="712">
        <f t="shared" si="5"/>
        <v>0</v>
      </c>
      <c r="M214" s="712">
        <f t="shared" si="5"/>
        <v>0</v>
      </c>
      <c r="N214" s="712">
        <f t="shared" si="5"/>
        <v>0</v>
      </c>
      <c r="O214" s="712">
        <f t="shared" si="5"/>
        <v>0</v>
      </c>
      <c r="P214" s="712">
        <f t="shared" si="5"/>
        <v>0</v>
      </c>
      <c r="Q214" s="712">
        <f t="shared" si="5"/>
        <v>0</v>
      </c>
      <c r="R214" s="712">
        <f t="shared" si="5"/>
        <v>0</v>
      </c>
      <c r="S214" s="712">
        <f t="shared" si="5"/>
        <v>0</v>
      </c>
      <c r="T214" s="712">
        <f t="shared" si="5"/>
        <v>0</v>
      </c>
    </row>
    <row r="215" spans="1:227">
      <c r="A215" s="138"/>
      <c r="B215" s="600"/>
      <c r="C215" s="600"/>
      <c r="D215" s="516"/>
      <c r="E215" s="516"/>
    </row>
    <row r="216" spans="1:227">
      <c r="A216" s="446" t="s">
        <v>901</v>
      </c>
      <c r="B216" s="601"/>
      <c r="C216" s="601"/>
      <c r="D216" s="517"/>
      <c r="E216" s="517"/>
    </row>
    <row r="217" spans="1:227">
      <c r="A217" s="724" t="s">
        <v>1555</v>
      </c>
      <c r="B217" s="439"/>
      <c r="C217" s="439"/>
      <c r="D217" s="152"/>
      <c r="E217" s="152"/>
      <c r="L217" s="619"/>
    </row>
    <row r="218" spans="1:227">
      <c r="A218" s="61" t="s">
        <v>1297</v>
      </c>
      <c r="B218" s="439"/>
      <c r="C218" s="439"/>
      <c r="D218" s="152"/>
      <c r="E218" s="152"/>
    </row>
    <row r="219" spans="1:227">
      <c r="A219" s="61" t="s">
        <v>1298</v>
      </c>
      <c r="B219" s="439"/>
      <c r="C219" s="439"/>
      <c r="D219" s="152"/>
      <c r="E219" s="152"/>
    </row>
    <row r="220" spans="1:227" ht="10">
      <c r="A220" s="110" t="s">
        <v>1282</v>
      </c>
      <c r="B220" s="109"/>
      <c r="C220" s="109"/>
      <c r="D220" s="109"/>
      <c r="E220" s="109"/>
      <c r="F220" s="159"/>
      <c r="G220" s="159"/>
      <c r="H220" s="159"/>
      <c r="I220" s="700"/>
      <c r="J220" s="707"/>
    </row>
    <row r="221" spans="1:227" ht="10">
      <c r="A221" s="110" t="s">
        <v>1283</v>
      </c>
      <c r="B221" s="109"/>
      <c r="C221" s="109"/>
      <c r="D221" s="109"/>
      <c r="E221" s="109"/>
      <c r="F221" s="110"/>
      <c r="G221" s="110"/>
      <c r="H221" s="110"/>
      <c r="I221" s="701"/>
      <c r="J221" s="708"/>
      <c r="K221" s="110"/>
      <c r="L221" s="110"/>
      <c r="M221" s="110"/>
      <c r="N221" s="110"/>
      <c r="O221" s="110"/>
      <c r="P221" s="110"/>
      <c r="Q221" s="110"/>
      <c r="R221" s="110"/>
      <c r="S221" s="110"/>
      <c r="T221" s="110"/>
      <c r="U221" s="110"/>
      <c r="V221" s="110"/>
      <c r="W221" s="110"/>
      <c r="X221" s="110"/>
      <c r="Y221" s="110"/>
      <c r="Z221" s="110"/>
      <c r="AA221" s="110"/>
      <c r="AB221" s="110"/>
      <c r="AC221" s="110"/>
      <c r="AD221" s="110"/>
      <c r="AE221" s="110"/>
      <c r="AF221" s="110"/>
      <c r="AG221" s="110"/>
      <c r="AH221" s="110"/>
      <c r="AI221" s="110"/>
      <c r="AJ221" s="110"/>
      <c r="AK221" s="110"/>
      <c r="AL221" s="110"/>
      <c r="AM221" s="110"/>
      <c r="AN221" s="110"/>
      <c r="AO221" s="110"/>
      <c r="AP221" s="110"/>
      <c r="AQ221" s="110"/>
      <c r="AR221" s="110"/>
      <c r="AS221" s="110"/>
      <c r="AT221" s="110"/>
      <c r="AU221" s="110"/>
      <c r="AV221" s="110"/>
      <c r="AW221" s="110"/>
      <c r="AX221" s="110"/>
      <c r="AY221" s="110"/>
      <c r="AZ221" s="110"/>
      <c r="BA221" s="110"/>
      <c r="BB221" s="110"/>
      <c r="BC221" s="110"/>
      <c r="BD221" s="110"/>
      <c r="BE221" s="110"/>
      <c r="BF221" s="110"/>
      <c r="BG221" s="110"/>
      <c r="BH221" s="110"/>
      <c r="BI221" s="110"/>
      <c r="BJ221" s="110"/>
      <c r="BK221" s="110"/>
      <c r="BL221" s="110"/>
      <c r="BM221" s="110"/>
      <c r="BN221" s="110"/>
      <c r="BO221" s="110"/>
      <c r="BP221" s="110"/>
      <c r="BQ221" s="110"/>
      <c r="BR221" s="110"/>
      <c r="BS221" s="110"/>
      <c r="BT221" s="110"/>
      <c r="BU221" s="110"/>
      <c r="BV221" s="110"/>
      <c r="BW221" s="110"/>
      <c r="BX221" s="110"/>
      <c r="BY221" s="110"/>
      <c r="BZ221" s="110"/>
      <c r="CA221" s="110"/>
      <c r="CB221" s="110"/>
      <c r="CC221" s="110"/>
      <c r="CD221" s="110"/>
      <c r="CE221" s="110"/>
      <c r="CF221" s="110"/>
      <c r="CG221" s="110"/>
      <c r="CH221" s="110"/>
      <c r="CI221" s="110"/>
      <c r="CJ221" s="110"/>
      <c r="CK221" s="110"/>
      <c r="CL221" s="110"/>
      <c r="CM221" s="110"/>
      <c r="CN221" s="110"/>
      <c r="CO221" s="110"/>
      <c r="CP221" s="110"/>
      <c r="CQ221" s="110"/>
      <c r="CR221" s="110"/>
      <c r="CS221" s="110"/>
      <c r="CT221" s="110"/>
      <c r="CU221" s="110"/>
      <c r="CV221" s="110"/>
      <c r="CW221" s="110"/>
      <c r="CX221" s="110"/>
      <c r="CY221" s="110"/>
      <c r="CZ221" s="110"/>
      <c r="DA221" s="110"/>
      <c r="DB221" s="110"/>
      <c r="DC221" s="110"/>
      <c r="DD221" s="110"/>
      <c r="DE221" s="110"/>
      <c r="DF221" s="110"/>
      <c r="DG221" s="110"/>
      <c r="DH221" s="110"/>
      <c r="DI221" s="110"/>
      <c r="DJ221" s="110"/>
      <c r="DK221" s="110"/>
      <c r="DL221" s="110"/>
      <c r="DM221" s="110"/>
      <c r="DN221" s="110"/>
      <c r="DO221" s="110"/>
      <c r="DP221" s="110"/>
      <c r="DQ221" s="110"/>
      <c r="DR221" s="110"/>
      <c r="DS221" s="110"/>
      <c r="DT221" s="110"/>
      <c r="DU221" s="110"/>
      <c r="DV221" s="110"/>
      <c r="DW221" s="110"/>
      <c r="DX221" s="110"/>
      <c r="DY221" s="110"/>
      <c r="DZ221" s="110"/>
      <c r="EA221" s="110"/>
      <c r="EB221" s="110"/>
      <c r="EC221" s="110"/>
      <c r="ED221" s="110"/>
      <c r="EE221" s="110"/>
      <c r="EF221" s="110"/>
      <c r="EG221" s="110"/>
      <c r="EH221" s="110"/>
      <c r="EI221" s="110"/>
      <c r="EJ221" s="110"/>
      <c r="EK221" s="110"/>
      <c r="EL221" s="110"/>
      <c r="EM221" s="110"/>
      <c r="EN221" s="110"/>
      <c r="EO221" s="110"/>
      <c r="EP221" s="110"/>
      <c r="EQ221" s="110"/>
      <c r="ER221" s="110"/>
      <c r="ES221" s="110"/>
      <c r="ET221" s="110"/>
      <c r="EU221" s="110"/>
      <c r="EV221" s="110"/>
      <c r="EW221" s="110"/>
      <c r="EX221" s="110"/>
      <c r="EY221" s="110"/>
      <c r="EZ221" s="110"/>
      <c r="FA221" s="110"/>
      <c r="FB221" s="110"/>
      <c r="FC221" s="110"/>
      <c r="FD221" s="110"/>
      <c r="FE221" s="110"/>
      <c r="FF221" s="110"/>
      <c r="FG221" s="110"/>
      <c r="FH221" s="110"/>
      <c r="FI221" s="110"/>
      <c r="FJ221" s="110"/>
      <c r="FK221" s="110"/>
      <c r="FL221" s="110"/>
      <c r="FM221" s="110"/>
      <c r="FN221" s="110"/>
      <c r="FO221" s="110"/>
      <c r="FP221" s="110"/>
      <c r="FQ221" s="110"/>
      <c r="FR221" s="110"/>
      <c r="FS221" s="110"/>
      <c r="FT221" s="110"/>
      <c r="FU221" s="110"/>
      <c r="FV221" s="110"/>
      <c r="FW221" s="110"/>
      <c r="FX221" s="110"/>
      <c r="FY221" s="110"/>
      <c r="FZ221" s="110"/>
      <c r="GA221" s="110"/>
      <c r="GB221" s="110"/>
      <c r="GC221" s="110"/>
      <c r="GD221" s="110"/>
      <c r="GE221" s="110"/>
      <c r="GF221" s="110"/>
      <c r="GG221" s="110"/>
      <c r="GH221" s="110"/>
      <c r="GI221" s="110"/>
      <c r="GJ221" s="110"/>
      <c r="GK221" s="110"/>
      <c r="GL221" s="110"/>
      <c r="GM221" s="110"/>
      <c r="GN221" s="110"/>
      <c r="GO221" s="110"/>
      <c r="GP221" s="110"/>
      <c r="GQ221" s="110"/>
      <c r="GR221" s="110"/>
      <c r="GS221" s="110"/>
      <c r="GT221" s="110"/>
      <c r="GU221" s="110"/>
      <c r="GV221" s="110"/>
      <c r="GW221" s="110"/>
      <c r="GX221" s="110"/>
      <c r="GY221" s="110"/>
      <c r="GZ221" s="110"/>
      <c r="HA221" s="110"/>
      <c r="HB221" s="110"/>
      <c r="HC221" s="110"/>
      <c r="HD221" s="110"/>
      <c r="HE221" s="110"/>
      <c r="HF221" s="110"/>
      <c r="HG221" s="110"/>
      <c r="HH221" s="110"/>
      <c r="HI221" s="110"/>
      <c r="HJ221" s="110"/>
      <c r="HK221" s="110"/>
      <c r="HL221" s="110"/>
      <c r="HM221" s="110"/>
      <c r="HN221" s="110"/>
      <c r="HO221" s="110"/>
      <c r="HP221" s="110"/>
      <c r="HQ221" s="110"/>
      <c r="HR221" s="110"/>
      <c r="HS221" s="110"/>
    </row>
    <row r="222" spans="1:227" ht="10">
      <c r="A222" s="110" t="s">
        <v>1284</v>
      </c>
      <c r="B222" s="109"/>
      <c r="C222" s="109"/>
      <c r="D222" s="109"/>
      <c r="E222" s="109"/>
      <c r="F222" s="110"/>
      <c r="G222" s="110"/>
      <c r="H222" s="110"/>
      <c r="I222" s="701"/>
      <c r="J222" s="708"/>
      <c r="K222" s="110"/>
      <c r="L222" s="110"/>
      <c r="M222" s="110"/>
      <c r="N222" s="110"/>
      <c r="O222" s="110"/>
      <c r="P222" s="110"/>
      <c r="Q222" s="110"/>
      <c r="R222" s="110"/>
      <c r="S222" s="110"/>
      <c r="T222" s="110"/>
      <c r="U222" s="110"/>
      <c r="V222" s="110"/>
      <c r="W222" s="110"/>
      <c r="X222" s="110"/>
      <c r="Y222" s="110"/>
      <c r="Z222" s="110"/>
      <c r="AA222" s="110"/>
      <c r="AB222" s="110"/>
      <c r="AC222" s="110"/>
      <c r="AD222" s="110"/>
      <c r="AE222" s="110"/>
      <c r="AF222" s="110"/>
      <c r="AG222" s="110"/>
      <c r="AH222" s="110"/>
      <c r="AI222" s="110"/>
      <c r="AJ222" s="110"/>
      <c r="AK222" s="110"/>
      <c r="AL222" s="110"/>
      <c r="AM222" s="110"/>
      <c r="AN222" s="110"/>
      <c r="AO222" s="110"/>
      <c r="AP222" s="110"/>
      <c r="AQ222" s="110"/>
      <c r="AR222" s="110"/>
      <c r="AS222" s="110"/>
      <c r="AT222" s="110"/>
      <c r="AU222" s="110"/>
      <c r="AV222" s="110"/>
      <c r="AW222" s="110"/>
      <c r="AX222" s="110"/>
      <c r="AY222" s="110"/>
      <c r="AZ222" s="110"/>
      <c r="BA222" s="110"/>
      <c r="BB222" s="110"/>
      <c r="BC222" s="110"/>
      <c r="BD222" s="110"/>
      <c r="BE222" s="110"/>
      <c r="BF222" s="110"/>
      <c r="BG222" s="110"/>
      <c r="BH222" s="110"/>
      <c r="BI222" s="110"/>
      <c r="BJ222" s="110"/>
      <c r="BK222" s="110"/>
      <c r="BL222" s="110"/>
      <c r="BM222" s="110"/>
      <c r="BN222" s="110"/>
      <c r="BO222" s="110"/>
      <c r="BP222" s="110"/>
      <c r="BQ222" s="110"/>
      <c r="BR222" s="110"/>
      <c r="BS222" s="110"/>
      <c r="BT222" s="110"/>
      <c r="BU222" s="110"/>
      <c r="BV222" s="110"/>
      <c r="BW222" s="110"/>
      <c r="BX222" s="110"/>
      <c r="BY222" s="110"/>
      <c r="BZ222" s="110"/>
      <c r="CA222" s="110"/>
      <c r="CB222" s="110"/>
      <c r="CC222" s="110"/>
      <c r="CD222" s="110"/>
      <c r="CE222" s="110"/>
      <c r="CF222" s="110"/>
      <c r="CG222" s="110"/>
      <c r="CH222" s="110"/>
      <c r="CI222" s="110"/>
      <c r="CJ222" s="110"/>
      <c r="CK222" s="110"/>
      <c r="CL222" s="110"/>
      <c r="CM222" s="110"/>
      <c r="CN222" s="110"/>
      <c r="CO222" s="110"/>
      <c r="CP222" s="110"/>
      <c r="CQ222" s="110"/>
      <c r="CR222" s="110"/>
      <c r="CS222" s="110"/>
      <c r="CT222" s="110"/>
      <c r="CU222" s="110"/>
      <c r="CV222" s="110"/>
      <c r="CW222" s="110"/>
      <c r="CX222" s="110"/>
      <c r="CY222" s="110"/>
      <c r="CZ222" s="110"/>
      <c r="DA222" s="110"/>
      <c r="DB222" s="110"/>
      <c r="DC222" s="110"/>
      <c r="DD222" s="110"/>
      <c r="DE222" s="110"/>
      <c r="DF222" s="110"/>
      <c r="DG222" s="110"/>
      <c r="DH222" s="110"/>
      <c r="DI222" s="110"/>
      <c r="DJ222" s="110"/>
      <c r="DK222" s="110"/>
      <c r="DL222" s="110"/>
      <c r="DM222" s="110"/>
      <c r="DN222" s="110"/>
      <c r="DO222" s="110"/>
      <c r="DP222" s="110"/>
      <c r="DQ222" s="110"/>
      <c r="DR222" s="110"/>
      <c r="DS222" s="110"/>
      <c r="DT222" s="110"/>
      <c r="DU222" s="110"/>
      <c r="DV222" s="110"/>
      <c r="DW222" s="110"/>
      <c r="DX222" s="110"/>
      <c r="DY222" s="110"/>
      <c r="DZ222" s="110"/>
      <c r="EA222" s="110"/>
      <c r="EB222" s="110"/>
      <c r="EC222" s="110"/>
      <c r="ED222" s="110"/>
      <c r="EE222" s="110"/>
      <c r="EF222" s="110"/>
      <c r="EG222" s="110"/>
      <c r="EH222" s="110"/>
      <c r="EI222" s="110"/>
      <c r="EJ222" s="110"/>
      <c r="EK222" s="110"/>
      <c r="EL222" s="110"/>
      <c r="EM222" s="110"/>
      <c r="EN222" s="110"/>
      <c r="EO222" s="110"/>
      <c r="EP222" s="110"/>
      <c r="EQ222" s="110"/>
      <c r="ER222" s="110"/>
      <c r="ES222" s="110"/>
      <c r="ET222" s="110"/>
      <c r="EU222" s="110"/>
      <c r="EV222" s="110"/>
      <c r="EW222" s="110"/>
      <c r="EX222" s="110"/>
      <c r="EY222" s="110"/>
      <c r="EZ222" s="110"/>
      <c r="FA222" s="110"/>
      <c r="FB222" s="110"/>
      <c r="FC222" s="110"/>
      <c r="FD222" s="110"/>
      <c r="FE222" s="110"/>
      <c r="FF222" s="110"/>
      <c r="FG222" s="110"/>
      <c r="FH222" s="110"/>
      <c r="FI222" s="110"/>
      <c r="FJ222" s="110"/>
      <c r="FK222" s="110"/>
      <c r="FL222" s="110"/>
      <c r="FM222" s="110"/>
      <c r="FN222" s="110"/>
      <c r="FO222" s="110"/>
      <c r="FP222" s="110"/>
      <c r="FQ222" s="110"/>
      <c r="FR222" s="110"/>
      <c r="FS222" s="110"/>
      <c r="FT222" s="110"/>
      <c r="FU222" s="110"/>
      <c r="FV222" s="110"/>
      <c r="FW222" s="110"/>
      <c r="FX222" s="110"/>
      <c r="FY222" s="110"/>
      <c r="FZ222" s="110"/>
      <c r="GA222" s="110"/>
      <c r="GB222" s="110"/>
      <c r="GC222" s="110"/>
      <c r="GD222" s="110"/>
      <c r="GE222" s="110"/>
      <c r="GF222" s="110"/>
      <c r="GG222" s="110"/>
      <c r="GH222" s="110"/>
      <c r="GI222" s="110"/>
      <c r="GJ222" s="110"/>
      <c r="GK222" s="110"/>
      <c r="GL222" s="110"/>
      <c r="GM222" s="110"/>
      <c r="GN222" s="110"/>
      <c r="GO222" s="110"/>
      <c r="GP222" s="110"/>
      <c r="GQ222" s="110"/>
      <c r="GR222" s="110"/>
      <c r="GS222" s="110"/>
      <c r="GT222" s="110"/>
      <c r="GU222" s="110"/>
      <c r="GV222" s="110"/>
      <c r="GW222" s="110"/>
      <c r="GX222" s="110"/>
      <c r="GY222" s="110"/>
      <c r="GZ222" s="110"/>
      <c r="HA222" s="110"/>
      <c r="HB222" s="110"/>
      <c r="HC222" s="110"/>
      <c r="HD222" s="110"/>
      <c r="HE222" s="110"/>
      <c r="HF222" s="110"/>
      <c r="HG222" s="110"/>
      <c r="HH222" s="110"/>
      <c r="HI222" s="110"/>
      <c r="HJ222" s="110"/>
      <c r="HK222" s="110"/>
      <c r="HL222" s="110"/>
      <c r="HM222" s="110"/>
      <c r="HN222" s="110"/>
      <c r="HO222" s="110"/>
      <c r="HP222" s="110"/>
      <c r="HQ222" s="110"/>
      <c r="HR222" s="110"/>
      <c r="HS222" s="110"/>
    </row>
    <row r="223" spans="1:227" ht="10">
      <c r="A223" s="110" t="s">
        <v>1285</v>
      </c>
      <c r="B223" s="109"/>
      <c r="C223" s="109"/>
      <c r="D223" s="109"/>
      <c r="E223" s="109"/>
      <c r="F223" s="110"/>
      <c r="G223" s="110"/>
      <c r="H223" s="110"/>
      <c r="I223" s="701"/>
      <c r="J223" s="708"/>
      <c r="K223" s="110"/>
      <c r="L223" s="110"/>
      <c r="M223" s="110"/>
      <c r="N223" s="110"/>
      <c r="O223" s="110"/>
      <c r="P223" s="110"/>
      <c r="Q223" s="110"/>
      <c r="R223" s="110"/>
      <c r="S223" s="110"/>
      <c r="T223" s="110"/>
      <c r="U223" s="110"/>
      <c r="V223" s="110"/>
      <c r="W223" s="110"/>
      <c r="X223" s="110"/>
      <c r="Y223" s="110"/>
      <c r="Z223" s="110"/>
      <c r="AA223" s="110"/>
      <c r="AB223" s="110"/>
      <c r="AC223" s="110"/>
      <c r="AD223" s="110"/>
      <c r="AE223" s="110"/>
      <c r="AF223" s="110"/>
      <c r="AG223" s="110"/>
      <c r="AH223" s="110"/>
      <c r="AI223" s="110"/>
      <c r="AJ223" s="110"/>
      <c r="AK223" s="110"/>
      <c r="AL223" s="110"/>
      <c r="AM223" s="110"/>
      <c r="AN223" s="110"/>
      <c r="AO223" s="110"/>
      <c r="AP223" s="110"/>
      <c r="AQ223" s="110"/>
      <c r="AR223" s="110"/>
      <c r="AS223" s="110"/>
      <c r="AT223" s="110"/>
      <c r="AU223" s="110"/>
      <c r="AV223" s="110"/>
      <c r="AW223" s="110"/>
      <c r="AX223" s="110"/>
      <c r="AY223" s="110"/>
      <c r="AZ223" s="110"/>
      <c r="BA223" s="110"/>
      <c r="BB223" s="110"/>
      <c r="BC223" s="110"/>
      <c r="BD223" s="110"/>
      <c r="BE223" s="110"/>
      <c r="BF223" s="110"/>
      <c r="BG223" s="110"/>
      <c r="BH223" s="110"/>
      <c r="BI223" s="110"/>
      <c r="BJ223" s="110"/>
      <c r="BK223" s="110"/>
      <c r="BL223" s="110"/>
      <c r="BM223" s="110"/>
      <c r="BN223" s="110"/>
      <c r="BO223" s="110"/>
      <c r="BP223" s="110"/>
      <c r="BQ223" s="110"/>
      <c r="BR223" s="110"/>
      <c r="BS223" s="110"/>
      <c r="BT223" s="110"/>
      <c r="BU223" s="110"/>
      <c r="BV223" s="110"/>
      <c r="BW223" s="110"/>
      <c r="BX223" s="110"/>
      <c r="BY223" s="110"/>
      <c r="BZ223" s="110"/>
      <c r="CA223" s="110"/>
      <c r="CB223" s="110"/>
      <c r="CC223" s="110"/>
      <c r="CD223" s="110"/>
      <c r="CE223" s="110"/>
      <c r="CF223" s="110"/>
      <c r="CG223" s="110"/>
      <c r="CH223" s="110"/>
      <c r="CI223" s="110"/>
      <c r="CJ223" s="110"/>
      <c r="CK223" s="110"/>
      <c r="CL223" s="110"/>
      <c r="CM223" s="110"/>
      <c r="CN223" s="110"/>
      <c r="CO223" s="110"/>
      <c r="CP223" s="110"/>
      <c r="CQ223" s="110"/>
      <c r="CR223" s="110"/>
      <c r="CS223" s="110"/>
      <c r="CT223" s="110"/>
      <c r="CU223" s="110"/>
      <c r="CV223" s="110"/>
      <c r="CW223" s="110"/>
      <c r="CX223" s="110"/>
      <c r="CY223" s="110"/>
      <c r="CZ223" s="110"/>
      <c r="DA223" s="110"/>
      <c r="DB223" s="110"/>
      <c r="DC223" s="110"/>
      <c r="DD223" s="110"/>
      <c r="DE223" s="110"/>
      <c r="DF223" s="110"/>
      <c r="DG223" s="110"/>
      <c r="DH223" s="110"/>
      <c r="DI223" s="110"/>
      <c r="DJ223" s="110"/>
      <c r="DK223" s="110"/>
      <c r="DL223" s="110"/>
      <c r="DM223" s="110"/>
      <c r="DN223" s="110"/>
      <c r="DO223" s="110"/>
      <c r="DP223" s="110"/>
      <c r="DQ223" s="110"/>
      <c r="DR223" s="110"/>
      <c r="DS223" s="110"/>
      <c r="DT223" s="110"/>
      <c r="DU223" s="110"/>
      <c r="DV223" s="110"/>
      <c r="DW223" s="110"/>
      <c r="DX223" s="110"/>
      <c r="DY223" s="110"/>
      <c r="DZ223" s="110"/>
      <c r="EA223" s="110"/>
      <c r="EB223" s="110"/>
      <c r="EC223" s="110"/>
      <c r="ED223" s="110"/>
      <c r="EE223" s="110"/>
      <c r="EF223" s="110"/>
      <c r="EG223" s="110"/>
      <c r="EH223" s="110"/>
      <c r="EI223" s="110"/>
      <c r="EJ223" s="110"/>
      <c r="EK223" s="110"/>
      <c r="EL223" s="110"/>
      <c r="EM223" s="110"/>
      <c r="EN223" s="110"/>
      <c r="EO223" s="110"/>
      <c r="EP223" s="110"/>
      <c r="EQ223" s="110"/>
      <c r="ER223" s="110"/>
      <c r="ES223" s="110"/>
      <c r="ET223" s="110"/>
      <c r="EU223" s="110"/>
      <c r="EV223" s="110"/>
      <c r="EW223" s="110"/>
      <c r="EX223" s="110"/>
      <c r="EY223" s="110"/>
      <c r="EZ223" s="110"/>
      <c r="FA223" s="110"/>
      <c r="FB223" s="110"/>
      <c r="FC223" s="110"/>
      <c r="FD223" s="110"/>
      <c r="FE223" s="110"/>
      <c r="FF223" s="110"/>
      <c r="FG223" s="110"/>
      <c r="FH223" s="110"/>
      <c r="FI223" s="110"/>
      <c r="FJ223" s="110"/>
      <c r="FK223" s="110"/>
      <c r="FL223" s="110"/>
      <c r="FM223" s="110"/>
      <c r="FN223" s="110"/>
      <c r="FO223" s="110"/>
      <c r="FP223" s="110"/>
      <c r="FQ223" s="110"/>
      <c r="FR223" s="110"/>
      <c r="FS223" s="110"/>
      <c r="FT223" s="110"/>
      <c r="FU223" s="110"/>
      <c r="FV223" s="110"/>
      <c r="FW223" s="110"/>
      <c r="FX223" s="110"/>
      <c r="FY223" s="110"/>
      <c r="FZ223" s="110"/>
      <c r="GA223" s="110"/>
      <c r="GB223" s="110"/>
      <c r="GC223" s="110"/>
      <c r="GD223" s="110"/>
      <c r="GE223" s="110"/>
      <c r="GF223" s="110"/>
      <c r="GG223" s="110"/>
      <c r="GH223" s="110"/>
      <c r="GI223" s="110"/>
      <c r="GJ223" s="110"/>
      <c r="GK223" s="110"/>
      <c r="GL223" s="110"/>
      <c r="GM223" s="110"/>
      <c r="GN223" s="110"/>
      <c r="GO223" s="110"/>
      <c r="GP223" s="110"/>
      <c r="GQ223" s="110"/>
      <c r="GR223" s="110"/>
      <c r="GS223" s="110"/>
      <c r="GT223" s="110"/>
      <c r="GU223" s="110"/>
      <c r="GV223" s="110"/>
      <c r="GW223" s="110"/>
      <c r="GX223" s="110"/>
      <c r="GY223" s="110"/>
      <c r="GZ223" s="110"/>
      <c r="HA223" s="110"/>
      <c r="HB223" s="110"/>
      <c r="HC223" s="110"/>
      <c r="HD223" s="110"/>
      <c r="HE223" s="110"/>
      <c r="HF223" s="110"/>
      <c r="HG223" s="110"/>
      <c r="HH223" s="110"/>
      <c r="HI223" s="110"/>
      <c r="HJ223" s="110"/>
      <c r="HK223" s="110"/>
      <c r="HL223" s="110"/>
      <c r="HM223" s="110"/>
      <c r="HN223" s="110"/>
      <c r="HO223" s="110"/>
      <c r="HP223" s="110"/>
      <c r="HQ223" s="110"/>
      <c r="HR223" s="110"/>
      <c r="HS223" s="110"/>
    </row>
    <row r="224" spans="1:227">
      <c r="A224" s="110" t="s">
        <v>1015</v>
      </c>
      <c r="B224" s="109"/>
      <c r="C224" s="109"/>
      <c r="D224" s="109"/>
      <c r="E224" s="109"/>
      <c r="F224" s="110"/>
      <c r="G224" s="110"/>
      <c r="H224" s="110"/>
      <c r="I224" s="701"/>
      <c r="J224" s="708"/>
      <c r="K224" s="110"/>
      <c r="L224" s="110"/>
      <c r="M224" s="110"/>
      <c r="N224" s="110"/>
      <c r="O224" s="110"/>
      <c r="P224" s="110"/>
      <c r="Q224" s="110"/>
      <c r="R224" s="110"/>
      <c r="S224" s="110"/>
      <c r="T224" s="110"/>
      <c r="U224" s="110"/>
      <c r="V224" s="110"/>
      <c r="W224" s="110"/>
      <c r="X224" s="110"/>
      <c r="Y224" s="110"/>
      <c r="Z224" s="110"/>
      <c r="AA224" s="110"/>
      <c r="AB224" s="110"/>
      <c r="AC224" s="110"/>
      <c r="AD224" s="110"/>
      <c r="AE224" s="110"/>
      <c r="AF224" s="110"/>
      <c r="AG224" s="110"/>
      <c r="AH224" s="110"/>
      <c r="AI224" s="110"/>
      <c r="AJ224" s="110"/>
      <c r="AK224" s="110"/>
      <c r="AL224" s="110"/>
      <c r="AM224" s="110"/>
      <c r="AN224" s="110"/>
      <c r="AO224" s="110"/>
      <c r="AP224" s="110"/>
      <c r="AQ224" s="110"/>
      <c r="AR224" s="110"/>
      <c r="AS224" s="110"/>
      <c r="AT224" s="110"/>
      <c r="AU224" s="110"/>
      <c r="AV224" s="110"/>
      <c r="AW224" s="110"/>
      <c r="AX224" s="110"/>
      <c r="AY224" s="110"/>
      <c r="AZ224" s="110"/>
      <c r="BA224" s="110"/>
      <c r="BB224" s="110"/>
      <c r="BC224" s="110"/>
      <c r="BD224" s="110"/>
      <c r="BE224" s="110"/>
      <c r="BF224" s="110"/>
      <c r="BG224" s="110"/>
      <c r="BH224" s="110"/>
      <c r="BI224" s="110"/>
      <c r="BJ224" s="110"/>
      <c r="BK224" s="110"/>
      <c r="BL224" s="110"/>
      <c r="BM224" s="110"/>
      <c r="BN224" s="110"/>
      <c r="BO224" s="110"/>
      <c r="BP224" s="110"/>
      <c r="BQ224" s="110"/>
      <c r="BR224" s="110"/>
      <c r="BS224" s="110"/>
      <c r="BT224" s="110"/>
      <c r="BU224" s="110"/>
      <c r="BV224" s="110"/>
      <c r="BW224" s="110"/>
      <c r="BX224" s="110"/>
      <c r="BY224" s="110"/>
      <c r="BZ224" s="110"/>
      <c r="CA224" s="110"/>
      <c r="CB224" s="110"/>
      <c r="CC224" s="110"/>
      <c r="CD224" s="110"/>
      <c r="CE224" s="110"/>
      <c r="CF224" s="110"/>
      <c r="CG224" s="110"/>
      <c r="CH224" s="110"/>
      <c r="CI224" s="110"/>
      <c r="CJ224" s="110"/>
      <c r="CK224" s="110"/>
      <c r="CL224" s="110"/>
      <c r="CM224" s="110"/>
      <c r="CN224" s="110"/>
      <c r="CO224" s="110"/>
      <c r="CP224" s="110"/>
      <c r="CQ224" s="110"/>
      <c r="CR224" s="110"/>
      <c r="CS224" s="110"/>
      <c r="CT224" s="110"/>
      <c r="CU224" s="110"/>
      <c r="CV224" s="110"/>
      <c r="CW224" s="110"/>
      <c r="CX224" s="110"/>
      <c r="CY224" s="110"/>
      <c r="CZ224" s="110"/>
      <c r="DA224" s="110"/>
      <c r="DB224" s="110"/>
      <c r="DC224" s="110"/>
      <c r="DD224" s="110"/>
      <c r="DE224" s="110"/>
      <c r="DF224" s="110"/>
      <c r="DG224" s="110"/>
      <c r="DH224" s="110"/>
      <c r="DI224" s="110"/>
      <c r="DJ224" s="110"/>
      <c r="DK224" s="110"/>
      <c r="DL224" s="110"/>
      <c r="DM224" s="110"/>
      <c r="DN224" s="110"/>
      <c r="DO224" s="110"/>
      <c r="DP224" s="110"/>
      <c r="DQ224" s="110"/>
      <c r="DR224" s="110"/>
      <c r="DS224" s="110"/>
      <c r="DT224" s="110"/>
      <c r="DU224" s="110"/>
      <c r="DV224" s="110"/>
      <c r="DW224" s="110"/>
      <c r="DX224" s="110"/>
      <c r="DY224" s="110"/>
      <c r="DZ224" s="110"/>
      <c r="EA224" s="110"/>
      <c r="EB224" s="110"/>
      <c r="EC224" s="110"/>
      <c r="ED224" s="110"/>
      <c r="EE224" s="110"/>
      <c r="EF224" s="110"/>
      <c r="EG224" s="110"/>
      <c r="EH224" s="110"/>
      <c r="EI224" s="110"/>
      <c r="EJ224" s="110"/>
      <c r="EK224" s="110"/>
      <c r="EL224" s="110"/>
      <c r="EM224" s="110"/>
      <c r="EN224" s="110"/>
      <c r="EO224" s="110"/>
      <c r="EP224" s="110"/>
      <c r="EQ224" s="110"/>
      <c r="ER224" s="110"/>
      <c r="ES224" s="110"/>
      <c r="ET224" s="110"/>
      <c r="EU224" s="110"/>
      <c r="EV224" s="110"/>
      <c r="EW224" s="110"/>
      <c r="EX224" s="110"/>
      <c r="EY224" s="110"/>
      <c r="EZ224" s="110"/>
      <c r="FA224" s="110"/>
      <c r="FB224" s="110"/>
      <c r="FC224" s="110"/>
      <c r="FD224" s="110"/>
      <c r="FE224" s="110"/>
      <c r="FF224" s="110"/>
      <c r="FG224" s="110"/>
      <c r="FH224" s="110"/>
      <c r="FI224" s="110"/>
      <c r="FJ224" s="110"/>
      <c r="FK224" s="110"/>
      <c r="FL224" s="110"/>
      <c r="FM224" s="110"/>
      <c r="FN224" s="110"/>
      <c r="FO224" s="110"/>
      <c r="FP224" s="110"/>
      <c r="FQ224" s="110"/>
      <c r="FR224" s="110"/>
      <c r="FS224" s="110"/>
      <c r="FT224" s="110"/>
      <c r="FU224" s="110"/>
      <c r="FV224" s="110"/>
      <c r="FW224" s="110"/>
      <c r="FX224" s="110"/>
      <c r="FY224" s="110"/>
      <c r="FZ224" s="110"/>
      <c r="GA224" s="110"/>
      <c r="GB224" s="110"/>
      <c r="GC224" s="110"/>
      <c r="GD224" s="110"/>
      <c r="GE224" s="110"/>
      <c r="GF224" s="110"/>
      <c r="GG224" s="110"/>
      <c r="GH224" s="110"/>
      <c r="GI224" s="110"/>
      <c r="GJ224" s="110"/>
      <c r="GK224" s="110"/>
      <c r="GL224" s="110"/>
      <c r="GM224" s="110"/>
      <c r="GN224" s="110"/>
      <c r="GO224" s="110"/>
      <c r="GP224" s="110"/>
      <c r="GQ224" s="110"/>
      <c r="GR224" s="110"/>
      <c r="GS224" s="110"/>
      <c r="GT224" s="110"/>
      <c r="GU224" s="110"/>
      <c r="GV224" s="110"/>
      <c r="GW224" s="110"/>
      <c r="GX224" s="110"/>
      <c r="GY224" s="110"/>
      <c r="GZ224" s="110"/>
      <c r="HA224" s="110"/>
      <c r="HB224" s="110"/>
      <c r="HC224" s="110"/>
      <c r="HD224" s="110"/>
      <c r="HE224" s="110"/>
      <c r="HF224" s="110"/>
      <c r="HG224" s="110"/>
      <c r="HH224" s="110"/>
      <c r="HI224" s="110"/>
      <c r="HJ224" s="110"/>
      <c r="HK224" s="110"/>
      <c r="HL224" s="110"/>
      <c r="HM224" s="110"/>
      <c r="HN224" s="110"/>
      <c r="HO224" s="110"/>
      <c r="HP224" s="110"/>
      <c r="HQ224" s="110"/>
      <c r="HR224" s="110"/>
      <c r="HS224" s="110"/>
    </row>
    <row r="225" spans="1:227" ht="10">
      <c r="A225" s="110" t="s">
        <v>1007</v>
      </c>
      <c r="B225" s="109"/>
      <c r="C225" s="109"/>
      <c r="D225" s="109"/>
      <c r="E225" s="109"/>
      <c r="F225" s="110"/>
      <c r="G225" s="110"/>
      <c r="H225" s="110"/>
      <c r="I225" s="701"/>
      <c r="J225" s="708"/>
      <c r="K225" s="110"/>
      <c r="L225" s="110"/>
      <c r="M225" s="110"/>
      <c r="N225" s="110"/>
      <c r="O225" s="110"/>
      <c r="P225" s="110"/>
      <c r="Q225" s="110"/>
      <c r="R225" s="110"/>
      <c r="S225" s="110"/>
      <c r="T225" s="110"/>
      <c r="U225" s="110"/>
      <c r="V225" s="110"/>
      <c r="W225" s="110"/>
      <c r="X225" s="110"/>
      <c r="Y225" s="110"/>
      <c r="Z225" s="110"/>
      <c r="AA225" s="110"/>
      <c r="AB225" s="110"/>
      <c r="AC225" s="110"/>
      <c r="AD225" s="110"/>
      <c r="AE225" s="110"/>
      <c r="AF225" s="110"/>
      <c r="AG225" s="110"/>
      <c r="AH225" s="110"/>
      <c r="AI225" s="110"/>
      <c r="AJ225" s="110"/>
      <c r="AK225" s="110"/>
      <c r="AL225" s="110"/>
      <c r="AM225" s="110"/>
      <c r="AN225" s="110"/>
      <c r="AO225" s="110"/>
      <c r="AP225" s="110"/>
      <c r="AQ225" s="110"/>
      <c r="AR225" s="110"/>
      <c r="AS225" s="110"/>
      <c r="AT225" s="110"/>
      <c r="AU225" s="110"/>
      <c r="AV225" s="110"/>
      <c r="AW225" s="110"/>
      <c r="AX225" s="110"/>
      <c r="AY225" s="110"/>
      <c r="AZ225" s="110"/>
      <c r="BA225" s="110"/>
      <c r="BB225" s="110"/>
      <c r="BC225" s="110"/>
      <c r="BD225" s="110"/>
      <c r="BE225" s="110"/>
      <c r="BF225" s="110"/>
      <c r="BG225" s="110"/>
      <c r="BH225" s="110"/>
      <c r="BI225" s="110"/>
      <c r="BJ225" s="110"/>
      <c r="BK225" s="110"/>
      <c r="BL225" s="110"/>
      <c r="BM225" s="110"/>
      <c r="BN225" s="110"/>
      <c r="BO225" s="110"/>
      <c r="BP225" s="110"/>
      <c r="BQ225" s="110"/>
      <c r="BR225" s="110"/>
      <c r="BS225" s="110"/>
      <c r="BT225" s="110"/>
      <c r="BU225" s="110"/>
      <c r="BV225" s="110"/>
      <c r="BW225" s="110"/>
      <c r="BX225" s="110"/>
      <c r="BY225" s="110"/>
      <c r="BZ225" s="110"/>
      <c r="CA225" s="110"/>
      <c r="CB225" s="110"/>
      <c r="CC225" s="110"/>
      <c r="CD225" s="110"/>
      <c r="CE225" s="110"/>
      <c r="CF225" s="110"/>
      <c r="CG225" s="110"/>
      <c r="CH225" s="110"/>
      <c r="CI225" s="110"/>
      <c r="CJ225" s="110"/>
      <c r="CK225" s="110"/>
      <c r="CL225" s="110"/>
      <c r="CM225" s="110"/>
      <c r="CN225" s="110"/>
      <c r="CO225" s="110"/>
      <c r="CP225" s="110"/>
      <c r="CQ225" s="110"/>
      <c r="CR225" s="110"/>
      <c r="CS225" s="110"/>
      <c r="CT225" s="110"/>
      <c r="CU225" s="110"/>
      <c r="CV225" s="110"/>
      <c r="CW225" s="110"/>
      <c r="CX225" s="110"/>
      <c r="CY225" s="110"/>
      <c r="CZ225" s="110"/>
      <c r="DA225" s="110"/>
      <c r="DB225" s="110"/>
      <c r="DC225" s="110"/>
      <c r="DD225" s="110"/>
      <c r="DE225" s="110"/>
      <c r="DF225" s="110"/>
      <c r="DG225" s="110"/>
      <c r="DH225" s="110"/>
      <c r="DI225" s="110"/>
      <c r="DJ225" s="110"/>
      <c r="DK225" s="110"/>
      <c r="DL225" s="110"/>
      <c r="DM225" s="110"/>
      <c r="DN225" s="110"/>
      <c r="DO225" s="110"/>
      <c r="DP225" s="110"/>
      <c r="DQ225" s="110"/>
      <c r="DR225" s="110"/>
      <c r="DS225" s="110"/>
      <c r="DT225" s="110"/>
      <c r="DU225" s="110"/>
      <c r="DV225" s="110"/>
      <c r="DW225" s="110"/>
      <c r="DX225" s="110"/>
      <c r="DY225" s="110"/>
      <c r="DZ225" s="110"/>
      <c r="EA225" s="110"/>
      <c r="EB225" s="110"/>
      <c r="EC225" s="110"/>
      <c r="ED225" s="110"/>
      <c r="EE225" s="110"/>
      <c r="EF225" s="110"/>
      <c r="EG225" s="110"/>
      <c r="EH225" s="110"/>
      <c r="EI225" s="110"/>
      <c r="EJ225" s="110"/>
      <c r="EK225" s="110"/>
      <c r="EL225" s="110"/>
      <c r="EM225" s="110"/>
      <c r="EN225" s="110"/>
      <c r="EO225" s="110"/>
      <c r="EP225" s="110"/>
      <c r="EQ225" s="110"/>
      <c r="ER225" s="110"/>
      <c r="ES225" s="110"/>
      <c r="ET225" s="110"/>
      <c r="EU225" s="110"/>
      <c r="EV225" s="110"/>
      <c r="EW225" s="110"/>
      <c r="EX225" s="110"/>
      <c r="EY225" s="110"/>
      <c r="EZ225" s="110"/>
      <c r="FA225" s="110"/>
      <c r="FB225" s="110"/>
      <c r="FC225" s="110"/>
      <c r="FD225" s="110"/>
      <c r="FE225" s="110"/>
      <c r="FF225" s="110"/>
      <c r="FG225" s="110"/>
      <c r="FH225" s="110"/>
      <c r="FI225" s="110"/>
      <c r="FJ225" s="110"/>
      <c r="FK225" s="110"/>
      <c r="FL225" s="110"/>
      <c r="FM225" s="110"/>
      <c r="FN225" s="110"/>
      <c r="FO225" s="110"/>
      <c r="FP225" s="110"/>
      <c r="FQ225" s="110"/>
      <c r="FR225" s="110"/>
      <c r="FS225" s="110"/>
      <c r="FT225" s="110"/>
      <c r="FU225" s="110"/>
      <c r="FV225" s="110"/>
      <c r="FW225" s="110"/>
      <c r="FX225" s="110"/>
      <c r="FY225" s="110"/>
      <c r="FZ225" s="110"/>
      <c r="GA225" s="110"/>
      <c r="GB225" s="110"/>
      <c r="GC225" s="110"/>
      <c r="GD225" s="110"/>
      <c r="GE225" s="110"/>
      <c r="GF225" s="110"/>
      <c r="GG225" s="110"/>
      <c r="GH225" s="110"/>
      <c r="GI225" s="110"/>
      <c r="GJ225" s="110"/>
      <c r="GK225" s="110"/>
      <c r="GL225" s="110"/>
      <c r="GM225" s="110"/>
      <c r="GN225" s="110"/>
      <c r="GO225" s="110"/>
      <c r="GP225" s="110"/>
      <c r="GQ225" s="110"/>
      <c r="GR225" s="110"/>
      <c r="GS225" s="110"/>
      <c r="GT225" s="110"/>
      <c r="GU225" s="110"/>
      <c r="GV225" s="110"/>
      <c r="GW225" s="110"/>
      <c r="GX225" s="110"/>
      <c r="GY225" s="110"/>
      <c r="GZ225" s="110"/>
      <c r="HA225" s="110"/>
      <c r="HB225" s="110"/>
      <c r="HC225" s="110"/>
      <c r="HD225" s="110"/>
      <c r="HE225" s="110"/>
      <c r="HF225" s="110"/>
      <c r="HG225" s="110"/>
      <c r="HH225" s="110"/>
      <c r="HI225" s="110"/>
      <c r="HJ225" s="110"/>
      <c r="HK225" s="110"/>
      <c r="HL225" s="110"/>
      <c r="HM225" s="110"/>
      <c r="HN225" s="110"/>
      <c r="HO225" s="110"/>
      <c r="HP225" s="110"/>
      <c r="HQ225" s="110"/>
      <c r="HR225" s="110"/>
      <c r="HS225" s="110"/>
    </row>
    <row r="226" spans="1:227" ht="10">
      <c r="A226" s="110" t="s">
        <v>1005</v>
      </c>
      <c r="B226" s="109"/>
      <c r="C226" s="109"/>
      <c r="D226" s="109"/>
      <c r="E226" s="109"/>
      <c r="F226" s="110"/>
      <c r="G226" s="110"/>
      <c r="H226" s="110"/>
      <c r="I226" s="701"/>
      <c r="J226" s="708"/>
      <c r="K226" s="110"/>
      <c r="L226" s="110"/>
      <c r="M226" s="110"/>
      <c r="N226" s="110"/>
      <c r="O226" s="110"/>
      <c r="P226" s="110"/>
      <c r="Q226" s="110"/>
      <c r="R226" s="110"/>
      <c r="S226" s="110"/>
      <c r="T226" s="110"/>
      <c r="U226" s="110"/>
      <c r="V226" s="110"/>
      <c r="W226" s="110"/>
      <c r="X226" s="110"/>
      <c r="Y226" s="110"/>
      <c r="Z226" s="110"/>
      <c r="AA226" s="110"/>
      <c r="AB226" s="110"/>
      <c r="AC226" s="110"/>
      <c r="AD226" s="110"/>
      <c r="AE226" s="110"/>
      <c r="AF226" s="110"/>
      <c r="AG226" s="110"/>
      <c r="AH226" s="110"/>
      <c r="AI226" s="110"/>
      <c r="AJ226" s="110"/>
      <c r="AK226" s="110"/>
      <c r="AL226" s="110"/>
      <c r="AM226" s="110"/>
      <c r="AN226" s="110"/>
      <c r="AO226" s="110"/>
      <c r="AP226" s="110"/>
      <c r="AQ226" s="110"/>
      <c r="AR226" s="110"/>
      <c r="AS226" s="110"/>
      <c r="AT226" s="110"/>
      <c r="AU226" s="110"/>
      <c r="AV226" s="110"/>
      <c r="AW226" s="110"/>
      <c r="AX226" s="110"/>
      <c r="AY226" s="110"/>
      <c r="AZ226" s="110"/>
      <c r="BA226" s="110"/>
      <c r="BB226" s="110"/>
      <c r="BC226" s="110"/>
      <c r="BD226" s="110"/>
      <c r="BE226" s="110"/>
      <c r="BF226" s="110"/>
      <c r="BG226" s="110"/>
      <c r="BH226" s="110"/>
      <c r="BI226" s="110"/>
      <c r="BJ226" s="110"/>
      <c r="BK226" s="110"/>
      <c r="BL226" s="110"/>
      <c r="BM226" s="110"/>
      <c r="BN226" s="110"/>
      <c r="BO226" s="110"/>
      <c r="BP226" s="110"/>
      <c r="BQ226" s="110"/>
      <c r="BR226" s="110"/>
      <c r="BS226" s="110"/>
      <c r="BT226" s="110"/>
      <c r="BU226" s="110"/>
      <c r="BV226" s="110"/>
      <c r="BW226" s="110"/>
      <c r="BX226" s="110"/>
      <c r="BY226" s="110"/>
      <c r="BZ226" s="110"/>
      <c r="CA226" s="110"/>
      <c r="CB226" s="110"/>
      <c r="CC226" s="110"/>
      <c r="CD226" s="110"/>
      <c r="CE226" s="110"/>
      <c r="CF226" s="110"/>
      <c r="CG226" s="110"/>
      <c r="CH226" s="110"/>
      <c r="CI226" s="110"/>
      <c r="CJ226" s="110"/>
      <c r="CK226" s="110"/>
      <c r="CL226" s="110"/>
      <c r="CM226" s="110"/>
      <c r="CN226" s="110"/>
      <c r="CO226" s="110"/>
      <c r="CP226" s="110"/>
      <c r="CQ226" s="110"/>
      <c r="CR226" s="110"/>
      <c r="CS226" s="110"/>
      <c r="CT226" s="110"/>
      <c r="CU226" s="110"/>
      <c r="CV226" s="110"/>
      <c r="CW226" s="110"/>
      <c r="CX226" s="110"/>
      <c r="CY226" s="110"/>
      <c r="CZ226" s="110"/>
      <c r="DA226" s="110"/>
      <c r="DB226" s="110"/>
      <c r="DC226" s="110"/>
      <c r="DD226" s="110"/>
      <c r="DE226" s="110"/>
      <c r="DF226" s="110"/>
      <c r="DG226" s="110"/>
      <c r="DH226" s="110"/>
      <c r="DI226" s="110"/>
      <c r="DJ226" s="110"/>
      <c r="DK226" s="110"/>
      <c r="DL226" s="110"/>
      <c r="DM226" s="110"/>
      <c r="DN226" s="110"/>
      <c r="DO226" s="110"/>
      <c r="DP226" s="110"/>
      <c r="DQ226" s="110"/>
      <c r="DR226" s="110"/>
      <c r="DS226" s="110"/>
      <c r="DT226" s="110"/>
      <c r="DU226" s="110"/>
      <c r="DV226" s="110"/>
      <c r="DW226" s="110"/>
      <c r="DX226" s="110"/>
      <c r="DY226" s="110"/>
      <c r="DZ226" s="110"/>
      <c r="EA226" s="110"/>
      <c r="EB226" s="110"/>
      <c r="EC226" s="110"/>
      <c r="ED226" s="110"/>
      <c r="EE226" s="110"/>
      <c r="EF226" s="110"/>
      <c r="EG226" s="110"/>
      <c r="EH226" s="110"/>
      <c r="EI226" s="110"/>
      <c r="EJ226" s="110"/>
      <c r="EK226" s="110"/>
      <c r="EL226" s="110"/>
      <c r="EM226" s="110"/>
      <c r="EN226" s="110"/>
      <c r="EO226" s="110"/>
      <c r="EP226" s="110"/>
      <c r="EQ226" s="110"/>
      <c r="ER226" s="110"/>
      <c r="ES226" s="110"/>
      <c r="ET226" s="110"/>
      <c r="EU226" s="110"/>
      <c r="EV226" s="110"/>
      <c r="EW226" s="110"/>
      <c r="EX226" s="110"/>
      <c r="EY226" s="110"/>
      <c r="EZ226" s="110"/>
      <c r="FA226" s="110"/>
      <c r="FB226" s="110"/>
      <c r="FC226" s="110"/>
      <c r="FD226" s="110"/>
      <c r="FE226" s="110"/>
      <c r="FF226" s="110"/>
      <c r="FG226" s="110"/>
      <c r="FH226" s="110"/>
      <c r="FI226" s="110"/>
      <c r="FJ226" s="110"/>
      <c r="FK226" s="110"/>
      <c r="FL226" s="110"/>
      <c r="FM226" s="110"/>
      <c r="FN226" s="110"/>
      <c r="FO226" s="110"/>
      <c r="FP226" s="110"/>
      <c r="FQ226" s="110"/>
      <c r="FR226" s="110"/>
      <c r="FS226" s="110"/>
      <c r="FT226" s="110"/>
      <c r="FU226" s="110"/>
      <c r="FV226" s="110"/>
      <c r="FW226" s="110"/>
      <c r="FX226" s="110"/>
      <c r="FY226" s="110"/>
      <c r="FZ226" s="110"/>
      <c r="GA226" s="110"/>
      <c r="GB226" s="110"/>
      <c r="GC226" s="110"/>
      <c r="GD226" s="110"/>
      <c r="GE226" s="110"/>
      <c r="GF226" s="110"/>
      <c r="GG226" s="110"/>
      <c r="GH226" s="110"/>
      <c r="GI226" s="110"/>
      <c r="GJ226" s="110"/>
      <c r="GK226" s="110"/>
      <c r="GL226" s="110"/>
      <c r="GM226" s="110"/>
      <c r="GN226" s="110"/>
      <c r="GO226" s="110"/>
      <c r="GP226" s="110"/>
      <c r="GQ226" s="110"/>
      <c r="GR226" s="110"/>
      <c r="GS226" s="110"/>
      <c r="GT226" s="110"/>
      <c r="GU226" s="110"/>
      <c r="GV226" s="110"/>
      <c r="GW226" s="110"/>
      <c r="GX226" s="110"/>
      <c r="GY226" s="110"/>
      <c r="GZ226" s="110"/>
      <c r="HA226" s="110"/>
      <c r="HB226" s="110"/>
      <c r="HC226" s="110"/>
      <c r="HD226" s="110"/>
      <c r="HE226" s="110"/>
      <c r="HF226" s="110"/>
      <c r="HG226" s="110"/>
      <c r="HH226" s="110"/>
      <c r="HI226" s="110"/>
      <c r="HJ226" s="110"/>
      <c r="HK226" s="110"/>
      <c r="HL226" s="110"/>
      <c r="HM226" s="110"/>
      <c r="HN226" s="110"/>
      <c r="HO226" s="110"/>
      <c r="HP226" s="110"/>
      <c r="HQ226" s="110"/>
      <c r="HR226" s="110"/>
      <c r="HS226" s="110"/>
    </row>
    <row r="227" spans="1:227" ht="10">
      <c r="A227" s="110" t="s">
        <v>1290</v>
      </c>
      <c r="B227" s="109"/>
      <c r="C227" s="109"/>
      <c r="D227" s="109"/>
      <c r="E227" s="621"/>
      <c r="F227" s="110"/>
      <c r="G227" s="110"/>
      <c r="H227" s="110"/>
      <c r="I227" s="701"/>
      <c r="J227" s="708"/>
      <c r="K227" s="110"/>
      <c r="L227" s="110"/>
      <c r="M227" s="110"/>
      <c r="N227" s="110"/>
      <c r="O227" s="110"/>
      <c r="P227" s="110"/>
      <c r="Q227" s="110"/>
      <c r="R227" s="110"/>
      <c r="S227" s="110"/>
      <c r="T227" s="110"/>
      <c r="U227" s="110"/>
      <c r="V227" s="110"/>
      <c r="W227" s="110"/>
      <c r="X227" s="110"/>
      <c r="Y227" s="110"/>
      <c r="Z227" s="110"/>
      <c r="AA227" s="110"/>
      <c r="AB227" s="110"/>
      <c r="AC227" s="110"/>
      <c r="AD227" s="110"/>
      <c r="AE227" s="110"/>
      <c r="AF227" s="110"/>
      <c r="AG227" s="110"/>
      <c r="AH227" s="110"/>
      <c r="AI227" s="110"/>
      <c r="AJ227" s="110"/>
      <c r="AK227" s="110"/>
      <c r="AL227" s="110"/>
      <c r="AM227" s="110"/>
      <c r="AN227" s="110"/>
      <c r="AO227" s="110"/>
      <c r="AP227" s="110"/>
      <c r="AQ227" s="110"/>
      <c r="AR227" s="110"/>
      <c r="AS227" s="110"/>
      <c r="AT227" s="110"/>
      <c r="AU227" s="110"/>
      <c r="AV227" s="110"/>
      <c r="AW227" s="110"/>
      <c r="AX227" s="110"/>
      <c r="AY227" s="110"/>
      <c r="AZ227" s="110"/>
      <c r="BA227" s="110"/>
      <c r="BB227" s="110"/>
      <c r="BC227" s="110"/>
      <c r="BD227" s="110"/>
      <c r="BE227" s="110"/>
      <c r="BF227" s="110"/>
      <c r="BG227" s="110"/>
      <c r="BH227" s="110"/>
      <c r="BI227" s="110"/>
      <c r="BJ227" s="110"/>
      <c r="BK227" s="110"/>
      <c r="BL227" s="110"/>
      <c r="BM227" s="110"/>
      <c r="BN227" s="110"/>
      <c r="BO227" s="110"/>
      <c r="BP227" s="110"/>
      <c r="BQ227" s="110"/>
      <c r="BR227" s="110"/>
      <c r="BS227" s="110"/>
      <c r="BT227" s="110"/>
      <c r="BU227" s="110"/>
      <c r="BV227" s="110"/>
      <c r="BW227" s="110"/>
      <c r="BX227" s="110"/>
      <c r="BY227" s="110"/>
      <c r="BZ227" s="110"/>
      <c r="CA227" s="110"/>
      <c r="CB227" s="110"/>
      <c r="CC227" s="110"/>
      <c r="CD227" s="110"/>
      <c r="CE227" s="110"/>
      <c r="CF227" s="110"/>
      <c r="CG227" s="110"/>
      <c r="CH227" s="110"/>
      <c r="CI227" s="110"/>
      <c r="CJ227" s="110"/>
      <c r="CK227" s="110"/>
      <c r="CL227" s="110"/>
      <c r="CM227" s="110"/>
      <c r="CN227" s="110"/>
      <c r="CO227" s="110"/>
      <c r="CP227" s="110"/>
      <c r="CQ227" s="110"/>
      <c r="CR227" s="110"/>
      <c r="CS227" s="110"/>
      <c r="CT227" s="110"/>
      <c r="CU227" s="110"/>
      <c r="CV227" s="110"/>
      <c r="CW227" s="110"/>
      <c r="CX227" s="110"/>
      <c r="CY227" s="110"/>
      <c r="CZ227" s="110"/>
      <c r="DA227" s="110"/>
      <c r="DB227" s="110"/>
      <c r="DC227" s="110"/>
      <c r="DD227" s="110"/>
      <c r="DE227" s="110"/>
      <c r="DF227" s="110"/>
      <c r="DG227" s="110"/>
      <c r="DH227" s="110"/>
      <c r="DI227" s="110"/>
      <c r="DJ227" s="110"/>
      <c r="DK227" s="110"/>
      <c r="DL227" s="110"/>
      <c r="DM227" s="110"/>
      <c r="DN227" s="110"/>
      <c r="DO227" s="110"/>
      <c r="DP227" s="110"/>
      <c r="DQ227" s="110"/>
      <c r="DR227" s="110"/>
      <c r="DS227" s="110"/>
      <c r="DT227" s="110"/>
      <c r="DU227" s="110"/>
      <c r="DV227" s="110"/>
      <c r="DW227" s="110"/>
      <c r="DX227" s="110"/>
      <c r="DY227" s="110"/>
      <c r="DZ227" s="110"/>
      <c r="EA227" s="110"/>
      <c r="EB227" s="110"/>
      <c r="EC227" s="110"/>
      <c r="ED227" s="110"/>
      <c r="EE227" s="110"/>
      <c r="EF227" s="110"/>
      <c r="EG227" s="110"/>
      <c r="EH227" s="110"/>
      <c r="EI227" s="110"/>
      <c r="EJ227" s="110"/>
      <c r="EK227" s="110"/>
      <c r="EL227" s="110"/>
      <c r="EM227" s="110"/>
      <c r="EN227" s="110"/>
      <c r="EO227" s="110"/>
      <c r="EP227" s="110"/>
      <c r="EQ227" s="110"/>
      <c r="ER227" s="110"/>
      <c r="ES227" s="110"/>
      <c r="ET227" s="110"/>
      <c r="EU227" s="110"/>
      <c r="EV227" s="110"/>
      <c r="EW227" s="110"/>
      <c r="EX227" s="110"/>
      <c r="EY227" s="110"/>
      <c r="EZ227" s="110"/>
      <c r="FA227" s="110"/>
      <c r="FB227" s="110"/>
      <c r="FC227" s="110"/>
      <c r="FD227" s="110"/>
      <c r="FE227" s="110"/>
      <c r="FF227" s="110"/>
      <c r="FG227" s="110"/>
      <c r="FH227" s="110"/>
      <c r="FI227" s="110"/>
      <c r="FJ227" s="110"/>
      <c r="FK227" s="110"/>
      <c r="FL227" s="110"/>
      <c r="FM227" s="110"/>
      <c r="FN227" s="110"/>
      <c r="FO227" s="110"/>
      <c r="FP227" s="110"/>
      <c r="FQ227" s="110"/>
      <c r="FR227" s="110"/>
      <c r="FS227" s="110"/>
      <c r="FT227" s="110"/>
      <c r="FU227" s="110"/>
      <c r="FV227" s="110"/>
      <c r="FW227" s="110"/>
      <c r="FX227" s="110"/>
      <c r="FY227" s="110"/>
      <c r="FZ227" s="110"/>
      <c r="GA227" s="110"/>
      <c r="GB227" s="110"/>
      <c r="GC227" s="110"/>
      <c r="GD227" s="110"/>
      <c r="GE227" s="110"/>
      <c r="GF227" s="110"/>
      <c r="GG227" s="110"/>
      <c r="GH227" s="110"/>
      <c r="GI227" s="110"/>
      <c r="GJ227" s="110"/>
      <c r="GK227" s="110"/>
      <c r="GL227" s="110"/>
      <c r="GM227" s="110"/>
      <c r="GN227" s="110"/>
      <c r="GO227" s="110"/>
      <c r="GP227" s="110"/>
      <c r="GQ227" s="110"/>
      <c r="GR227" s="110"/>
      <c r="GS227" s="110"/>
      <c r="GT227" s="110"/>
      <c r="GU227" s="110"/>
      <c r="GV227" s="110"/>
      <c r="GW227" s="110"/>
      <c r="GX227" s="110"/>
      <c r="GY227" s="110"/>
      <c r="GZ227" s="110"/>
      <c r="HA227" s="110"/>
      <c r="HB227" s="110"/>
      <c r="HC227" s="110"/>
      <c r="HD227" s="110"/>
      <c r="HE227" s="110"/>
      <c r="HF227" s="110"/>
      <c r="HG227" s="110"/>
      <c r="HH227" s="110"/>
      <c r="HI227" s="110"/>
      <c r="HJ227" s="110"/>
      <c r="HK227" s="110"/>
      <c r="HL227" s="110"/>
      <c r="HM227" s="110"/>
      <c r="HN227" s="110"/>
      <c r="HO227" s="110"/>
      <c r="HP227" s="110"/>
      <c r="HQ227" s="110"/>
      <c r="HR227" s="110"/>
      <c r="HS227" s="110"/>
    </row>
    <row r="228" spans="1:227" ht="10">
      <c r="A228" s="110" t="s">
        <v>1291</v>
      </c>
      <c r="B228" s="109"/>
      <c r="C228" s="109"/>
      <c r="D228" s="109"/>
      <c r="E228" s="109"/>
      <c r="F228" s="110"/>
      <c r="G228" s="110"/>
      <c r="H228" s="110"/>
      <c r="I228" s="701"/>
      <c r="J228" s="708"/>
      <c r="K228" s="110"/>
      <c r="L228" s="110"/>
      <c r="M228" s="110"/>
      <c r="N228" s="110"/>
      <c r="O228" s="110"/>
      <c r="P228" s="110"/>
      <c r="Q228" s="110"/>
      <c r="R228" s="110"/>
      <c r="S228" s="110"/>
      <c r="T228" s="110"/>
      <c r="U228" s="110"/>
      <c r="V228" s="110"/>
      <c r="W228" s="110"/>
      <c r="X228" s="110"/>
      <c r="Y228" s="110"/>
      <c r="Z228" s="110"/>
      <c r="AA228" s="110"/>
      <c r="AB228" s="110"/>
      <c r="AC228" s="110"/>
      <c r="AD228" s="110"/>
      <c r="AE228" s="110"/>
      <c r="AF228" s="110"/>
      <c r="AG228" s="110"/>
      <c r="AH228" s="110"/>
      <c r="AI228" s="110"/>
      <c r="AJ228" s="110"/>
      <c r="AK228" s="110"/>
      <c r="AL228" s="110"/>
      <c r="AM228" s="110"/>
      <c r="AN228" s="110"/>
      <c r="AO228" s="110"/>
      <c r="AP228" s="110"/>
      <c r="AQ228" s="110"/>
      <c r="AR228" s="110"/>
      <c r="AS228" s="110"/>
      <c r="AT228" s="110"/>
      <c r="AU228" s="110"/>
      <c r="AV228" s="110"/>
      <c r="AW228" s="110"/>
      <c r="AX228" s="110"/>
      <c r="AY228" s="110"/>
      <c r="AZ228" s="110"/>
      <c r="BA228" s="110"/>
      <c r="BB228" s="110"/>
      <c r="BC228" s="110"/>
      <c r="BD228" s="110"/>
      <c r="BE228" s="110"/>
      <c r="BF228" s="110"/>
      <c r="BG228" s="110"/>
      <c r="BH228" s="110"/>
      <c r="BI228" s="110"/>
      <c r="BJ228" s="110"/>
      <c r="BK228" s="110"/>
      <c r="BL228" s="110"/>
      <c r="BM228" s="110"/>
      <c r="BN228" s="110"/>
      <c r="BO228" s="110"/>
      <c r="BP228" s="110"/>
      <c r="BQ228" s="110"/>
      <c r="BR228" s="110"/>
      <c r="BS228" s="110"/>
      <c r="BT228" s="110"/>
      <c r="BU228" s="110"/>
      <c r="BV228" s="110"/>
      <c r="BW228" s="110"/>
      <c r="BX228" s="110"/>
      <c r="BY228" s="110"/>
      <c r="BZ228" s="110"/>
      <c r="CA228" s="110"/>
      <c r="CB228" s="110"/>
      <c r="CC228" s="110"/>
      <c r="CD228" s="110"/>
      <c r="CE228" s="110"/>
      <c r="CF228" s="110"/>
      <c r="CG228" s="110"/>
      <c r="CH228" s="110"/>
      <c r="CI228" s="110"/>
      <c r="CJ228" s="110"/>
      <c r="CK228" s="110"/>
      <c r="CL228" s="110"/>
      <c r="CM228" s="110"/>
      <c r="CN228" s="110"/>
      <c r="CO228" s="110"/>
      <c r="CP228" s="110"/>
      <c r="CQ228" s="110"/>
      <c r="CR228" s="110"/>
      <c r="CS228" s="110"/>
      <c r="CT228" s="110"/>
      <c r="CU228" s="110"/>
      <c r="CV228" s="110"/>
      <c r="CW228" s="110"/>
      <c r="CX228" s="110"/>
      <c r="CY228" s="110"/>
      <c r="CZ228" s="110"/>
      <c r="DA228" s="110"/>
      <c r="DB228" s="110"/>
      <c r="DC228" s="110"/>
      <c r="DD228" s="110"/>
      <c r="DE228" s="110"/>
      <c r="DF228" s="110"/>
      <c r="DG228" s="110"/>
      <c r="DH228" s="110"/>
      <c r="DI228" s="110"/>
      <c r="DJ228" s="110"/>
      <c r="DK228" s="110"/>
      <c r="DL228" s="110"/>
      <c r="DM228" s="110"/>
      <c r="DN228" s="110"/>
      <c r="DO228" s="110"/>
      <c r="DP228" s="110"/>
      <c r="DQ228" s="110"/>
      <c r="DR228" s="110"/>
      <c r="DS228" s="110"/>
      <c r="DT228" s="110"/>
      <c r="DU228" s="110"/>
      <c r="DV228" s="110"/>
      <c r="DW228" s="110"/>
      <c r="DX228" s="110"/>
      <c r="DY228" s="110"/>
      <c r="DZ228" s="110"/>
      <c r="EA228" s="110"/>
      <c r="EB228" s="110"/>
      <c r="EC228" s="110"/>
      <c r="ED228" s="110"/>
      <c r="EE228" s="110"/>
      <c r="EF228" s="110"/>
      <c r="EG228" s="110"/>
      <c r="EH228" s="110"/>
      <c r="EI228" s="110"/>
      <c r="EJ228" s="110"/>
      <c r="EK228" s="110"/>
      <c r="EL228" s="110"/>
      <c r="EM228" s="110"/>
      <c r="EN228" s="110"/>
      <c r="EO228" s="110"/>
      <c r="EP228" s="110"/>
      <c r="EQ228" s="110"/>
      <c r="ER228" s="110"/>
      <c r="ES228" s="110"/>
      <c r="ET228" s="110"/>
      <c r="EU228" s="110"/>
      <c r="EV228" s="110"/>
      <c r="EW228" s="110"/>
      <c r="EX228" s="110"/>
      <c r="EY228" s="110"/>
      <c r="EZ228" s="110"/>
      <c r="FA228" s="110"/>
      <c r="FB228" s="110"/>
      <c r="FC228" s="110"/>
      <c r="FD228" s="110"/>
      <c r="FE228" s="110"/>
      <c r="FF228" s="110"/>
      <c r="FG228" s="110"/>
      <c r="FH228" s="110"/>
      <c r="FI228" s="110"/>
      <c r="FJ228" s="110"/>
      <c r="FK228" s="110"/>
      <c r="FL228" s="110"/>
      <c r="FM228" s="110"/>
      <c r="FN228" s="110"/>
      <c r="FO228" s="110"/>
      <c r="FP228" s="110"/>
      <c r="FQ228" s="110"/>
      <c r="FR228" s="110"/>
      <c r="FS228" s="110"/>
      <c r="FT228" s="110"/>
      <c r="FU228" s="110"/>
      <c r="FV228" s="110"/>
      <c r="FW228" s="110"/>
      <c r="FX228" s="110"/>
      <c r="FY228" s="110"/>
      <c r="FZ228" s="110"/>
      <c r="GA228" s="110"/>
      <c r="GB228" s="110"/>
      <c r="GC228" s="110"/>
      <c r="GD228" s="110"/>
      <c r="GE228" s="110"/>
      <c r="GF228" s="110"/>
      <c r="GG228" s="110"/>
      <c r="GH228" s="110"/>
      <c r="GI228" s="110"/>
      <c r="GJ228" s="110"/>
      <c r="GK228" s="110"/>
      <c r="GL228" s="110"/>
      <c r="GM228" s="110"/>
      <c r="GN228" s="110"/>
      <c r="GO228" s="110"/>
      <c r="GP228" s="110"/>
      <c r="GQ228" s="110"/>
      <c r="GR228" s="110"/>
      <c r="GS228" s="110"/>
      <c r="GT228" s="110"/>
      <c r="GU228" s="110"/>
      <c r="GV228" s="110"/>
      <c r="GW228" s="110"/>
      <c r="GX228" s="110"/>
      <c r="GY228" s="110"/>
      <c r="GZ228" s="110"/>
      <c r="HA228" s="110"/>
      <c r="HB228" s="110"/>
      <c r="HC228" s="110"/>
      <c r="HD228" s="110"/>
      <c r="HE228" s="110"/>
      <c r="HF228" s="110"/>
      <c r="HG228" s="110"/>
      <c r="HH228" s="110"/>
      <c r="HI228" s="110"/>
      <c r="HJ228" s="110"/>
      <c r="HK228" s="110"/>
      <c r="HL228" s="110"/>
      <c r="HM228" s="110"/>
      <c r="HN228" s="110"/>
      <c r="HO228" s="110"/>
      <c r="HP228" s="110"/>
      <c r="HQ228" s="110"/>
      <c r="HR228" s="110"/>
      <c r="HS228" s="110"/>
    </row>
    <row r="229" spans="1:227">
      <c r="A229" s="61" t="s">
        <v>967</v>
      </c>
      <c r="B229" s="439"/>
      <c r="C229" s="439"/>
      <c r="D229" s="152"/>
      <c r="E229" s="152"/>
    </row>
    <row r="230" spans="1:227">
      <c r="A230" s="61" t="s">
        <v>1249</v>
      </c>
      <c r="B230" s="602"/>
      <c r="C230" s="602"/>
      <c r="D230" s="518"/>
      <c r="E230" s="518"/>
    </row>
    <row r="231" spans="1:227" hidden="1">
      <c r="A231" s="61" t="s">
        <v>1286</v>
      </c>
      <c r="B231" s="602"/>
      <c r="C231" s="602"/>
      <c r="D231" s="518"/>
      <c r="E231" s="518"/>
    </row>
    <row r="232" spans="1:227" hidden="1">
      <c r="A232" s="446" t="s">
        <v>1287</v>
      </c>
      <c r="B232" s="602"/>
      <c r="C232" s="602"/>
      <c r="D232" s="518"/>
      <c r="E232" s="518"/>
    </row>
    <row r="233" spans="1:227" hidden="1">
      <c r="A233" s="61"/>
      <c r="B233" s="439"/>
      <c r="C233" s="439"/>
      <c r="D233" s="152"/>
      <c r="E233" s="152"/>
    </row>
    <row r="234" spans="1:227" hidden="1">
      <c r="A234" s="673" t="s">
        <v>441</v>
      </c>
      <c r="B234" s="602"/>
      <c r="C234" s="602"/>
      <c r="D234" s="518"/>
      <c r="E234" s="518"/>
    </row>
    <row r="235" spans="1:227" hidden="1">
      <c r="A235" s="674" t="s">
        <v>354</v>
      </c>
      <c r="B235" s="602"/>
      <c r="C235" s="602"/>
      <c r="D235" s="518"/>
      <c r="E235" s="518"/>
    </row>
    <row r="236" spans="1:227" hidden="1">
      <c r="A236" s="674" t="s">
        <v>355</v>
      </c>
      <c r="B236" s="602"/>
      <c r="C236" s="110"/>
      <c r="D236" s="518"/>
      <c r="E236" s="518"/>
    </row>
    <row r="237" spans="1:227" hidden="1">
      <c r="A237" s="674" t="s">
        <v>356</v>
      </c>
      <c r="B237" s="602"/>
      <c r="C237" s="110"/>
      <c r="D237" s="518"/>
      <c r="E237" s="518"/>
    </row>
    <row r="238" spans="1:227" hidden="1">
      <c r="A238" s="674" t="s">
        <v>357</v>
      </c>
      <c r="B238" s="603"/>
      <c r="C238" s="110"/>
      <c r="D238" s="519"/>
      <c r="E238" s="519"/>
    </row>
    <row r="239" spans="1:227" hidden="1">
      <c r="A239" s="673" t="s">
        <v>560</v>
      </c>
      <c r="B239" s="99"/>
      <c r="C239" s="110"/>
      <c r="D239" s="88"/>
      <c r="E239" s="88"/>
    </row>
    <row r="240" spans="1:227" hidden="1">
      <c r="A240" s="674" t="s">
        <v>358</v>
      </c>
      <c r="B240" s="99"/>
      <c r="C240" s="99"/>
      <c r="D240" s="88"/>
      <c r="E240" s="88"/>
    </row>
    <row r="241" spans="1:7" hidden="1">
      <c r="A241" s="674" t="s">
        <v>359</v>
      </c>
      <c r="B241" s="439"/>
      <c r="C241" s="439"/>
      <c r="D241" s="152"/>
      <c r="E241" s="152"/>
    </row>
    <row r="242" spans="1:7" hidden="1">
      <c r="A242" s="674" t="s">
        <v>360</v>
      </c>
      <c r="B242" s="603"/>
      <c r="C242" s="603"/>
      <c r="D242" s="519"/>
      <c r="E242" s="519"/>
    </row>
    <row r="243" spans="1:7" hidden="1">
      <c r="A243" s="674" t="s">
        <v>361</v>
      </c>
      <c r="B243" s="603"/>
      <c r="C243" s="603"/>
      <c r="D243" s="519"/>
      <c r="E243" s="519"/>
    </row>
    <row r="244" spans="1:7" hidden="1">
      <c r="A244" s="734" t="s">
        <v>1550</v>
      </c>
      <c r="B244" s="603"/>
      <c r="C244" s="603"/>
      <c r="D244" s="519"/>
      <c r="E244" s="519"/>
    </row>
    <row r="245" spans="1:7">
      <c r="A245" s="140"/>
      <c r="B245" s="603"/>
      <c r="C245" s="603"/>
      <c r="D245" s="519"/>
      <c r="E245" s="519"/>
    </row>
    <row r="246" spans="1:7">
      <c r="A246" s="140"/>
      <c r="B246" s="603"/>
      <c r="C246" s="603"/>
      <c r="D246" s="519"/>
      <c r="E246" s="519"/>
    </row>
    <row r="247" spans="1:7">
      <c r="A247" s="140"/>
      <c r="B247" s="603"/>
      <c r="C247" s="603"/>
      <c r="D247" s="519"/>
      <c r="E247" s="519"/>
    </row>
    <row r="248" spans="1:7">
      <c r="A248" s="140"/>
      <c r="B248" s="603"/>
      <c r="C248" s="603"/>
      <c r="D248" s="519"/>
      <c r="E248" s="519"/>
    </row>
    <row r="249" spans="1:7">
      <c r="A249" s="140"/>
      <c r="B249" s="603"/>
      <c r="C249" s="603"/>
      <c r="D249" s="519"/>
      <c r="E249" s="519"/>
    </row>
    <row r="250" spans="1:7">
      <c r="A250" s="140"/>
      <c r="B250" s="603"/>
      <c r="C250" s="603"/>
      <c r="D250" s="519"/>
      <c r="E250" s="519"/>
    </row>
    <row r="251" spans="1:7">
      <c r="A251" s="140"/>
      <c r="B251" s="603"/>
      <c r="C251" s="603"/>
      <c r="D251" s="519"/>
      <c r="E251" s="519"/>
    </row>
    <row r="252" spans="1:7">
      <c r="A252" s="140"/>
      <c r="B252" s="603"/>
      <c r="C252" s="603"/>
      <c r="D252" s="519"/>
      <c r="E252" s="519"/>
    </row>
    <row r="253" spans="1:7">
      <c r="A253" s="140"/>
      <c r="B253" s="603"/>
      <c r="C253" s="603"/>
      <c r="D253" s="519"/>
      <c r="E253" s="519"/>
    </row>
    <row r="254" spans="1:7">
      <c r="A254" s="141"/>
      <c r="B254" s="604"/>
      <c r="C254" s="604"/>
      <c r="D254" s="141"/>
      <c r="E254" s="141"/>
      <c r="F254" s="142"/>
      <c r="G254" s="142"/>
    </row>
    <row r="255" spans="1:7">
      <c r="A255" s="141"/>
      <c r="B255" s="604"/>
      <c r="C255" s="604"/>
      <c r="D255" s="141"/>
      <c r="E255" s="141"/>
      <c r="F255" s="142"/>
      <c r="G255" s="142"/>
    </row>
    <row r="256" spans="1:7">
      <c r="A256" s="141"/>
      <c r="B256" s="604"/>
      <c r="C256" s="604"/>
      <c r="D256" s="141"/>
      <c r="E256" s="141"/>
      <c r="F256" s="142"/>
      <c r="G256" s="142"/>
    </row>
    <row r="257" spans="1:7">
      <c r="A257" s="141"/>
      <c r="B257" s="604"/>
      <c r="C257" s="604"/>
      <c r="D257" s="141"/>
      <c r="E257" s="141"/>
      <c r="F257" s="142"/>
      <c r="G257" s="142"/>
    </row>
    <row r="258" spans="1:7">
      <c r="A258" s="141"/>
      <c r="B258" s="604"/>
      <c r="C258" s="604"/>
      <c r="D258" s="141"/>
      <c r="E258" s="141"/>
      <c r="F258" s="142"/>
      <c r="G258" s="142"/>
    </row>
    <row r="259" spans="1:7">
      <c r="A259" s="141"/>
      <c r="B259" s="604"/>
      <c r="C259" s="604"/>
      <c r="D259" s="141"/>
      <c r="E259" s="141"/>
      <c r="F259" s="142"/>
      <c r="G259" s="142"/>
    </row>
  </sheetData>
  <sheetProtection algorithmName="SHA-512" hashValue="PfhMHh6bhGsEpOlzbtv6QyFJ7A0XBbLycvOh+qLej1r89U2mSIEPA+17HuISjVrc13FQ3wC4XTIcA9iWGw3LGg==" saltValue="CklCEpUv7FEUzNg1GQeqFQ==" spinCount="100000" sheet="1" objects="1" scenarios="1"/>
  <protectedRanges>
    <protectedRange sqref="E6:E7 E10 E14 E16:E17 E25 E152 E162:E165" name="Range2"/>
    <protectedRange sqref="H4:H33 H182 H184:H202 H204 H206:H213 H170:H180 H35:H98 H100:H168" name="Range1"/>
  </protectedRanges>
  <customSheetViews>
    <customSheetView guid="{4E720B7F-6A3C-4034-90A5-B2BF7A394FC0}" showPageBreaks="1" printArea="1">
      <pane xSplit="1" ySplit="2" topLeftCell="B3" activePane="bottomRight" state="frozen"/>
      <selection pane="bottomRight" activeCell="D1" sqref="D1:D2"/>
      <pageMargins left="0.5" right="0.5" top="0.5" bottom="0.4" header="0.3" footer="0.2"/>
      <printOptions gridLines="1"/>
      <pageSetup scale="95" fitToHeight="4" orientation="landscape" r:id="rId1"/>
      <headerFooter alignWithMargins="0">
        <oddHeader>&amp;C&amp;"Arial,Bold"Residential/Recreational Worksheet</oddHeader>
        <oddFooter>&amp;LDecember 2018&amp;R&amp;P of &amp;N</oddFooter>
      </headerFooter>
    </customSheetView>
    <customSheetView guid="{23DC26AF-9753-4BD2-80DE-415E6324C52C}">
      <pane xSplit="1" ySplit="2" topLeftCell="B35" activePane="bottomRight" state="frozen"/>
      <selection pane="bottomRight" activeCell="D1" sqref="D1:D2"/>
      <pageMargins left="0.5" right="0.5" top="0.5" bottom="0.4" header="0.3" footer="0.2"/>
      <printOptions gridLines="1"/>
      <pageSetup scale="95" fitToHeight="4" orientation="landscape" r:id="rId2"/>
      <headerFooter alignWithMargins="0">
        <oddHeader>&amp;C&amp;"Arial,Bold"Residential/Recreational Worksheet</oddHeader>
        <oddFooter>&amp;LDecember 2018&amp;R&amp;P of &amp;N</oddFooter>
      </headerFooter>
    </customSheetView>
  </customSheetViews>
  <mergeCells count="13">
    <mergeCell ref="U1:U2"/>
    <mergeCell ref="A214:I214"/>
    <mergeCell ref="J1:J2"/>
    <mergeCell ref="K1:T1"/>
    <mergeCell ref="F1:F2"/>
    <mergeCell ref="G1:G2"/>
    <mergeCell ref="H1:H2"/>
    <mergeCell ref="I1:I2"/>
    <mergeCell ref="A1:A2"/>
    <mergeCell ref="B1:B2"/>
    <mergeCell ref="C1:C2"/>
    <mergeCell ref="D1:D2"/>
    <mergeCell ref="E1:E2"/>
  </mergeCells>
  <phoneticPr fontId="1" type="noConversion"/>
  <printOptions gridLines="1"/>
  <pageMargins left="0.5" right="0.5" top="0.5" bottom="0.4" header="0.3" footer="0.2"/>
  <pageSetup scale="95" fitToHeight="4" orientation="landscape" r:id="rId3"/>
  <headerFooter alignWithMargins="0">
    <oddHeader>&amp;C&amp;"Arial,Bold"Residential/Recreational Worksheet</oddHeader>
    <oddFooter>&amp;LApril 2026&amp;R&amp;P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4" tint="-0.249977111117893"/>
  </sheetPr>
  <dimension ref="A1:S244"/>
  <sheetViews>
    <sheetView workbookViewId="0">
      <selection activeCell="D28" sqref="D28"/>
    </sheetView>
  </sheetViews>
  <sheetFormatPr defaultRowHeight="12.5"/>
  <cols>
    <col min="1" max="1" width="46.54296875" customWidth="1"/>
    <col min="2" max="2" width="17" style="24" customWidth="1"/>
    <col min="3" max="3" width="14.1796875" style="24" customWidth="1"/>
    <col min="4" max="4" width="46" customWidth="1"/>
    <col min="10" max="10" width="18.54296875" customWidth="1"/>
    <col min="12" max="12" width="9.54296875" customWidth="1"/>
    <col min="16" max="16" width="10.453125" customWidth="1"/>
  </cols>
  <sheetData>
    <row r="1" spans="1:19" ht="15.5">
      <c r="A1" s="48" t="s">
        <v>696</v>
      </c>
      <c r="J1" s="474" t="s">
        <v>782</v>
      </c>
      <c r="K1" s="1"/>
      <c r="L1" s="1"/>
      <c r="M1" s="1"/>
      <c r="N1" s="1"/>
      <c r="O1" s="1"/>
      <c r="P1" s="1"/>
      <c r="Q1" s="1"/>
      <c r="R1" s="1"/>
      <c r="S1" s="1"/>
    </row>
    <row r="2" spans="1:19" ht="13">
      <c r="J2" s="1" t="s">
        <v>776</v>
      </c>
      <c r="K2" s="1"/>
      <c r="L2" s="1"/>
      <c r="M2" s="1"/>
      <c r="N2" s="1"/>
      <c r="O2" s="1"/>
      <c r="P2" s="1"/>
      <c r="Q2" s="1"/>
      <c r="R2" s="1"/>
      <c r="S2" s="1"/>
    </row>
    <row r="3" spans="1:19" ht="12.75" customHeight="1">
      <c r="A3" s="25" t="s">
        <v>681</v>
      </c>
      <c r="J3" s="802" t="s">
        <v>332</v>
      </c>
      <c r="K3" s="804" t="s">
        <v>773</v>
      </c>
      <c r="L3" s="850"/>
      <c r="M3" s="850"/>
      <c r="N3" s="850"/>
      <c r="O3" s="850"/>
      <c r="P3" s="850"/>
      <c r="Q3" s="851"/>
      <c r="R3" s="640"/>
      <c r="S3" s="640"/>
    </row>
    <row r="4" spans="1:19" ht="12.75" customHeight="1">
      <c r="J4" s="803"/>
      <c r="K4" s="796" t="s">
        <v>856</v>
      </c>
      <c r="L4" s="796" t="s">
        <v>857</v>
      </c>
      <c r="M4" s="796" t="s">
        <v>858</v>
      </c>
      <c r="N4" s="796" t="s">
        <v>859</v>
      </c>
      <c r="O4" s="796" t="s">
        <v>860</v>
      </c>
      <c r="P4" s="798" t="s">
        <v>861</v>
      </c>
      <c r="Q4" s="798" t="s">
        <v>862</v>
      </c>
      <c r="R4" s="639"/>
      <c r="S4" s="639"/>
    </row>
    <row r="5" spans="1:19" ht="12.75" customHeight="1">
      <c r="J5" s="803"/>
      <c r="K5" s="797"/>
      <c r="L5" s="797"/>
      <c r="M5" s="797"/>
      <c r="N5" s="797"/>
      <c r="O5" s="797"/>
      <c r="P5" s="797"/>
      <c r="Q5" s="797"/>
      <c r="R5" s="639"/>
      <c r="S5" s="639"/>
    </row>
    <row r="6" spans="1:19">
      <c r="J6" s="26" t="s">
        <v>725</v>
      </c>
      <c r="K6" s="364">
        <v>0.13600000000000001</v>
      </c>
      <c r="L6" s="364">
        <v>0.314</v>
      </c>
      <c r="M6" s="364">
        <v>0.107</v>
      </c>
      <c r="N6" s="364">
        <v>0.68200000000000005</v>
      </c>
      <c r="O6" s="364">
        <v>0.13700000000000001</v>
      </c>
      <c r="P6" s="463">
        <f>K15</f>
        <v>0.14799999999999999</v>
      </c>
      <c r="Q6" s="463">
        <f>K16</f>
        <v>0.26800000000000002</v>
      </c>
      <c r="R6" s="361"/>
      <c r="S6" s="361"/>
    </row>
    <row r="7" spans="1:19">
      <c r="J7" s="26" t="s">
        <v>726</v>
      </c>
      <c r="K7" s="364">
        <v>0.114</v>
      </c>
      <c r="L7" s="364">
        <v>0.23699999999999999</v>
      </c>
      <c r="M7" s="364">
        <v>8.8900000000000007E-2</v>
      </c>
      <c r="N7" s="364">
        <v>0.59799999999999998</v>
      </c>
      <c r="O7" s="364">
        <v>0.122</v>
      </c>
      <c r="P7" s="463">
        <f>N15</f>
        <v>0.11138999999999999</v>
      </c>
      <c r="Q7" s="463">
        <f>N16</f>
        <v>0.23322000000000001</v>
      </c>
      <c r="R7" s="361"/>
      <c r="S7" s="361"/>
    </row>
    <row r="8" spans="1:19">
      <c r="J8" s="26" t="s">
        <v>740</v>
      </c>
      <c r="K8" s="364">
        <f>AVERAGE(K6:K7)</f>
        <v>0.125</v>
      </c>
      <c r="L8" s="364">
        <f t="shared" ref="L8:Q8" si="0">AVERAGE(L6:L7)</f>
        <v>0.27549999999999997</v>
      </c>
      <c r="M8" s="364">
        <f t="shared" si="0"/>
        <v>9.7950000000000009E-2</v>
      </c>
      <c r="N8" s="364">
        <f t="shared" si="0"/>
        <v>0.64</v>
      </c>
      <c r="O8" s="364">
        <f t="shared" si="0"/>
        <v>0.1295</v>
      </c>
      <c r="P8" s="463">
        <f t="shared" si="0"/>
        <v>0.129695</v>
      </c>
      <c r="Q8" s="463">
        <f t="shared" si="0"/>
        <v>0.25061</v>
      </c>
      <c r="R8" s="361"/>
      <c r="S8" s="361"/>
    </row>
    <row r="9" spans="1:19">
      <c r="J9" s="26" t="s">
        <v>724</v>
      </c>
      <c r="K9" s="364">
        <v>7.4999999999999997E-2</v>
      </c>
      <c r="L9" s="364">
        <v>0.26900000000000002</v>
      </c>
      <c r="M9" s="364">
        <v>8.3000000000000004E-2</v>
      </c>
      <c r="N9" s="364">
        <v>0.54300000000000004</v>
      </c>
      <c r="O9" s="364">
        <v>0.112</v>
      </c>
      <c r="P9" s="463">
        <v>0.10222000000000001</v>
      </c>
      <c r="Q9" s="463">
        <v>0.21177000000000001</v>
      </c>
      <c r="R9" s="365" t="s">
        <v>1037</v>
      </c>
      <c r="S9" s="361"/>
    </row>
    <row r="10" spans="1:19">
      <c r="J10" s="26" t="s">
        <v>799</v>
      </c>
      <c r="K10" s="364">
        <f>((K8*5)+(K9*5))/10</f>
        <v>0.1</v>
      </c>
      <c r="L10" s="364">
        <f t="shared" ref="L10:Q10" si="1">((L8*5)+(L9*5))/10</f>
        <v>0.27224999999999999</v>
      </c>
      <c r="M10" s="364">
        <f t="shared" si="1"/>
        <v>9.0475E-2</v>
      </c>
      <c r="N10" s="364">
        <f t="shared" si="1"/>
        <v>0.59150000000000014</v>
      </c>
      <c r="O10" s="364">
        <f t="shared" si="1"/>
        <v>0.12075</v>
      </c>
      <c r="P10" s="463">
        <f t="shared" si="1"/>
        <v>0.11595750000000001</v>
      </c>
      <c r="Q10" s="463">
        <f t="shared" si="1"/>
        <v>0.23119000000000001</v>
      </c>
      <c r="R10" s="365"/>
      <c r="S10" s="361"/>
    </row>
    <row r="11" spans="1:19" ht="15" thickBot="1">
      <c r="J11" s="464" t="s">
        <v>1116</v>
      </c>
      <c r="K11" s="448"/>
      <c r="L11" s="448"/>
      <c r="M11" s="448"/>
      <c r="N11" s="448"/>
      <c r="O11" s="448"/>
      <c r="P11" s="465"/>
      <c r="Q11" s="465"/>
      <c r="R11" s="361"/>
      <c r="S11" s="361"/>
    </row>
    <row r="12" spans="1:19" ht="14" thickTop="1" thickBot="1">
      <c r="A12" s="37" t="s">
        <v>245</v>
      </c>
      <c r="B12" s="38" t="s">
        <v>246</v>
      </c>
      <c r="C12" s="38" t="s">
        <v>247</v>
      </c>
      <c r="D12" s="39" t="s">
        <v>248</v>
      </c>
      <c r="J12" s="158"/>
      <c r="K12" s="361"/>
      <c r="L12" s="361"/>
      <c r="M12" s="361"/>
      <c r="N12" s="361"/>
      <c r="O12" s="361"/>
      <c r="P12" s="361"/>
      <c r="Q12" s="361"/>
      <c r="R12" s="361"/>
      <c r="S12" s="1"/>
    </row>
    <row r="13" spans="1:19" ht="13.5" thickTop="1">
      <c r="A13" s="532" t="s">
        <v>275</v>
      </c>
      <c r="B13" s="534">
        <v>1.0000000000000001E-5</v>
      </c>
      <c r="C13" s="531" t="s">
        <v>249</v>
      </c>
      <c r="D13" s="533" t="s">
        <v>273</v>
      </c>
      <c r="J13" s="475" t="s">
        <v>855</v>
      </c>
      <c r="K13" s="1"/>
      <c r="L13" s="1"/>
      <c r="M13" s="1"/>
      <c r="N13" s="1"/>
      <c r="O13" s="1"/>
      <c r="P13" s="1"/>
      <c r="Q13" s="1"/>
      <c r="R13" s="1"/>
      <c r="S13" s="478"/>
    </row>
    <row r="14" spans="1:19" ht="28">
      <c r="A14" s="29" t="s">
        <v>250</v>
      </c>
      <c r="B14" s="28">
        <f>70*365</f>
        <v>25550</v>
      </c>
      <c r="C14" s="26" t="s">
        <v>251</v>
      </c>
      <c r="D14" s="30" t="s">
        <v>274</v>
      </c>
      <c r="J14" s="476" t="s">
        <v>736</v>
      </c>
      <c r="K14" s="477" t="s">
        <v>863</v>
      </c>
      <c r="L14" s="477" t="s">
        <v>777</v>
      </c>
      <c r="M14" s="477" t="s">
        <v>778</v>
      </c>
      <c r="N14" s="477" t="s">
        <v>864</v>
      </c>
      <c r="O14" s="478"/>
      <c r="P14" s="478"/>
      <c r="Q14" s="478"/>
      <c r="R14" s="478"/>
      <c r="S14" s="478"/>
    </row>
    <row r="15" spans="1:19" ht="13">
      <c r="A15" s="29" t="s">
        <v>252</v>
      </c>
      <c r="B15" s="188" t="s">
        <v>958</v>
      </c>
      <c r="C15" s="26" t="s">
        <v>253</v>
      </c>
      <c r="D15" s="30" t="s">
        <v>254</v>
      </c>
      <c r="J15" s="469" t="s">
        <v>737</v>
      </c>
      <c r="K15" s="26">
        <v>0.14799999999999999</v>
      </c>
      <c r="L15" s="470">
        <f>K15/L6</f>
        <v>0.47133757961783435</v>
      </c>
      <c r="M15" s="471">
        <v>0.47</v>
      </c>
      <c r="N15" s="359">
        <f>L7*M15</f>
        <v>0.11138999999999999</v>
      </c>
      <c r="O15" s="478"/>
      <c r="P15" s="478"/>
      <c r="Q15" s="478"/>
      <c r="R15" s="478"/>
      <c r="S15" s="158"/>
    </row>
    <row r="16" spans="1:19" ht="12.75" customHeight="1">
      <c r="A16" s="29" t="s">
        <v>969</v>
      </c>
      <c r="B16" s="188" t="s">
        <v>958</v>
      </c>
      <c r="C16" s="26" t="s">
        <v>249</v>
      </c>
      <c r="D16" s="30" t="s">
        <v>254</v>
      </c>
      <c r="J16" s="469" t="s">
        <v>738</v>
      </c>
      <c r="K16" s="26">
        <v>0.26800000000000002</v>
      </c>
      <c r="L16" s="470">
        <f>K16/N6</f>
        <v>0.39296187683284456</v>
      </c>
      <c r="M16" s="470">
        <v>0.39</v>
      </c>
      <c r="N16" s="359">
        <f>N7*M16</f>
        <v>0.23322000000000001</v>
      </c>
      <c r="O16" s="158"/>
      <c r="P16" s="158"/>
      <c r="Q16" s="158"/>
      <c r="R16" s="158"/>
      <c r="S16" s="1"/>
    </row>
    <row r="17" spans="1:19" ht="12.75" customHeight="1">
      <c r="A17" s="29" t="s">
        <v>551</v>
      </c>
      <c r="B17" s="188">
        <v>250</v>
      </c>
      <c r="C17" s="26" t="s">
        <v>263</v>
      </c>
      <c r="D17" s="30" t="s">
        <v>974</v>
      </c>
      <c r="J17" s="1"/>
      <c r="K17" s="1"/>
      <c r="L17" s="1"/>
      <c r="M17" s="1"/>
      <c r="N17" s="1"/>
      <c r="O17" s="1"/>
      <c r="P17" s="1"/>
      <c r="Q17" s="1"/>
      <c r="R17" s="1"/>
      <c r="S17" s="1"/>
    </row>
    <row r="18" spans="1:19" ht="13">
      <c r="A18" s="29" t="s">
        <v>552</v>
      </c>
      <c r="B18" s="188">
        <v>180</v>
      </c>
      <c r="C18" s="26" t="s">
        <v>263</v>
      </c>
      <c r="D18" s="30" t="s">
        <v>974</v>
      </c>
      <c r="J18" s="479" t="s">
        <v>865</v>
      </c>
      <c r="K18" s="1"/>
      <c r="L18" s="1"/>
      <c r="M18" s="1"/>
      <c r="N18" s="1"/>
      <c r="O18" s="1"/>
      <c r="P18" s="1"/>
      <c r="Q18" s="1"/>
      <c r="R18" s="1"/>
      <c r="S18" s="1"/>
    </row>
    <row r="19" spans="1:19" ht="13">
      <c r="A19" s="29" t="s">
        <v>553</v>
      </c>
      <c r="B19" s="188">
        <v>180</v>
      </c>
      <c r="C19" s="26" t="s">
        <v>263</v>
      </c>
      <c r="D19" s="30" t="s">
        <v>974</v>
      </c>
      <c r="J19" s="791" t="s">
        <v>332</v>
      </c>
      <c r="K19" s="791" t="s">
        <v>759</v>
      </c>
      <c r="L19" s="791" t="s">
        <v>760</v>
      </c>
      <c r="M19" s="791" t="s">
        <v>761</v>
      </c>
      <c r="N19" s="791" t="s">
        <v>762</v>
      </c>
      <c r="O19" s="791" t="s">
        <v>763</v>
      </c>
      <c r="P19" s="788" t="s">
        <v>764</v>
      </c>
      <c r="Q19" s="466"/>
      <c r="R19" s="1"/>
      <c r="S19" s="4"/>
    </row>
    <row r="20" spans="1:19" ht="13">
      <c r="A20" s="29" t="s">
        <v>554</v>
      </c>
      <c r="B20" s="188">
        <v>180</v>
      </c>
      <c r="C20" s="26" t="s">
        <v>263</v>
      </c>
      <c r="D20" s="30" t="s">
        <v>974</v>
      </c>
      <c r="J20" s="792"/>
      <c r="K20" s="792"/>
      <c r="L20" s="792"/>
      <c r="M20" s="792"/>
      <c r="N20" s="792"/>
      <c r="O20" s="792"/>
      <c r="P20" s="789"/>
      <c r="Q20" s="472"/>
      <c r="R20" s="362"/>
      <c r="S20" s="4"/>
    </row>
    <row r="21" spans="1:19" ht="12.75" customHeight="1">
      <c r="A21" s="29" t="s">
        <v>1001</v>
      </c>
      <c r="B21" s="471">
        <f>10/24</f>
        <v>0.41666666666666669</v>
      </c>
      <c r="C21" s="26" t="s">
        <v>1038</v>
      </c>
      <c r="D21" s="30" t="s">
        <v>1035</v>
      </c>
      <c r="E21" s="1"/>
      <c r="J21" s="793"/>
      <c r="K21" s="793"/>
      <c r="L21" s="793"/>
      <c r="M21" s="793"/>
      <c r="N21" s="793"/>
      <c r="O21" s="793"/>
      <c r="P21" s="790"/>
      <c r="Q21" s="472"/>
      <c r="R21" s="362"/>
      <c r="S21" s="453"/>
    </row>
    <row r="22" spans="1:19" ht="12.75" customHeight="1">
      <c r="A22" s="29" t="s">
        <v>255</v>
      </c>
      <c r="B22" s="148">
        <v>9.9999999999999995E-7</v>
      </c>
      <c r="C22" s="26" t="s">
        <v>706</v>
      </c>
      <c r="D22" s="30" t="s">
        <v>707</v>
      </c>
      <c r="E22" s="1"/>
      <c r="J22" s="26" t="s">
        <v>722</v>
      </c>
      <c r="K22" s="60">
        <v>1250</v>
      </c>
      <c r="L22" s="60">
        <v>1297</v>
      </c>
      <c r="M22" s="60">
        <v>980</v>
      </c>
      <c r="N22" s="60">
        <v>2505</v>
      </c>
      <c r="O22" s="60">
        <v>1295</v>
      </c>
      <c r="P22" s="363">
        <f>SUM(K22:O22)</f>
        <v>7327</v>
      </c>
      <c r="Q22" s="365"/>
      <c r="R22" s="365"/>
      <c r="S22" s="453"/>
    </row>
    <row r="23" spans="1:19" ht="13">
      <c r="A23" s="29" t="s">
        <v>704</v>
      </c>
      <c r="B23" s="148">
        <v>1000</v>
      </c>
      <c r="C23" s="26" t="s">
        <v>705</v>
      </c>
      <c r="D23" s="30" t="s">
        <v>707</v>
      </c>
      <c r="E23" s="1"/>
      <c r="J23" s="26" t="s">
        <v>722</v>
      </c>
      <c r="K23" s="60">
        <v>1250</v>
      </c>
      <c r="L23" s="60">
        <v>1297</v>
      </c>
      <c r="M23" s="60">
        <v>980</v>
      </c>
      <c r="N23" s="60">
        <v>2505</v>
      </c>
      <c r="O23" s="60" t="s">
        <v>31</v>
      </c>
      <c r="P23" s="363">
        <f>SUM(K23:O23)</f>
        <v>6032</v>
      </c>
      <c r="Q23" s="365"/>
      <c r="R23" s="365"/>
      <c r="S23" s="453"/>
    </row>
    <row r="24" spans="1:19" ht="13">
      <c r="A24" s="29" t="s">
        <v>256</v>
      </c>
      <c r="B24" s="200">
        <v>25</v>
      </c>
      <c r="C24" s="26" t="s">
        <v>257</v>
      </c>
      <c r="D24" s="30" t="s">
        <v>715</v>
      </c>
      <c r="J24" s="26" t="s">
        <v>780</v>
      </c>
      <c r="K24" s="60">
        <v>1250</v>
      </c>
      <c r="L24" s="60">
        <v>1297</v>
      </c>
      <c r="M24" s="60">
        <v>980</v>
      </c>
      <c r="N24" s="60" t="s">
        <v>31</v>
      </c>
      <c r="O24" s="60" t="s">
        <v>31</v>
      </c>
      <c r="P24" s="363">
        <f>SUM(K24:O24)</f>
        <v>3527</v>
      </c>
      <c r="Q24" s="365"/>
      <c r="R24" s="365"/>
      <c r="S24" s="453"/>
    </row>
    <row r="25" spans="1:19" ht="13">
      <c r="A25" s="29" t="s">
        <v>259</v>
      </c>
      <c r="B25" s="535">
        <v>100</v>
      </c>
      <c r="C25" s="26" t="s">
        <v>260</v>
      </c>
      <c r="D25" s="30" t="s">
        <v>715</v>
      </c>
      <c r="J25" s="26" t="s">
        <v>724</v>
      </c>
      <c r="K25" s="60">
        <v>750</v>
      </c>
      <c r="L25" s="60">
        <v>1022</v>
      </c>
      <c r="M25" s="60">
        <v>830</v>
      </c>
      <c r="N25" s="60">
        <v>2118</v>
      </c>
      <c r="O25" s="60">
        <v>1120</v>
      </c>
      <c r="P25" s="363">
        <f>SUM(K25:O25)</f>
        <v>5840</v>
      </c>
      <c r="Q25" s="365" t="s">
        <v>1037</v>
      </c>
      <c r="R25" s="365"/>
      <c r="S25" s="453"/>
    </row>
    <row r="26" spans="1:19" ht="12.75" customHeight="1">
      <c r="A26" s="41" t="s">
        <v>261</v>
      </c>
      <c r="B26" s="27">
        <v>80</v>
      </c>
      <c r="C26" s="42" t="s">
        <v>262</v>
      </c>
      <c r="D26" s="30" t="s">
        <v>715</v>
      </c>
      <c r="J26" s="26" t="s">
        <v>799</v>
      </c>
      <c r="K26" s="60">
        <v>1000</v>
      </c>
      <c r="L26" s="60">
        <v>1160</v>
      </c>
      <c r="M26" s="60">
        <v>905</v>
      </c>
      <c r="N26" s="60">
        <v>2312</v>
      </c>
      <c r="O26" s="60">
        <v>1208</v>
      </c>
      <c r="P26" s="363">
        <f>SUM(K26:O26)</f>
        <v>6585</v>
      </c>
      <c r="Q26" s="365"/>
      <c r="R26" s="365"/>
      <c r="S26" s="473"/>
    </row>
    <row r="27" spans="1:19" ht="14.5">
      <c r="A27" s="43" t="s">
        <v>708</v>
      </c>
      <c r="B27" s="188" t="s">
        <v>958</v>
      </c>
      <c r="C27" s="26" t="s">
        <v>249</v>
      </c>
      <c r="D27" s="30" t="s">
        <v>254</v>
      </c>
      <c r="J27" s="473" t="s">
        <v>866</v>
      </c>
      <c r="K27" s="473"/>
      <c r="L27" s="473"/>
      <c r="M27" s="473"/>
      <c r="N27" s="473"/>
      <c r="O27" s="473"/>
      <c r="P27" s="473"/>
      <c r="Q27" s="473"/>
      <c r="R27" s="473"/>
      <c r="S27" s="473"/>
    </row>
    <row r="28" spans="1:19" ht="14.5">
      <c r="A28" s="44" t="s">
        <v>555</v>
      </c>
      <c r="B28" s="614" t="s">
        <v>958</v>
      </c>
      <c r="C28" s="45" t="s">
        <v>249</v>
      </c>
      <c r="D28" s="46" t="s">
        <v>254</v>
      </c>
      <c r="J28" s="473" t="s">
        <v>1117</v>
      </c>
      <c r="K28" s="473"/>
      <c r="L28" s="473"/>
      <c r="M28" s="473"/>
      <c r="N28" s="473"/>
      <c r="O28" s="473"/>
      <c r="P28" s="473"/>
      <c r="Q28" s="473"/>
      <c r="R28" s="473"/>
      <c r="S28" s="473"/>
    </row>
    <row r="29" spans="1:19" ht="14.5">
      <c r="A29" s="43" t="s">
        <v>666</v>
      </c>
      <c r="B29" s="196">
        <v>0.12</v>
      </c>
      <c r="C29" s="26" t="s">
        <v>268</v>
      </c>
      <c r="D29" s="30" t="s">
        <v>715</v>
      </c>
      <c r="J29" s="473"/>
      <c r="K29" s="473"/>
      <c r="L29" s="473"/>
      <c r="M29" s="473"/>
      <c r="N29" s="473"/>
      <c r="O29" s="473"/>
      <c r="P29" s="473"/>
      <c r="Q29" s="473"/>
      <c r="R29" s="473"/>
    </row>
    <row r="30" spans="1:19" ht="14.5">
      <c r="A30" s="29" t="s">
        <v>484</v>
      </c>
      <c r="B30" s="60">
        <f>P24</f>
        <v>3527</v>
      </c>
      <c r="C30" s="26" t="s">
        <v>267</v>
      </c>
      <c r="D30" s="30" t="s">
        <v>976</v>
      </c>
    </row>
    <row r="31" spans="1:19">
      <c r="A31" s="47" t="s">
        <v>276</v>
      </c>
      <c r="B31" s="615" t="s">
        <v>958</v>
      </c>
      <c r="C31" s="35" t="s">
        <v>562</v>
      </c>
      <c r="D31" s="46" t="s">
        <v>254</v>
      </c>
    </row>
    <row r="32" spans="1:19" ht="14.5">
      <c r="A32" s="29" t="s">
        <v>785</v>
      </c>
      <c r="B32" s="26" t="s">
        <v>958</v>
      </c>
      <c r="C32" s="26" t="s">
        <v>272</v>
      </c>
      <c r="D32" s="30" t="s">
        <v>989</v>
      </c>
    </row>
    <row r="33" spans="1:18" ht="15" thickBot="1">
      <c r="A33" s="31" t="s">
        <v>713</v>
      </c>
      <c r="B33" s="87">
        <f>1/(('Com-Ind Equations'!$B$123*3600)/((0.036*(1-'Com-Ind Equations'!$B$124))*('Com-Ind Equations'!$B$125/'Com-Ind Equations'!$B$126)^3*'Com-Ind Equations'!$B$127))</f>
        <v>1.4713536180231943E-9</v>
      </c>
      <c r="C33" s="32" t="s">
        <v>272</v>
      </c>
      <c r="D33" s="33" t="s">
        <v>269</v>
      </c>
    </row>
    <row r="34" spans="1:18" ht="13" thickTop="1"/>
    <row r="36" spans="1:18" ht="13">
      <c r="A36" s="25" t="s">
        <v>843</v>
      </c>
    </row>
    <row r="43" spans="1:18" ht="14.25" customHeight="1" thickBot="1"/>
    <row r="44" spans="1:18" ht="14" thickTop="1" thickBot="1">
      <c r="A44" s="37" t="s">
        <v>245</v>
      </c>
      <c r="B44" s="38" t="s">
        <v>246</v>
      </c>
      <c r="C44" s="38" t="s">
        <v>247</v>
      </c>
      <c r="D44" s="39" t="s">
        <v>248</v>
      </c>
    </row>
    <row r="45" spans="1:18" ht="13" thickTop="1">
      <c r="A45" s="34" t="s">
        <v>700</v>
      </c>
      <c r="B45" s="536">
        <v>0.2</v>
      </c>
      <c r="C45" s="35" t="s">
        <v>249</v>
      </c>
      <c r="D45" s="36" t="s">
        <v>588</v>
      </c>
    </row>
    <row r="46" spans="1:18">
      <c r="A46" s="29" t="s">
        <v>259</v>
      </c>
      <c r="B46" s="537">
        <v>100</v>
      </c>
      <c r="C46" s="26" t="s">
        <v>260</v>
      </c>
      <c r="D46" s="30" t="s">
        <v>715</v>
      </c>
      <c r="G46" s="1"/>
    </row>
    <row r="47" spans="1:18" s="1" customFormat="1">
      <c r="A47" s="29" t="s">
        <v>969</v>
      </c>
      <c r="B47" s="188" t="s">
        <v>958</v>
      </c>
      <c r="C47" s="26" t="s">
        <v>249</v>
      </c>
      <c r="D47" s="30" t="s">
        <v>254</v>
      </c>
      <c r="E47"/>
      <c r="F47"/>
      <c r="G47"/>
      <c r="J47"/>
      <c r="K47"/>
      <c r="L47"/>
      <c r="M47"/>
      <c r="N47"/>
      <c r="O47"/>
      <c r="P47"/>
      <c r="Q47"/>
      <c r="R47"/>
    </row>
    <row r="48" spans="1:18">
      <c r="A48" s="29" t="s">
        <v>255</v>
      </c>
      <c r="B48" s="40">
        <v>9.9999999999999995E-7</v>
      </c>
      <c r="C48" s="26" t="s">
        <v>706</v>
      </c>
      <c r="D48" s="30" t="s">
        <v>707</v>
      </c>
      <c r="F48" s="616"/>
      <c r="J48" s="1"/>
      <c r="K48" s="1"/>
      <c r="L48" s="1"/>
      <c r="M48" s="1"/>
      <c r="N48" s="1"/>
      <c r="O48" s="1"/>
      <c r="P48" s="1"/>
      <c r="Q48" s="1"/>
      <c r="R48" s="1"/>
    </row>
    <row r="49" spans="1:18">
      <c r="A49" s="29" t="s">
        <v>256</v>
      </c>
      <c r="B49" s="200">
        <v>25</v>
      </c>
      <c r="C49" s="26" t="s">
        <v>257</v>
      </c>
      <c r="D49" s="30" t="s">
        <v>715</v>
      </c>
    </row>
    <row r="50" spans="1:18" ht="13">
      <c r="A50" s="29" t="s">
        <v>551</v>
      </c>
      <c r="B50" s="200">
        <v>250</v>
      </c>
      <c r="C50" s="26" t="s">
        <v>263</v>
      </c>
      <c r="D50" s="30" t="s">
        <v>974</v>
      </c>
    </row>
    <row r="51" spans="1:18" ht="13">
      <c r="A51" s="29" t="s">
        <v>552</v>
      </c>
      <c r="B51" s="200">
        <v>180</v>
      </c>
      <c r="C51" s="26" t="s">
        <v>263</v>
      </c>
      <c r="D51" s="30" t="s">
        <v>974</v>
      </c>
    </row>
    <row r="52" spans="1:18">
      <c r="A52" s="29" t="s">
        <v>553</v>
      </c>
      <c r="B52" s="200">
        <v>180</v>
      </c>
      <c r="C52" s="26" t="s">
        <v>263</v>
      </c>
      <c r="D52" s="30" t="s">
        <v>974</v>
      </c>
    </row>
    <row r="53" spans="1:18">
      <c r="A53" s="29" t="s">
        <v>554</v>
      </c>
      <c r="B53" s="200">
        <v>180</v>
      </c>
      <c r="C53" s="26" t="s">
        <v>263</v>
      </c>
      <c r="D53" s="30" t="s">
        <v>974</v>
      </c>
    </row>
    <row r="54" spans="1:18">
      <c r="A54" s="29" t="s">
        <v>1001</v>
      </c>
      <c r="B54" s="471">
        <f>10/24</f>
        <v>0.41666666666666669</v>
      </c>
      <c r="C54" s="26" t="s">
        <v>1038</v>
      </c>
      <c r="D54" s="30" t="s">
        <v>1035</v>
      </c>
      <c r="E54" s="1"/>
    </row>
    <row r="55" spans="1:18">
      <c r="A55" s="29" t="s">
        <v>261</v>
      </c>
      <c r="B55" s="28">
        <v>80</v>
      </c>
      <c r="C55" s="26" t="s">
        <v>262</v>
      </c>
      <c r="D55" s="30" t="s">
        <v>715</v>
      </c>
    </row>
    <row r="56" spans="1:18">
      <c r="A56" s="29" t="s">
        <v>250</v>
      </c>
      <c r="B56" s="28">
        <f>B49*365</f>
        <v>9125</v>
      </c>
      <c r="C56" s="26" t="s">
        <v>251</v>
      </c>
      <c r="D56" s="30" t="s">
        <v>270</v>
      </c>
    </row>
    <row r="57" spans="1:18">
      <c r="A57" s="29" t="s">
        <v>264</v>
      </c>
      <c r="B57" s="188" t="s">
        <v>958</v>
      </c>
      <c r="C57" s="26" t="s">
        <v>265</v>
      </c>
      <c r="D57" s="30" t="s">
        <v>254</v>
      </c>
    </row>
    <row r="58" spans="1:18" s="149" customFormat="1" ht="14.5">
      <c r="A58" s="29" t="s">
        <v>266</v>
      </c>
      <c r="B58" s="60">
        <f>P24</f>
        <v>3527</v>
      </c>
      <c r="C58" s="26" t="s">
        <v>267</v>
      </c>
      <c r="D58" s="30" t="s">
        <v>976</v>
      </c>
      <c r="E58"/>
      <c r="F58"/>
      <c r="G58"/>
      <c r="J58"/>
      <c r="K58"/>
      <c r="L58"/>
      <c r="M58"/>
      <c r="N58"/>
      <c r="O58"/>
      <c r="P58"/>
      <c r="Q58"/>
      <c r="R58"/>
    </row>
    <row r="59" spans="1:18" ht="14.5">
      <c r="A59" s="43" t="s">
        <v>666</v>
      </c>
      <c r="B59" s="200">
        <v>0.12</v>
      </c>
      <c r="C59" s="144" t="s">
        <v>268</v>
      </c>
      <c r="D59" s="145" t="s">
        <v>715</v>
      </c>
      <c r="E59" s="149"/>
      <c r="F59" s="149"/>
      <c r="G59" s="149"/>
      <c r="J59" s="149"/>
      <c r="K59" s="149"/>
      <c r="L59" s="149"/>
      <c r="M59" s="149"/>
      <c r="N59" s="149"/>
      <c r="O59" s="149"/>
      <c r="P59" s="149"/>
      <c r="Q59" s="149"/>
      <c r="R59" s="149"/>
    </row>
    <row r="60" spans="1:18">
      <c r="A60" s="29" t="s">
        <v>555</v>
      </c>
      <c r="B60" s="188" t="s">
        <v>958</v>
      </c>
      <c r="C60" s="26" t="s">
        <v>249</v>
      </c>
      <c r="D60" s="30" t="s">
        <v>254</v>
      </c>
    </row>
    <row r="61" spans="1:18">
      <c r="A61" s="29" t="s">
        <v>708</v>
      </c>
      <c r="B61" s="188" t="s">
        <v>958</v>
      </c>
      <c r="C61" s="26" t="s">
        <v>249</v>
      </c>
      <c r="D61" s="30" t="s">
        <v>254</v>
      </c>
    </row>
    <row r="62" spans="1:18" ht="14.5">
      <c r="A62" s="29" t="s">
        <v>785</v>
      </c>
      <c r="B62" s="26" t="s">
        <v>958</v>
      </c>
      <c r="C62" s="26" t="s">
        <v>272</v>
      </c>
      <c r="D62" s="30" t="s">
        <v>989</v>
      </c>
    </row>
    <row r="63" spans="1:18" ht="14.5">
      <c r="A63" s="41" t="s">
        <v>713</v>
      </c>
      <c r="B63" s="143">
        <f>1/(('Com-Ind Equations'!$B$123*3600)/((0.036*(1-'Com-Ind Equations'!$B$124))*('Com-Ind Equations'!$B$125/'Com-Ind Equations'!$B$126)^3*'Com-Ind Equations'!$B$127))</f>
        <v>1.4713536180231943E-9</v>
      </c>
      <c r="C63" s="26" t="s">
        <v>272</v>
      </c>
      <c r="D63" s="30" t="s">
        <v>269</v>
      </c>
    </row>
    <row r="64" spans="1:18" ht="15" thickBot="1">
      <c r="A64" s="356" t="s">
        <v>693</v>
      </c>
      <c r="B64" s="624" t="s">
        <v>958</v>
      </c>
      <c r="C64" s="77" t="s">
        <v>694</v>
      </c>
      <c r="D64" s="78" t="s">
        <v>254</v>
      </c>
    </row>
    <row r="65" spans="1:4" ht="13" thickTop="1">
      <c r="A65" t="s">
        <v>699</v>
      </c>
      <c r="B65" s="158"/>
      <c r="C65" s="158"/>
      <c r="D65" s="157"/>
    </row>
    <row r="68" spans="1:4" ht="13">
      <c r="A68" s="25" t="s">
        <v>678</v>
      </c>
      <c r="B68" s="4" t="s">
        <v>691</v>
      </c>
    </row>
    <row r="72" spans="1:4" ht="13" thickBot="1"/>
    <row r="73" spans="1:4" ht="14" thickTop="1" thickBot="1">
      <c r="A73" s="37" t="s">
        <v>245</v>
      </c>
      <c r="B73" s="38" t="s">
        <v>246</v>
      </c>
      <c r="C73" s="38" t="s">
        <v>247</v>
      </c>
      <c r="D73" s="39" t="s">
        <v>248</v>
      </c>
    </row>
    <row r="74" spans="1:4" ht="15" thickTop="1">
      <c r="A74" s="34" t="s">
        <v>277</v>
      </c>
      <c r="B74" s="187">
        <v>93.77</v>
      </c>
      <c r="C74" s="35" t="s">
        <v>279</v>
      </c>
      <c r="D74" s="36" t="s">
        <v>269</v>
      </c>
    </row>
    <row r="75" spans="1:4" ht="14.5">
      <c r="A75" s="29" t="s">
        <v>280</v>
      </c>
      <c r="B75" s="26" t="s">
        <v>958</v>
      </c>
      <c r="C75" s="26" t="s">
        <v>281</v>
      </c>
      <c r="D75" s="36" t="s">
        <v>282</v>
      </c>
    </row>
    <row r="76" spans="1:4">
      <c r="A76" s="43" t="s">
        <v>284</v>
      </c>
      <c r="B76" s="643">
        <f>30*(365/1)*(24/1)*(60/1)*(60/1)</f>
        <v>946080000</v>
      </c>
      <c r="C76" s="144" t="s">
        <v>283</v>
      </c>
      <c r="D76" s="30" t="s">
        <v>1039</v>
      </c>
    </row>
    <row r="77" spans="1:4" ht="15" thickBot="1">
      <c r="A77" s="31" t="s">
        <v>285</v>
      </c>
      <c r="B77" s="199">
        <v>1.5</v>
      </c>
      <c r="C77" s="32" t="s">
        <v>286</v>
      </c>
      <c r="D77" s="33" t="s">
        <v>269</v>
      </c>
    </row>
    <row r="78" spans="1:4" ht="13" thickTop="1">
      <c r="A78" s="49" t="s">
        <v>278</v>
      </c>
    </row>
    <row r="79" spans="1:4">
      <c r="A79" s="49"/>
    </row>
    <row r="81" spans="1:4" ht="13">
      <c r="A81" s="25" t="s">
        <v>679</v>
      </c>
    </row>
    <row r="86" spans="1:4" ht="13" thickBot="1"/>
    <row r="87" spans="1:4" ht="14" thickTop="1" thickBot="1">
      <c r="A87" s="37" t="s">
        <v>245</v>
      </c>
      <c r="B87" s="38" t="s">
        <v>246</v>
      </c>
      <c r="C87" s="38" t="s">
        <v>247</v>
      </c>
      <c r="D87" s="39" t="s">
        <v>248</v>
      </c>
    </row>
    <row r="88" spans="1:4" ht="15" thickTop="1">
      <c r="A88" s="34" t="s">
        <v>277</v>
      </c>
      <c r="B88" s="187">
        <v>93.77</v>
      </c>
      <c r="C88" s="35" t="s">
        <v>279</v>
      </c>
      <c r="D88" s="36" t="s">
        <v>269</v>
      </c>
    </row>
    <row r="89" spans="1:4">
      <c r="A89" s="29" t="s">
        <v>284</v>
      </c>
      <c r="B89" s="642">
        <v>30</v>
      </c>
      <c r="C89" s="26" t="s">
        <v>257</v>
      </c>
      <c r="D89" s="30" t="s">
        <v>1039</v>
      </c>
    </row>
    <row r="90" spans="1:4">
      <c r="A90" s="50" t="s">
        <v>285</v>
      </c>
      <c r="B90" s="193">
        <v>1.5</v>
      </c>
      <c r="C90" s="45" t="s">
        <v>288</v>
      </c>
      <c r="D90" s="46" t="s">
        <v>269</v>
      </c>
    </row>
    <row r="91" spans="1:4" ht="13" thickBot="1">
      <c r="A91" s="31" t="s">
        <v>689</v>
      </c>
      <c r="B91" s="192">
        <v>3.6576</v>
      </c>
      <c r="C91" s="32" t="s">
        <v>287</v>
      </c>
      <c r="D91" s="33" t="s">
        <v>979</v>
      </c>
    </row>
    <row r="92" spans="1:4" ht="13" thickTop="1">
      <c r="A92" s="49" t="s">
        <v>278</v>
      </c>
    </row>
    <row r="95" spans="1:4" ht="13">
      <c r="A95" s="25" t="s">
        <v>904</v>
      </c>
    </row>
    <row r="101" spans="1:4" ht="13" thickBot="1"/>
    <row r="102" spans="1:4" ht="14" thickTop="1" thickBot="1">
      <c r="A102" s="37" t="s">
        <v>245</v>
      </c>
      <c r="B102" s="38" t="s">
        <v>246</v>
      </c>
      <c r="C102" s="38" t="s">
        <v>247</v>
      </c>
      <c r="D102" s="39" t="s">
        <v>248</v>
      </c>
    </row>
    <row r="103" spans="1:4" ht="16" thickTop="1">
      <c r="A103" s="34" t="s">
        <v>289</v>
      </c>
      <c r="B103" s="187">
        <v>0.28000000000000003</v>
      </c>
      <c r="C103" s="35" t="s">
        <v>295</v>
      </c>
      <c r="D103" s="36" t="s">
        <v>290</v>
      </c>
    </row>
    <row r="104" spans="1:4" ht="14.5">
      <c r="A104" s="29" t="s">
        <v>291</v>
      </c>
      <c r="B104" s="26" t="s">
        <v>958</v>
      </c>
      <c r="C104" s="26" t="s">
        <v>281</v>
      </c>
      <c r="D104" s="46" t="s">
        <v>254</v>
      </c>
    </row>
    <row r="105" spans="1:4">
      <c r="A105" s="29" t="s">
        <v>293</v>
      </c>
      <c r="B105" s="26" t="s">
        <v>958</v>
      </c>
      <c r="C105" s="26" t="s">
        <v>249</v>
      </c>
      <c r="D105" s="46" t="s">
        <v>292</v>
      </c>
    </row>
    <row r="106" spans="1:4" ht="15.5">
      <c r="A106" s="50" t="s">
        <v>294</v>
      </c>
      <c r="B106" s="189">
        <v>0.15</v>
      </c>
      <c r="C106" s="45" t="s">
        <v>296</v>
      </c>
      <c r="D106" s="46" t="s">
        <v>269</v>
      </c>
    </row>
    <row r="107" spans="1:4" ht="14.5">
      <c r="A107" s="50" t="s">
        <v>297</v>
      </c>
      <c r="B107" s="26" t="s">
        <v>958</v>
      </c>
      <c r="C107" s="45" t="s">
        <v>281</v>
      </c>
      <c r="D107" s="46" t="s">
        <v>254</v>
      </c>
    </row>
    <row r="108" spans="1:4" ht="15.5">
      <c r="A108" s="50" t="s">
        <v>298</v>
      </c>
      <c r="B108" s="538">
        <f>1-(B110/B109)</f>
        <v>0.43396226415094341</v>
      </c>
      <c r="C108" s="45" t="s">
        <v>299</v>
      </c>
      <c r="D108" s="46" t="s">
        <v>303</v>
      </c>
    </row>
    <row r="109" spans="1:4" ht="14.5">
      <c r="A109" s="50" t="s">
        <v>304</v>
      </c>
      <c r="B109" s="189">
        <v>2.65</v>
      </c>
      <c r="C109" s="45" t="s">
        <v>286</v>
      </c>
      <c r="D109" s="46" t="s">
        <v>269</v>
      </c>
    </row>
    <row r="110" spans="1:4" ht="14.5">
      <c r="A110" s="50" t="s">
        <v>285</v>
      </c>
      <c r="B110" s="191">
        <v>1.5</v>
      </c>
      <c r="C110" s="45" t="s">
        <v>286</v>
      </c>
      <c r="D110" s="46" t="s">
        <v>269</v>
      </c>
    </row>
    <row r="111" spans="1:4" ht="14.5">
      <c r="A111" s="50" t="s">
        <v>300</v>
      </c>
      <c r="B111" s="26" t="s">
        <v>958</v>
      </c>
      <c r="C111" s="45" t="s">
        <v>301</v>
      </c>
      <c r="D111" s="46" t="s">
        <v>302</v>
      </c>
    </row>
    <row r="112" spans="1:4" ht="14.5">
      <c r="A112" s="50" t="s">
        <v>305</v>
      </c>
      <c r="B112" s="26" t="s">
        <v>958</v>
      </c>
      <c r="C112" s="45" t="s">
        <v>301</v>
      </c>
      <c r="D112" s="46" t="s">
        <v>254</v>
      </c>
    </row>
    <row r="113" spans="1:18" ht="13" thickBot="1">
      <c r="A113" s="31" t="s">
        <v>306</v>
      </c>
      <c r="B113" s="190">
        <v>6.0000000000000001E-3</v>
      </c>
      <c r="C113" s="32" t="s">
        <v>668</v>
      </c>
      <c r="D113" s="33" t="s">
        <v>669</v>
      </c>
    </row>
    <row r="114" spans="1:18" ht="13" thickTop="1"/>
    <row r="116" spans="1:18" ht="13">
      <c r="A116" s="25" t="s">
        <v>711</v>
      </c>
    </row>
    <row r="121" spans="1:18" ht="13" thickBot="1"/>
    <row r="122" spans="1:18" ht="14" thickTop="1" thickBot="1">
      <c r="A122" s="37" t="s">
        <v>245</v>
      </c>
      <c r="B122" s="38" t="s">
        <v>246</v>
      </c>
      <c r="C122" s="38" t="s">
        <v>247</v>
      </c>
      <c r="D122" s="39" t="s">
        <v>248</v>
      </c>
    </row>
    <row r="123" spans="1:18" ht="15" thickTop="1">
      <c r="A123" s="34" t="s">
        <v>277</v>
      </c>
      <c r="B123" s="187">
        <v>93.77</v>
      </c>
      <c r="C123" s="35" t="s">
        <v>279</v>
      </c>
      <c r="D123" s="36" t="s">
        <v>269</v>
      </c>
    </row>
    <row r="124" spans="1:18" s="1" customFormat="1">
      <c r="A124" s="29" t="s">
        <v>307</v>
      </c>
      <c r="B124" s="188">
        <v>0</v>
      </c>
      <c r="C124" s="337">
        <v>0</v>
      </c>
      <c r="D124" s="46" t="s">
        <v>990</v>
      </c>
      <c r="E124"/>
      <c r="F124"/>
      <c r="G124"/>
      <c r="J124"/>
      <c r="K124"/>
      <c r="L124"/>
      <c r="M124"/>
      <c r="N124"/>
      <c r="O124"/>
      <c r="P124"/>
      <c r="Q124"/>
      <c r="R124"/>
    </row>
    <row r="125" spans="1:18">
      <c r="A125" s="29" t="s">
        <v>308</v>
      </c>
      <c r="B125" s="188">
        <v>4.6900000000000004</v>
      </c>
      <c r="C125" s="26" t="s">
        <v>309</v>
      </c>
      <c r="D125" s="46" t="s">
        <v>362</v>
      </c>
      <c r="E125" s="1"/>
      <c r="F125" s="1"/>
      <c r="G125" s="1"/>
      <c r="J125" s="1"/>
      <c r="K125" s="1"/>
      <c r="L125" s="1"/>
      <c r="M125" s="1"/>
      <c r="N125" s="1"/>
      <c r="O125" s="1"/>
      <c r="P125" s="1"/>
      <c r="Q125" s="1"/>
      <c r="R125" s="1"/>
    </row>
    <row r="126" spans="1:18">
      <c r="A126" s="50" t="s">
        <v>310</v>
      </c>
      <c r="B126" s="189">
        <v>11.32</v>
      </c>
      <c r="C126" s="45" t="s">
        <v>309</v>
      </c>
      <c r="D126" s="46" t="s">
        <v>269</v>
      </c>
    </row>
    <row r="127" spans="1:18" ht="13" thickBot="1">
      <c r="A127" s="31" t="s">
        <v>311</v>
      </c>
      <c r="B127" s="190">
        <v>0.19400000000000001</v>
      </c>
      <c r="C127" s="32" t="s">
        <v>249</v>
      </c>
      <c r="D127" s="33" t="s">
        <v>269</v>
      </c>
    </row>
    <row r="128" spans="1:18" ht="13" thickTop="1">
      <c r="A128" s="1" t="s">
        <v>440</v>
      </c>
    </row>
    <row r="129" spans="1:4">
      <c r="A129" s="1" t="s">
        <v>312</v>
      </c>
    </row>
    <row r="130" spans="1:4">
      <c r="A130" s="1"/>
    </row>
    <row r="132" spans="1:4" ht="13">
      <c r="A132" s="25" t="s">
        <v>680</v>
      </c>
    </row>
    <row r="136" spans="1:4" ht="13" thickBot="1"/>
    <row r="137" spans="1:4" ht="14" thickTop="1" thickBot="1">
      <c r="A137" s="37" t="s">
        <v>245</v>
      </c>
      <c r="B137" s="38" t="s">
        <v>246</v>
      </c>
      <c r="C137" s="38" t="s">
        <v>247</v>
      </c>
      <c r="D137" s="39" t="s">
        <v>248</v>
      </c>
    </row>
    <row r="138" spans="1:4" ht="13" thickTop="1">
      <c r="A138" s="34" t="s">
        <v>313</v>
      </c>
      <c r="B138" s="26" t="s">
        <v>958</v>
      </c>
      <c r="C138" s="35" t="s">
        <v>314</v>
      </c>
      <c r="D138" s="46" t="s">
        <v>254</v>
      </c>
    </row>
    <row r="139" spans="1:4">
      <c r="A139" s="29" t="s">
        <v>285</v>
      </c>
      <c r="B139" s="194">
        <v>1.5</v>
      </c>
      <c r="C139" s="26" t="s">
        <v>315</v>
      </c>
      <c r="D139" s="46" t="s">
        <v>269</v>
      </c>
    </row>
    <row r="140" spans="1:4">
      <c r="A140" s="50" t="s">
        <v>300</v>
      </c>
      <c r="B140" s="26" t="s">
        <v>958</v>
      </c>
      <c r="C140" s="45" t="s">
        <v>316</v>
      </c>
      <c r="D140" s="46" t="s">
        <v>302</v>
      </c>
    </row>
    <row r="141" spans="1:4">
      <c r="A141" s="29" t="s">
        <v>306</v>
      </c>
      <c r="B141" s="188">
        <v>6.0000000000000001E-3</v>
      </c>
      <c r="C141" s="26" t="s">
        <v>668</v>
      </c>
      <c r="D141" s="30" t="s">
        <v>669</v>
      </c>
    </row>
    <row r="142" spans="1:4" ht="15.5">
      <c r="A142" s="79" t="s">
        <v>294</v>
      </c>
      <c r="B142" s="195">
        <v>0.15</v>
      </c>
      <c r="C142" s="80" t="s">
        <v>296</v>
      </c>
      <c r="D142" s="81" t="s">
        <v>269</v>
      </c>
    </row>
    <row r="143" spans="1:4">
      <c r="A143" s="50" t="s">
        <v>293</v>
      </c>
      <c r="B143" s="45" t="s">
        <v>958</v>
      </c>
      <c r="C143" s="45" t="s">
        <v>249</v>
      </c>
      <c r="D143" s="46" t="s">
        <v>292</v>
      </c>
    </row>
    <row r="144" spans="1:4" ht="15.5">
      <c r="A144" s="29" t="s">
        <v>289</v>
      </c>
      <c r="B144" s="196">
        <v>0.28000000000000003</v>
      </c>
      <c r="C144" s="26" t="s">
        <v>295</v>
      </c>
      <c r="D144" s="30" t="s">
        <v>290</v>
      </c>
    </row>
    <row r="145" spans="1:4" ht="15.5">
      <c r="A145" s="29" t="s">
        <v>298</v>
      </c>
      <c r="B145" s="471">
        <f>1-(B139/B146)</f>
        <v>0.43396226415094341</v>
      </c>
      <c r="C145" s="26" t="s">
        <v>299</v>
      </c>
      <c r="D145" s="30" t="s">
        <v>303</v>
      </c>
    </row>
    <row r="146" spans="1:4" ht="13" thickBot="1">
      <c r="A146" s="76" t="s">
        <v>304</v>
      </c>
      <c r="B146" s="198">
        <v>2.65</v>
      </c>
      <c r="C146" s="77" t="s">
        <v>315</v>
      </c>
      <c r="D146" s="78" t="s">
        <v>269</v>
      </c>
    </row>
    <row r="147" spans="1:4" ht="13" thickTop="1"/>
    <row r="148" spans="1:4">
      <c r="A148" s="1" t="s">
        <v>317</v>
      </c>
    </row>
    <row r="149" spans="1:4">
      <c r="A149" s="1" t="s">
        <v>591</v>
      </c>
    </row>
    <row r="150" spans="1:4">
      <c r="A150" s="1" t="s">
        <v>854</v>
      </c>
    </row>
    <row r="151" spans="1:4">
      <c r="A151" s="1" t="s">
        <v>975</v>
      </c>
      <c r="C151" s="616"/>
    </row>
    <row r="152" spans="1:4">
      <c r="A152" s="1" t="s">
        <v>992</v>
      </c>
    </row>
    <row r="153" spans="1:4">
      <c r="A153" s="1" t="s">
        <v>1036</v>
      </c>
    </row>
    <row r="155" spans="1:4">
      <c r="A155" s="633" t="s">
        <v>1012</v>
      </c>
    </row>
    <row r="156" spans="1:4">
      <c r="A156" s="52"/>
      <c r="B156" s="16"/>
      <c r="C156" s="17"/>
      <c r="D156" s="12"/>
    </row>
    <row r="157" spans="1:4">
      <c r="A157" s="52"/>
      <c r="B157" s="16"/>
      <c r="C157" s="17"/>
      <c r="D157" s="12"/>
    </row>
    <row r="158" spans="1:4">
      <c r="A158" s="52"/>
      <c r="B158" s="16"/>
      <c r="C158" s="17"/>
      <c r="D158" s="12"/>
    </row>
    <row r="159" spans="1:4">
      <c r="A159" s="52"/>
      <c r="B159" s="16"/>
      <c r="C159" s="17"/>
      <c r="D159" s="12"/>
    </row>
    <row r="160" spans="1:4">
      <c r="A160" s="52"/>
      <c r="B160" s="16"/>
      <c r="C160" s="17"/>
      <c r="D160" s="12"/>
    </row>
    <row r="161" spans="1:4">
      <c r="A161" s="52"/>
      <c r="B161" s="16"/>
      <c r="C161" s="17"/>
      <c r="D161" s="12"/>
    </row>
    <row r="162" spans="1:4">
      <c r="A162" s="52"/>
      <c r="B162" s="16"/>
      <c r="C162" s="17"/>
      <c r="D162" s="12"/>
    </row>
    <row r="163" spans="1:4">
      <c r="A163" s="52"/>
      <c r="B163" s="16"/>
      <c r="C163" s="17"/>
      <c r="D163" s="12"/>
    </row>
    <row r="164" spans="1:4">
      <c r="A164" s="52"/>
      <c r="B164" s="16"/>
      <c r="C164" s="17"/>
      <c r="D164" s="12"/>
    </row>
    <row r="165" spans="1:4">
      <c r="A165" s="52"/>
      <c r="B165" s="16"/>
      <c r="C165" s="17"/>
      <c r="D165" s="12"/>
    </row>
    <row r="166" spans="1:4">
      <c r="A166" s="52"/>
      <c r="B166" s="16"/>
      <c r="C166" s="17"/>
      <c r="D166" s="12"/>
    </row>
    <row r="167" spans="1:4">
      <c r="A167" s="52"/>
      <c r="B167" s="16"/>
      <c r="C167" s="17"/>
      <c r="D167" s="12"/>
    </row>
    <row r="168" spans="1:4">
      <c r="A168" s="52"/>
      <c r="B168" s="16"/>
      <c r="C168" s="10"/>
      <c r="D168" s="16"/>
    </row>
    <row r="169" spans="1:4">
      <c r="A169" s="52"/>
      <c r="B169" s="16"/>
      <c r="C169" s="10"/>
      <c r="D169" s="16"/>
    </row>
    <row r="170" spans="1:4">
      <c r="A170" s="52"/>
      <c r="B170" s="16"/>
      <c r="C170" s="10"/>
      <c r="D170" s="16"/>
    </row>
    <row r="171" spans="1:4">
      <c r="A171" s="16"/>
      <c r="B171" s="53"/>
      <c r="C171" s="18"/>
      <c r="D171" s="12"/>
    </row>
    <row r="172" spans="1:4">
      <c r="A172" s="23"/>
      <c r="B172" s="54"/>
      <c r="C172" s="18"/>
      <c r="D172" s="16"/>
    </row>
    <row r="173" spans="1:4">
      <c r="A173" s="21"/>
      <c r="B173" s="22"/>
      <c r="C173" s="18"/>
      <c r="D173" s="16"/>
    </row>
    <row r="174" spans="1:4">
      <c r="A174" s="23"/>
      <c r="B174" s="54"/>
      <c r="C174" s="19"/>
      <c r="D174" s="16"/>
    </row>
    <row r="175" spans="1:4">
      <c r="A175" s="21"/>
      <c r="B175" s="55"/>
      <c r="C175" s="11"/>
      <c r="D175" s="16"/>
    </row>
    <row r="176" spans="1:4">
      <c r="A176" s="23"/>
      <c r="B176" s="56"/>
      <c r="C176" s="11"/>
      <c r="D176" s="16"/>
    </row>
    <row r="178" spans="1:5" ht="13">
      <c r="A178" s="25"/>
    </row>
    <row r="179" spans="1:5">
      <c r="A179" s="20"/>
      <c r="B179"/>
      <c r="C179"/>
    </row>
    <row r="180" spans="1:5">
      <c r="A180" s="12"/>
      <c r="B180"/>
      <c r="C180"/>
    </row>
    <row r="181" spans="1:5">
      <c r="A181" s="12"/>
      <c r="B181" s="16"/>
      <c r="C181" s="16"/>
      <c r="D181" s="16"/>
    </row>
    <row r="186" spans="1:5">
      <c r="E186" s="12"/>
    </row>
    <row r="187" spans="1:5">
      <c r="E187" s="12"/>
    </row>
    <row r="188" spans="1:5">
      <c r="E188" s="12"/>
    </row>
    <row r="189" spans="1:5">
      <c r="E189" s="12"/>
    </row>
    <row r="190" spans="1:5">
      <c r="E190" s="12"/>
    </row>
    <row r="191" spans="1:5">
      <c r="E191" s="12"/>
    </row>
    <row r="192" spans="1:5">
      <c r="E192" s="12"/>
    </row>
    <row r="193" spans="5:5">
      <c r="E193" s="12"/>
    </row>
    <row r="194" spans="5:5">
      <c r="E194" s="12"/>
    </row>
    <row r="195" spans="5:5">
      <c r="E195" s="12"/>
    </row>
    <row r="196" spans="5:5">
      <c r="E196" s="12"/>
    </row>
    <row r="197" spans="5:5">
      <c r="E197" s="12"/>
    </row>
    <row r="198" spans="5:5">
      <c r="E198" s="12"/>
    </row>
    <row r="199" spans="5:5">
      <c r="E199" s="12"/>
    </row>
    <row r="200" spans="5:5">
      <c r="E200" s="12"/>
    </row>
    <row r="201" spans="5:5">
      <c r="E201" s="12"/>
    </row>
    <row r="202" spans="5:5">
      <c r="E202" s="12"/>
    </row>
    <row r="203" spans="5:5">
      <c r="E203" s="12"/>
    </row>
    <row r="204" spans="5:5">
      <c r="E204" s="12"/>
    </row>
    <row r="205" spans="5:5">
      <c r="E205" s="12"/>
    </row>
    <row r="206" spans="5:5">
      <c r="E206" s="12"/>
    </row>
    <row r="207" spans="5:5">
      <c r="E207" s="12"/>
    </row>
    <row r="208" spans="5:5">
      <c r="E208" s="12"/>
    </row>
    <row r="209" spans="1:9">
      <c r="E209" s="12"/>
    </row>
    <row r="210" spans="1:9">
      <c r="E210" s="12"/>
    </row>
    <row r="211" spans="1:9">
      <c r="E211" s="12"/>
    </row>
    <row r="215" spans="1:9">
      <c r="H215" s="16"/>
      <c r="I215" s="16"/>
    </row>
    <row r="216" spans="1:9">
      <c r="E216" s="16"/>
      <c r="F216" s="16"/>
      <c r="G216" s="16"/>
      <c r="H216" s="21"/>
      <c r="I216" s="21"/>
    </row>
    <row r="217" spans="1:9">
      <c r="A217" s="16"/>
      <c r="B217" s="21"/>
      <c r="C217" s="21"/>
      <c r="D217" s="21"/>
      <c r="E217" s="21"/>
      <c r="F217" s="21"/>
      <c r="G217" s="21"/>
      <c r="H217" s="57"/>
      <c r="I217" s="58"/>
    </row>
    <row r="218" spans="1:9">
      <c r="A218" s="16"/>
      <c r="B218" s="57"/>
      <c r="C218" s="58"/>
      <c r="D218" s="57"/>
      <c r="E218" s="58"/>
      <c r="F218" s="57"/>
      <c r="G218" s="58"/>
      <c r="H218" s="57"/>
      <c r="I218" s="58"/>
    </row>
    <row r="219" spans="1:9">
      <c r="A219" s="16"/>
      <c r="B219" s="57"/>
      <c r="C219" s="58"/>
      <c r="D219" s="57"/>
      <c r="E219" s="58"/>
      <c r="F219" s="57"/>
      <c r="G219" s="58"/>
      <c r="H219" s="57"/>
      <c r="I219" s="58"/>
    </row>
    <row r="220" spans="1:9">
      <c r="A220" s="16"/>
      <c r="B220" s="57"/>
      <c r="C220" s="58"/>
      <c r="D220" s="57"/>
      <c r="E220" s="58"/>
      <c r="F220" s="57"/>
      <c r="G220" s="58"/>
      <c r="H220" s="57"/>
      <c r="I220" s="58"/>
    </row>
    <row r="221" spans="1:9">
      <c r="A221" s="16"/>
      <c r="B221" s="57"/>
      <c r="C221" s="58"/>
      <c r="D221" s="57"/>
      <c r="E221" s="58"/>
      <c r="F221" s="57"/>
      <c r="G221" s="58"/>
      <c r="H221" s="57"/>
      <c r="I221" s="58"/>
    </row>
    <row r="222" spans="1:9">
      <c r="A222" s="16"/>
      <c r="B222" s="57"/>
      <c r="C222" s="58"/>
      <c r="D222" s="57"/>
      <c r="E222" s="58"/>
      <c r="F222" s="57"/>
      <c r="G222" s="58"/>
      <c r="H222" s="57"/>
      <c r="I222" s="58"/>
    </row>
    <row r="223" spans="1:9">
      <c r="A223" s="16"/>
      <c r="B223" s="57"/>
      <c r="C223" s="58"/>
      <c r="D223" s="57"/>
      <c r="E223" s="58"/>
      <c r="F223" s="57"/>
      <c r="G223" s="58"/>
      <c r="H223" s="57"/>
      <c r="I223" s="58"/>
    </row>
    <row r="224" spans="1:9">
      <c r="A224" s="16"/>
      <c r="B224" s="57"/>
      <c r="C224" s="58"/>
      <c r="D224" s="57"/>
      <c r="E224" s="58"/>
      <c r="F224" s="57"/>
      <c r="G224" s="58"/>
      <c r="H224" s="57"/>
      <c r="I224" s="58"/>
    </row>
    <row r="225" spans="1:9">
      <c r="A225" s="16"/>
      <c r="B225" s="57"/>
      <c r="C225" s="58"/>
      <c r="D225" s="57"/>
      <c r="E225" s="58"/>
      <c r="F225" s="57"/>
      <c r="G225" s="58"/>
      <c r="H225" s="57"/>
      <c r="I225" s="58"/>
    </row>
    <row r="226" spans="1:9">
      <c r="A226" s="16"/>
      <c r="B226" s="57"/>
      <c r="C226" s="58"/>
      <c r="D226" s="57"/>
      <c r="E226" s="58"/>
      <c r="F226" s="57"/>
      <c r="G226" s="58"/>
      <c r="H226" s="57"/>
      <c r="I226" s="58"/>
    </row>
    <row r="227" spans="1:9">
      <c r="A227" s="16"/>
      <c r="B227" s="57"/>
      <c r="C227" s="58"/>
      <c r="D227" s="57"/>
      <c r="E227" s="58"/>
      <c r="F227" s="57"/>
      <c r="G227" s="58"/>
      <c r="H227" s="57"/>
      <c r="I227" s="58"/>
    </row>
    <row r="228" spans="1:9">
      <c r="A228" s="16"/>
      <c r="B228" s="57"/>
      <c r="C228" s="58"/>
      <c r="D228" s="57"/>
      <c r="E228" s="58"/>
      <c r="F228" s="57"/>
      <c r="G228" s="58"/>
      <c r="H228" s="57"/>
      <c r="I228" s="58"/>
    </row>
    <row r="229" spans="1:9">
      <c r="A229" s="16"/>
      <c r="B229" s="57"/>
      <c r="C229" s="58"/>
      <c r="D229" s="57"/>
      <c r="E229" s="58"/>
      <c r="F229" s="57"/>
      <c r="G229" s="58"/>
      <c r="H229" s="57"/>
      <c r="I229" s="58"/>
    </row>
    <row r="230" spans="1:9">
      <c r="A230" s="16"/>
      <c r="B230" s="57"/>
      <c r="C230" s="58"/>
      <c r="D230" s="57"/>
      <c r="E230" s="58"/>
      <c r="F230" s="57"/>
      <c r="G230" s="58"/>
      <c r="H230" s="57"/>
      <c r="I230" s="58"/>
    </row>
    <row r="231" spans="1:9">
      <c r="A231" s="16"/>
      <c r="B231" s="57"/>
      <c r="C231" s="58"/>
      <c r="D231" s="57"/>
      <c r="E231" s="58"/>
      <c r="F231" s="57"/>
      <c r="G231" s="58"/>
      <c r="H231" s="57"/>
      <c r="I231" s="58"/>
    </row>
    <row r="232" spans="1:9">
      <c r="A232" s="16"/>
      <c r="B232" s="57"/>
      <c r="C232" s="58"/>
      <c r="D232" s="57"/>
      <c r="E232" s="58"/>
      <c r="F232" s="57"/>
      <c r="G232" s="58"/>
      <c r="H232" s="57"/>
      <c r="I232" s="58"/>
    </row>
    <row r="233" spans="1:9">
      <c r="A233" s="16"/>
      <c r="B233" s="57"/>
      <c r="C233" s="58"/>
      <c r="D233" s="57"/>
      <c r="E233" s="58"/>
      <c r="F233" s="57"/>
      <c r="G233" s="58"/>
      <c r="H233" s="57"/>
      <c r="I233" s="58"/>
    </row>
    <row r="234" spans="1:9">
      <c r="A234" s="16"/>
      <c r="B234" s="57"/>
      <c r="C234" s="58"/>
      <c r="D234" s="57"/>
      <c r="E234" s="58"/>
      <c r="F234" s="57"/>
      <c r="G234" s="58"/>
      <c r="H234" s="57"/>
      <c r="I234" s="58"/>
    </row>
    <row r="235" spans="1:9">
      <c r="A235" s="16"/>
      <c r="B235" s="57"/>
      <c r="C235" s="58"/>
      <c r="D235" s="57"/>
      <c r="E235" s="58"/>
      <c r="F235" s="57"/>
      <c r="G235" s="58"/>
      <c r="H235" s="16"/>
      <c r="I235" s="16"/>
    </row>
    <row r="236" spans="1:9">
      <c r="A236" s="12"/>
      <c r="B236" s="16"/>
      <c r="C236" s="16"/>
      <c r="D236" s="16"/>
      <c r="E236" s="16"/>
      <c r="F236" s="16"/>
      <c r="G236" s="16"/>
      <c r="H236" s="16"/>
      <c r="I236" s="16"/>
    </row>
    <row r="237" spans="1:9">
      <c r="A237" s="16"/>
      <c r="B237" s="21"/>
      <c r="C237" s="21"/>
      <c r="D237" s="21"/>
      <c r="E237" s="21"/>
      <c r="F237" s="21"/>
      <c r="G237" s="21"/>
      <c r="H237" s="16"/>
      <c r="I237" s="16"/>
    </row>
    <row r="238" spans="1:9">
      <c r="A238" s="21"/>
      <c r="B238" s="14"/>
      <c r="C238" s="14"/>
      <c r="D238" s="14"/>
      <c r="E238" s="14"/>
      <c r="F238" s="14"/>
      <c r="G238" s="22"/>
      <c r="H238" s="16"/>
      <c r="I238" s="16"/>
    </row>
    <row r="239" spans="1:9">
      <c r="A239" s="23"/>
      <c r="B239" s="14"/>
      <c r="C239" s="14"/>
      <c r="D239" s="14"/>
      <c r="E239" s="14"/>
      <c r="F239" s="14"/>
      <c r="G239" s="22"/>
      <c r="H239" s="16"/>
      <c r="I239" s="16"/>
    </row>
    <row r="240" spans="1:9">
      <c r="A240" s="21"/>
      <c r="B240" s="14"/>
      <c r="C240" s="14"/>
      <c r="D240" s="14"/>
      <c r="E240" s="14"/>
      <c r="F240" s="14"/>
      <c r="G240" s="22"/>
      <c r="H240" s="12"/>
      <c r="I240" s="12"/>
    </row>
    <row r="241" spans="1:9">
      <c r="A241" s="21"/>
      <c r="B241" s="14"/>
      <c r="C241" s="14"/>
      <c r="D241" s="14"/>
      <c r="E241" s="14"/>
      <c r="F241" s="14"/>
      <c r="G241" s="22"/>
      <c r="H241" s="16"/>
      <c r="I241" s="16"/>
    </row>
    <row r="242" spans="1:9">
      <c r="A242" s="21"/>
      <c r="B242" s="14"/>
      <c r="C242" s="14"/>
      <c r="D242" s="14"/>
      <c r="E242" s="14"/>
      <c r="F242" s="14"/>
      <c r="G242" s="22"/>
    </row>
    <row r="243" spans="1:9">
      <c r="B243"/>
      <c r="C243"/>
    </row>
    <row r="244" spans="1:9">
      <c r="B244"/>
      <c r="C244"/>
    </row>
  </sheetData>
  <sheetProtection algorithmName="SHA-512" hashValue="rW8uwiXOaQ4GgoYsJo1mL9uIYkrGodP0s9UvK3KDftq2L6GHo1KA7frWrFAGczs0ndyiV6w3vULI1ckNIQLM8w==" saltValue="eXF1lgNHEokcP8n0fTFhwQ==" spinCount="100000" sheet="1" objects="1" scenarios="1"/>
  <customSheetViews>
    <customSheetView guid="{4E720B7F-6A3C-4034-90A5-B2BF7A394FC0}" scale="115" topLeftCell="A131">
      <selection activeCell="A159" sqref="A159"/>
      <rowBreaks count="3" manualBreakCount="3">
        <brk id="33" max="16383" man="1"/>
        <brk id="64" max="16383" man="1"/>
        <brk id="112" max="16383" man="1"/>
      </rowBreaks>
      <pageMargins left="0.5" right="0.5" top="0.75" bottom="0.75" header="0.3" footer="0.3"/>
      <pageSetup paperSize="17" scale="80" orientation="landscape" r:id="rId1"/>
      <headerFooter>
        <oddFooter>&amp;LDecember 2018&amp;R&amp;P of &amp;N</oddFooter>
      </headerFooter>
    </customSheetView>
    <customSheetView guid="{23DC26AF-9753-4BD2-80DE-415E6324C52C}" scale="115" topLeftCell="A131">
      <selection activeCell="A159" sqref="A159"/>
      <rowBreaks count="3" manualBreakCount="3">
        <brk id="33" max="16383" man="1"/>
        <brk id="64" max="16383" man="1"/>
        <brk id="112" max="16383" man="1"/>
      </rowBreaks>
      <pageMargins left="0.5" right="0.5" top="0.75" bottom="0.75" header="0.3" footer="0.3"/>
      <pageSetup paperSize="17" scale="80" orientation="landscape" r:id="rId2"/>
      <headerFooter>
        <oddFooter>&amp;LDecember 2018&amp;R&amp;P of &amp;N</oddFooter>
      </headerFooter>
    </customSheetView>
  </customSheetViews>
  <mergeCells count="16">
    <mergeCell ref="P4:P5"/>
    <mergeCell ref="Q4:Q5"/>
    <mergeCell ref="J3:J5"/>
    <mergeCell ref="K3:Q3"/>
    <mergeCell ref="J19:J21"/>
    <mergeCell ref="K19:K21"/>
    <mergeCell ref="L19:L21"/>
    <mergeCell ref="M19:M21"/>
    <mergeCell ref="N19:N21"/>
    <mergeCell ref="O19:O21"/>
    <mergeCell ref="P19:P21"/>
    <mergeCell ref="K4:K5"/>
    <mergeCell ref="L4:L5"/>
    <mergeCell ref="M4:M5"/>
    <mergeCell ref="N4:N5"/>
    <mergeCell ref="O4:O5"/>
  </mergeCells>
  <pageMargins left="0.5" right="0.5" top="0.75" bottom="0.75" header="0.3" footer="0.3"/>
  <pageSetup paperSize="17" scale="80" orientation="landscape" r:id="rId3"/>
  <headerFooter>
    <oddFooter>&amp;LApril 2026&amp;R&amp;P of &amp;N</oddFooter>
  </headerFooter>
  <rowBreaks count="3" manualBreakCount="3">
    <brk id="33" max="16383" man="1"/>
    <brk id="65" max="16383" man="1"/>
    <brk id="113"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4" tint="-0.249977111117893"/>
  </sheetPr>
  <dimension ref="A1:Z229"/>
  <sheetViews>
    <sheetView zoomScaleNormal="100" workbookViewId="0">
      <pane xSplit="2" ySplit="2" topLeftCell="H3" activePane="bottomRight" state="frozen"/>
      <selection pane="topRight" activeCell="C1" sqref="C1"/>
      <selection pane="bottomLeft" activeCell="A3" sqref="A3"/>
      <selection pane="bottomRight" activeCell="M19" sqref="M19"/>
    </sheetView>
  </sheetViews>
  <sheetFormatPr defaultColWidth="9.1796875" defaultRowHeight="10"/>
  <cols>
    <col min="1" max="1" width="41.453125" style="9" customWidth="1"/>
    <col min="2" max="2" width="10.453125" style="99" customWidth="1"/>
    <col min="3" max="4" width="11.453125" style="9" customWidth="1"/>
    <col min="5" max="6" width="11.1796875" style="6" customWidth="1"/>
    <col min="7" max="7" width="11" style="7" customWidth="1"/>
    <col min="8" max="8" width="10.54296875" style="111" customWidth="1"/>
    <col min="9" max="9" width="10.54296875" style="89" customWidth="1"/>
    <col min="10" max="10" width="10.54296875" style="116" customWidth="1"/>
    <col min="11" max="11" width="10.81640625" style="119" customWidth="1"/>
    <col min="12" max="12" width="10.54296875" style="88" customWidth="1"/>
    <col min="13" max="14" width="10.81640625" style="89" customWidth="1"/>
    <col min="15" max="15" width="10.54296875" style="88" customWidth="1"/>
    <col min="16" max="16" width="10.54296875" style="89" customWidth="1"/>
    <col min="17" max="17" width="10.453125" style="89" customWidth="1"/>
    <col min="18" max="18" width="10.453125" style="3" customWidth="1"/>
    <col min="19" max="20" width="11" style="66" customWidth="1"/>
    <col min="21" max="21" width="10.54296875" style="66" customWidth="1"/>
    <col min="22" max="22" width="10.54296875" style="104" customWidth="1"/>
    <col min="23" max="23" width="10.54296875" style="88" customWidth="1"/>
    <col min="24" max="24" width="11.1796875" style="99" customWidth="1"/>
    <col min="25" max="25" width="28" style="88" customWidth="1"/>
    <col min="26" max="16384" width="9.1796875" style="3"/>
  </cols>
  <sheetData>
    <row r="1" spans="1:26" ht="13.5" thickBot="1">
      <c r="A1" s="824" t="s">
        <v>26</v>
      </c>
      <c r="B1" s="834" t="s">
        <v>204</v>
      </c>
      <c r="C1" s="821" t="s">
        <v>335</v>
      </c>
      <c r="D1" s="822"/>
      <c r="E1" s="822"/>
      <c r="F1" s="822"/>
      <c r="G1" s="823"/>
      <c r="H1" s="853" t="s">
        <v>333</v>
      </c>
      <c r="I1" s="854"/>
      <c r="J1" s="854"/>
      <c r="K1" s="854"/>
      <c r="L1" s="854"/>
      <c r="M1" s="854"/>
      <c r="N1" s="854"/>
      <c r="O1" s="855" t="s">
        <v>1201</v>
      </c>
      <c r="P1" s="854"/>
      <c r="Q1" s="854"/>
      <c r="R1" s="854"/>
      <c r="S1" s="854"/>
      <c r="T1" s="854"/>
      <c r="U1" s="856"/>
      <c r="V1" s="828" t="s">
        <v>1205</v>
      </c>
      <c r="W1" s="829"/>
      <c r="X1" s="830"/>
      <c r="Y1" s="826" t="s">
        <v>241</v>
      </c>
    </row>
    <row r="2" spans="1:26" s="64" customFormat="1" ht="81" customHeight="1">
      <c r="A2" s="825"/>
      <c r="B2" s="835"/>
      <c r="C2" s="84" t="s">
        <v>714</v>
      </c>
      <c r="D2" s="74" t="s">
        <v>342</v>
      </c>
      <c r="E2" s="74" t="s">
        <v>745</v>
      </c>
      <c r="F2" s="74" t="s">
        <v>746</v>
      </c>
      <c r="G2" s="96" t="s">
        <v>339</v>
      </c>
      <c r="H2" s="92" t="s">
        <v>435</v>
      </c>
      <c r="I2" s="93" t="s">
        <v>436</v>
      </c>
      <c r="J2" s="113" t="s">
        <v>437</v>
      </c>
      <c r="K2" s="113" t="s">
        <v>438</v>
      </c>
      <c r="L2" s="83" t="s">
        <v>341</v>
      </c>
      <c r="M2" s="96" t="s">
        <v>340</v>
      </c>
      <c r="N2" s="96" t="s">
        <v>439</v>
      </c>
      <c r="O2" s="73" t="s">
        <v>844</v>
      </c>
      <c r="P2" s="93" t="s">
        <v>845</v>
      </c>
      <c r="Q2" s="93" t="s">
        <v>851</v>
      </c>
      <c r="R2" s="150" t="s">
        <v>847</v>
      </c>
      <c r="S2" s="150" t="s">
        <v>852</v>
      </c>
      <c r="T2" s="74" t="s">
        <v>853</v>
      </c>
      <c r="U2" s="75" t="s">
        <v>850</v>
      </c>
      <c r="V2" s="102" t="s">
        <v>667</v>
      </c>
      <c r="W2" s="82" t="s">
        <v>337</v>
      </c>
      <c r="X2" s="75" t="s">
        <v>336</v>
      </c>
      <c r="Y2" s="852"/>
    </row>
    <row r="3" spans="1:26" ht="12.5">
      <c r="A3" s="567" t="s">
        <v>363</v>
      </c>
      <c r="B3" s="587"/>
      <c r="C3" s="397"/>
      <c r="D3" s="397"/>
      <c r="E3" s="396"/>
      <c r="F3" s="396"/>
      <c r="G3" s="397"/>
      <c r="H3" s="386"/>
      <c r="I3" s="397"/>
      <c r="J3" s="397"/>
      <c r="K3" s="397"/>
      <c r="L3" s="397"/>
      <c r="M3" s="397"/>
      <c r="N3" s="397"/>
      <c r="O3" s="397"/>
      <c r="P3" s="397"/>
      <c r="Q3" s="397"/>
      <c r="R3" s="397"/>
      <c r="S3" s="397"/>
      <c r="T3" s="397"/>
      <c r="U3" s="397"/>
      <c r="V3" s="398"/>
      <c r="W3" s="399"/>
      <c r="X3" s="400"/>
      <c r="Y3" s="401"/>
      <c r="Z3" s="5"/>
    </row>
    <row r="4" spans="1:26">
      <c r="A4" s="68" t="s">
        <v>28</v>
      </c>
      <c r="B4" s="590" t="s">
        <v>29</v>
      </c>
      <c r="C4" s="85">
        <f>1/(('Com-Ind Equations'!$B$123*3600)/(0.036*(1-'Com-Ind Equations'!$B$124)*(('Com-Ind Equations'!$B$125/'Com-Ind Equations'!$B$126)^3)*'Com-Ind Equations'!$B$127))</f>
        <v>1.4713536180231943E-9</v>
      </c>
      <c r="D4" s="90">
        <f>(('Com-Ind Equations'!$B$103^(10/3)*'Chemical Info'!AH5*'Chemical Info'!AN5*41+'Com-Ind Equations'!$B$106^(10/3)*'Chemical Info'!AJ5)/'Com-Ind Equations'!$B$108^2)/('Com-Ind Equations'!$B$110*'Chemical Info'!AL5*'Com-Ind Equations'!$B$113+'Com-Ind Equations'!$B$106+'Com-Ind Equations'!$B$103*'Chemical Info'!AN5*41)</f>
        <v>0</v>
      </c>
      <c r="E4" s="65" t="str">
        <f>IF(D4=0,"NA",1/(('Com-Ind Equations'!$B$74*(3.14*D4*'Com-Ind Equations'!$B$76)^(1/2)*0.0001)/(2*'Com-Ind Equations'!$B$77*D4)))</f>
        <v>NA</v>
      </c>
      <c r="F4" s="65" t="str">
        <f>IF(D4=0,"NA",(1/('Com-Ind Equations'!$B$88*('Com-Ind Equations'!$B$89*(31500000))/('Com-Ind Equations'!$B$90*'Com-Ind Equations'!$B$91*1000000))))</f>
        <v>NA</v>
      </c>
      <c r="G4" s="95" t="str">
        <f>IF('Chemical Info'!E5="Yes",('Chemical Info'!AP5/'Com-Ind Equations'!$B$139)*((('Chemical Info'!AL5*'Com-Ind Equations'!$B$141)*'Com-Ind Equations'!$B$139)+'Com-Ind Equations'!$B$142+('Chemical Info'!AN5*41)*'Com-Ind Equations'!$B$144),"NA")</f>
        <v>NA</v>
      </c>
      <c r="H4" s="112" t="str">
        <f>IF('Chemical Info'!H5="NA","NA",IF('Chemical Info'!E5="Yes",'Chemical Info'!H5*'Chemical Info'!AD5*'Com-Ind Equations'!$B$18*'Com-Ind Equations'!$B$22*(('Com-Ind Equations'!$B$24*'Com-Ind Equations'!$B$25)/'Com-Ind Equations'!$B$26),'Chemical Info'!H5*'Chemical Info'!AD5*'Com-Ind Equations'!$B$17*'Com-Ind Equations'!$B$22*('Com-Ind Equations'!$B$24*'Com-Ind Equations'!$B$25/'Com-Ind Equations'!$B$26)))</f>
        <v>NA</v>
      </c>
      <c r="I4" s="108" t="str">
        <f>IF('Chemical Info'!H5="NA","NA",IF('Chemical Info'!E5="Yes",0,('Chemical Info'!H5/'Chemical Info'!AF5)*'Com-Ind Equations'!$B$19*'Chemical Info'!AB5*'Com-Ind Equations'!$B$22*(('Com-Ind Equations'!$B$24*'Com-Ind Equations'!$B$29*'Com-Ind Equations'!$B$30)/'Com-Ind Equations'!$B$26)))</f>
        <v>NA</v>
      </c>
      <c r="J4" s="115" t="str">
        <f>IF('Chemical Info'!J5="NA","NA",IF(E4="NA",'Com-Ind Equations'!$B$20*1000*'Com-Ind Equations'!$B$24*'Com-Ind Equations'!$B$21*'Chemical Info'!J5*'Com-Ind Calculations'!C4,IF('Chemical Info'!E5="Yes",'Com-Ind Equations'!$B$20*1000*'Com-Ind Equations'!$B$24*'Com-Ind Equations'!$B$21*'Chemical Info'!J5*'Com-Ind Calculations'!E4,'Com-Ind Equations'!$B$20*1000*'Com-Ind Equations'!$B$24*'Com-Ind Equations'!$B$21*'Chemical Info'!J5*('Com-Ind Calculations'!C4+'Com-Ind Calculations'!E4))))</f>
        <v>NA</v>
      </c>
      <c r="K4" s="117" t="str">
        <f>IF('Chemical Info'!J5="NA","NA",IF(F4="NA",'Com-Ind Equations'!$B$20*1000*'Com-Ind Equations'!$B$24*'Com-Ind Equations'!$B$21*'Chemical Info'!J5*'Com-Ind Calculations'!C4,IF('Chemical Info'!E5="Yes",'Com-Ind Equations'!$B$20*1000*'Com-Ind Equations'!$B$24*'Com-Ind Equations'!$B$21*'Chemical Info'!J5*'Com-Ind Calculations'!F4,'Com-Ind Equations'!$B$20*1000*'Com-Ind Equations'!$B$24*'Com-Ind Equations'!$B$21*'Chemical Info'!J5*('Com-Ind Calculations'!C4+'Com-Ind Calculations'!F4))))</f>
        <v>NA</v>
      </c>
      <c r="L4" s="95" t="str">
        <f>IF(AND(H4="NA",I4="NA",J4="NA"),"NA",IF(H4="NA",'Com-Ind Equations'!$B$13*'Com-Ind Equations'!$B$14/J4,IF(J4="NA",'Com-Ind Equations'!$B$13*'Com-Ind Equations'!$B$14/(H4+I4),'Com-Ind Equations'!$B$13*'Com-Ind Equations'!$B$14/(H4+I4+J4))))</f>
        <v>NA</v>
      </c>
      <c r="M4" s="95" t="str">
        <f>IF(AND(H4="NA",I4="NA",K4="NA"),"NA",IF(H4="NA",'Com-Ind Equations'!$B$13*'Com-Ind Equations'!$B$14/K4,IF(K4="NA",'Com-Ind Equations'!$B$13*'Com-Ind Equations'!$B$14/(H4+I4),'Com-Ind Equations'!$B$13*'Com-Ind Equations'!$B$14/(H4+I4+K4))))</f>
        <v>NA</v>
      </c>
      <c r="N4" s="95" t="str">
        <f t="shared" ref="N4:N33" si="0">IF(AND(L4="NA",M4="NA"),"NA",MAX(L4,M4))</f>
        <v>NA</v>
      </c>
      <c r="O4" s="94">
        <f>IF('Chemical Info'!L5="NA","NA",IF('Chemical Info'!E5="Yes",(('Com-Ind Equations'!$B$46*'Chemical Info'!AD5*'Com-Ind Equations'!$B$48*'Com-Ind Equations'!$B$49*'Com-Ind Equations'!$B$51)/('Com-Ind Equations'!$B$55*'Com-Ind Equations'!$B$56))/'Chemical Info'!L5,(('Com-Ind Equations'!$B$46*'Chemical Info'!AD5*'Com-Ind Equations'!$B$48*'Com-Ind Equations'!$B$49*'Com-Ind Equations'!$B$50)/('Com-Ind Equations'!$B$55*'Com-Ind Equations'!$B$56))/'Chemical Info'!L5))</f>
        <v>8.5616438356164365E-7</v>
      </c>
      <c r="P4" s="90">
        <f>IF('Chemical Info'!L5="NA","NA", IF('Chemical Info'!E5="Yes",0,((('Com-Ind Equations'!$B$58*'Com-Ind Equations'!$B$59*'Com-Ind Equations'!$B$48*'Com-Ind Equations'!$B$52*'Com-Ind Equations'!$B$49*'Chemical Info'!AB5)/('Com-Ind Equations'!$B$55*'Com-Ind Equations'!$B$56))/('Chemical Info'!L5*'Chemical Info'!AF5))))</f>
        <v>0</v>
      </c>
      <c r="Q4" s="90">
        <f>IF('Chemical Info'!N5="NA","NA",IF('Com-Ind Calculations'!E4="NA",(('Com-Ind Equations'!$B$53*'Com-Ind Equations'!$B$49*'Com-Ind Equations'!$B$54*'Com-Ind Calculations'!C4)/('Com-Ind Equations'!$B$56))/('Chemical Info'!N5),IF('Chemical Info'!E5="Yes",(('Com-Ind Equations'!$B$53*'Com-Ind Equations'!$B$49*'Com-Ind Equations'!$B$54*'Com-Ind Calculations'!E4)/('Com-Ind Equations'!$B$56))/('Chemical Info'!N5),(('Com-Ind Equations'!$B$53*'Com-Ind Equations'!$B$49*'Com-Ind Equations'!$B$54*('Com-Ind Calculations'!C4+'Com-Ind Calculations'!E4))/('Com-Ind Equations'!$B$56))/('Chemical Info'!N5))))</f>
        <v>6.0466587042049077E-8</v>
      </c>
      <c r="R4" s="90">
        <f>IF('Chemical Info'!N5="NA","NA",IF('Com-Ind Calculations'!F4="NA",(('Com-Ind Equations'!$B$53*'Com-Ind Equations'!$B$49*'Com-Ind Equations'!$B$54*'Com-Ind Calculations'!C4)/('Com-Ind Equations'!$B$56))/('Chemical Info'!N5),IF('Chemical Info'!E5="Yes",(('Com-Ind Equations'!$B$53*'Com-Ind Equations'!$B$49*'Com-Ind Equations'!$B$54*'Com-Ind Calculations'!F4)/('Com-Ind Equations'!$B$56))/('Chemical Info'!N5),(('Com-Ind Equations'!$B$53*'Com-Ind Equations'!$B$49*'Com-Ind Equations'!$B$54*('Com-Ind Calculations'!C4+'Com-Ind Calculations'!F4))/('Com-Ind Equations'!$B$56))/('Chemical Info'!N5))))</f>
        <v>6.0466587042049077E-8</v>
      </c>
      <c r="S4" s="89">
        <f>IF(AND(O4="NA",P4="NA",Q4="NA"),"NA",IF(O4="NA",'Com-Ind Equations'!$B$45/'Com-Ind Calculations'!Q4,IF('Com-Ind Calculations'!Q4="NA",'Com-Ind Equations'!$B$45/('Com-Ind Calculations'!O4+'Com-Ind Calculations'!P4),'Com-Ind Equations'!$B$45/('Com-Ind Calculations'!O4+'Com-Ind Calculations'!P4+'Com-Ind Calculations'!Q4))))</f>
        <v>218190.31476569039</v>
      </c>
      <c r="T4" s="95">
        <f>IF(AND(O4="NA",P4="NA",R4="NA"),"NA",IF(O4="NA",'Com-Ind Equations'!$B$45/R4,IF(R4="NA",'Com-Ind Equations'!$B$45/(O4+P4),'Com-Ind Equations'!$B$45/(O4+P4+R4))))</f>
        <v>218190.31476569039</v>
      </c>
      <c r="U4" s="97">
        <f t="shared" ref="U4:U33" si="1">IF(AND(S4="NA",T4="NA"),"NA",MAX(S4,T4))</f>
        <v>218190.31476569039</v>
      </c>
      <c r="V4" s="101">
        <f>IF(AND(N4="NA",U4="NA",G4="NA"),"NA",MIN(N4,U4,G4))</f>
        <v>218190.31476569039</v>
      </c>
      <c r="W4" s="105">
        <f>IF(V4&gt;100000,100000,IF(ISNUMBER(ROUND(V4*1000000,2-LEN(INT(V4*1000000)))/1000000),ROUND(V4*1000000,2-LEN(INT(V4*1000000)))/1000000,"NA"))</f>
        <v>100000</v>
      </c>
      <c r="X4" s="100" t="str">
        <f t="shared" ref="X4:X33" si="2">IF(W4=100000,"Max Limit",IF(V4=G4,"Csat",IF(V4=N4,"Cancer",IF(V4=U4,"Noncancer",""))))</f>
        <v>Max Limit</v>
      </c>
      <c r="Y4" s="70"/>
    </row>
    <row r="5" spans="1:26">
      <c r="A5" s="68" t="s">
        <v>32</v>
      </c>
      <c r="B5" s="590" t="s">
        <v>33</v>
      </c>
      <c r="C5" s="85">
        <f>1/(('Com-Ind Equations'!$B$123*3600)/(0.036*(1-'Com-Ind Equations'!$B$124)*(('Com-Ind Equations'!$B$125/'Com-Ind Equations'!$B$126)^3)*'Com-Ind Equations'!$B$127))</f>
        <v>1.4713536180231943E-9</v>
      </c>
      <c r="D5" s="90">
        <f>(('Com-Ind Equations'!$B$103^(10/3)*'Chemical Info'!AH6*'Chemical Info'!AN6*41+'Com-Ind Equations'!$B$106^(10/3)*'Chemical Info'!AJ6)/'Com-Ind Equations'!$B$108^2)/('Com-Ind Equations'!$B$110*'Chemical Info'!AL6*'Com-Ind Equations'!$B$113+'Com-Ind Equations'!$B$106+'Com-Ind Equations'!$B$103*'Chemical Info'!AN6*41)</f>
        <v>0</v>
      </c>
      <c r="E5" s="65" t="str">
        <f>IF(D5=0,"NA",1/(('Com-Ind Equations'!$B$74*(3.14*D5*'Com-Ind Equations'!$B$76)^(1/2)*0.0001)/(2*'Com-Ind Equations'!$B$77*D5)))</f>
        <v>NA</v>
      </c>
      <c r="F5" s="65" t="str">
        <f>IF(D5=0,"NA",(1/('Com-Ind Equations'!$B$88*('Com-Ind Equations'!$B$89*(31500000))/('Com-Ind Equations'!$B$90*'Com-Ind Equations'!$B$91*1000000))))</f>
        <v>NA</v>
      </c>
      <c r="G5" s="95" t="str">
        <f>IF('Chemical Info'!E6="Yes",('Chemical Info'!AP6/'Com-Ind Equations'!$B$139)*((('Chemical Info'!AL6*'Com-Ind Equations'!$B$141)*'Com-Ind Equations'!$B$139)+'Com-Ind Equations'!$B$142+('Chemical Info'!AN6*41)*'Com-Ind Equations'!$B$144),"NA")</f>
        <v>NA</v>
      </c>
      <c r="H5" s="112" t="str">
        <f>IF('Chemical Info'!H6="NA","NA",IF('Chemical Info'!E6="Yes",'Chemical Info'!H6*'Chemical Info'!AD6*'Com-Ind Equations'!$B$18*'Com-Ind Equations'!$B$22*(('Com-Ind Equations'!$B$24*'Com-Ind Equations'!$B$25)/'Com-Ind Equations'!$B$26),'Chemical Info'!H6*'Chemical Info'!AD6*'Com-Ind Equations'!$B$17*'Com-Ind Equations'!$B$22*('Com-Ind Equations'!$B$24*'Com-Ind Equations'!$B$25/'Com-Ind Equations'!$B$26)))</f>
        <v>NA</v>
      </c>
      <c r="I5" s="108" t="str">
        <f>IF('Chemical Info'!H6="NA","NA",IF('Chemical Info'!E6="Yes",0,('Chemical Info'!H6/'Chemical Info'!AF6)*'Com-Ind Equations'!$B$19*'Chemical Info'!AB6*'Com-Ind Equations'!$B$22*(('Com-Ind Equations'!$B$24*'Com-Ind Equations'!$B$29*'Com-Ind Equations'!$B$30)/'Com-Ind Equations'!$B$26)))</f>
        <v>NA</v>
      </c>
      <c r="J5" s="115" t="str">
        <f>IF('Chemical Info'!J6="NA","NA",IF(E5="NA",'Com-Ind Equations'!$B$20*1000*'Com-Ind Equations'!$B$24*'Com-Ind Equations'!$B$21*'Chemical Info'!J6*'Com-Ind Calculations'!C5,IF('Chemical Info'!E6="Yes",'Com-Ind Equations'!$B$20*1000*'Com-Ind Equations'!$B$24*'Com-Ind Equations'!$B$21*'Chemical Info'!J6*'Com-Ind Calculations'!E5,'Com-Ind Equations'!$B$20*1000*'Com-Ind Equations'!$B$24*'Com-Ind Equations'!$B$21*'Chemical Info'!J6*('Com-Ind Calculations'!C5+'Com-Ind Calculations'!E5))))</f>
        <v>NA</v>
      </c>
      <c r="K5" s="117" t="str">
        <f>IF('Chemical Info'!J6="NA","NA",IF(F5="NA",'Com-Ind Equations'!$B$20*1000*'Com-Ind Equations'!$B$24*'Com-Ind Equations'!$B$21*'Chemical Info'!J6*'Com-Ind Calculations'!C5,IF('Chemical Info'!E6="Yes",'Com-Ind Equations'!$B$20*1000*'Com-Ind Equations'!$B$24*'Com-Ind Equations'!$B$21*'Chemical Info'!J6*'Com-Ind Calculations'!F5,'Com-Ind Equations'!$B$20*1000*'Com-Ind Equations'!$B$24*'Com-Ind Equations'!$B$21*'Chemical Info'!J6*('Com-Ind Calculations'!C5+'Com-Ind Calculations'!F5))))</f>
        <v>NA</v>
      </c>
      <c r="L5" s="95" t="str">
        <f>IF(AND(H5="NA",I5="NA",J5="NA"),"NA",IF(H5="NA",'Com-Ind Equations'!$B$13*'Com-Ind Equations'!$B$14/J5,IF(J5="NA",'Com-Ind Equations'!$B$13*'Com-Ind Equations'!$B$14/(H5+I5),'Com-Ind Equations'!$B$13*'Com-Ind Equations'!$B$14/(H5+I5+J5))))</f>
        <v>NA</v>
      </c>
      <c r="M5" s="95" t="str">
        <f>IF(AND(H5="NA",I5="NA",K5="NA"),"NA",IF(H5="NA",'Com-Ind Equations'!$B$13*'Com-Ind Equations'!$B$14/K5,IF(K5="NA",'Com-Ind Equations'!$B$13*'Com-Ind Equations'!$B$14/(H5+I5),'Com-Ind Equations'!$B$13*'Com-Ind Equations'!$B$14/(H5+I5+K5))))</f>
        <v>NA</v>
      </c>
      <c r="N5" s="95" t="str">
        <f t="shared" si="0"/>
        <v>NA</v>
      </c>
      <c r="O5" s="94">
        <f>IF('Chemical Info'!L6="NA","NA",IF('Chemical Info'!E6="Yes",(('Com-Ind Equations'!$B$46*'Chemical Info'!AD6*'Com-Ind Equations'!$B$48*'Com-Ind Equations'!$B$49*'Com-Ind Equations'!$B$51)/('Com-Ind Equations'!$B$55*'Com-Ind Equations'!$B$56))/'Chemical Info'!L6,(('Com-Ind Equations'!$B$46*'Chemical Info'!AD6*'Com-Ind Equations'!$B$48*'Com-Ind Equations'!$B$49*'Com-Ind Equations'!$B$50)/('Com-Ind Equations'!$B$55*'Com-Ind Equations'!$B$56))/'Chemical Info'!L6))</f>
        <v>2.140410958904109E-3</v>
      </c>
      <c r="P5" s="90">
        <f>IF('Chemical Info'!L6="NA","NA", IF('Chemical Info'!E6="Yes",0,((('Com-Ind Equations'!$B$58*'Com-Ind Equations'!$B$59*'Com-Ind Equations'!$B$48*'Com-Ind Equations'!$B$52*'Com-Ind Equations'!$B$49*'Chemical Info'!AB6)/('Com-Ind Equations'!$B$55*'Com-Ind Equations'!$B$56))/('Chemical Info'!L6*'Chemical Info'!AF6))))</f>
        <v>0</v>
      </c>
      <c r="Q5" s="90">
        <f>IF('Chemical Info'!N6="NA","NA",IF('Com-Ind Calculations'!E5="NA",(('Com-Ind Equations'!$B$53*'Com-Ind Equations'!$B$49*'Com-Ind Equations'!$B$54*'Com-Ind Calculations'!C5)/('Com-Ind Equations'!$B$56))/('Chemical Info'!N6),IF('Chemical Info'!E6="Yes",(('Com-Ind Equations'!$B$53*'Com-Ind Equations'!$B$49*'Com-Ind Equations'!$B$54*'Com-Ind Calculations'!E5)/('Com-Ind Equations'!$B$56))/('Chemical Info'!N6),(('Com-Ind Equations'!$B$53*'Com-Ind Equations'!$B$49*'Com-Ind Equations'!$B$54*('Com-Ind Calculations'!C5+'Com-Ind Calculations'!E5))/('Com-Ind Equations'!$B$56))/('Chemical Info'!N6))))</f>
        <v>1.5116646760512269E-6</v>
      </c>
      <c r="R5" s="90">
        <f>IF('Chemical Info'!N6="NA","NA",IF('Com-Ind Calculations'!F5="NA",(('Com-Ind Equations'!$B$53*'Com-Ind Equations'!$B$49*'Com-Ind Equations'!$B$54*'Com-Ind Calculations'!C5)/('Com-Ind Equations'!$B$56))/('Chemical Info'!N6),IF('Chemical Info'!E6="Yes",(('Com-Ind Equations'!$B$53*'Com-Ind Equations'!$B$49*'Com-Ind Equations'!$B$54*'Com-Ind Calculations'!F5)/('Com-Ind Equations'!$B$56))/('Chemical Info'!N6),(('Com-Ind Equations'!$B$53*'Com-Ind Equations'!$B$49*'Com-Ind Equations'!$B$54*('Com-Ind Calculations'!C5+'Com-Ind Calculations'!F5))/('Com-Ind Equations'!$B$56))/('Chemical Info'!N6))))</f>
        <v>1.5116646760512269E-6</v>
      </c>
      <c r="S5" s="90">
        <f>IF(AND(O5="NA",P5="NA",Q5="NA"),"NA",IF(O5="NA",'Com-Ind Equations'!$B$45/'Com-Ind Calculations'!Q5,IF('Com-Ind Calculations'!Q5="NA",'Com-Ind Equations'!$B$45/('Com-Ind Calculations'!O5+'Com-Ind Calculations'!P5),'Com-Ind Equations'!$B$45/('Com-Ind Calculations'!O5+'Com-Ind Calculations'!P5+'Com-Ind Calculations'!Q5))))</f>
        <v>93.374054598529767</v>
      </c>
      <c r="T5" s="95">
        <f>IF(AND(O5="NA",P5="NA",R5="NA"),"NA",IF(O5="NA",'Com-Ind Equations'!$B$45/R5,IF(R5="NA",'Com-Ind Equations'!$B$45/(O5+P5),'Com-Ind Equations'!$B$45/(O5+P5+R5))))</f>
        <v>93.374054598529767</v>
      </c>
      <c r="U5" s="97">
        <f t="shared" si="1"/>
        <v>93.374054598529767</v>
      </c>
      <c r="V5" s="101">
        <f t="shared" ref="V5:V33" si="3">IF(AND(N5="NA",U5="NA",G5="NA"),"NA",MIN(N5,U5,G5))</f>
        <v>93.374054598529767</v>
      </c>
      <c r="W5" s="105">
        <f t="shared" ref="W5:W33" si="4">IF(V5&gt;100000,100000,IF(ISNUMBER(ROUND(V5*1000000,2-LEN(INT(V5*1000000)))/1000000),ROUND(V5*1000000,2-LEN(INT(V5*1000000)))/1000000,"NA"))</f>
        <v>93</v>
      </c>
      <c r="X5" s="100" t="str">
        <f t="shared" si="2"/>
        <v>Noncancer</v>
      </c>
      <c r="Y5" s="70"/>
    </row>
    <row r="6" spans="1:26">
      <c r="A6" s="68" t="s">
        <v>213</v>
      </c>
      <c r="B6" s="590" t="s">
        <v>214</v>
      </c>
      <c r="C6" s="85">
        <f>1/(('Com-Ind Equations'!$B$123*3600)/(0.036*(1-'Com-Ind Equations'!$B$124)*(('Com-Ind Equations'!$B$125/'Com-Ind Equations'!$B$126)^3)*'Com-Ind Equations'!$B$127))</f>
        <v>1.4713536180231943E-9</v>
      </c>
      <c r="D6" s="90">
        <f>(('Com-Ind Equations'!$B$103^(10/3)*'Chemical Info'!AH7*'Chemical Info'!AN7*41+'Com-Ind Equations'!$B$106^(10/3)*'Chemical Info'!AJ7)/'Com-Ind Equations'!$B$108^2)/('Com-Ind Equations'!$B$110*'Chemical Info'!AL7*'Com-Ind Equations'!$B$113+'Com-Ind Equations'!$B$106+'Com-Ind Equations'!$B$103*'Chemical Info'!AN7*41)</f>
        <v>0</v>
      </c>
      <c r="E6" s="65" t="str">
        <f>IF(D6=0,"NA",1/(('Com-Ind Equations'!$B$74*(3.14*D6*'Com-Ind Equations'!$B$76)^(1/2)*0.0001)/(2*'Com-Ind Equations'!$B$77*D6)))</f>
        <v>NA</v>
      </c>
      <c r="F6" s="65" t="str">
        <f>IF(D6=0,"NA",(1/('Com-Ind Equations'!$B$88*('Com-Ind Equations'!$B$89*(31500000))/('Com-Ind Equations'!$B$90*'Com-Ind Equations'!$B$91*1000000))))</f>
        <v>NA</v>
      </c>
      <c r="G6" s="95" t="str">
        <f>IF('Chemical Info'!E7="Yes",('Chemical Info'!AP7/'Com-Ind Equations'!$B$139)*((('Chemical Info'!AL7*'Com-Ind Equations'!$B$141)*'Com-Ind Equations'!$B$139)+'Com-Ind Equations'!$B$142+('Chemical Info'!AN7*41)*'Com-Ind Equations'!$B$144),"NA")</f>
        <v>NA</v>
      </c>
      <c r="H6" s="112">
        <f>IF('Chemical Info'!H7="NA","NA",IF('Chemical Info'!E7="Yes",'Chemical Info'!H7*'Chemical Info'!AD7*'Com-Ind Equations'!$B$18*'Com-Ind Equations'!$B$22*(('Com-Ind Equations'!$B$24*'Com-Ind Equations'!$B$25)/'Com-Ind Equations'!$B$26),'Chemical Info'!H7*'Chemical Info'!AD7*'Com-Ind Equations'!$B$17*'Com-Ind Equations'!$B$22*('Com-Ind Equations'!$B$24*'Com-Ind Equations'!$B$25/'Com-Ind Equations'!$B$26)))</f>
        <v>0.15</v>
      </c>
      <c r="I6" s="108">
        <f>IF('Chemical Info'!H7="NA","NA",IF('Chemical Info'!E7="Yes",0,('Chemical Info'!H7/'Chemical Info'!AF7)*'Com-Ind Equations'!$B$19*'Chemical Info'!AB7*'Com-Ind Equations'!$B$22*(('Com-Ind Equations'!$B$24*'Com-Ind Equations'!$B$29*'Com-Ind Equations'!$B$30)/'Com-Ind Equations'!$B$26)))</f>
        <v>2.2854959999999994E-2</v>
      </c>
      <c r="J6" s="115">
        <f>IF('Chemical Info'!J7="NA","NA",IF(E6="NA",'Com-Ind Equations'!$B$20*1000*'Com-Ind Equations'!$B$24*'Com-Ind Equations'!$B$21*'Chemical Info'!J7*'Com-Ind Calculations'!C6,IF('Chemical Info'!E7="Yes",'Com-Ind Equations'!$B$20*1000*'Com-Ind Equations'!$B$24*'Com-Ind Equations'!$B$21*'Chemical Info'!J7*'Com-Ind Calculations'!E6,'Com-Ind Equations'!$B$20*1000*'Com-Ind Equations'!$B$24*'Com-Ind Equations'!$B$21*'Chemical Info'!J7*('Com-Ind Calculations'!C6+'Com-Ind Calculations'!E6))))</f>
        <v>1.1862788545312005E-5</v>
      </c>
      <c r="K6" s="117">
        <f>IF('Chemical Info'!J7="NA","NA",IF(F6="NA",'Com-Ind Equations'!$B$20*1000*'Com-Ind Equations'!$B$24*'Com-Ind Equations'!$B$21*'Chemical Info'!J7*'Com-Ind Calculations'!C6,IF('Chemical Info'!E7="Yes",'Com-Ind Equations'!$B$20*1000*'Com-Ind Equations'!$B$24*'Com-Ind Equations'!$B$21*'Chemical Info'!J7*'Com-Ind Calculations'!F6,'Com-Ind Equations'!$B$20*1000*'Com-Ind Equations'!$B$24*'Com-Ind Equations'!$B$21*'Chemical Info'!J7*('Com-Ind Calculations'!C6+'Com-Ind Calculations'!F6))))</f>
        <v>1.1862788545312005E-5</v>
      </c>
      <c r="L6" s="95">
        <f>IF(AND(H6="NA",I6="NA",J6="NA"),"NA",IF(H6="NA",'Com-Ind Equations'!$B$13*'Com-Ind Equations'!$B$14/J6,IF(J6="NA",'Com-Ind Equations'!$B$13*'Com-Ind Equations'!$B$14/(H6+I6),'Com-Ind Equations'!$B$13*'Com-Ind Equations'!$B$14/(H6+I6+J6))))</f>
        <v>1.4780164052215705</v>
      </c>
      <c r="M6" s="95">
        <f>IF(AND(H6="NA",I6="NA",K6="NA"),"NA",IF(H6="NA",'Com-Ind Equations'!$B$13*'Com-Ind Equations'!$B$14/K6,IF(K6="NA",'Com-Ind Equations'!$B$13*'Com-Ind Equations'!$B$14/(H6+I6),'Com-Ind Equations'!$B$13*'Com-Ind Equations'!$B$14/(H6+I6+K6))))</f>
        <v>1.4780164052215705</v>
      </c>
      <c r="N6" s="95">
        <f t="shared" si="0"/>
        <v>1.4780164052215705</v>
      </c>
      <c r="O6" s="94">
        <f>IF('Chemical Info'!L7="NA","NA",IF('Chemical Info'!E7="Yes",(('Com-Ind Equations'!$B$46*'Chemical Info'!AD7*'Com-Ind Equations'!$B$48*'Com-Ind Equations'!$B$49*'Com-Ind Equations'!$B$51)/('Com-Ind Equations'!$B$55*'Com-Ind Equations'!$B$56))/'Chemical Info'!L7,(('Com-Ind Equations'!$B$46*'Chemical Info'!AD7*'Com-Ind Equations'!$B$48*'Com-Ind Equations'!$B$49*'Com-Ind Equations'!$B$50)/('Com-Ind Equations'!$B$55*'Com-Ind Equations'!$B$56))/'Chemical Info'!L7))</f>
        <v>8.5616438356164379E-3</v>
      </c>
      <c r="P6" s="90">
        <f>IF('Chemical Info'!L7="NA","NA", IF('Chemical Info'!E7="Yes",0,((('Com-Ind Equations'!$B$58*'Com-Ind Equations'!$B$59*'Com-Ind Equations'!$B$48*'Com-Ind Equations'!$B$52*'Com-Ind Equations'!$B$49*'Chemical Info'!AB7)/('Com-Ind Equations'!$B$55*'Com-Ind Equations'!$B$56))/('Chemical Info'!L7*'Chemical Info'!AF7))))</f>
        <v>1.3045068493150683E-3</v>
      </c>
      <c r="Q6" s="90">
        <f>IF('Chemical Info'!N7="NA","NA",IF('Com-Ind Calculations'!E6="NA",(('Com-Ind Equations'!$B$53*'Com-Ind Equations'!$B$49*'Com-Ind Equations'!$B$54*'Com-Ind Calculations'!C6)/('Com-Ind Equations'!$B$56))/('Chemical Info'!N7),IF('Chemical Info'!E7="Yes",(('Com-Ind Equations'!$B$53*'Com-Ind Equations'!$B$49*'Com-Ind Equations'!$B$54*'Com-Ind Calculations'!E6)/('Com-Ind Equations'!$B$56))/('Chemical Info'!N7),(('Com-Ind Equations'!$B$53*'Com-Ind Equations'!$B$49*'Com-Ind Equations'!$B$54*('Com-Ind Calculations'!C6+'Com-Ind Calculations'!E6))/('Com-Ind Equations'!$B$56))/('Chemical Info'!N7))))</f>
        <v>2.0155529014016359E-5</v>
      </c>
      <c r="R6" s="90">
        <f>IF('Chemical Info'!N7="NA","NA",IF('Com-Ind Calculations'!F6="NA",(('Com-Ind Equations'!$B$53*'Com-Ind Equations'!$B$49*'Com-Ind Equations'!$B$54*'Com-Ind Calculations'!C6)/('Com-Ind Equations'!$B$56))/('Chemical Info'!N7),IF('Chemical Info'!E7="Yes",(('Com-Ind Equations'!$B$53*'Com-Ind Equations'!$B$49*'Com-Ind Equations'!$B$54*'Com-Ind Calculations'!F6)/('Com-Ind Equations'!$B$56))/('Chemical Info'!N7),(('Com-Ind Equations'!$B$53*'Com-Ind Equations'!$B$49*'Com-Ind Equations'!$B$54*('Com-Ind Calculations'!C6+'Com-Ind Calculations'!F6))/('Com-Ind Equations'!$B$56))/('Chemical Info'!N7))))</f>
        <v>2.0155529014016359E-5</v>
      </c>
      <c r="S6" s="90">
        <f>IF(AND(O6="NA",P6="NA",Q6="NA"),"NA",IF(O6="NA",'Com-Ind Equations'!$B$45/'Com-Ind Calculations'!Q6,IF('Com-Ind Calculations'!Q6="NA",'Com-Ind Equations'!$B$45/('Com-Ind Calculations'!O6+'Com-Ind Calculations'!P6),'Com-Ind Equations'!$B$45/('Com-Ind Calculations'!O6+'Com-Ind Calculations'!P6+'Com-Ind Calculations'!Q6))))</f>
        <v>20.230002558274197</v>
      </c>
      <c r="T6" s="95">
        <f>IF(AND(O6="NA",P6="NA",R6="NA"),"NA",IF(O6="NA",'Com-Ind Equations'!$B$45/R6,IF(R6="NA",'Com-Ind Equations'!$B$45/(O6+P6),'Com-Ind Equations'!$B$45/(O6+P6+R6))))</f>
        <v>20.230002558274197</v>
      </c>
      <c r="U6" s="97">
        <f t="shared" si="1"/>
        <v>20.230002558274197</v>
      </c>
      <c r="V6" s="101">
        <f t="shared" si="3"/>
        <v>1.4780164052215705</v>
      </c>
      <c r="W6" s="105">
        <f t="shared" si="4"/>
        <v>1.5</v>
      </c>
      <c r="X6" s="100" t="str">
        <f t="shared" si="2"/>
        <v>Cancer</v>
      </c>
      <c r="Y6" s="70"/>
    </row>
    <row r="7" spans="1:26">
      <c r="A7" s="67" t="s">
        <v>215</v>
      </c>
      <c r="B7" s="566" t="s">
        <v>216</v>
      </c>
      <c r="C7" s="85">
        <f>1/(('Com-Ind Equations'!$B$123*3600)/(0.036*(1-'Com-Ind Equations'!$B$124)*(('Com-Ind Equations'!$B$125/'Com-Ind Equations'!$B$126)^3)*'Com-Ind Equations'!$B$127))</f>
        <v>1.4713536180231943E-9</v>
      </c>
      <c r="D7" s="90">
        <f>(('Com-Ind Equations'!$B$103^(10/3)*'Chemical Info'!AH8*'Chemical Info'!AN8*41+'Com-Ind Equations'!$B$106^(10/3)*'Chemical Info'!AJ8)/'Com-Ind Equations'!$B$108^2)/('Com-Ind Equations'!$B$110*'Chemical Info'!AL8*'Com-Ind Equations'!$B$113+'Com-Ind Equations'!$B$106+'Com-Ind Equations'!$B$103*'Chemical Info'!AN8*41)</f>
        <v>0</v>
      </c>
      <c r="E7" s="65" t="str">
        <f>IF(D7=0,"NA",1/(('Com-Ind Equations'!$B$74*(3.14*D7*'Com-Ind Equations'!$B$76)^(1/2)*0.0001)/(2*'Com-Ind Equations'!$B$77*D7)))</f>
        <v>NA</v>
      </c>
      <c r="F7" s="65" t="str">
        <f>IF(D7=0,"NA",(1/('Com-Ind Equations'!$B$88*('Com-Ind Equations'!$B$89*(31500000))/('Com-Ind Equations'!$B$90*'Com-Ind Equations'!$B$91*1000000))))</f>
        <v>NA</v>
      </c>
      <c r="G7" s="95" t="str">
        <f>IF('Chemical Info'!E8="Yes",('Chemical Info'!AP8/'Com-Ind Equations'!$B$139)*((('Chemical Info'!AL8*'Com-Ind Equations'!$B$141)*'Com-Ind Equations'!$B$139)+'Com-Ind Equations'!$B$142+('Chemical Info'!AN8*41)*'Com-Ind Equations'!$B$144),"NA")</f>
        <v>NA</v>
      </c>
      <c r="H7" s="112" t="str">
        <f>IF('Chemical Info'!H8="NA","NA",IF('Chemical Info'!E8="Yes",'Chemical Info'!H8*'Chemical Info'!AD8*'Com-Ind Equations'!$B$18*'Com-Ind Equations'!$B$22*(('Com-Ind Equations'!$B$24*'Com-Ind Equations'!$B$25)/'Com-Ind Equations'!$B$26),'Chemical Info'!H8*'Chemical Info'!AD8*'Com-Ind Equations'!$B$17*'Com-Ind Equations'!$B$22*('Com-Ind Equations'!$B$24*'Com-Ind Equations'!$B$25/'Com-Ind Equations'!$B$26)))</f>
        <v>NA</v>
      </c>
      <c r="I7" s="108" t="str">
        <f>IF('Chemical Info'!H8="NA","NA",IF('Chemical Info'!E8="Yes",0,('Chemical Info'!H8/'Chemical Info'!AF8)*'Com-Ind Equations'!$B$19*'Chemical Info'!AB8*'Com-Ind Equations'!$B$22*(('Com-Ind Equations'!$B$24*'Com-Ind Equations'!$B$29*'Com-Ind Equations'!$B$30)/'Com-Ind Equations'!$B$26)))</f>
        <v>NA</v>
      </c>
      <c r="J7" s="115" t="str">
        <f>IF('Chemical Info'!J8="NA","NA",IF(E7="NA",'Com-Ind Equations'!$B$20*1000*'Com-Ind Equations'!$B$24*'Com-Ind Equations'!$B$21*'Chemical Info'!J8*'Com-Ind Calculations'!C7,IF('Chemical Info'!E8="Yes",'Com-Ind Equations'!$B$20*1000*'Com-Ind Equations'!$B$24*'Com-Ind Equations'!$B$21*'Chemical Info'!J8*'Com-Ind Calculations'!E7,'Com-Ind Equations'!$B$20*1000*'Com-Ind Equations'!$B$24*'Com-Ind Equations'!$B$21*'Chemical Info'!J8*('Com-Ind Calculations'!C7+'Com-Ind Calculations'!E7))))</f>
        <v>NA</v>
      </c>
      <c r="K7" s="117" t="str">
        <f>IF('Chemical Info'!J8="NA","NA",IF(F7="NA",'Com-Ind Equations'!$B$20*1000*'Com-Ind Equations'!$B$24*'Com-Ind Equations'!$B$21*'Chemical Info'!J8*'Com-Ind Calculations'!C7,IF('Chemical Info'!E8="Yes",'Com-Ind Equations'!$B$20*1000*'Com-Ind Equations'!$B$24*'Com-Ind Equations'!$B$21*'Chemical Info'!J8*'Com-Ind Calculations'!F7,'Com-Ind Equations'!$B$20*1000*'Com-Ind Equations'!$B$24*'Com-Ind Equations'!$B$21*'Chemical Info'!J8*('Com-Ind Calculations'!C7+'Com-Ind Calculations'!F7))))</f>
        <v>NA</v>
      </c>
      <c r="L7" s="95" t="str">
        <f>IF(AND(H7="NA",I7="NA",J7="NA"),"NA",IF(H7="NA",'Com-Ind Equations'!$B$13*'Com-Ind Equations'!$B$14/J7,IF(J7="NA",'Com-Ind Equations'!$B$13*'Com-Ind Equations'!$B$14/(H7+I7),'Com-Ind Equations'!$B$13*'Com-Ind Equations'!$B$14/(H7+I7+J7))))</f>
        <v>NA</v>
      </c>
      <c r="M7" s="95" t="str">
        <f>IF(AND(H7="NA",I7="NA",K7="NA"),"NA",IF(H7="NA",'Com-Ind Equations'!$B$13*'Com-Ind Equations'!$B$14/K7,IF(K7="NA",'Com-Ind Equations'!$B$13*'Com-Ind Equations'!$B$14/(H7+I7),'Com-Ind Equations'!$B$13*'Com-Ind Equations'!$B$14/(H7+I7+K7))))</f>
        <v>NA</v>
      </c>
      <c r="N7" s="95" t="str">
        <f t="shared" si="0"/>
        <v>NA</v>
      </c>
      <c r="O7" s="94">
        <f>IF('Chemical Info'!L8="NA","NA",IF('Chemical Info'!E8="Yes",(('Com-Ind Equations'!$B$46*'Chemical Info'!AD8*'Com-Ind Equations'!$B$48*'Com-Ind Equations'!$B$49*'Com-Ind Equations'!$B$51)/('Com-Ind Equations'!$B$55*'Com-Ind Equations'!$B$56))/'Chemical Info'!L8,(('Com-Ind Equations'!$B$46*'Chemical Info'!AD8*'Com-Ind Equations'!$B$48*'Com-Ind Equations'!$B$49*'Com-Ind Equations'!$B$50)/('Com-Ind Equations'!$B$55*'Com-Ind Equations'!$B$56))/'Chemical Info'!L8))</f>
        <v>4.280821917808218E-6</v>
      </c>
      <c r="P7" s="90">
        <f>IF('Chemical Info'!L8="NA","NA", IF('Chemical Info'!E8="Yes",0,((('Com-Ind Equations'!$B$58*'Com-Ind Equations'!$B$59*'Com-Ind Equations'!$B$48*'Com-Ind Equations'!$B$52*'Com-Ind Equations'!$B$49*'Chemical Info'!AB8)/('Com-Ind Equations'!$B$55*'Com-Ind Equations'!$B$56))/('Chemical Info'!L8*'Chemical Info'!AF8))))</f>
        <v>0</v>
      </c>
      <c r="Q7" s="90">
        <f>IF('Chemical Info'!N8="NA","NA",IF('Com-Ind Calculations'!E7="NA",(('Com-Ind Equations'!$B$53*'Com-Ind Equations'!$B$49*'Com-Ind Equations'!$B$54*'Com-Ind Calculations'!C7)/('Com-Ind Equations'!$B$56))/('Chemical Info'!N8),IF('Chemical Info'!E8="Yes",(('Com-Ind Equations'!$B$53*'Com-Ind Equations'!$B$49*'Com-Ind Equations'!$B$54*'Com-Ind Calculations'!E7)/('Com-Ind Equations'!$B$56))/('Chemical Info'!N8),(('Com-Ind Equations'!$B$53*'Com-Ind Equations'!$B$49*'Com-Ind Equations'!$B$54*('Com-Ind Calculations'!C7+'Com-Ind Calculations'!E7))/('Com-Ind Equations'!$B$56))/('Chemical Info'!N8))))</f>
        <v>6.0466587042049074E-7</v>
      </c>
      <c r="R7" s="90">
        <f>IF('Chemical Info'!N8="NA","NA",IF('Com-Ind Calculations'!F7="NA",(('Com-Ind Equations'!$B$53*'Com-Ind Equations'!$B$49*'Com-Ind Equations'!$B$54*'Com-Ind Calculations'!C7)/('Com-Ind Equations'!$B$56))/('Chemical Info'!N8),IF('Chemical Info'!E8="Yes",(('Com-Ind Equations'!$B$53*'Com-Ind Equations'!$B$49*'Com-Ind Equations'!$B$54*'Com-Ind Calculations'!F7)/('Com-Ind Equations'!$B$56))/('Chemical Info'!N8),(('Com-Ind Equations'!$B$53*'Com-Ind Equations'!$B$49*'Com-Ind Equations'!$B$54*('Com-Ind Calculations'!C7+'Com-Ind Calculations'!F7))/('Com-Ind Equations'!$B$56))/('Chemical Info'!N8))))</f>
        <v>6.0466587042049074E-7</v>
      </c>
      <c r="S7" s="90">
        <f>IF(AND(O7="NA",P7="NA",Q7="NA"),"NA",IF(O7="NA",'Com-Ind Equations'!$B$45/'Com-Ind Calculations'!Q7,IF('Com-Ind Calculations'!Q7="NA",'Com-Ind Equations'!$B$45/('Com-Ind Calculations'!O7+'Com-Ind Calculations'!P7),'Com-Ind Equations'!$B$45/('Com-Ind Calculations'!O7+'Com-Ind Calculations'!P7+'Com-Ind Calculations'!Q7))))</f>
        <v>40937.570344948581</v>
      </c>
      <c r="T7" s="95">
        <f>IF(AND(O7="NA",P7="NA",R7="NA"),"NA",IF(O7="NA",'Com-Ind Equations'!$B$45/R7,IF(R7="NA",'Com-Ind Equations'!$B$45/(O7+P7),'Com-Ind Equations'!$B$45/(O7+P7+R7))))</f>
        <v>40937.570344948581</v>
      </c>
      <c r="U7" s="97">
        <f t="shared" si="1"/>
        <v>40937.570344948581</v>
      </c>
      <c r="V7" s="101">
        <f t="shared" si="3"/>
        <v>40937.570344948581</v>
      </c>
      <c r="W7" s="105">
        <f t="shared" si="4"/>
        <v>41000</v>
      </c>
      <c r="X7" s="100" t="str">
        <f t="shared" si="2"/>
        <v>Noncancer</v>
      </c>
      <c r="Y7" s="70"/>
    </row>
    <row r="8" spans="1:26">
      <c r="A8" s="67" t="s">
        <v>77</v>
      </c>
      <c r="B8" s="566" t="s">
        <v>78</v>
      </c>
      <c r="C8" s="85">
        <f>1/(('Com-Ind Equations'!$B$123*3600)/(0.036*(1-'Com-Ind Equations'!$B$124)*(('Com-Ind Equations'!$B$125/'Com-Ind Equations'!$B$126)^3)*'Com-Ind Equations'!$B$127))</f>
        <v>1.4713536180231943E-9</v>
      </c>
      <c r="D8" s="90">
        <f>(('Com-Ind Equations'!$B$103^(10/3)*'Chemical Info'!AH9*'Chemical Info'!AN9*41+'Com-Ind Equations'!$B$106^(10/3)*'Chemical Info'!AJ9)/'Com-Ind Equations'!$B$108^2)/('Com-Ind Equations'!$B$110*'Chemical Info'!AL9*'Com-Ind Equations'!$B$113+'Com-Ind Equations'!$B$106+'Com-Ind Equations'!$B$103*'Chemical Info'!AN9*41)</f>
        <v>0</v>
      </c>
      <c r="E8" s="65" t="str">
        <f>IF(D8=0,"NA",1/(('Com-Ind Equations'!$B$74*(3.14*D8*'Com-Ind Equations'!$B$76)^(1/2)*0.0001)/(2*'Com-Ind Equations'!$B$77*D8)))</f>
        <v>NA</v>
      </c>
      <c r="F8" s="65" t="str">
        <f>IF(D8=0,"NA",(1/('Com-Ind Equations'!$B$88*('Com-Ind Equations'!$B$89*(31500000))/('Com-Ind Equations'!$B$90*'Com-Ind Equations'!$B$91*1000000))))</f>
        <v>NA</v>
      </c>
      <c r="G8" s="95" t="str">
        <f>IF('Chemical Info'!E9="Yes",('Chemical Info'!AP9/'Com-Ind Equations'!$B$139)*((('Chemical Info'!AL9*'Com-Ind Equations'!$B$141)*'Com-Ind Equations'!$B$139)+'Com-Ind Equations'!$B$142+('Chemical Info'!AN9*41)*'Com-Ind Equations'!$B$144),"NA")</f>
        <v>NA</v>
      </c>
      <c r="H8" s="112" t="str">
        <f>IF('Chemical Info'!H9="NA","NA",IF('Chemical Info'!E9="Yes",'Chemical Info'!H9*'Chemical Info'!AD9*'Com-Ind Equations'!$B$18*'Com-Ind Equations'!$B$22*(('Com-Ind Equations'!$B$24*'Com-Ind Equations'!$B$25)/'Com-Ind Equations'!$B$26),'Chemical Info'!H9*'Chemical Info'!AD9*'Com-Ind Equations'!$B$17*'Com-Ind Equations'!$B$22*('Com-Ind Equations'!$B$24*'Com-Ind Equations'!$B$25/'Com-Ind Equations'!$B$26)))</f>
        <v>NA</v>
      </c>
      <c r="I8" s="108" t="str">
        <f>IF('Chemical Info'!H9="NA","NA",IF('Chemical Info'!E9="Yes",0,('Chemical Info'!H9/'Chemical Info'!AF9)*'Com-Ind Equations'!$B$19*'Chemical Info'!AB9*'Com-Ind Equations'!$B$22*(('Com-Ind Equations'!$B$24*'Com-Ind Equations'!$B$29*'Com-Ind Equations'!$B$30)/'Com-Ind Equations'!$B$26)))</f>
        <v>NA</v>
      </c>
      <c r="J8" s="115">
        <f>IF('Chemical Info'!J9="NA","NA",IF(E8="NA",'Com-Ind Equations'!$B$20*1000*'Com-Ind Equations'!$B$24*'Com-Ind Equations'!$B$21*'Chemical Info'!J9*'Com-Ind Calculations'!C8,IF('Chemical Info'!E9="Yes",'Com-Ind Equations'!$B$20*1000*'Com-Ind Equations'!$B$24*'Com-Ind Equations'!$B$21*'Chemical Info'!J9*'Com-Ind Calculations'!E8,'Com-Ind Equations'!$B$20*1000*'Com-Ind Equations'!$B$24*'Com-Ind Equations'!$B$21*'Chemical Info'!J9*('Com-Ind Calculations'!C8+'Com-Ind Calculations'!E8))))</f>
        <v>6.6210912811043748E-6</v>
      </c>
      <c r="K8" s="117">
        <f>IF('Chemical Info'!J9="NA","NA",IF(F8="NA",'Com-Ind Equations'!$B$20*1000*'Com-Ind Equations'!$B$24*'Com-Ind Equations'!$B$21*'Chemical Info'!J9*'Com-Ind Calculations'!C8,IF('Chemical Info'!E9="Yes",'Com-Ind Equations'!$B$20*1000*'Com-Ind Equations'!$B$24*'Com-Ind Equations'!$B$21*'Chemical Info'!J9*'Com-Ind Calculations'!F8,'Com-Ind Equations'!$B$20*1000*'Com-Ind Equations'!$B$24*'Com-Ind Equations'!$B$21*'Chemical Info'!J9*('Com-Ind Calculations'!C8+'Com-Ind Calculations'!F8))))</f>
        <v>6.6210912811043748E-6</v>
      </c>
      <c r="L8" s="95">
        <f>IF(AND(H8="NA",I8="NA",J8="NA"),"NA",IF(H8="NA",'Com-Ind Equations'!$B$13*'Com-Ind Equations'!$B$14/J8,IF(J8="NA",'Com-Ind Equations'!$B$13*'Com-Ind Equations'!$B$14/(H8+I8),'Com-Ind Equations'!$B$13*'Com-Ind Equations'!$B$14/(H8+I8+J8))))</f>
        <v>38588.80494959488</v>
      </c>
      <c r="M8" s="95">
        <f>IF(AND(H8="NA",I8="NA",K8="NA"),"NA",IF(H8="NA",'Com-Ind Equations'!$B$13*'Com-Ind Equations'!$B$14/K8,IF(K8="NA",'Com-Ind Equations'!$B$13*'Com-Ind Equations'!$B$14/(H8+I8),'Com-Ind Equations'!$B$13*'Com-Ind Equations'!$B$14/(H8+I8+K8))))</f>
        <v>38588.80494959488</v>
      </c>
      <c r="N8" s="95">
        <f t="shared" si="0"/>
        <v>38588.80494959488</v>
      </c>
      <c r="O8" s="94">
        <f>IF('Chemical Info'!L9="NA","NA",IF('Chemical Info'!E9="Yes",(('Com-Ind Equations'!$B$46*'Chemical Info'!AD9*'Com-Ind Equations'!$B$48*'Com-Ind Equations'!$B$49*'Com-Ind Equations'!$B$51)/('Com-Ind Equations'!$B$55*'Com-Ind Equations'!$B$56))/'Chemical Info'!L9,(('Com-Ind Equations'!$B$46*'Chemical Info'!AD9*'Com-Ind Equations'!$B$48*'Com-Ind Equations'!$B$49*'Com-Ind Equations'!$B$50)/('Com-Ind Equations'!$B$55*'Com-Ind Equations'!$B$56))/'Chemical Info'!L9))</f>
        <v>4.2808219178082184E-4</v>
      </c>
      <c r="P8" s="90">
        <f>IF('Chemical Info'!L9="NA","NA", IF('Chemical Info'!E9="Yes",0,((('Com-Ind Equations'!$B$58*'Com-Ind Equations'!$B$59*'Com-Ind Equations'!$B$48*'Com-Ind Equations'!$B$52*'Com-Ind Equations'!$B$49*'Chemical Info'!AB9)/('Com-Ind Equations'!$B$55*'Com-Ind Equations'!$B$56))/('Chemical Info'!L9*'Chemical Info'!AF9))))</f>
        <v>0</v>
      </c>
      <c r="Q8" s="90">
        <f>IF('Chemical Info'!N9="NA","NA",IF('Com-Ind Calculations'!E8="NA",(('Com-Ind Equations'!$B$53*'Com-Ind Equations'!$B$49*'Com-Ind Equations'!$B$54*'Com-Ind Calculations'!C8)/('Com-Ind Equations'!$B$56))/('Chemical Info'!N9),IF('Chemical Info'!E9="Yes",(('Com-Ind Equations'!$B$53*'Com-Ind Equations'!$B$49*'Com-Ind Equations'!$B$54*'Com-Ind Calculations'!E8)/('Com-Ind Equations'!$B$56))/('Chemical Info'!N9),(('Com-Ind Equations'!$B$53*'Com-Ind Equations'!$B$49*'Com-Ind Equations'!$B$54*('Com-Ind Calculations'!C8+'Com-Ind Calculations'!E8))/('Com-Ind Equations'!$B$56))/('Chemical Info'!N9))))</f>
        <v>3.0233293521024539E-4</v>
      </c>
      <c r="R8" s="90">
        <f>IF('Chemical Info'!N9="NA","NA",IF('Com-Ind Calculations'!F8="NA",(('Com-Ind Equations'!$B$53*'Com-Ind Equations'!$B$49*'Com-Ind Equations'!$B$54*'Com-Ind Calculations'!C8)/('Com-Ind Equations'!$B$56))/('Chemical Info'!N9),IF('Chemical Info'!E9="Yes",(('Com-Ind Equations'!$B$53*'Com-Ind Equations'!$B$49*'Com-Ind Equations'!$B$54*'Com-Ind Calculations'!F8)/('Com-Ind Equations'!$B$56))/('Chemical Info'!N9),(('Com-Ind Equations'!$B$53*'Com-Ind Equations'!$B$49*'Com-Ind Equations'!$B$54*('Com-Ind Calculations'!C8+'Com-Ind Calculations'!F8))/('Com-Ind Equations'!$B$56))/('Chemical Info'!N9))))</f>
        <v>3.0233293521024539E-4</v>
      </c>
      <c r="S8" s="90">
        <f>IF(AND(O8="NA",P8="NA",Q8="NA"),"NA",IF(O8="NA",'Com-Ind Equations'!$B$45/'Com-Ind Calculations'!Q8,IF('Com-Ind Calculations'!Q8="NA",'Com-Ind Equations'!$B$45/('Com-Ind Calculations'!O8+'Com-Ind Calculations'!P8),'Com-Ind Equations'!$B$45/('Com-Ind Calculations'!O8+'Com-Ind Calculations'!P8+'Com-Ind Calculations'!Q8))))</f>
        <v>273.81689207875064</v>
      </c>
      <c r="T8" s="95">
        <f>IF(AND(O8="NA",P8="NA",R8="NA"),"NA",IF(O8="NA",'Com-Ind Equations'!$B$45/R8,IF(R8="NA",'Com-Ind Equations'!$B$45/(O8+P8),'Com-Ind Equations'!$B$45/(O8+P8+R8))))</f>
        <v>273.81689207875064</v>
      </c>
      <c r="U8" s="97">
        <f t="shared" si="1"/>
        <v>273.81689207875064</v>
      </c>
      <c r="V8" s="101">
        <f t="shared" si="3"/>
        <v>273.81689207875064</v>
      </c>
      <c r="W8" s="105">
        <f t="shared" si="4"/>
        <v>270</v>
      </c>
      <c r="X8" s="100" t="str">
        <f t="shared" si="2"/>
        <v>Noncancer</v>
      </c>
      <c r="Y8" s="70"/>
    </row>
    <row r="9" spans="1:26">
      <c r="A9" s="69" t="s">
        <v>50</v>
      </c>
      <c r="B9" s="591" t="s">
        <v>51</v>
      </c>
      <c r="C9" s="85">
        <f>1/(('Com-Ind Equations'!$B$123*3600)/(0.036*(1-'Com-Ind Equations'!$B$124)*(('Com-Ind Equations'!$B$125/'Com-Ind Equations'!$B$126)^3)*'Com-Ind Equations'!$B$127))</f>
        <v>1.4713536180231943E-9</v>
      </c>
      <c r="D9" s="90">
        <f>(('Com-Ind Equations'!$B$103^(10/3)*'Chemical Info'!AH10*'Chemical Info'!AN10*41+'Com-Ind Equations'!$B$106^(10/3)*'Chemical Info'!AJ10)/'Com-Ind Equations'!$B$108^2)/('Com-Ind Equations'!$B$110*'Chemical Info'!AL10*'Com-Ind Equations'!$B$113+'Com-Ind Equations'!$B$106+'Com-Ind Equations'!$B$103*'Chemical Info'!AN10*41)</f>
        <v>0</v>
      </c>
      <c r="E9" s="65" t="str">
        <f>IF(D9=0,"NA",1/(('Com-Ind Equations'!$B$74*(3.14*D9*'Com-Ind Equations'!$B$76)^(1/2)*0.0001)/(2*'Com-Ind Equations'!$B$77*D9)))</f>
        <v>NA</v>
      </c>
      <c r="F9" s="65" t="str">
        <f>IF(D9=0,"NA",(1/('Com-Ind Equations'!$B$88*('Com-Ind Equations'!$B$89*(31500000))/('Com-Ind Equations'!$B$90*'Com-Ind Equations'!$B$91*1000000))))</f>
        <v>NA</v>
      </c>
      <c r="G9" s="95" t="str">
        <f>IF('Chemical Info'!E10="Yes",('Chemical Info'!AP10/'Com-Ind Equations'!$B$139)*((('Chemical Info'!AL10*'Com-Ind Equations'!$B$141)*'Com-Ind Equations'!$B$139)+'Com-Ind Equations'!$B$142+('Chemical Info'!AN10*41)*'Com-Ind Equations'!$B$144),"NA")</f>
        <v>NA</v>
      </c>
      <c r="H9" s="112" t="str">
        <f>IF('Chemical Info'!H10="NA","NA",IF('Chemical Info'!E10="Yes",'Chemical Info'!H10*'Chemical Info'!AD10*'Com-Ind Equations'!$B$18*'Com-Ind Equations'!$B$22*(('Com-Ind Equations'!$B$24*'Com-Ind Equations'!$B$25)/'Com-Ind Equations'!$B$26),'Chemical Info'!H10*'Chemical Info'!AD10*'Com-Ind Equations'!$B$17*'Com-Ind Equations'!$B$22*('Com-Ind Equations'!$B$24*'Com-Ind Equations'!$B$25/'Com-Ind Equations'!$B$26)))</f>
        <v>NA</v>
      </c>
      <c r="I9" s="108" t="str">
        <f>IF('Chemical Info'!H10="NA","NA",IF('Chemical Info'!E10="Yes",0,('Chemical Info'!H10/'Chemical Info'!AF10)*'Com-Ind Equations'!$B$19*'Chemical Info'!AB10*'Com-Ind Equations'!$B$22*(('Com-Ind Equations'!$B$24*'Com-Ind Equations'!$B$29*'Com-Ind Equations'!$B$30)/'Com-Ind Equations'!$B$26)))</f>
        <v>NA</v>
      </c>
      <c r="J9" s="115" t="str">
        <f>IF('Chemical Info'!J10="NA","NA",IF(E9="NA",'Com-Ind Equations'!$B$20*1000*'Com-Ind Equations'!$B$24*'Com-Ind Equations'!$B$21*'Chemical Info'!J10*'Com-Ind Calculations'!C9,IF('Chemical Info'!E10="Yes",'Com-Ind Equations'!$B$20*1000*'Com-Ind Equations'!$B$24*'Com-Ind Equations'!$B$21*'Chemical Info'!J10*'Com-Ind Calculations'!E9,'Com-Ind Equations'!$B$20*1000*'Com-Ind Equations'!$B$24*'Com-Ind Equations'!$B$21*'Chemical Info'!J10*('Com-Ind Calculations'!C9+'Com-Ind Calculations'!E9))))</f>
        <v>NA</v>
      </c>
      <c r="K9" s="117" t="str">
        <f>IF('Chemical Info'!J10="NA","NA",IF(F9="NA",'Com-Ind Equations'!$B$20*1000*'Com-Ind Equations'!$B$24*'Com-Ind Equations'!$B$21*'Chemical Info'!J10*'Com-Ind Calculations'!C9,IF('Chemical Info'!E10="Yes",'Com-Ind Equations'!$B$20*1000*'Com-Ind Equations'!$B$24*'Com-Ind Equations'!$B$21*'Chemical Info'!J10*'Com-Ind Calculations'!F9,'Com-Ind Equations'!$B$20*1000*'Com-Ind Equations'!$B$24*'Com-Ind Equations'!$B$21*'Chemical Info'!J10*('Com-Ind Calculations'!C9+'Com-Ind Calculations'!F9))))</f>
        <v>NA</v>
      </c>
      <c r="L9" s="95" t="str">
        <f>IF(AND(H9="NA",I9="NA",J9="NA"),"NA",IF(H9="NA",'Com-Ind Equations'!$B$13*'Com-Ind Equations'!$B$14/J9,IF(J9="NA",'Com-Ind Equations'!$B$13*'Com-Ind Equations'!$B$14/(H9+I9),'Com-Ind Equations'!$B$13*'Com-Ind Equations'!$B$14/(H9+I9+J9))))</f>
        <v>NA</v>
      </c>
      <c r="M9" s="95" t="str">
        <f>IF(AND(H9="NA",I9="NA",K9="NA"),"NA",IF(H9="NA",'Com-Ind Equations'!$B$13*'Com-Ind Equations'!$B$14/K9,IF(K9="NA",'Com-Ind Equations'!$B$13*'Com-Ind Equations'!$B$14/(H9+I9),'Com-Ind Equations'!$B$13*'Com-Ind Equations'!$B$14/(H9+I9+K9))))</f>
        <v>NA</v>
      </c>
      <c r="N9" s="95" t="str">
        <f t="shared" si="0"/>
        <v>NA</v>
      </c>
      <c r="O9" s="94">
        <f>IF('Chemical Info'!L10="NA","NA",IF('Chemical Info'!E10="Yes",(('Com-Ind Equations'!$B$46*'Chemical Info'!AD10*'Com-Ind Equations'!$B$48*'Com-Ind Equations'!$B$49*'Com-Ind Equations'!$B$51)/('Com-Ind Equations'!$B$55*'Com-Ind Equations'!$B$56))/'Chemical Info'!L10,(('Com-Ind Equations'!$B$46*'Chemical Info'!AD10*'Com-Ind Equations'!$B$48*'Com-Ind Equations'!$B$49*'Com-Ind Equations'!$B$50)/('Com-Ind Equations'!$B$55*'Com-Ind Equations'!$B$56))/'Chemical Info'!L10))</f>
        <v>4.280821917808218E-6</v>
      </c>
      <c r="P9" s="90">
        <f>IF('Chemical Info'!L10="NA","NA", IF('Chemical Info'!E10="Yes",0,((('Com-Ind Equations'!$B$58*'Com-Ind Equations'!$B$59*'Com-Ind Equations'!$B$48*'Com-Ind Equations'!$B$52*'Com-Ind Equations'!$B$49*'Chemical Info'!AB10)/('Com-Ind Equations'!$B$55*'Com-Ind Equations'!$B$56))/('Chemical Info'!L10*'Chemical Info'!AF10))))</f>
        <v>0</v>
      </c>
      <c r="Q9" s="90">
        <f>IF('Chemical Info'!N10="NA","NA",IF('Com-Ind Calculations'!E9="NA",(('Com-Ind Equations'!$B$53*'Com-Ind Equations'!$B$49*'Com-Ind Equations'!$B$54*'Com-Ind Calculations'!C9)/('Com-Ind Equations'!$B$56))/('Chemical Info'!N10),IF('Chemical Info'!E10="Yes",(('Com-Ind Equations'!$B$53*'Com-Ind Equations'!$B$49*'Com-Ind Equations'!$B$54*'Com-Ind Calculations'!E9)/('Com-Ind Equations'!$B$56))/('Chemical Info'!N10),(('Com-Ind Equations'!$B$53*'Com-Ind Equations'!$B$49*'Com-Ind Equations'!$B$54*('Com-Ind Calculations'!C9+'Com-Ind Calculations'!E9))/('Com-Ind Equations'!$B$56))/('Chemical Info'!N10))))</f>
        <v>1.5116646760512269E-8</v>
      </c>
      <c r="R9" s="90">
        <f>IF('Chemical Info'!N10="NA","NA",IF('Com-Ind Calculations'!F9="NA",(('Com-Ind Equations'!$B$53*'Com-Ind Equations'!$B$49*'Com-Ind Equations'!$B$54*'Com-Ind Calculations'!C9)/('Com-Ind Equations'!$B$56))/('Chemical Info'!N10),IF('Chemical Info'!E10="Yes",(('Com-Ind Equations'!$B$53*'Com-Ind Equations'!$B$49*'Com-Ind Equations'!$B$54*'Com-Ind Calculations'!F9)/('Com-Ind Equations'!$B$56))/('Chemical Info'!N10),(('Com-Ind Equations'!$B$53*'Com-Ind Equations'!$B$49*'Com-Ind Equations'!$B$54*('Com-Ind Calculations'!C9+'Com-Ind Calculations'!F9))/('Com-Ind Equations'!$B$56))/('Chemical Info'!N10))))</f>
        <v>1.5116646760512269E-8</v>
      </c>
      <c r="S9" s="90">
        <f>IF(AND(O9="NA",P9="NA",Q9="NA"),"NA",IF(O9="NA",'Com-Ind Equations'!$B$45/'Com-Ind Calculations'!Q9,IF('Com-Ind Calculations'!Q9="NA",'Com-Ind Equations'!$B$45/('Com-Ind Calculations'!O9+'Com-Ind Calculations'!P9),'Com-Ind Equations'!$B$45/('Com-Ind Calculations'!O9+'Com-Ind Calculations'!P9+'Com-Ind Calculations'!Q9))))</f>
        <v>46555.600596694756</v>
      </c>
      <c r="T9" s="95">
        <f>IF(AND(O9="NA",P9="NA",R9="NA"),"NA",IF(O9="NA",'Com-Ind Equations'!$B$45/R9,IF(R9="NA",'Com-Ind Equations'!$B$45/(O9+P9),'Com-Ind Equations'!$B$45/(O9+P9+R9))))</f>
        <v>46555.600596694756</v>
      </c>
      <c r="U9" s="97">
        <f t="shared" si="1"/>
        <v>46555.600596694756</v>
      </c>
      <c r="V9" s="101">
        <f t="shared" si="3"/>
        <v>46555.600596694756</v>
      </c>
      <c r="W9" s="105">
        <f t="shared" si="4"/>
        <v>47000</v>
      </c>
      <c r="X9" s="100" t="str">
        <f t="shared" si="2"/>
        <v>Noncancer</v>
      </c>
      <c r="Y9" s="70"/>
    </row>
    <row r="10" spans="1:26">
      <c r="A10" s="67" t="s">
        <v>52</v>
      </c>
      <c r="B10" s="566" t="s">
        <v>53</v>
      </c>
      <c r="C10" s="85">
        <f>1/(('Com-Ind Equations'!$B$123*3600)/(0.036*(1-'Com-Ind Equations'!$B$124)*(('Com-Ind Equations'!$B$125/'Com-Ind Equations'!$B$126)^3)*'Com-Ind Equations'!$B$127))</f>
        <v>1.4713536180231943E-9</v>
      </c>
      <c r="D10" s="90">
        <f>(('Com-Ind Equations'!$B$103^(10/3)*'Chemical Info'!AH11*'Chemical Info'!AN11*41+'Com-Ind Equations'!$B$106^(10/3)*'Chemical Info'!AJ11)/'Com-Ind Equations'!$B$108^2)/('Com-Ind Equations'!$B$110*'Chemical Info'!AL11*'Com-Ind Equations'!$B$113+'Com-Ind Equations'!$B$106+'Com-Ind Equations'!$B$103*'Chemical Info'!AN11*41)</f>
        <v>0</v>
      </c>
      <c r="E10" s="65" t="str">
        <f>IF(D10=0,"NA",1/(('Com-Ind Equations'!$B$74*(3.14*D10*'Com-Ind Equations'!$B$76)^(1/2)*0.0001)/(2*'Com-Ind Equations'!$B$77*D10)))</f>
        <v>NA</v>
      </c>
      <c r="F10" s="65" t="str">
        <f>IF(D10=0,"NA",(1/('Com-Ind Equations'!$B$88*('Com-Ind Equations'!$B$89*(31500000))/('Com-Ind Equations'!$B$90*'Com-Ind Equations'!$B$91*1000000))))</f>
        <v>NA</v>
      </c>
      <c r="G10" s="95" t="str">
        <f>IF('Chemical Info'!E11="Yes",('Chemical Info'!AP11/'Com-Ind Equations'!$B$139)*((('Chemical Info'!AL11*'Com-Ind Equations'!$B$141)*'Com-Ind Equations'!$B$139)+'Com-Ind Equations'!$B$142+('Chemical Info'!AN11*41)*'Com-Ind Equations'!$B$144),"NA")</f>
        <v>NA</v>
      </c>
      <c r="H10" s="112" t="str">
        <f>IF('Chemical Info'!H11="NA","NA",IF('Chemical Info'!E11="Yes",'Chemical Info'!H11*'Chemical Info'!AD11*'Com-Ind Equations'!$B$18*'Com-Ind Equations'!$B$22*(('Com-Ind Equations'!$B$24*'Com-Ind Equations'!$B$25)/'Com-Ind Equations'!$B$26),'Chemical Info'!H11*'Chemical Info'!AD11*'Com-Ind Equations'!$B$17*'Com-Ind Equations'!$B$22*('Com-Ind Equations'!$B$24*'Com-Ind Equations'!$B$25/'Com-Ind Equations'!$B$26)))</f>
        <v>NA</v>
      </c>
      <c r="I10" s="108" t="str">
        <f>IF('Chemical Info'!H11="NA","NA",IF('Chemical Info'!E11="Yes",0,('Chemical Info'!H11/'Chemical Info'!AF11)*'Com-Ind Equations'!$B$19*'Chemical Info'!AB11*'Com-Ind Equations'!$B$22*(('Com-Ind Equations'!$B$24*'Com-Ind Equations'!$B$29*'Com-Ind Equations'!$B$30)/'Com-Ind Equations'!$B$26)))</f>
        <v>NA</v>
      </c>
      <c r="J10" s="115">
        <f>IF('Chemical Info'!J11="NA","NA",IF(E10="NA",'Com-Ind Equations'!$B$20*1000*'Com-Ind Equations'!$B$24*'Com-Ind Equations'!$B$21*'Chemical Info'!J11*'Com-Ind Calculations'!C10,IF('Chemical Info'!E11="Yes",'Com-Ind Equations'!$B$20*1000*'Com-Ind Equations'!$B$24*'Com-Ind Equations'!$B$21*'Chemical Info'!J11*'Com-Ind Calculations'!E10,'Com-Ind Equations'!$B$20*1000*'Com-Ind Equations'!$B$24*'Com-Ind Equations'!$B$21*'Chemical Info'!J11*('Com-Ind Calculations'!C10+'Com-Ind Calculations'!E10))))</f>
        <v>4.9658184608282809E-6</v>
      </c>
      <c r="K10" s="117">
        <f>IF('Chemical Info'!J11="NA","NA",IF(F10="NA",'Com-Ind Equations'!$B$20*1000*'Com-Ind Equations'!$B$24*'Com-Ind Equations'!$B$21*'Chemical Info'!J11*'Com-Ind Calculations'!C10,IF('Chemical Info'!E11="Yes",'Com-Ind Equations'!$B$20*1000*'Com-Ind Equations'!$B$24*'Com-Ind Equations'!$B$21*'Chemical Info'!J11*'Com-Ind Calculations'!F10,'Com-Ind Equations'!$B$20*1000*'Com-Ind Equations'!$B$24*'Com-Ind Equations'!$B$21*'Chemical Info'!J11*('Com-Ind Calculations'!C10+'Com-Ind Calculations'!F10))))</f>
        <v>4.9658184608282809E-6</v>
      </c>
      <c r="L10" s="95">
        <f>IF(AND(H10="NA",I10="NA",J10="NA"),"NA",IF(H10="NA",'Com-Ind Equations'!$B$13*'Com-Ind Equations'!$B$14/J10,IF(J10="NA",'Com-Ind Equations'!$B$13*'Com-Ind Equations'!$B$14/(H10+I10),'Com-Ind Equations'!$B$13*'Com-Ind Equations'!$B$14/(H10+I10+J10))))</f>
        <v>51451.739932793178</v>
      </c>
      <c r="M10" s="95">
        <f>IF(AND(H10="NA",I10="NA",K10="NA"),"NA",IF(H10="NA",'Com-Ind Equations'!$B$13*'Com-Ind Equations'!$B$14/K10,IF(K10="NA",'Com-Ind Equations'!$B$13*'Com-Ind Equations'!$B$14/(H10+I10),'Com-Ind Equations'!$B$13*'Com-Ind Equations'!$B$14/(H10+I10+K10))))</f>
        <v>51451.739932793178</v>
      </c>
      <c r="N10" s="95">
        <f t="shared" si="0"/>
        <v>51451.739932793178</v>
      </c>
      <c r="O10" s="94">
        <f>IF('Chemical Info'!L11="NA","NA",IF('Chemical Info'!E11="Yes",(('Com-Ind Equations'!$B$46*'Chemical Info'!AD11*'Com-Ind Equations'!$B$48*'Com-Ind Equations'!$B$49*'Com-Ind Equations'!$B$51)/('Com-Ind Equations'!$B$55*'Com-Ind Equations'!$B$56))/'Chemical Info'!L11,(('Com-Ind Equations'!$B$46*'Chemical Info'!AD11*'Com-Ind Equations'!$B$48*'Com-Ind Equations'!$B$49*'Com-Ind Equations'!$B$50)/('Com-Ind Equations'!$B$55*'Com-Ind Equations'!$B$56))/'Chemical Info'!L11))</f>
        <v>7.7833125778331239E-3</v>
      </c>
      <c r="P10" s="90">
        <f>IF('Chemical Info'!L11="NA","NA", IF('Chemical Info'!E11="Yes",0,((('Com-Ind Equations'!$B$58*'Com-Ind Equations'!$B$59*'Com-Ind Equations'!$B$48*'Com-Ind Equations'!$B$52*'Com-Ind Equations'!$B$49*'Chemical Info'!AB11)/('Com-Ind Equations'!$B$55*'Com-Ind Equations'!$B$56))/('Chemical Info'!L11*'Chemical Info'!AF11))))</f>
        <v>9.4873225404732222E-4</v>
      </c>
      <c r="Q10" s="90">
        <f>IF('Chemical Info'!N11="NA","NA",IF('Com-Ind Calculations'!E10="NA",(('Com-Ind Equations'!$B$53*'Com-Ind Equations'!$B$49*'Com-Ind Equations'!$B$54*'Com-Ind Calculations'!C10)/('Com-Ind Equations'!$B$56))/('Chemical Info'!N11),IF('Chemical Info'!E11="Yes",(('Com-Ind Equations'!$B$53*'Com-Ind Equations'!$B$49*'Com-Ind Equations'!$B$54*'Com-Ind Calculations'!E10)/('Com-Ind Equations'!$B$56))/('Chemical Info'!N11),(('Com-Ind Equations'!$B$53*'Com-Ind Equations'!$B$49*'Com-Ind Equations'!$B$54*('Com-Ind Calculations'!C10+'Com-Ind Calculations'!E10))/('Com-Ind Equations'!$B$56))/('Chemical Info'!N11))))</f>
        <v>3.0233293521024536E-5</v>
      </c>
      <c r="R10" s="90">
        <f>IF('Chemical Info'!N11="NA","NA",IF('Com-Ind Calculations'!F10="NA",(('Com-Ind Equations'!$B$53*'Com-Ind Equations'!$B$49*'Com-Ind Equations'!$B$54*'Com-Ind Calculations'!C10)/('Com-Ind Equations'!$B$56))/('Chemical Info'!N11),IF('Chemical Info'!E11="Yes",(('Com-Ind Equations'!$B$53*'Com-Ind Equations'!$B$49*'Com-Ind Equations'!$B$54*'Com-Ind Calculations'!F10)/('Com-Ind Equations'!$B$56))/('Chemical Info'!N11),(('Com-Ind Equations'!$B$53*'Com-Ind Equations'!$B$49*'Com-Ind Equations'!$B$54*('Com-Ind Calculations'!C10+'Com-Ind Calculations'!F10))/('Com-Ind Equations'!$B$56))/('Chemical Info'!N11))))</f>
        <v>3.0233293521024536E-5</v>
      </c>
      <c r="S10" s="90">
        <f>IF(AND(O10="NA",P10="NA",Q10="NA"),"NA",IF(O10="NA",'Com-Ind Equations'!$B$45/'Com-Ind Calculations'!Q10,IF('Com-Ind Calculations'!Q10="NA",'Com-Ind Equations'!$B$45/('Com-Ind Calculations'!O10+'Com-Ind Calculations'!P10),'Com-Ind Equations'!$B$45/('Com-Ind Calculations'!O10+'Com-Ind Calculations'!P10+'Com-Ind Calculations'!Q10))))</f>
        <v>22.825114329595237</v>
      </c>
      <c r="T10" s="95">
        <f>IF(AND(O10="NA",P10="NA",R10="NA"),"NA",IF(O10="NA",'Com-Ind Equations'!$B$45/R10,IF(R10="NA",'Com-Ind Equations'!$B$45/(O10+P10),'Com-Ind Equations'!$B$45/(O10+P10+R10))))</f>
        <v>22.825114329595237</v>
      </c>
      <c r="U10" s="97">
        <f t="shared" si="1"/>
        <v>22.825114329595237</v>
      </c>
      <c r="V10" s="101">
        <f t="shared" si="3"/>
        <v>22.825114329595237</v>
      </c>
      <c r="W10" s="105">
        <f t="shared" si="4"/>
        <v>23</v>
      </c>
      <c r="X10" s="100" t="str">
        <f t="shared" si="2"/>
        <v>Noncancer</v>
      </c>
      <c r="Y10" s="70"/>
    </row>
    <row r="11" spans="1:26">
      <c r="A11" s="67" t="s">
        <v>83</v>
      </c>
      <c r="B11" s="566" t="s">
        <v>84</v>
      </c>
      <c r="C11" s="85">
        <f>1/(('Com-Ind Equations'!$B$123*3600)/(0.036*(1-'Com-Ind Equations'!$B$124)*(('Com-Ind Equations'!$B$125/'Com-Ind Equations'!$B$126)^3)*'Com-Ind Equations'!$B$127))</f>
        <v>1.4713536180231943E-9</v>
      </c>
      <c r="D11" s="90">
        <f>(('Com-Ind Equations'!$B$103^(10/3)*'Chemical Info'!AH12*'Chemical Info'!AN12*41+'Com-Ind Equations'!$B$106^(10/3)*'Chemical Info'!AJ12)/'Com-Ind Equations'!$B$108^2)/('Com-Ind Equations'!$B$110*'Chemical Info'!AL12*'Com-Ind Equations'!$B$113+'Com-Ind Equations'!$B$106+'Com-Ind Equations'!$B$103*'Chemical Info'!AN12*41)</f>
        <v>0</v>
      </c>
      <c r="E11" s="65" t="str">
        <f>IF(D11=0,"NA",1/(('Com-Ind Equations'!$B$74*(3.14*D11*'Com-Ind Equations'!$B$76)^(1/2)*0.0001)/(2*'Com-Ind Equations'!$B$77*D11)))</f>
        <v>NA</v>
      </c>
      <c r="F11" s="65" t="str">
        <f>IF(D11=0,"NA",(1/('Com-Ind Equations'!$B$88*('Com-Ind Equations'!$B$89*(31500000))/('Com-Ind Equations'!$B$90*'Com-Ind Equations'!$B$91*1000000))))</f>
        <v>NA</v>
      </c>
      <c r="G11" s="95" t="str">
        <f>IF('Chemical Info'!E12="Yes",('Chemical Info'!AP12/'Com-Ind Equations'!$B$139)*((('Chemical Info'!AL12*'Com-Ind Equations'!$B$141)*'Com-Ind Equations'!$B$139)+'Com-Ind Equations'!$B$142+('Chemical Info'!AN12*41)*'Com-Ind Equations'!$B$144),"NA")</f>
        <v>NA</v>
      </c>
      <c r="H11" s="112" t="str">
        <f>IF('Chemical Info'!H12="NA","NA",IF('Chemical Info'!E12="Yes",'Chemical Info'!H12*'Chemical Info'!AD12*'Com-Ind Equations'!$B$18*'Com-Ind Equations'!$B$22*(('Com-Ind Equations'!$B$24*'Com-Ind Equations'!$B$25)/'Com-Ind Equations'!$B$26),'Chemical Info'!H12*'Chemical Info'!AD12*'Com-Ind Equations'!$B$17*'Com-Ind Equations'!$B$22*('Com-Ind Equations'!$B$24*'Com-Ind Equations'!$B$25/'Com-Ind Equations'!$B$26)))</f>
        <v>NA</v>
      </c>
      <c r="I11" s="108" t="str">
        <f>IF('Chemical Info'!H12="NA","NA",IF('Chemical Info'!E12="Yes",0,('Chemical Info'!H12/'Chemical Info'!AF12)*'Com-Ind Equations'!$B$19*'Chemical Info'!AB12*'Com-Ind Equations'!$B$22*(('Com-Ind Equations'!$B$24*'Com-Ind Equations'!$B$29*'Com-Ind Equations'!$B$30)/'Com-Ind Equations'!$B$26)))</f>
        <v>NA</v>
      </c>
      <c r="J11" s="115" t="str">
        <f>IF('Chemical Info'!J12="NA","NA",IF(E11="NA",'Com-Ind Equations'!$B$20*1000*'Com-Ind Equations'!$B$24*'Com-Ind Equations'!$B$21*'Chemical Info'!J12*'Com-Ind Calculations'!C11,IF('Chemical Info'!E12="Yes",'Com-Ind Equations'!$B$20*1000*'Com-Ind Equations'!$B$24*'Com-Ind Equations'!$B$21*'Chemical Info'!J12*'Com-Ind Calculations'!E11,'Com-Ind Equations'!$B$20*1000*'Com-Ind Equations'!$B$24*'Com-Ind Equations'!$B$21*'Chemical Info'!J12*('Com-Ind Calculations'!C11+'Com-Ind Calculations'!E11))))</f>
        <v>NA</v>
      </c>
      <c r="K11" s="117" t="str">
        <f>IF('Chemical Info'!J12="NA","NA",IF(F11="NA",'Com-Ind Equations'!$B$20*1000*'Com-Ind Equations'!$B$24*'Com-Ind Equations'!$B$21*'Chemical Info'!J12*'Com-Ind Calculations'!C11,IF('Chemical Info'!E12="Yes",'Com-Ind Equations'!$B$20*1000*'Com-Ind Equations'!$B$24*'Com-Ind Equations'!$B$21*'Chemical Info'!J12*'Com-Ind Calculations'!F11,'Com-Ind Equations'!$B$20*1000*'Com-Ind Equations'!$B$24*'Com-Ind Equations'!$B$21*'Chemical Info'!J12*('Com-Ind Calculations'!C11+'Com-Ind Calculations'!F11))))</f>
        <v>NA</v>
      </c>
      <c r="L11" s="95" t="str">
        <f>IF(AND(H11="NA",I11="NA",J11="NA"),"NA",IF(H11="NA",'Com-Ind Equations'!$B$13*'Com-Ind Equations'!$B$14/J11,IF(J11="NA",'Com-Ind Equations'!$B$13*'Com-Ind Equations'!$B$14/(H11+I11),'Com-Ind Equations'!$B$13*'Com-Ind Equations'!$B$14/(H11+I11+J11))))</f>
        <v>NA</v>
      </c>
      <c r="M11" s="95" t="str">
        <f>IF(AND(H11="NA",I11="NA",K11="NA"),"NA",IF(H11="NA",'Com-Ind Equations'!$B$13*'Com-Ind Equations'!$B$14/K11,IF(K11="NA",'Com-Ind Equations'!$B$13*'Com-Ind Equations'!$B$14/(H11+I11),'Com-Ind Equations'!$B$13*'Com-Ind Equations'!$B$14/(H11+I11+K11))))</f>
        <v>NA</v>
      </c>
      <c r="N11" s="95" t="str">
        <f t="shared" si="0"/>
        <v>NA</v>
      </c>
      <c r="O11" s="94">
        <f>IF('Chemical Info'!L12="NA","NA",IF('Chemical Info'!E12="Yes",(('Com-Ind Equations'!$B$46*'Chemical Info'!AD12*'Com-Ind Equations'!$B$48*'Com-Ind Equations'!$B$49*'Com-Ind Equations'!$B$51)/('Com-Ind Equations'!$B$55*'Com-Ind Equations'!$B$56))/'Chemical Info'!L12,(('Com-Ind Equations'!$B$46*'Chemical Info'!AD12*'Com-Ind Equations'!$B$48*'Com-Ind Equations'!$B$49*'Com-Ind Equations'!$B$50)/('Com-Ind Equations'!$B$55*'Com-Ind Equations'!$B$56))/'Chemical Info'!L12))</f>
        <v>5.7077625570776247E-7</v>
      </c>
      <c r="P11" s="90">
        <f>IF('Chemical Info'!L12="NA","NA", IF('Chemical Info'!E12="Yes",0,((('Com-Ind Equations'!$B$58*'Com-Ind Equations'!$B$59*'Com-Ind Equations'!$B$48*'Com-Ind Equations'!$B$52*'Com-Ind Equations'!$B$49*'Chemical Info'!AB12)/('Com-Ind Equations'!$B$55*'Com-Ind Equations'!$B$56))/('Chemical Info'!L12*'Chemical Info'!AF12))))</f>
        <v>0</v>
      </c>
      <c r="Q11" s="90" t="str">
        <f>IF('Chemical Info'!N12="NA","NA",IF('Com-Ind Calculations'!E11="NA",(('Com-Ind Equations'!$B$53*'Com-Ind Equations'!$B$49*'Com-Ind Equations'!$B$54*'Com-Ind Calculations'!C11)/('Com-Ind Equations'!$B$56))/('Chemical Info'!N12),IF('Chemical Info'!E12="Yes",(('Com-Ind Equations'!$B$53*'Com-Ind Equations'!$B$49*'Com-Ind Equations'!$B$54*'Com-Ind Calculations'!E11)/('Com-Ind Equations'!$B$56))/('Chemical Info'!N12),(('Com-Ind Equations'!$B$53*'Com-Ind Equations'!$B$49*'Com-Ind Equations'!$B$54*('Com-Ind Calculations'!C11+'Com-Ind Calculations'!E11))/('Com-Ind Equations'!$B$56))/('Chemical Info'!N12))))</f>
        <v>NA</v>
      </c>
      <c r="R11" s="90" t="str">
        <f>IF('Chemical Info'!N12="NA","NA",IF('Com-Ind Calculations'!F11="NA",(('Com-Ind Equations'!$B$53*'Com-Ind Equations'!$B$49*'Com-Ind Equations'!$B$54*'Com-Ind Calculations'!C11)/('Com-Ind Equations'!$B$56))/('Chemical Info'!N12),IF('Chemical Info'!E12="Yes",(('Com-Ind Equations'!$B$53*'Com-Ind Equations'!$B$49*'Com-Ind Equations'!$B$54*'Com-Ind Calculations'!F11)/('Com-Ind Equations'!$B$56))/('Chemical Info'!N12),(('Com-Ind Equations'!$B$53*'Com-Ind Equations'!$B$49*'Com-Ind Equations'!$B$54*('Com-Ind Calculations'!C11+'Com-Ind Calculations'!F11))/('Com-Ind Equations'!$B$56))/('Chemical Info'!N12))))</f>
        <v>NA</v>
      </c>
      <c r="S11" s="90">
        <f>IF(AND(O11="NA",P11="NA",Q11="NA"),"NA",IF(O11="NA",'Com-Ind Equations'!$B$45/'Com-Ind Calculations'!Q11,IF('Com-Ind Calculations'!Q11="NA",'Com-Ind Equations'!$B$45/('Com-Ind Calculations'!O11+'Com-Ind Calculations'!P11),'Com-Ind Equations'!$B$45/('Com-Ind Calculations'!O11+'Com-Ind Calculations'!P11+'Com-Ind Calculations'!Q11))))</f>
        <v>350400.00000000006</v>
      </c>
      <c r="T11" s="95">
        <f>IF(AND(O11="NA",P11="NA",R11="NA"),"NA",IF(O11="NA",'Com-Ind Equations'!$B$45/R11,IF(R11="NA",'Com-Ind Equations'!$B$45/(O11+P11),'Com-Ind Equations'!$B$45/(O11+P11+R11))))</f>
        <v>350400.00000000006</v>
      </c>
      <c r="U11" s="97">
        <f t="shared" si="1"/>
        <v>350400.00000000006</v>
      </c>
      <c r="V11" s="101">
        <f t="shared" si="3"/>
        <v>350400.00000000006</v>
      </c>
      <c r="W11" s="105">
        <f t="shared" si="4"/>
        <v>100000</v>
      </c>
      <c r="X11" s="100" t="str">
        <f t="shared" si="2"/>
        <v>Max Limit</v>
      </c>
      <c r="Y11" s="70"/>
    </row>
    <row r="12" spans="1:26">
      <c r="A12" s="67" t="s">
        <v>71</v>
      </c>
      <c r="B12" s="566" t="s">
        <v>72</v>
      </c>
      <c r="C12" s="85">
        <f>1/(('Com-Ind Equations'!$B$123*3600)/(0.036*(1-'Com-Ind Equations'!$B$124)*(('Com-Ind Equations'!$B$125/'Com-Ind Equations'!$B$126)^3)*'Com-Ind Equations'!$B$127))</f>
        <v>1.4713536180231943E-9</v>
      </c>
      <c r="D12" s="90">
        <f>(('Com-Ind Equations'!$B$103^(10/3)*'Chemical Info'!AH13*'Chemical Info'!AN13*41+'Com-Ind Equations'!$B$106^(10/3)*'Chemical Info'!AJ13)/'Com-Ind Equations'!$B$108^2)/('Com-Ind Equations'!$B$110*'Chemical Info'!AL13*'Com-Ind Equations'!$B$113+'Com-Ind Equations'!$B$106+'Com-Ind Equations'!$B$103*'Chemical Info'!AN13*41)</f>
        <v>0</v>
      </c>
      <c r="E12" s="65" t="str">
        <f>IF(D12=0,"NA",1/(('Com-Ind Equations'!$B$74*(3.14*D12*'Com-Ind Equations'!$B$76)^(1/2)*0.0001)/(2*'Com-Ind Equations'!$B$77*D12)))</f>
        <v>NA</v>
      </c>
      <c r="F12" s="65" t="str">
        <f>IF(D12=0,"NA",(1/('Com-Ind Equations'!$B$88*('Com-Ind Equations'!$B$89*(31500000))/('Com-Ind Equations'!$B$90*'Com-Ind Equations'!$B$91*1000000))))</f>
        <v>NA</v>
      </c>
      <c r="G12" s="95" t="str">
        <f>IF('Chemical Info'!E13="Yes",('Chemical Info'!AP13/'Com-Ind Equations'!$B$139)*((('Chemical Info'!AL13*'Com-Ind Equations'!$B$141)*'Com-Ind Equations'!$B$139)+'Com-Ind Equations'!$B$142+('Chemical Info'!AN13*41)*'Com-Ind Equations'!$B$144),"NA")</f>
        <v>NA</v>
      </c>
      <c r="H12" s="112">
        <f>IF('Chemical Info'!H13="NA","NA",IF('Chemical Info'!E13="Yes",'Chemical Info'!H13*'Chemical Info'!AD13*'Com-Ind Equations'!$B$18*'Com-Ind Equations'!$B$22*(('Com-Ind Equations'!$B$24*'Com-Ind Equations'!$B$25)/'Com-Ind Equations'!$B$26),'Chemical Info'!H13*'Chemical Info'!AD13*'Com-Ind Equations'!$B$17*'Com-Ind Equations'!$B$22*('Com-Ind Equations'!$B$24*'Com-Ind Equations'!$B$25/'Com-Ind Equations'!$B$26)))</f>
        <v>1.2499999999999998E-3</v>
      </c>
      <c r="I12" s="108">
        <f>IF('Chemical Info'!H13="NA","NA",IF('Chemical Info'!E13="Yes",0,('Chemical Info'!H13/'Chemical Info'!AF13)*'Com-Ind Equations'!$B$19*'Chemical Info'!AB13*'Com-Ind Equations'!$B$22*(('Com-Ind Equations'!$B$24*'Com-Ind Equations'!$B$29*'Com-Ind Equations'!$B$30)/'Com-Ind Equations'!$B$26)))</f>
        <v>0</v>
      </c>
      <c r="J12" s="115">
        <f>IF('Chemical Info'!J13="NA","NA",IF(E12="NA",'Com-Ind Equations'!$B$20*1000*'Com-Ind Equations'!$B$24*'Com-Ind Equations'!$B$21*'Chemical Info'!J13*'Com-Ind Calculations'!C12,IF('Chemical Info'!E13="Yes",'Com-Ind Equations'!$B$20*1000*'Com-Ind Equations'!$B$24*'Com-Ind Equations'!$B$21*'Chemical Info'!J13*'Com-Ind Calculations'!E12,'Com-Ind Equations'!$B$20*1000*'Com-Ind Equations'!$B$24*'Com-Ind Equations'!$B$21*'Chemical Info'!J13*('Com-Ind Calculations'!C12+'Com-Ind Calculations'!E12))))</f>
        <v>3.0346668371728382E-5</v>
      </c>
      <c r="K12" s="117">
        <f>IF('Chemical Info'!J13="NA","NA",IF(F12="NA",'Com-Ind Equations'!$B$20*1000*'Com-Ind Equations'!$B$24*'Com-Ind Equations'!$B$21*'Chemical Info'!J13*'Com-Ind Calculations'!C12,IF('Chemical Info'!E13="Yes",'Com-Ind Equations'!$B$20*1000*'Com-Ind Equations'!$B$24*'Com-Ind Equations'!$B$21*'Chemical Info'!J13*'Com-Ind Calculations'!F12,'Com-Ind Equations'!$B$20*1000*'Com-Ind Equations'!$B$24*'Com-Ind Equations'!$B$21*'Chemical Info'!J13*('Com-Ind Calculations'!C12+'Com-Ind Calculations'!F12))))</f>
        <v>3.0346668371728382E-5</v>
      </c>
      <c r="L12" s="95">
        <f>IF(AND(H12="NA",I12="NA",J12="NA"),"NA",IF(H12="NA",'Com-Ind Equations'!$B$13*'Com-Ind Equations'!$B$14/J12,IF(J12="NA",'Com-Ind Equations'!$B$13*'Com-Ind Equations'!$B$14/(H12+I12),'Com-Ind Equations'!$B$13*'Com-Ind Equations'!$B$14/(H12+I12+J12))))</f>
        <v>199.55532849937458</v>
      </c>
      <c r="M12" s="95">
        <f>IF(AND(H12="NA",I12="NA",K12="NA"),"NA",IF(H12="NA",'Com-Ind Equations'!$B$13*'Com-Ind Equations'!$B$14/K12,IF(K12="NA",'Com-Ind Equations'!$B$13*'Com-Ind Equations'!$B$14/(H12+I12),'Com-Ind Equations'!$B$13*'Com-Ind Equations'!$B$14/(H12+I12+K12))))</f>
        <v>199.55532849937458</v>
      </c>
      <c r="N12" s="95">
        <f t="shared" si="0"/>
        <v>199.55532849937458</v>
      </c>
      <c r="O12" s="94">
        <f>IF('Chemical Info'!L13="NA","NA",IF('Chemical Info'!E13="Yes",(('Com-Ind Equations'!$B$46*'Chemical Info'!AD13*'Com-Ind Equations'!$B$48*'Com-Ind Equations'!$B$49*'Com-Ind Equations'!$B$51)/('Com-Ind Equations'!$B$55*'Com-Ind Equations'!$B$56))/'Chemical Info'!L13,(('Com-Ind Equations'!$B$46*'Chemical Info'!AD13*'Com-Ind Equations'!$B$48*'Com-Ind Equations'!$B$49*'Com-Ind Equations'!$B$50)/('Com-Ind Equations'!$B$55*'Com-Ind Equations'!$B$56))/'Chemical Info'!L13))</f>
        <v>9.5129375951293743E-4</v>
      </c>
      <c r="P12" s="90">
        <f>IF('Chemical Info'!L13="NA","NA", IF('Chemical Info'!E13="Yes",0,((('Com-Ind Equations'!$B$58*'Com-Ind Equations'!$B$59*'Com-Ind Equations'!$B$48*'Com-Ind Equations'!$B$52*'Com-Ind Equations'!$B$49*'Chemical Info'!AB13)/('Com-Ind Equations'!$B$55*'Com-Ind Equations'!$B$56))/('Chemical Info'!L13*'Chemical Info'!AF13))))</f>
        <v>0</v>
      </c>
      <c r="Q12" s="90">
        <f>IF('Chemical Info'!N13="NA","NA",IF('Com-Ind Calculations'!E12="NA",(('Com-Ind Equations'!$B$53*'Com-Ind Equations'!$B$49*'Com-Ind Equations'!$B$54*'Com-Ind Calculations'!C12)/('Com-Ind Equations'!$B$56))/('Chemical Info'!N13),IF('Chemical Info'!E13="Yes",(('Com-Ind Equations'!$B$53*'Com-Ind Equations'!$B$49*'Com-Ind Equations'!$B$54*'Com-Ind Calculations'!E12)/('Com-Ind Equations'!$B$56))/('Chemical Info'!N13),(('Com-Ind Equations'!$B$53*'Com-Ind Equations'!$B$49*'Com-Ind Equations'!$B$54*('Com-Ind Calculations'!C12+'Com-Ind Calculations'!E12))/('Com-Ind Equations'!$B$56))/('Chemical Info'!N13))))</f>
        <v>1.0077764507008179E-5</v>
      </c>
      <c r="R12" s="90">
        <f>IF('Chemical Info'!N13="NA","NA",IF('Com-Ind Calculations'!F12="NA",(('Com-Ind Equations'!$B$53*'Com-Ind Equations'!$B$49*'Com-Ind Equations'!$B$54*'Com-Ind Calculations'!C12)/('Com-Ind Equations'!$B$56))/('Chemical Info'!N13),IF('Chemical Info'!E13="Yes",(('Com-Ind Equations'!$B$53*'Com-Ind Equations'!$B$49*'Com-Ind Equations'!$B$54*'Com-Ind Calculations'!F12)/('Com-Ind Equations'!$B$56))/('Chemical Info'!N13),(('Com-Ind Equations'!$B$53*'Com-Ind Equations'!$B$49*'Com-Ind Equations'!$B$54*('Com-Ind Calculations'!C12+'Com-Ind Calculations'!F12))/('Com-Ind Equations'!$B$56))/('Chemical Info'!N13))))</f>
        <v>1.0077764507008179E-5</v>
      </c>
      <c r="S12" s="90">
        <f>IF(AND(O12="NA",P12="NA",Q12="NA"),"NA",IF(O12="NA",'Com-Ind Equations'!$B$45/'Com-Ind Calculations'!Q12,IF('Com-Ind Calculations'!Q12="NA",'Com-Ind Equations'!$B$45/('Com-Ind Calculations'!O12+'Com-Ind Calculations'!P12),'Com-Ind Equations'!$B$45/('Com-Ind Calculations'!O12+'Com-Ind Calculations'!P12+'Com-Ind Calculations'!Q12))))</f>
        <v>208.03611819466644</v>
      </c>
      <c r="T12" s="95">
        <f>IF(AND(O12="NA",P12="NA",R12="NA"),"NA",IF(O12="NA",'Com-Ind Equations'!$B$45/R12,IF(R12="NA",'Com-Ind Equations'!$B$45/(O12+P12),'Com-Ind Equations'!$B$45/(O12+P12+R12))))</f>
        <v>208.03611819466644</v>
      </c>
      <c r="U12" s="97">
        <f t="shared" si="1"/>
        <v>208.03611819466644</v>
      </c>
      <c r="V12" s="101">
        <f t="shared" si="3"/>
        <v>199.55532849937458</v>
      </c>
      <c r="W12" s="105">
        <f t="shared" si="4"/>
        <v>200</v>
      </c>
      <c r="X12" s="100" t="str">
        <f t="shared" si="2"/>
        <v>Cancer</v>
      </c>
      <c r="Y12" s="70"/>
    </row>
    <row r="13" spans="1:26">
      <c r="A13" s="68" t="s">
        <v>168</v>
      </c>
      <c r="B13" s="590" t="s">
        <v>169</v>
      </c>
      <c r="C13" s="85">
        <f>1/(('Com-Ind Equations'!$B$123*3600)/(0.036*(1-'Com-Ind Equations'!$B$124)*(('Com-Ind Equations'!$B$125/'Com-Ind Equations'!$B$126)^3)*'Com-Ind Equations'!$B$127))</f>
        <v>1.4713536180231943E-9</v>
      </c>
      <c r="D13" s="90">
        <f>(('Com-Ind Equations'!$B$103^(10/3)*'Chemical Info'!AH14*'Chemical Info'!AN14*41+'Com-Ind Equations'!$B$106^(10/3)*'Chemical Info'!AJ14)/'Com-Ind Equations'!$B$108^2)/('Com-Ind Equations'!$B$110*'Chemical Info'!AL14*'Com-Ind Equations'!$B$113+'Com-Ind Equations'!$B$106+'Com-Ind Equations'!$B$103*'Chemical Info'!AN14*41)</f>
        <v>0</v>
      </c>
      <c r="E13" s="65" t="str">
        <f>IF(D13=0,"NA",1/(('Com-Ind Equations'!$B$74*(3.14*D13*'Com-Ind Equations'!$B$76)^(1/2)*0.0001)/(2*'Com-Ind Equations'!$B$77*D13)))</f>
        <v>NA</v>
      </c>
      <c r="F13" s="65" t="str">
        <f>IF(D13=0,"NA",(1/('Com-Ind Equations'!$B$88*('Com-Ind Equations'!$B$89*(31500000))/('Com-Ind Equations'!$B$90*'Com-Ind Equations'!$B$91*1000000))))</f>
        <v>NA</v>
      </c>
      <c r="G13" s="95" t="str">
        <f>IF('Chemical Info'!E14="Yes",('Chemical Info'!AP14/'Com-Ind Equations'!$B$139)*((('Chemical Info'!AL14*'Com-Ind Equations'!$B$141)*'Com-Ind Equations'!$B$139)+'Com-Ind Equations'!$B$142+('Chemical Info'!AN14*41)*'Com-Ind Equations'!$B$144),"NA")</f>
        <v>NA</v>
      </c>
      <c r="H13" s="112" t="str">
        <f>IF('Chemical Info'!H14="NA","NA",IF('Chemical Info'!E14="Yes",'Chemical Info'!H14*'Chemical Info'!AD14*'Com-Ind Equations'!$B$18*'Com-Ind Equations'!$B$22*(('Com-Ind Equations'!$B$24*'Com-Ind Equations'!$B$25)/'Com-Ind Equations'!$B$26),'Chemical Info'!H14*'Chemical Info'!AD14*'Com-Ind Equations'!$B$17*'Com-Ind Equations'!$B$22*('Com-Ind Equations'!$B$24*'Com-Ind Equations'!$B$25/'Com-Ind Equations'!$B$26)))</f>
        <v>NA</v>
      </c>
      <c r="I13" s="108" t="str">
        <f>IF('Chemical Info'!H14="NA","NA",IF('Chemical Info'!E14="Yes",0,('Chemical Info'!H14/'Chemical Info'!AF14)*'Com-Ind Equations'!$B$19*'Chemical Info'!AB14*'Com-Ind Equations'!$B$22*(('Com-Ind Equations'!$B$24*'Com-Ind Equations'!$B$29*'Com-Ind Equations'!$B$30)/'Com-Ind Equations'!$B$26)))</f>
        <v>NA</v>
      </c>
      <c r="J13" s="115">
        <f>IF('Chemical Info'!J14="NA","NA",IF(E13="NA",'Com-Ind Equations'!$B$20*1000*'Com-Ind Equations'!$B$24*'Com-Ind Equations'!$B$21*'Chemical Info'!J14*'Com-Ind Calculations'!C13,IF('Chemical Info'!E14="Yes",'Com-Ind Equations'!$B$20*1000*'Com-Ind Equations'!$B$24*'Com-Ind Equations'!$B$21*'Chemical Info'!J14*'Com-Ind Calculations'!E13,'Com-Ind Equations'!$B$20*1000*'Com-Ind Equations'!$B$24*'Com-Ind Equations'!$B$21*'Chemical Info'!J14*('Com-Ind Calculations'!C13+'Com-Ind Calculations'!E13))))</f>
        <v>2.4829092304141404E-5</v>
      </c>
      <c r="K13" s="117">
        <f>IF('Chemical Info'!J14="NA","NA",IF(F13="NA",'Com-Ind Equations'!$B$20*1000*'Com-Ind Equations'!$B$24*'Com-Ind Equations'!$B$21*'Chemical Info'!J14*'Com-Ind Calculations'!C13,IF('Chemical Info'!E14="Yes",'Com-Ind Equations'!$B$20*1000*'Com-Ind Equations'!$B$24*'Com-Ind Equations'!$B$21*'Chemical Info'!J14*'Com-Ind Calculations'!F13,'Com-Ind Equations'!$B$20*1000*'Com-Ind Equations'!$B$24*'Com-Ind Equations'!$B$21*'Chemical Info'!J14*('Com-Ind Calculations'!C13+'Com-Ind Calculations'!F13))))</f>
        <v>2.4829092304141404E-5</v>
      </c>
      <c r="L13" s="95">
        <f>IF(AND(H13="NA",I13="NA",J13="NA"),"NA",IF(H13="NA",'Com-Ind Equations'!$B$13*'Com-Ind Equations'!$B$14/J13,IF(J13="NA",'Com-Ind Equations'!$B$13*'Com-Ind Equations'!$B$14/(H13+I13),'Com-Ind Equations'!$B$13*'Com-Ind Equations'!$B$14/(H13+I13+J13))))</f>
        <v>10290.347986558636</v>
      </c>
      <c r="M13" s="95">
        <f>IF(AND(H13="NA",I13="NA",K13="NA"),"NA",IF(H13="NA",'Com-Ind Equations'!$B$13*'Com-Ind Equations'!$B$14/K13,IF(K13="NA",'Com-Ind Equations'!$B$13*'Com-Ind Equations'!$B$14/(H13+I13),'Com-Ind Equations'!$B$13*'Com-Ind Equations'!$B$14/(H13+I13+K13))))</f>
        <v>10290.347986558636</v>
      </c>
      <c r="N13" s="95">
        <f t="shared" si="0"/>
        <v>10290.347986558636</v>
      </c>
      <c r="O13" s="94">
        <f>IF('Chemical Info'!L14="NA","NA",IF('Chemical Info'!E14="Yes",(('Com-Ind Equations'!$B$46*'Chemical Info'!AD14*'Com-Ind Equations'!$B$48*'Com-Ind Equations'!$B$49*'Com-Ind Equations'!$B$51)/('Com-Ind Equations'!$B$55*'Com-Ind Equations'!$B$56))/'Chemical Info'!L14,(('Com-Ind Equations'!$B$46*'Chemical Info'!AD14*'Com-Ind Equations'!$B$48*'Com-Ind Equations'!$B$49*'Com-Ind Equations'!$B$50)/('Com-Ind Equations'!$B$55*'Com-Ind Equations'!$B$56))/'Chemical Info'!L14))</f>
        <v>2.8538812785388122E-3</v>
      </c>
      <c r="P13" s="90">
        <f>IF('Chemical Info'!L14="NA","NA", IF('Chemical Info'!E14="Yes",0,((('Com-Ind Equations'!$B$58*'Com-Ind Equations'!$B$59*'Com-Ind Equations'!$B$48*'Com-Ind Equations'!$B$52*'Com-Ind Equations'!$B$49*'Chemical Info'!AB14)/('Com-Ind Equations'!$B$55*'Com-Ind Equations'!$B$56))/('Chemical Info'!L14*'Chemical Info'!AF14))))</f>
        <v>0</v>
      </c>
      <c r="Q13" s="90">
        <f>IF('Chemical Info'!N14="NA","NA",IF('Com-Ind Calculations'!E13="NA",(('Com-Ind Equations'!$B$53*'Com-Ind Equations'!$B$49*'Com-Ind Equations'!$B$54*'Com-Ind Calculations'!C13)/('Com-Ind Equations'!$B$56))/('Chemical Info'!N14),IF('Chemical Info'!E14="Yes",(('Com-Ind Equations'!$B$53*'Com-Ind Equations'!$B$49*'Com-Ind Equations'!$B$54*'Com-Ind Calculations'!E13)/('Com-Ind Equations'!$B$56))/('Chemical Info'!N14),(('Com-Ind Equations'!$B$53*'Com-Ind Equations'!$B$49*'Com-Ind Equations'!$B$54*('Com-Ind Calculations'!C13+'Com-Ind Calculations'!E13))/('Com-Ind Equations'!$B$56))/('Chemical Info'!N14))))</f>
        <v>5.0388822535040899E-5</v>
      </c>
      <c r="R13" s="90">
        <f>IF('Chemical Info'!N14="NA","NA",IF('Com-Ind Calculations'!F13="NA",(('Com-Ind Equations'!$B$53*'Com-Ind Equations'!$B$49*'Com-Ind Equations'!$B$54*'Com-Ind Calculations'!C13)/('Com-Ind Equations'!$B$56))/('Chemical Info'!N14),IF('Chemical Info'!E14="Yes",(('Com-Ind Equations'!$B$53*'Com-Ind Equations'!$B$49*'Com-Ind Equations'!$B$54*'Com-Ind Calculations'!F13)/('Com-Ind Equations'!$B$56))/('Chemical Info'!N14),(('Com-Ind Equations'!$B$53*'Com-Ind Equations'!$B$49*'Com-Ind Equations'!$B$54*('Com-Ind Calculations'!C13+'Com-Ind Calculations'!F13))/('Com-Ind Equations'!$B$56))/('Chemical Info'!N14))))</f>
        <v>5.0388822535040899E-5</v>
      </c>
      <c r="S13" s="90">
        <f>IF(AND(O13="NA",P13="NA",Q13="NA"),"NA",IF(O13="NA",'Com-Ind Equations'!$B$45/'Com-Ind Calculations'!Q13,IF('Com-Ind Calculations'!Q13="NA",'Com-Ind Equations'!$B$45/('Com-Ind Calculations'!O13+'Com-Ind Calculations'!P13),'Com-Ind Equations'!$B$45/('Com-Ind Calculations'!O13+'Com-Ind Calculations'!P13+'Com-Ind Calculations'!Q13))))</f>
        <v>68.864118363526202</v>
      </c>
      <c r="T13" s="95">
        <f>IF(AND(O13="NA",P13="NA",R13="NA"),"NA",IF(O13="NA",'Com-Ind Equations'!$B$45/R13,IF(R13="NA",'Com-Ind Equations'!$B$45/(O13+P13),'Com-Ind Equations'!$B$45/(O13+P13+R13))))</f>
        <v>68.864118363526202</v>
      </c>
      <c r="U13" s="97">
        <f t="shared" si="1"/>
        <v>68.864118363526202</v>
      </c>
      <c r="V13" s="101">
        <f t="shared" si="3"/>
        <v>68.864118363526202</v>
      </c>
      <c r="W13" s="105">
        <f t="shared" si="4"/>
        <v>69</v>
      </c>
      <c r="X13" s="100" t="str">
        <f t="shared" si="2"/>
        <v>Noncancer</v>
      </c>
      <c r="Y13" s="70"/>
    </row>
    <row r="14" spans="1:26">
      <c r="A14" s="67" t="s">
        <v>170</v>
      </c>
      <c r="B14" s="566" t="s">
        <v>171</v>
      </c>
      <c r="C14" s="85">
        <f>1/(('Com-Ind Equations'!$B$123*3600)/(0.036*(1-'Com-Ind Equations'!$B$124)*(('Com-Ind Equations'!$B$125/'Com-Ind Equations'!$B$126)^3)*'Com-Ind Equations'!$B$127))</f>
        <v>1.4713536180231943E-9</v>
      </c>
      <c r="D14" s="90">
        <f>(('Com-Ind Equations'!$B$103^(10/3)*'Chemical Info'!AH15*'Chemical Info'!AN15*41+'Com-Ind Equations'!$B$106^(10/3)*'Chemical Info'!AJ15)/'Com-Ind Equations'!$B$108^2)/('Com-Ind Equations'!$B$110*'Chemical Info'!AL15*'Com-Ind Equations'!$B$113+'Com-Ind Equations'!$B$106+'Com-Ind Equations'!$B$103*'Chemical Info'!AN15*41)</f>
        <v>0</v>
      </c>
      <c r="E14" s="65" t="str">
        <f>IF(D14=0,"NA",1/(('Com-Ind Equations'!$B$74*(3.14*D14*'Com-Ind Equations'!$B$76)^(1/2)*0.0001)/(2*'Com-Ind Equations'!$B$77*D14)))</f>
        <v>NA</v>
      </c>
      <c r="F14" s="65" t="str">
        <f>IF(D14=0,"NA",(1/('Com-Ind Equations'!$B$88*('Com-Ind Equations'!$B$89*(31500000))/('Com-Ind Equations'!$B$90*'Com-Ind Equations'!$B$91*1000000))))</f>
        <v>NA</v>
      </c>
      <c r="G14" s="95" t="str">
        <f>IF('Chemical Info'!E15="Yes",('Chemical Info'!AP15/'Com-Ind Equations'!$B$139)*((('Chemical Info'!AL15*'Com-Ind Equations'!$B$141)*'Com-Ind Equations'!$B$139)+'Com-Ind Equations'!$B$142+('Chemical Info'!AN15*41)*'Com-Ind Equations'!$B$144),"NA")</f>
        <v>NA</v>
      </c>
      <c r="H14" s="112" t="str">
        <f>IF('Chemical Info'!H15="NA","NA",IF('Chemical Info'!E15="Yes",'Chemical Info'!H15*'Chemical Info'!AD15*'Com-Ind Equations'!$B$18*'Com-Ind Equations'!$B$22*(('Com-Ind Equations'!$B$24*'Com-Ind Equations'!$B$25)/'Com-Ind Equations'!$B$26),'Chemical Info'!H15*'Chemical Info'!AD15*'Com-Ind Equations'!$B$17*'Com-Ind Equations'!$B$22*('Com-Ind Equations'!$B$24*'Com-Ind Equations'!$B$25/'Com-Ind Equations'!$B$26)))</f>
        <v>NA</v>
      </c>
      <c r="I14" s="108" t="str">
        <f>IF('Chemical Info'!H15="NA","NA",IF('Chemical Info'!E15="Yes",0,('Chemical Info'!H15/'Chemical Info'!AF15)*'Com-Ind Equations'!$B$19*'Chemical Info'!AB15*'Com-Ind Equations'!$B$22*(('Com-Ind Equations'!$B$24*'Com-Ind Equations'!$B$29*'Com-Ind Equations'!$B$30)/'Com-Ind Equations'!$B$26)))</f>
        <v>NA</v>
      </c>
      <c r="J14" s="115" t="str">
        <f>IF('Chemical Info'!J15="NA","NA",IF(E14="NA",'Com-Ind Equations'!$B$20*1000*'Com-Ind Equations'!$B$24*'Com-Ind Equations'!$B$21*'Chemical Info'!J15*'Com-Ind Calculations'!C14,IF('Chemical Info'!E15="Yes",'Com-Ind Equations'!$B$20*1000*'Com-Ind Equations'!$B$24*'Com-Ind Equations'!$B$21*'Chemical Info'!J15*'Com-Ind Calculations'!E14,'Com-Ind Equations'!$B$20*1000*'Com-Ind Equations'!$B$24*'Com-Ind Equations'!$B$21*'Chemical Info'!J15*('Com-Ind Calculations'!C14+'Com-Ind Calculations'!E14))))</f>
        <v>NA</v>
      </c>
      <c r="K14" s="117" t="str">
        <f>IF('Chemical Info'!J15="NA","NA",IF(F14="NA",'Com-Ind Equations'!$B$20*1000*'Com-Ind Equations'!$B$24*'Com-Ind Equations'!$B$21*'Chemical Info'!J15*'Com-Ind Calculations'!C14,IF('Chemical Info'!E15="Yes",'Com-Ind Equations'!$B$20*1000*'Com-Ind Equations'!$B$24*'Com-Ind Equations'!$B$21*'Chemical Info'!J15*'Com-Ind Calculations'!F14,'Com-Ind Equations'!$B$20*1000*'Com-Ind Equations'!$B$24*'Com-Ind Equations'!$B$21*'Chemical Info'!J15*('Com-Ind Calculations'!C14+'Com-Ind Calculations'!F14))))</f>
        <v>NA</v>
      </c>
      <c r="L14" s="95" t="str">
        <f>IF(AND(H14="NA",I14="NA",J14="NA"),"NA",IF(H14="NA",'Com-Ind Equations'!$B$13*'Com-Ind Equations'!$B$14/J14,IF(J14="NA",'Com-Ind Equations'!$B$13*'Com-Ind Equations'!$B$14/(H14+I14),'Com-Ind Equations'!$B$13*'Com-Ind Equations'!$B$14/(H14+I14+J14))))</f>
        <v>NA</v>
      </c>
      <c r="M14" s="95" t="str">
        <f>IF(AND(H14="NA",I14="NA",K14="NA"),"NA",IF(H14="NA",'Com-Ind Equations'!$B$13*'Com-Ind Equations'!$B$14/K14,IF(K14="NA",'Com-Ind Equations'!$B$13*'Com-Ind Equations'!$B$14/(H14+I14),'Com-Ind Equations'!$B$13*'Com-Ind Equations'!$B$14/(H14+I14+K14))))</f>
        <v>NA</v>
      </c>
      <c r="N14" s="95" t="str">
        <f t="shared" si="0"/>
        <v>NA</v>
      </c>
      <c r="O14" s="94">
        <f>IF('Chemical Info'!L15="NA","NA",IF('Chemical Info'!E15="Yes",(('Com-Ind Equations'!$B$46*'Chemical Info'!AD15*'Com-Ind Equations'!$B$48*'Com-Ind Equations'!$B$49*'Com-Ind Equations'!$B$51)/('Com-Ind Equations'!$B$55*'Com-Ind Equations'!$B$56))/'Chemical Info'!L15,(('Com-Ind Equations'!$B$46*'Chemical Info'!AD15*'Com-Ind Equations'!$B$48*'Com-Ind Equations'!$B$49*'Com-Ind Equations'!$B$50)/('Com-Ind Equations'!$B$55*'Com-Ind Equations'!$B$56))/'Chemical Info'!L15))</f>
        <v>6.0293266448003078E-6</v>
      </c>
      <c r="P14" s="90">
        <f>IF('Chemical Info'!L15="NA","NA", IF('Chemical Info'!E15="Yes",0,((('Com-Ind Equations'!$B$58*'Com-Ind Equations'!$B$59*'Com-Ind Equations'!$B$48*'Com-Ind Equations'!$B$52*'Com-Ind Equations'!$B$49*'Chemical Info'!AB15)/('Com-Ind Equations'!$B$55*'Com-Ind Equations'!$B$56))/('Chemical Info'!L15*'Chemical Info'!AF15))))</f>
        <v>0</v>
      </c>
      <c r="Q14" s="90" t="str">
        <f>IF('Chemical Info'!N15="NA","NA",IF('Com-Ind Calculations'!E14="NA",(('Com-Ind Equations'!$B$53*'Com-Ind Equations'!$B$49*'Com-Ind Equations'!$B$54*'Com-Ind Calculations'!C14)/('Com-Ind Equations'!$B$56))/('Chemical Info'!N15),IF('Chemical Info'!E15="Yes",(('Com-Ind Equations'!$B$53*'Com-Ind Equations'!$B$49*'Com-Ind Equations'!$B$54*'Com-Ind Calculations'!E14)/('Com-Ind Equations'!$B$56))/('Chemical Info'!N15),(('Com-Ind Equations'!$B$53*'Com-Ind Equations'!$B$49*'Com-Ind Equations'!$B$54*('Com-Ind Calculations'!C14+'Com-Ind Calculations'!E14))/('Com-Ind Equations'!$B$56))/('Chemical Info'!N15))))</f>
        <v>NA</v>
      </c>
      <c r="R14" s="90" t="str">
        <f>IF('Chemical Info'!N15="NA","NA",IF('Com-Ind Calculations'!F14="NA",(('Com-Ind Equations'!$B$53*'Com-Ind Equations'!$B$49*'Com-Ind Equations'!$B$54*'Com-Ind Calculations'!C14)/('Com-Ind Equations'!$B$56))/('Chemical Info'!N15),IF('Chemical Info'!E15="Yes",(('Com-Ind Equations'!$B$53*'Com-Ind Equations'!$B$49*'Com-Ind Equations'!$B$54*'Com-Ind Calculations'!F14)/('Com-Ind Equations'!$B$56))/('Chemical Info'!N15),(('Com-Ind Equations'!$B$53*'Com-Ind Equations'!$B$49*'Com-Ind Equations'!$B$54*('Com-Ind Calculations'!C14+'Com-Ind Calculations'!F14))/('Com-Ind Equations'!$B$56))/('Chemical Info'!N15))))</f>
        <v>NA</v>
      </c>
      <c r="S14" s="90">
        <f>IF(AND(O14="NA",P14="NA",Q14="NA"),"NA",IF(O14="NA",'Com-Ind Equations'!$B$45/'Com-Ind Calculations'!Q14,IF('Com-Ind Calculations'!Q14="NA",'Com-Ind Equations'!$B$45/('Com-Ind Calculations'!O14+'Com-Ind Calculations'!P14),'Com-Ind Equations'!$B$45/('Com-Ind Calculations'!O14+'Com-Ind Calculations'!P14+'Com-Ind Calculations'!Q14))))</f>
        <v>33171.200000000004</v>
      </c>
      <c r="T14" s="95">
        <f>IF(AND(O14="NA",P14="NA",R14="NA"),"NA",IF(O14="NA",'Com-Ind Equations'!$B$45/R14,IF(R14="NA",'Com-Ind Equations'!$B$45/(O14+P14),'Com-Ind Equations'!$B$45/(O14+P14+R14))))</f>
        <v>33171.200000000004</v>
      </c>
      <c r="U14" s="97">
        <f t="shared" si="1"/>
        <v>33171.200000000004</v>
      </c>
      <c r="V14" s="101">
        <f t="shared" si="3"/>
        <v>33171.200000000004</v>
      </c>
      <c r="W14" s="105">
        <f t="shared" si="4"/>
        <v>33000</v>
      </c>
      <c r="X14" s="100" t="str">
        <f t="shared" si="2"/>
        <v>Noncancer</v>
      </c>
      <c r="Y14" s="70"/>
    </row>
    <row r="15" spans="1:26">
      <c r="A15" s="71" t="s">
        <v>172</v>
      </c>
      <c r="B15" s="592" t="s">
        <v>173</v>
      </c>
      <c r="C15" s="85">
        <f>1/(('Com-Ind Equations'!$B$123*3600)/(0.036*(1-'Com-Ind Equations'!$B$124)*(('Com-Ind Equations'!$B$125/'Com-Ind Equations'!$B$126)^3)*'Com-Ind Equations'!$B$127))</f>
        <v>1.4713536180231943E-9</v>
      </c>
      <c r="D15" s="90">
        <f>(('Com-Ind Equations'!$B$103^(10/3)*'Chemical Info'!AH16*'Chemical Info'!AN16*41+'Com-Ind Equations'!$B$106^(10/3)*'Chemical Info'!AJ16)/'Com-Ind Equations'!$B$108^2)/('Com-Ind Equations'!$B$110*'Chemical Info'!AL16*'Com-Ind Equations'!$B$113+'Com-Ind Equations'!$B$106+'Com-Ind Equations'!$B$103*'Chemical Info'!AN16*41)</f>
        <v>0</v>
      </c>
      <c r="E15" s="65" t="str">
        <f>IF(D15=0,"NA",1/(('Com-Ind Equations'!$B$74*(3.14*D15*'Com-Ind Equations'!$B$76)^(1/2)*0.0001)/(2*'Com-Ind Equations'!$B$77*D15)))</f>
        <v>NA</v>
      </c>
      <c r="F15" s="65" t="str">
        <f>IF(D15=0,"NA",(1/('Com-Ind Equations'!$B$88*('Com-Ind Equations'!$B$89*(31500000))/('Com-Ind Equations'!$B$90*'Com-Ind Equations'!$B$91*1000000))))</f>
        <v>NA</v>
      </c>
      <c r="G15" s="95" t="str">
        <f>IF('Chemical Info'!E16="Yes",('Chemical Info'!AP16/'Com-Ind Equations'!$B$139)*((('Chemical Info'!AL16*'Com-Ind Equations'!$B$141)*'Com-Ind Equations'!$B$139)+'Com-Ind Equations'!$B$142+('Chemical Info'!AN16*41)*'Com-Ind Equations'!$B$144),"NA")</f>
        <v>NA</v>
      </c>
      <c r="H15" s="112" t="str">
        <f>IF('Chemical Info'!H16="NA","NA",IF('Chemical Info'!E16="Yes",'Chemical Info'!H16*'Chemical Info'!AD16*'Com-Ind Equations'!$B$18*'Com-Ind Equations'!$B$22*(('Com-Ind Equations'!$B$24*'Com-Ind Equations'!$B$25)/'Com-Ind Equations'!$B$26),'Chemical Info'!H16*'Chemical Info'!AD16*'Com-Ind Equations'!$B$17*'Com-Ind Equations'!$B$22*('Com-Ind Equations'!$B$24*'Com-Ind Equations'!$B$25/'Com-Ind Equations'!$B$26)))</f>
        <v>NA</v>
      </c>
      <c r="I15" s="108" t="str">
        <f>IF('Chemical Info'!H16="NA","NA",IF('Chemical Info'!E16="Yes",0,('Chemical Info'!H16/'Chemical Info'!AF16)*'Com-Ind Equations'!$B$19*'Chemical Info'!AB16*'Com-Ind Equations'!$B$22*(('Com-Ind Equations'!$B$24*'Com-Ind Equations'!$B$29*'Com-Ind Equations'!$B$30)/'Com-Ind Equations'!$B$26)))</f>
        <v>NA</v>
      </c>
      <c r="J15" s="115" t="str">
        <f>IF('Chemical Info'!J16="NA","NA",IF(E15="NA",'Com-Ind Equations'!$B$20*1000*'Com-Ind Equations'!$B$24*'Com-Ind Equations'!$B$21*'Chemical Info'!J16*'Com-Ind Calculations'!C15,IF('Chemical Info'!E16="Yes",'Com-Ind Equations'!$B$20*1000*'Com-Ind Equations'!$B$24*'Com-Ind Equations'!$B$21*'Chemical Info'!J16*'Com-Ind Calculations'!E15,'Com-Ind Equations'!$B$20*1000*'Com-Ind Equations'!$B$24*'Com-Ind Equations'!$B$21*'Chemical Info'!J16*('Com-Ind Calculations'!C15+'Com-Ind Calculations'!E15))))</f>
        <v>NA</v>
      </c>
      <c r="K15" s="117" t="str">
        <f>IF('Chemical Info'!J16="NA","NA",IF(F15="NA",'Com-Ind Equations'!$B$20*1000*'Com-Ind Equations'!$B$24*'Com-Ind Equations'!$B$21*'Chemical Info'!J16*'Com-Ind Calculations'!C15,IF('Chemical Info'!E16="Yes",'Com-Ind Equations'!$B$20*1000*'Com-Ind Equations'!$B$24*'Com-Ind Equations'!$B$21*'Chemical Info'!J16*'Com-Ind Calculations'!F15,'Com-Ind Equations'!$B$20*1000*'Com-Ind Equations'!$B$24*'Com-Ind Equations'!$B$21*'Chemical Info'!J16*('Com-Ind Calculations'!C15+'Com-Ind Calculations'!F15))))</f>
        <v>NA</v>
      </c>
      <c r="L15" s="95" t="str">
        <f>IF(AND(H15="NA",I15="NA",J15="NA"),"NA",IF(H15="NA",'Com-Ind Equations'!$B$13*'Com-Ind Equations'!$B$14/J15,IF(J15="NA",'Com-Ind Equations'!$B$13*'Com-Ind Equations'!$B$14/(H15+I15),'Com-Ind Equations'!$B$13*'Com-Ind Equations'!$B$14/(H15+I15+J15))))</f>
        <v>NA</v>
      </c>
      <c r="M15" s="95" t="str">
        <f>IF(AND(H15="NA",I15="NA",K15="NA"),"NA",IF(H15="NA",'Com-Ind Equations'!$B$13*'Com-Ind Equations'!$B$14/K15,IF(K15="NA",'Com-Ind Equations'!$B$13*'Com-Ind Equations'!$B$14/(H15+I15),'Com-Ind Equations'!$B$13*'Com-Ind Equations'!$B$14/(H15+I15+K15))))</f>
        <v>NA</v>
      </c>
      <c r="N15" s="95" t="str">
        <f t="shared" si="0"/>
        <v>NA</v>
      </c>
      <c r="O15" s="94">
        <f>IF('Chemical Info'!L16="NA","NA",IF('Chemical Info'!E16="Yes",(('Com-Ind Equations'!$B$46*'Chemical Info'!AD16*'Com-Ind Equations'!$B$48*'Com-Ind Equations'!$B$49*'Com-Ind Equations'!$B$51)/('Com-Ind Equations'!$B$55*'Com-Ind Equations'!$B$56))/'Chemical Info'!L16,(('Com-Ind Equations'!$B$46*'Chemical Info'!AD16*'Com-Ind Equations'!$B$48*'Com-Ind Equations'!$B$49*'Com-Ind Equations'!$B$50)/('Com-Ind Equations'!$B$55*'Com-Ind Equations'!$B$56))/'Chemical Info'!L16))</f>
        <v>1.7123287671232871E-4</v>
      </c>
      <c r="P15" s="90">
        <f>IF('Chemical Info'!L16="NA","NA", IF('Chemical Info'!E16="Yes",0,((('Com-Ind Equations'!$B$58*'Com-Ind Equations'!$B$59*'Com-Ind Equations'!$B$48*'Com-Ind Equations'!$B$52*'Com-Ind Equations'!$B$49*'Chemical Info'!AB16)/('Com-Ind Equations'!$B$55*'Com-Ind Equations'!$B$56))/('Chemical Info'!L16*'Chemical Info'!AF16))))</f>
        <v>0</v>
      </c>
      <c r="Q15" s="90" t="str">
        <f>IF('Chemical Info'!N16="NA","NA",IF('Com-Ind Calculations'!E15="NA",(('Com-Ind Equations'!$B$53*'Com-Ind Equations'!$B$49*'Com-Ind Equations'!$B$54*'Com-Ind Calculations'!C15)/('Com-Ind Equations'!$B$56))/('Chemical Info'!N16),IF('Chemical Info'!E16="Yes",(('Com-Ind Equations'!$B$53*'Com-Ind Equations'!$B$49*'Com-Ind Equations'!$B$54*'Com-Ind Calculations'!E15)/('Com-Ind Equations'!$B$56))/('Chemical Info'!N16),(('Com-Ind Equations'!$B$53*'Com-Ind Equations'!$B$49*'Com-Ind Equations'!$B$54*('Com-Ind Calculations'!C15+'Com-Ind Calculations'!E15))/('Com-Ind Equations'!$B$56))/('Chemical Info'!N16))))</f>
        <v>NA</v>
      </c>
      <c r="R15" s="90" t="str">
        <f>IF('Chemical Info'!N16="NA","NA",IF('Com-Ind Calculations'!F15="NA",(('Com-Ind Equations'!$B$53*'Com-Ind Equations'!$B$49*'Com-Ind Equations'!$B$54*'Com-Ind Calculations'!C15)/('Com-Ind Equations'!$B$56))/('Chemical Info'!N16),IF('Chemical Info'!E16="Yes",(('Com-Ind Equations'!$B$53*'Com-Ind Equations'!$B$49*'Com-Ind Equations'!$B$54*'Com-Ind Calculations'!F15)/('Com-Ind Equations'!$B$56))/('Chemical Info'!N16),(('Com-Ind Equations'!$B$53*'Com-Ind Equations'!$B$49*'Com-Ind Equations'!$B$54*('Com-Ind Calculations'!C15+'Com-Ind Calculations'!F15))/('Com-Ind Equations'!$B$56))/('Chemical Info'!N16))))</f>
        <v>NA</v>
      </c>
      <c r="S15" s="90">
        <f>IF(AND(O15="NA",P15="NA",Q15="NA"),"NA",IF(O15="NA",'Com-Ind Equations'!$B$45/'Com-Ind Calculations'!Q15,IF('Com-Ind Calculations'!Q15="NA",'Com-Ind Equations'!$B$45/('Com-Ind Calculations'!O15+'Com-Ind Calculations'!P15),'Com-Ind Equations'!$B$45/('Com-Ind Calculations'!O15+'Com-Ind Calculations'!P15+'Com-Ind Calculations'!Q15))))</f>
        <v>1168.0000000000005</v>
      </c>
      <c r="T15" s="95">
        <f>IF(AND(O15="NA",P15="NA",R15="NA"),"NA",IF(O15="NA",'Com-Ind Equations'!$B$45/R15,IF(R15="NA",'Com-Ind Equations'!$B$45/(O15+P15),'Com-Ind Equations'!$B$45/(O15+P15+R15))))</f>
        <v>1168.0000000000005</v>
      </c>
      <c r="U15" s="97">
        <f t="shared" si="1"/>
        <v>1168.0000000000005</v>
      </c>
      <c r="V15" s="101">
        <f t="shared" si="3"/>
        <v>1168.0000000000005</v>
      </c>
      <c r="W15" s="105">
        <f t="shared" si="4"/>
        <v>1200</v>
      </c>
      <c r="X15" s="100" t="str">
        <f t="shared" si="2"/>
        <v>Noncancer</v>
      </c>
      <c r="Y15" s="70"/>
    </row>
    <row r="16" spans="1:26">
      <c r="A16" s="71" t="s">
        <v>94</v>
      </c>
      <c r="B16" s="592" t="s">
        <v>95</v>
      </c>
      <c r="C16" s="85">
        <f>1/(('Com-Ind Equations'!$B$123*3600)/(0.036*(1-'Com-Ind Equations'!$B$124)*(('Com-Ind Equations'!$B$125/'Com-Ind Equations'!$B$126)^3)*'Com-Ind Equations'!$B$127))</f>
        <v>1.4713536180231943E-9</v>
      </c>
      <c r="D16" s="90">
        <f>(('Com-Ind Equations'!$B$103^(10/3)*'Chemical Info'!AH17*'Chemical Info'!AN17*41+'Com-Ind Equations'!$B$106^(10/3)*'Chemical Info'!AJ17)/'Com-Ind Equations'!$B$108^2)/('Com-Ind Equations'!$B$110*'Chemical Info'!AL17*'Com-Ind Equations'!$B$113+'Com-Ind Equations'!$B$106+'Com-Ind Equations'!$B$103*'Chemical Info'!AN17*41)</f>
        <v>3.7827244864121871E-4</v>
      </c>
      <c r="E16" s="65">
        <f>IF(D16=0,"NA",1/(('Com-Ind Equations'!$B$74*(3.14*D16*'Com-Ind Equations'!$B$76)^(1/2)*0.0001)/(2*'Com-Ind Equations'!$B$77*D16)))</f>
        <v>1.1416446326897102E-4</v>
      </c>
      <c r="F16" s="65">
        <f>IF(D16=0,"NA",(1/('Com-Ind Equations'!$B$88*('Com-Ind Equations'!$B$89*(31500000))/('Com-Ind Equations'!$B$90*'Com-Ind Equations'!$B$91*1000000))))</f>
        <v>6.1914410640015851E-5</v>
      </c>
      <c r="G16" s="95">
        <f>IF('Chemical Info'!E17="Yes",('Chemical Info'!AP17/'Com-Ind Equations'!$B$139)*((('Chemical Info'!AL17*'Com-Ind Equations'!$B$141)*'Com-Ind Equations'!$B$139)+'Com-Ind Equations'!$B$142+('Chemical Info'!AN17*41)*'Com-Ind Equations'!$B$144),"NA")</f>
        <v>117818.98666666665</v>
      </c>
      <c r="H16" s="112" t="str">
        <f>IF('Chemical Info'!H17="NA","NA",IF('Chemical Info'!E17="Yes",'Chemical Info'!H17*'Chemical Info'!AD17*'Com-Ind Equations'!$B$18*'Com-Ind Equations'!$B$22*(('Com-Ind Equations'!$B$24*'Com-Ind Equations'!$B$25)/'Com-Ind Equations'!$B$26),'Chemical Info'!H17*'Chemical Info'!AD17*'Com-Ind Equations'!$B$17*'Com-Ind Equations'!$B$22*('Com-Ind Equations'!$B$24*'Com-Ind Equations'!$B$25/'Com-Ind Equations'!$B$26)))</f>
        <v>NA</v>
      </c>
      <c r="I16" s="108" t="str">
        <f>IF('Chemical Info'!H17="NA","NA",IF('Chemical Info'!E17="Yes",0,('Chemical Info'!H17/'Chemical Info'!AF17)*'Com-Ind Equations'!$B$19*'Chemical Info'!AB17*'Com-Ind Equations'!$B$22*(('Com-Ind Equations'!$B$24*'Com-Ind Equations'!$B$29*'Com-Ind Equations'!$B$30)/'Com-Ind Equations'!$B$26)))</f>
        <v>NA</v>
      </c>
      <c r="J16" s="115" t="str">
        <f>IF('Chemical Info'!J17="NA","NA",IF(E16="NA",'Com-Ind Equations'!$B$20*1000*'Com-Ind Equations'!$B$24*'Com-Ind Equations'!$B$21*'Chemical Info'!J17*'Com-Ind Calculations'!C16,IF('Chemical Info'!E17="Yes",'Com-Ind Equations'!$B$20*1000*'Com-Ind Equations'!$B$24*'Com-Ind Equations'!$B$21*'Chemical Info'!J17*'Com-Ind Calculations'!E16,'Com-Ind Equations'!$B$20*1000*'Com-Ind Equations'!$B$24*'Com-Ind Equations'!$B$21*'Chemical Info'!J17*('Com-Ind Calculations'!C16+'Com-Ind Calculations'!E16))))</f>
        <v>NA</v>
      </c>
      <c r="K16" s="117" t="str">
        <f>IF('Chemical Info'!J17="NA","NA",IF(F16="NA",'Com-Ind Equations'!$B$20*1000*'Com-Ind Equations'!$B$24*'Com-Ind Equations'!$B$21*'Chemical Info'!J17*'Com-Ind Calculations'!C16,IF('Chemical Info'!E17="Yes",'Com-Ind Equations'!$B$20*1000*'Com-Ind Equations'!$B$24*'Com-Ind Equations'!$B$21*'Chemical Info'!J17*'Com-Ind Calculations'!F16,'Com-Ind Equations'!$B$20*1000*'Com-Ind Equations'!$B$24*'Com-Ind Equations'!$B$21*'Chemical Info'!J17*('Com-Ind Calculations'!C16+'Com-Ind Calculations'!F16))))</f>
        <v>NA</v>
      </c>
      <c r="L16" s="95" t="str">
        <f>IF(AND(H16="NA",I16="NA",J16="NA"),"NA",IF(H16="NA",'Com-Ind Equations'!$B$13*'Com-Ind Equations'!$B$14/J16,IF(J16="NA",'Com-Ind Equations'!$B$13*'Com-Ind Equations'!$B$14/(H16+I16),'Com-Ind Equations'!$B$13*'Com-Ind Equations'!$B$14/(H16+I16+J16))))</f>
        <v>NA</v>
      </c>
      <c r="M16" s="95" t="str">
        <f>IF(AND(H16="NA",I16="NA",K16="NA"),"NA",IF(H16="NA",'Com-Ind Equations'!$B$13*'Com-Ind Equations'!$B$14/K16,IF(K16="NA",'Com-Ind Equations'!$B$13*'Com-Ind Equations'!$B$14/(H16+I16),'Com-Ind Equations'!$B$13*'Com-Ind Equations'!$B$14/(H16+I16+K16))))</f>
        <v>NA</v>
      </c>
      <c r="N16" s="95" t="str">
        <f t="shared" si="0"/>
        <v>NA</v>
      </c>
      <c r="O16" s="94">
        <f>IF('Chemical Info'!L17="NA","NA",IF('Chemical Info'!E17="Yes",(('Com-Ind Equations'!$B$46*'Chemical Info'!AD17*'Com-Ind Equations'!$B$48*'Com-Ind Equations'!$B$49*'Com-Ind Equations'!$B$51)/('Com-Ind Equations'!$B$55*'Com-Ind Equations'!$B$56))/'Chemical Info'!L17,(('Com-Ind Equations'!$B$46*'Chemical Info'!AD17*'Com-Ind Equations'!$B$48*'Com-Ind Equations'!$B$49*'Com-Ind Equations'!$B$50)/('Com-Ind Equations'!$B$55*'Com-Ind Equations'!$B$56))/'Chemical Info'!L17))</f>
        <v>1.0273972602739727E-3</v>
      </c>
      <c r="P16" s="90">
        <f>IF('Chemical Info'!L17="NA","NA", IF('Chemical Info'!E17="Yes",0,((('Com-Ind Equations'!$B$58*'Com-Ind Equations'!$B$59*'Com-Ind Equations'!$B$48*'Com-Ind Equations'!$B$52*'Com-Ind Equations'!$B$49*'Chemical Info'!AB17)/('Com-Ind Equations'!$B$55*'Com-Ind Equations'!$B$56))/('Chemical Info'!L17*'Chemical Info'!AF17))))</f>
        <v>0</v>
      </c>
      <c r="Q16" s="90" t="str">
        <f>IF('Chemical Info'!N17="NA","NA",IF('Com-Ind Calculations'!E16="NA",(('Com-Ind Equations'!$B$53*'Com-Ind Equations'!$B$49*'Com-Ind Equations'!$B$54*'Com-Ind Calculations'!C16)/('Com-Ind Equations'!$B$56))/('Chemical Info'!N17),IF('Chemical Info'!E17="Yes",(('Com-Ind Equations'!$B$53*'Com-Ind Equations'!$B$49*'Com-Ind Equations'!$B$54*'Com-Ind Calculations'!E16)/('Com-Ind Equations'!$B$56))/('Chemical Info'!N17),(('Com-Ind Equations'!$B$53*'Com-Ind Equations'!$B$49*'Com-Ind Equations'!$B$54*('Com-Ind Calculations'!C16+'Com-Ind Calculations'!E16))/('Com-Ind Equations'!$B$56))/('Chemical Info'!N17))))</f>
        <v>NA</v>
      </c>
      <c r="R16" s="90" t="str">
        <f>IF('Chemical Info'!N17="NA","NA",IF('Com-Ind Calculations'!F16="NA",(('Com-Ind Equations'!$B$53*'Com-Ind Equations'!$B$49*'Com-Ind Equations'!$B$54*'Com-Ind Calculations'!C16)/('Com-Ind Equations'!$B$56))/('Chemical Info'!N17),IF('Chemical Info'!E17="Yes",(('Com-Ind Equations'!$B$53*'Com-Ind Equations'!$B$49*'Com-Ind Equations'!$B$54*'Com-Ind Calculations'!F16)/('Com-Ind Equations'!$B$56))/('Chemical Info'!N17),(('Com-Ind Equations'!$B$53*'Com-Ind Equations'!$B$49*'Com-Ind Equations'!$B$54*('Com-Ind Calculations'!C16+'Com-Ind Calculations'!F16))/('Com-Ind Equations'!$B$56))/('Chemical Info'!N17))))</f>
        <v>NA</v>
      </c>
      <c r="S16" s="90">
        <f>IF(AND(O16="NA",P16="NA",Q16="NA"),"NA",IF(O16="NA",'Com-Ind Equations'!$B$45/'Com-Ind Calculations'!Q16,IF('Com-Ind Calculations'!Q16="NA",'Com-Ind Equations'!$B$45/('Com-Ind Calculations'!O16+'Com-Ind Calculations'!P16),'Com-Ind Equations'!$B$45/('Com-Ind Calculations'!O16+'Com-Ind Calculations'!P16+'Com-Ind Calculations'!Q16))))</f>
        <v>194.66666666666666</v>
      </c>
      <c r="T16" s="95">
        <f>IF(AND(O16="NA",P16="NA",R16="NA"),"NA",IF(O16="NA",'Com-Ind Equations'!$B$45/R16,IF(R16="NA",'Com-Ind Equations'!$B$45/(O16+P16),'Com-Ind Equations'!$B$45/(O16+P16+R16))))</f>
        <v>194.66666666666666</v>
      </c>
      <c r="U16" s="97">
        <f t="shared" si="1"/>
        <v>194.66666666666666</v>
      </c>
      <c r="V16" s="101">
        <f t="shared" si="3"/>
        <v>194.66666666666666</v>
      </c>
      <c r="W16" s="105">
        <f t="shared" si="4"/>
        <v>190</v>
      </c>
      <c r="X16" s="100" t="str">
        <f t="shared" si="2"/>
        <v>Noncancer</v>
      </c>
      <c r="Y16" s="70"/>
    </row>
    <row r="17" spans="1:26">
      <c r="A17" s="71" t="s">
        <v>97</v>
      </c>
      <c r="B17" s="592" t="s">
        <v>98</v>
      </c>
      <c r="C17" s="85">
        <f>1/(('Com-Ind Equations'!$B$123*3600)/(0.036*(1-'Com-Ind Equations'!$B$124)*(('Com-Ind Equations'!$B$125/'Com-Ind Equations'!$B$126)^3)*'Com-Ind Equations'!$B$127))</f>
        <v>1.4713536180231943E-9</v>
      </c>
      <c r="D17" s="90">
        <f>(('Com-Ind Equations'!$B$103^(10/3)*'Chemical Info'!AH18*'Chemical Info'!AN18*41+'Com-Ind Equations'!$B$106^(10/3)*'Chemical Info'!AJ18)/'Com-Ind Equations'!$B$108^2)/('Com-Ind Equations'!$B$110*'Chemical Info'!AL18*'Com-Ind Equations'!$B$113+'Com-Ind Equations'!$B$106+'Com-Ind Equations'!$B$103*'Chemical Info'!AN18*41)</f>
        <v>0</v>
      </c>
      <c r="E17" s="65" t="str">
        <f>IF(D17=0,"NA",1/(('Com-Ind Equations'!$B$74*(3.14*D17*'Com-Ind Equations'!$B$76)^(1/2)*0.0001)/(2*'Com-Ind Equations'!$B$77*D17)))</f>
        <v>NA</v>
      </c>
      <c r="F17" s="65" t="str">
        <f>IF(D17=0,"NA",(1/('Com-Ind Equations'!$B$88*('Com-Ind Equations'!$B$89*(31500000))/('Com-Ind Equations'!$B$90*'Com-Ind Equations'!$B$91*1000000))))</f>
        <v>NA</v>
      </c>
      <c r="G17" s="95" t="str">
        <f>IF('Chemical Info'!E18="Yes",('Chemical Info'!AP18/'Com-Ind Equations'!$B$139)*((('Chemical Info'!AL18*'Com-Ind Equations'!$B$141)*'Com-Ind Equations'!$B$139)+'Com-Ind Equations'!$B$142+('Chemical Info'!AN18*41)*'Com-Ind Equations'!$B$144),"NA")</f>
        <v>NA</v>
      </c>
      <c r="H17" s="112" t="str">
        <f>IF('Chemical Info'!H18="NA","NA",IF('Chemical Info'!E18="Yes",'Chemical Info'!H18*'Chemical Info'!AD18*'Com-Ind Equations'!$B$18*'Com-Ind Equations'!$B$22*(('Com-Ind Equations'!$B$24*'Com-Ind Equations'!$B$25)/'Com-Ind Equations'!$B$26),'Chemical Info'!H18*'Chemical Info'!AD18*'Com-Ind Equations'!$B$17*'Com-Ind Equations'!$B$22*('Com-Ind Equations'!$B$24*'Com-Ind Equations'!$B$25/'Com-Ind Equations'!$B$26)))</f>
        <v>NA</v>
      </c>
      <c r="I17" s="108" t="str">
        <f>IF('Chemical Info'!H18="NA","NA",IF('Chemical Info'!E18="Yes",0,('Chemical Info'!H18/'Chemical Info'!AF18)*'Com-Ind Equations'!$B$19*'Chemical Info'!AB18*'Com-Ind Equations'!$B$22*(('Com-Ind Equations'!$B$24*'Com-Ind Equations'!$B$29*'Com-Ind Equations'!$B$30)/'Com-Ind Equations'!$B$26)))</f>
        <v>NA</v>
      </c>
      <c r="J17" s="115" t="str">
        <f>IF('Chemical Info'!J18="NA","NA",IF(E17="NA",'Com-Ind Equations'!$B$20*1000*'Com-Ind Equations'!$B$24*'Com-Ind Equations'!$B$21*'Chemical Info'!J18*'Com-Ind Calculations'!C17,IF('Chemical Info'!E18="Yes",'Com-Ind Equations'!$B$20*1000*'Com-Ind Equations'!$B$24*'Com-Ind Equations'!$B$21*'Chemical Info'!J18*'Com-Ind Calculations'!E17,'Com-Ind Equations'!$B$20*1000*'Com-Ind Equations'!$B$24*'Com-Ind Equations'!$B$21*'Chemical Info'!J18*('Com-Ind Calculations'!C17+'Com-Ind Calculations'!E17))))</f>
        <v>NA</v>
      </c>
      <c r="K17" s="117" t="str">
        <f>IF('Chemical Info'!J18="NA","NA",IF(F17="NA",'Com-Ind Equations'!$B$20*1000*'Com-Ind Equations'!$B$24*'Com-Ind Equations'!$B$21*'Chemical Info'!J18*'Com-Ind Calculations'!C17,IF('Chemical Info'!E18="Yes",'Com-Ind Equations'!$B$20*1000*'Com-Ind Equations'!$B$24*'Com-Ind Equations'!$B$21*'Chemical Info'!J18*'Com-Ind Calculations'!F17,'Com-Ind Equations'!$B$20*1000*'Com-Ind Equations'!$B$24*'Com-Ind Equations'!$B$21*'Chemical Info'!J18*('Com-Ind Calculations'!C17+'Com-Ind Calculations'!F17))))</f>
        <v>NA</v>
      </c>
      <c r="L17" s="95" t="str">
        <f>IF(AND(H17="NA",I17="NA",J17="NA"),"NA",IF(H17="NA",'Com-Ind Equations'!$B$13*'Com-Ind Equations'!$B$14/J17,IF(J17="NA",'Com-Ind Equations'!$B$13*'Com-Ind Equations'!$B$14/(H17+I17),'Com-Ind Equations'!$B$13*'Com-Ind Equations'!$B$14/(H17+I17+J17))))</f>
        <v>NA</v>
      </c>
      <c r="M17" s="95" t="str">
        <f>IF(AND(H17="NA",I17="NA",K17="NA"),"NA",IF(H17="NA",'Com-Ind Equations'!$B$13*'Com-Ind Equations'!$B$14/K17,IF(K17="NA",'Com-Ind Equations'!$B$13*'Com-Ind Equations'!$B$14/(H17+I17),'Com-Ind Equations'!$B$13*'Com-Ind Equations'!$B$14/(H17+I17+K17))))</f>
        <v>NA</v>
      </c>
      <c r="N17" s="95" t="str">
        <f t="shared" si="0"/>
        <v>NA</v>
      </c>
      <c r="O17" s="94">
        <f>IF('Chemical Info'!L18="NA","NA",IF('Chemical Info'!E18="Yes",(('Com-Ind Equations'!$B$46*'Chemical Info'!AD18*'Com-Ind Equations'!$B$48*'Com-Ind Equations'!$B$49*'Com-Ind Equations'!$B$51)/('Com-Ind Equations'!$B$55*'Com-Ind Equations'!$B$56))/'Chemical Info'!L18,(('Com-Ind Equations'!$B$46*'Chemical Info'!AD18*'Com-Ind Equations'!$B$48*'Com-Ind Equations'!$B$49*'Com-Ind Equations'!$B$50)/('Com-Ind Equations'!$B$55*'Com-Ind Equations'!$B$56))/'Chemical Info'!L18))</f>
        <v>1.4269406392694062E-5</v>
      </c>
      <c r="P17" s="90">
        <f>IF('Chemical Info'!L18="NA","NA", IF('Chemical Info'!E18="Yes",0,((('Com-Ind Equations'!$B$58*'Com-Ind Equations'!$B$59*'Com-Ind Equations'!$B$48*'Com-Ind Equations'!$B$52*'Com-Ind Equations'!$B$49*'Chemical Info'!AB18)/('Com-Ind Equations'!$B$55*'Com-Ind Equations'!$B$56))/('Chemical Info'!L18*'Chemical Info'!AF18))))</f>
        <v>0</v>
      </c>
      <c r="Q17" s="90">
        <f>IF('Chemical Info'!N18="NA","NA",IF('Com-Ind Calculations'!E17="NA",(('Com-Ind Equations'!$B$53*'Com-Ind Equations'!$B$49*'Com-Ind Equations'!$B$54*'Com-Ind Calculations'!C17)/('Com-Ind Equations'!$B$56))/('Chemical Info'!N18),IF('Chemical Info'!E18="Yes",(('Com-Ind Equations'!$B$53*'Com-Ind Equations'!$B$49*'Com-Ind Equations'!$B$54*'Com-Ind Calculations'!E17)/('Com-Ind Equations'!$B$56))/('Chemical Info'!N18),(('Com-Ind Equations'!$B$53*'Com-Ind Equations'!$B$49*'Com-Ind Equations'!$B$54*('Com-Ind Calculations'!C17+'Com-Ind Calculations'!E17))/('Com-Ind Equations'!$B$56))/('Chemical Info'!N18))))</f>
        <v>2.3256379631557339E-8</v>
      </c>
      <c r="R17" s="90">
        <f>IF('Chemical Info'!N18="NA","NA",IF('Com-Ind Calculations'!F17="NA",(('Com-Ind Equations'!$B$53*'Com-Ind Equations'!$B$49*'Com-Ind Equations'!$B$54*'Com-Ind Calculations'!C17)/('Com-Ind Equations'!$B$56))/('Chemical Info'!N18),IF('Chemical Info'!E18="Yes",(('Com-Ind Equations'!$B$53*'Com-Ind Equations'!$B$49*'Com-Ind Equations'!$B$54*'Com-Ind Calculations'!F17)/('Com-Ind Equations'!$B$56))/('Chemical Info'!N18),(('Com-Ind Equations'!$B$53*'Com-Ind Equations'!$B$49*'Com-Ind Equations'!$B$54*('Com-Ind Calculations'!C17+'Com-Ind Calculations'!F17))/('Com-Ind Equations'!$B$56))/('Chemical Info'!N18))))</f>
        <v>2.3256379631557339E-8</v>
      </c>
      <c r="S17" s="90">
        <f>IF(AND(O17="NA",P17="NA",Q17="NA"),"NA",IF(O17="NA",'Com-Ind Equations'!$B$45/'Com-Ind Calculations'!Q17,IF('Com-Ind Calculations'!Q17="NA",'Com-Ind Equations'!$B$45/('Com-Ind Calculations'!O17+'Com-Ind Calculations'!P17),'Com-Ind Equations'!$B$45/('Com-Ind Calculations'!O17+'Com-Ind Calculations'!P17+'Com-Ind Calculations'!Q17))))</f>
        <v>13993.193793619268</v>
      </c>
      <c r="T17" s="95">
        <f>IF(AND(O17="NA",P17="NA",R17="NA"),"NA",IF(O17="NA",'Com-Ind Equations'!$B$45/R17,IF(R17="NA",'Com-Ind Equations'!$B$45/(O17+P17),'Com-Ind Equations'!$B$45/(O17+P17+R17))))</f>
        <v>13993.193793619268</v>
      </c>
      <c r="U17" s="97">
        <f t="shared" si="1"/>
        <v>13993.193793619268</v>
      </c>
      <c r="V17" s="101">
        <f t="shared" si="3"/>
        <v>13993.193793619268</v>
      </c>
      <c r="W17" s="105">
        <f t="shared" si="4"/>
        <v>14000</v>
      </c>
      <c r="X17" s="100" t="str">
        <f t="shared" si="2"/>
        <v>Noncancer</v>
      </c>
      <c r="Y17" s="70"/>
    </row>
    <row r="18" spans="1:26">
      <c r="A18" s="67" t="s">
        <v>105</v>
      </c>
      <c r="B18" s="566" t="s">
        <v>106</v>
      </c>
      <c r="C18" s="85">
        <f>1/(('Com-Ind Equations'!$B$123*3600)/(0.036*(1-'Com-Ind Equations'!$B$124)*(('Com-Ind Equations'!$B$125/'Com-Ind Equations'!$B$126)^3)*'Com-Ind Equations'!$B$127))</f>
        <v>1.4713536180231943E-9</v>
      </c>
      <c r="D18" s="90">
        <f>(('Com-Ind Equations'!$B$103^(10/3)*'Chemical Info'!AH19*'Chemical Info'!AN19*41+'Com-Ind Equations'!$B$106^(10/3)*'Chemical Info'!AJ19)/'Com-Ind Equations'!$B$108^2)/('Com-Ind Equations'!$B$110*'Chemical Info'!AL19*'Com-Ind Equations'!$B$113+'Com-Ind Equations'!$B$106+'Com-Ind Equations'!$B$103*'Chemical Info'!AN19*41)</f>
        <v>0</v>
      </c>
      <c r="E18" s="65" t="str">
        <f>IF(D18=0,"NA",1/(('Com-Ind Equations'!$B$74*(3.14*D18*'Com-Ind Equations'!$B$76)^(1/2)*0.0001)/(2*'Com-Ind Equations'!$B$77*D18)))</f>
        <v>NA</v>
      </c>
      <c r="F18" s="65" t="str">
        <f>IF(D18=0,"NA",(1/('Com-Ind Equations'!$B$88*('Com-Ind Equations'!$B$89*(31500000))/('Com-Ind Equations'!$B$90*'Com-Ind Equations'!$B$91*1000000))))</f>
        <v>NA</v>
      </c>
      <c r="G18" s="95" t="str">
        <f>IF('Chemical Info'!E19="Yes",('Chemical Info'!AP19/'Com-Ind Equations'!$B$139)*((('Chemical Info'!AL19*'Com-Ind Equations'!$B$141)*'Com-Ind Equations'!$B$139)+'Com-Ind Equations'!$B$142+('Chemical Info'!AN19*41)*'Com-Ind Equations'!$B$144),"NA")</f>
        <v>NA</v>
      </c>
      <c r="H18" s="112" t="str">
        <f>IF('Chemical Info'!H19="NA","NA",IF('Chemical Info'!E19="Yes",'Chemical Info'!H19*'Chemical Info'!AD19*'Com-Ind Equations'!$B$18*'Com-Ind Equations'!$B$22*(('Com-Ind Equations'!$B$24*'Com-Ind Equations'!$B$25)/'Com-Ind Equations'!$B$26),'Chemical Info'!H19*'Chemical Info'!AD19*'Com-Ind Equations'!$B$17*'Com-Ind Equations'!$B$22*('Com-Ind Equations'!$B$24*'Com-Ind Equations'!$B$25/'Com-Ind Equations'!$B$26)))</f>
        <v>NA</v>
      </c>
      <c r="I18" s="108" t="str">
        <f>IF('Chemical Info'!H19="NA","NA",IF('Chemical Info'!E19="Yes",0,('Chemical Info'!H19/'Chemical Info'!AF19)*'Com-Ind Equations'!$B$19*'Chemical Info'!AB19*'Com-Ind Equations'!$B$22*(('Com-Ind Equations'!$B$24*'Com-Ind Equations'!$B$29*'Com-Ind Equations'!$B$30)/'Com-Ind Equations'!$B$26)))</f>
        <v>NA</v>
      </c>
      <c r="J18" s="115" t="str">
        <f>IF('Chemical Info'!J19="NA","NA",IF(E18="NA",'Com-Ind Equations'!$B$20*1000*'Com-Ind Equations'!$B$24*'Com-Ind Equations'!$B$21*'Chemical Info'!J19*'Com-Ind Calculations'!C18,IF('Chemical Info'!E19="Yes",'Com-Ind Equations'!$B$20*1000*'Com-Ind Equations'!$B$24*'Com-Ind Equations'!$B$21*'Chemical Info'!J19*'Com-Ind Calculations'!E18,'Com-Ind Equations'!$B$20*1000*'Com-Ind Equations'!$B$24*'Com-Ind Equations'!$B$21*'Chemical Info'!J19*('Com-Ind Calculations'!C18+'Com-Ind Calculations'!E18))))</f>
        <v>NA</v>
      </c>
      <c r="K18" s="117" t="str">
        <f>IF('Chemical Info'!J19="NA","NA",IF(F18="NA",'Com-Ind Equations'!$B$20*1000*'Com-Ind Equations'!$B$24*'Com-Ind Equations'!$B$21*'Chemical Info'!J19*'Com-Ind Calculations'!C18,IF('Chemical Info'!E19="Yes",'Com-Ind Equations'!$B$20*1000*'Com-Ind Equations'!$B$24*'Com-Ind Equations'!$B$21*'Chemical Info'!J19*'Com-Ind Calculations'!F18,'Com-Ind Equations'!$B$20*1000*'Com-Ind Equations'!$B$24*'Com-Ind Equations'!$B$21*'Chemical Info'!J19*('Com-Ind Calculations'!C18+'Com-Ind Calculations'!F18))))</f>
        <v>NA</v>
      </c>
      <c r="L18" s="95" t="str">
        <f>IF(AND(H18="NA",I18="NA",J18="NA"),"NA",IF(H18="NA",'Com-Ind Equations'!$B$13*'Com-Ind Equations'!$B$14/J18,IF(J18="NA",'Com-Ind Equations'!$B$13*'Com-Ind Equations'!$B$14/(H18+I18),'Com-Ind Equations'!$B$13*'Com-Ind Equations'!$B$14/(H18+I18+J18))))</f>
        <v>NA</v>
      </c>
      <c r="M18" s="95" t="str">
        <f>IF(AND(H18="NA",I18="NA",K18="NA"),"NA",IF(H18="NA",'Com-Ind Equations'!$B$13*'Com-Ind Equations'!$B$14/K18,IF(K18="NA",'Com-Ind Equations'!$B$13*'Com-Ind Equations'!$B$14/(H18+I18),'Com-Ind Equations'!$B$13*'Com-Ind Equations'!$B$14/(H18+I18+K18))))</f>
        <v>NA</v>
      </c>
      <c r="N18" s="95" t="str">
        <f t="shared" si="0"/>
        <v>NA</v>
      </c>
      <c r="O18" s="94">
        <f>IF('Chemical Info'!L19="NA","NA",IF('Chemical Info'!E19="Yes",(('Com-Ind Equations'!$B$46*'Chemical Info'!AD19*'Com-Ind Equations'!$B$48*'Com-Ind Equations'!$B$49*'Com-Ind Equations'!$B$51)/('Com-Ind Equations'!$B$55*'Com-Ind Equations'!$B$56))/'Chemical Info'!L19,(('Com-Ind Equations'!$B$46*'Chemical Info'!AD19*'Com-Ind Equations'!$B$48*'Com-Ind Equations'!$B$49*'Com-Ind Equations'!$B$50)/('Com-Ind Equations'!$B$55*'Com-Ind Equations'!$B$56))/'Chemical Info'!L19))</f>
        <v>1.2230919765166339E-6</v>
      </c>
      <c r="P18" s="90">
        <f>IF('Chemical Info'!L19="NA","NA", IF('Chemical Info'!E19="Yes",0,((('Com-Ind Equations'!$B$58*'Com-Ind Equations'!$B$59*'Com-Ind Equations'!$B$48*'Com-Ind Equations'!$B$52*'Com-Ind Equations'!$B$49*'Chemical Info'!AB19)/('Com-Ind Equations'!$B$55*'Com-Ind Equations'!$B$56))/('Chemical Info'!L19*'Chemical Info'!AF19))))</f>
        <v>0</v>
      </c>
      <c r="Q18" s="90" t="str">
        <f>IF('Chemical Info'!N19="NA","NA",IF('Com-Ind Calculations'!E18="NA",(('Com-Ind Equations'!$B$53*'Com-Ind Equations'!$B$49*'Com-Ind Equations'!$B$54*'Com-Ind Calculations'!C18)/('Com-Ind Equations'!$B$56))/('Chemical Info'!N19),IF('Chemical Info'!E19="Yes",(('Com-Ind Equations'!$B$53*'Com-Ind Equations'!$B$49*'Com-Ind Equations'!$B$54*'Com-Ind Calculations'!E18)/('Com-Ind Equations'!$B$56))/('Chemical Info'!N19),(('Com-Ind Equations'!$B$53*'Com-Ind Equations'!$B$49*'Com-Ind Equations'!$B$54*('Com-Ind Calculations'!C18+'Com-Ind Calculations'!E18))/('Com-Ind Equations'!$B$56))/('Chemical Info'!N19))))</f>
        <v>NA</v>
      </c>
      <c r="R18" s="90" t="str">
        <f>IF('Chemical Info'!N19="NA","NA",IF('Com-Ind Calculations'!F18="NA",(('Com-Ind Equations'!$B$53*'Com-Ind Equations'!$B$49*'Com-Ind Equations'!$B$54*'Com-Ind Calculations'!C18)/('Com-Ind Equations'!$B$56))/('Chemical Info'!N19),IF('Chemical Info'!E19="Yes",(('Com-Ind Equations'!$B$53*'Com-Ind Equations'!$B$49*'Com-Ind Equations'!$B$54*'Com-Ind Calculations'!F18)/('Com-Ind Equations'!$B$56))/('Chemical Info'!N19),(('Com-Ind Equations'!$B$53*'Com-Ind Equations'!$B$49*'Com-Ind Equations'!$B$54*('Com-Ind Calculations'!C18+'Com-Ind Calculations'!F18))/('Com-Ind Equations'!$B$56))/('Chemical Info'!N19))))</f>
        <v>NA</v>
      </c>
      <c r="S18" s="90">
        <f>IF(AND(O18="NA",P18="NA",Q18="NA"),"NA",IF(O18="NA",'Com-Ind Equations'!$B$45/'Com-Ind Calculations'!Q18,IF('Com-Ind Calculations'!Q18="NA",'Com-Ind Equations'!$B$45/('Com-Ind Calculations'!O18+'Com-Ind Calculations'!P18),'Com-Ind Equations'!$B$45/('Com-Ind Calculations'!O18+'Com-Ind Calculations'!P18+'Com-Ind Calculations'!Q18))))</f>
        <v>163520.00000000003</v>
      </c>
      <c r="T18" s="95">
        <f>IF(AND(O18="NA",P18="NA",R18="NA"),"NA",IF(O18="NA",'Com-Ind Equations'!$B$45/R18,IF(R18="NA",'Com-Ind Equations'!$B$45/(O18+P18),'Com-Ind Equations'!$B$45/(O18+P18+R18))))</f>
        <v>163520.00000000003</v>
      </c>
      <c r="U18" s="97">
        <f t="shared" si="1"/>
        <v>163520.00000000003</v>
      </c>
      <c r="V18" s="101">
        <f t="shared" si="3"/>
        <v>163520.00000000003</v>
      </c>
      <c r="W18" s="105">
        <f t="shared" si="4"/>
        <v>100000</v>
      </c>
      <c r="X18" s="100" t="str">
        <f t="shared" si="2"/>
        <v>Max Limit</v>
      </c>
      <c r="Y18" s="70"/>
    </row>
    <row r="19" spans="1:26" s="2" customFormat="1">
      <c r="A19" s="67" t="s">
        <v>107</v>
      </c>
      <c r="B19" s="566" t="s">
        <v>108</v>
      </c>
      <c r="C19" s="85">
        <f>1/(('Com-Ind Equations'!$B$123*3600)/(0.036*(1-'Com-Ind Equations'!$B$124)*(('Com-Ind Equations'!$B$125/'Com-Ind Equations'!$B$126)^3)*'Com-Ind Equations'!$B$127))</f>
        <v>1.4713536180231943E-9</v>
      </c>
      <c r="D19" s="115">
        <f>(('Com-Ind Equations'!$B$103^(10/3)*'Chemical Info'!AH20*'Chemical Info'!AN20*41+'Com-Ind Equations'!$B$106^(10/3)*'Chemical Info'!AJ20)/'Com-Ind Equations'!$B$108^2)/('Com-Ind Equations'!$B$110*'Chemical Info'!AL20*'Com-Ind Equations'!$B$113+'Com-Ind Equations'!$B$106+'Com-Ind Equations'!$B$103*'Chemical Info'!AN20*41)</f>
        <v>0</v>
      </c>
      <c r="E19" s="160" t="str">
        <f>IF(D19=0,"NA",1/(('Com-Ind Equations'!$B$74*(3.14*D19*'Com-Ind Equations'!$B$76)^(1/2)*0.0001)/(2*'Com-Ind Equations'!$B$77*D19)))</f>
        <v>NA</v>
      </c>
      <c r="F19" s="160" t="str">
        <f>IF(D19=0,"NA",(1/('Com-Ind Equations'!$B$88*('Com-Ind Equations'!$B$89*(31500000))/('Com-Ind Equations'!$B$90*'Com-Ind Equations'!$B$91*1000000))))</f>
        <v>NA</v>
      </c>
      <c r="G19" s="151" t="str">
        <f>IF('Chemical Info'!E20="Yes",('Chemical Info'!AP20/'Com-Ind Equations'!$B$139)*((('Chemical Info'!AL20*'Com-Ind Equations'!$B$141)*'Com-Ind Equations'!$B$139)+'Com-Ind Equations'!$B$142+('Chemical Info'!AN20*41)*'Com-Ind Equations'!$B$144),"NA")</f>
        <v>NA</v>
      </c>
      <c r="H19" s="161" t="str">
        <f>IF('Chemical Info'!H20="NA","NA",IF('Chemical Info'!E20="Yes",'Chemical Info'!H20*'Chemical Info'!AD20*'Com-Ind Equations'!$B$18*'Com-Ind Equations'!$B$22*(('Com-Ind Equations'!$B$24*'Com-Ind Equations'!$B$25)/'Com-Ind Equations'!$B$26),'Chemical Info'!H20*'Chemical Info'!AD20*'Com-Ind Equations'!$B$17*'Com-Ind Equations'!$B$22*('Com-Ind Equations'!$B$24*'Com-Ind Equations'!$B$25/'Com-Ind Equations'!$B$26)))</f>
        <v>NA</v>
      </c>
      <c r="I19" s="114" t="str">
        <f>IF('Chemical Info'!H20="NA","NA",IF('Chemical Info'!E20="Yes",0,('Chemical Info'!H20/'Chemical Info'!AF20)*'Com-Ind Equations'!$B$19*'Chemical Info'!AB20*'Com-Ind Equations'!$B$22*(('Com-Ind Equations'!$B$24*'Com-Ind Equations'!$B$29*'Com-Ind Equations'!$B$30)/'Com-Ind Equations'!$B$26)))</f>
        <v>NA</v>
      </c>
      <c r="J19" s="115" t="str">
        <f>IF('Chemical Info'!J20="NA","NA",IF(E19="NA",'Com-Ind Equations'!$B$20*1000*'Com-Ind Equations'!$B$24*'Com-Ind Equations'!$B$21*'Chemical Info'!J20*'Com-Ind Calculations'!C19,IF('Chemical Info'!E20="Yes",'Com-Ind Equations'!$B$20*1000*'Com-Ind Equations'!$B$24*'Com-Ind Equations'!$B$21*'Chemical Info'!J20*'Com-Ind Calculations'!E19,'Com-Ind Equations'!$B$20*1000*'Com-Ind Equations'!$B$24*'Com-Ind Equations'!$B$21*'Chemical Info'!J20*('Com-Ind Calculations'!C19+'Com-Ind Calculations'!E19))))</f>
        <v>NA</v>
      </c>
      <c r="K19" s="117" t="str">
        <f>IF('Chemical Info'!J20="NA","NA",IF(F19="NA",'Com-Ind Equations'!$B$20*1000*'Com-Ind Equations'!$B$24*'Com-Ind Equations'!$B$21*'Chemical Info'!J20*'Com-Ind Calculations'!C19,IF('Chemical Info'!E20="Yes",'Com-Ind Equations'!$B$20*1000*'Com-Ind Equations'!$B$24*'Com-Ind Equations'!$B$21*'Chemical Info'!J20*'Com-Ind Calculations'!F19,'Com-Ind Equations'!$B$20*1000*'Com-Ind Equations'!$B$24*'Com-Ind Equations'!$B$21*'Chemical Info'!J20*('Com-Ind Calculations'!C19+'Com-Ind Calculations'!F19))))</f>
        <v>NA</v>
      </c>
      <c r="L19" s="151" t="str">
        <f>IF(AND(H19="NA",I19="NA",J19="NA"),"NA",IF(H19="NA",'Com-Ind Equations'!$B$13*'Com-Ind Equations'!$B$14/J19,IF(J19="NA",'Com-Ind Equations'!$B$13*'Com-Ind Equations'!$B$14/(H19+I19),'Com-Ind Equations'!$B$13*'Com-Ind Equations'!$B$14/(H19+I19+J19))))</f>
        <v>NA</v>
      </c>
      <c r="M19" s="151" t="str">
        <f>IF(AND(H19="NA",I19="NA",K19="NA"),"NA",IF(H19="NA",'Com-Ind Equations'!$B$13*'Com-Ind Equations'!$B$14/K19,IF(K19="NA",'Com-Ind Equations'!$B$13*'Com-Ind Equations'!$B$14/(H19+I19),'Com-Ind Equations'!$B$13*'Com-Ind Equations'!$B$14/(H19+I19+K19))))</f>
        <v>NA</v>
      </c>
      <c r="N19" s="151" t="str">
        <f t="shared" si="0"/>
        <v>NA</v>
      </c>
      <c r="O19" s="162" t="str">
        <f>IF('Chemical Info'!L20="NA","NA",IF('Chemical Info'!E20="Yes",(('Com-Ind Equations'!$B$46*'Chemical Info'!AD20*'Com-Ind Equations'!$B$48*'Com-Ind Equations'!$B$49*'Com-Ind Equations'!$B$51)/('Com-Ind Equations'!$B$55*'Com-Ind Equations'!$B$56))/'Chemical Info'!L20,(('Com-Ind Equations'!$B$46*'Chemical Info'!AD20*'Com-Ind Equations'!$B$48*'Com-Ind Equations'!$B$49*'Com-Ind Equations'!$B$50)/('Com-Ind Equations'!$B$55*'Com-Ind Equations'!$B$56))/'Chemical Info'!L20))</f>
        <v>NA</v>
      </c>
      <c r="P19" s="115" t="str">
        <f>IF('Chemical Info'!L20="NA","NA", IF('Chemical Info'!E20="Yes",0,((('Com-Ind Equations'!$B$58*'Com-Ind Equations'!$B$59*'Com-Ind Equations'!$B$48*'Com-Ind Equations'!$B$52*'Com-Ind Equations'!$B$49*'Chemical Info'!AB20)/('Com-Ind Equations'!$B$55*'Com-Ind Equations'!$B$56))/('Chemical Info'!L20*'Chemical Info'!AF20))))</f>
        <v>NA</v>
      </c>
      <c r="Q19" s="90" t="str">
        <f>IF('Chemical Info'!N20="NA","NA",IF('Com-Ind Calculations'!E19="NA",(('Com-Ind Equations'!$B$53*'Com-Ind Equations'!$B$49*'Com-Ind Equations'!$B$54*'Com-Ind Calculations'!C19)/('Com-Ind Equations'!$B$56))/('Chemical Info'!N20),IF('Chemical Info'!E20="Yes",(('Com-Ind Equations'!$B$53*'Com-Ind Equations'!$B$49*'Com-Ind Equations'!$B$54*'Com-Ind Calculations'!E19)/('Com-Ind Equations'!$B$56))/('Chemical Info'!N20),(('Com-Ind Equations'!$B$53*'Com-Ind Equations'!$B$49*'Com-Ind Equations'!$B$54*('Com-Ind Calculations'!C19+'Com-Ind Calculations'!E19))/('Com-Ind Equations'!$B$56))/('Chemical Info'!N20))))</f>
        <v>NA</v>
      </c>
      <c r="R19" s="90" t="str">
        <f>IF('Chemical Info'!N20="NA","NA",IF('Com-Ind Calculations'!F19="NA",(('Com-Ind Equations'!$B$53*'Com-Ind Equations'!$B$49*'Com-Ind Equations'!$B$54*'Com-Ind Calculations'!C19)/('Com-Ind Equations'!$B$56))/('Chemical Info'!N20),IF('Chemical Info'!E20="Yes",(('Com-Ind Equations'!$B$53*'Com-Ind Equations'!$B$49*'Com-Ind Equations'!$B$54*'Com-Ind Calculations'!F19)/('Com-Ind Equations'!$B$56))/('Chemical Info'!N20),(('Com-Ind Equations'!$B$53*'Com-Ind Equations'!$B$49*'Com-Ind Equations'!$B$54*('Com-Ind Calculations'!C19+'Com-Ind Calculations'!F19))/('Com-Ind Equations'!$B$56))/('Chemical Info'!N20))))</f>
        <v>NA</v>
      </c>
      <c r="S19" s="115" t="str">
        <f>IF(AND(O19="NA",P19="NA",Q19="NA"),"NA",IF(O19="NA",'Com-Ind Equations'!$B$45/'Com-Ind Calculations'!Q19,IF('Com-Ind Calculations'!Q19="NA",'Com-Ind Equations'!$B$45/('Com-Ind Calculations'!O19+'Com-Ind Calculations'!P19),'Com-Ind Equations'!$B$45/('Com-Ind Calculations'!O19+'Com-Ind Calculations'!P19+'Com-Ind Calculations'!Q19))))</f>
        <v>NA</v>
      </c>
      <c r="T19" s="151" t="str">
        <f>IF(AND(O19="NA",P19="NA",R19="NA"),"NA",IF(O19="NA",'Com-Ind Equations'!$B$45/R19,IF(R19="NA",'Com-Ind Equations'!$B$45/(O19+P19),'Com-Ind Equations'!$B$45/(O19+P19+R19))))</f>
        <v>NA</v>
      </c>
      <c r="U19" s="163" t="str">
        <f t="shared" si="1"/>
        <v>NA</v>
      </c>
      <c r="V19" s="101" t="str">
        <f t="shared" si="3"/>
        <v>NA</v>
      </c>
      <c r="W19" s="105">
        <v>460</v>
      </c>
      <c r="X19" s="100" t="s">
        <v>334</v>
      </c>
      <c r="Y19" s="72" t="s">
        <v>583</v>
      </c>
    </row>
    <row r="20" spans="1:26">
      <c r="A20" s="67" t="s">
        <v>109</v>
      </c>
      <c r="B20" s="566" t="s">
        <v>110</v>
      </c>
      <c r="C20" s="85">
        <f>1/(('Com-Ind Equations'!$B$123*3600)/(0.036*(1-'Com-Ind Equations'!$B$124)*(('Com-Ind Equations'!$B$125/'Com-Ind Equations'!$B$126)^3)*'Com-Ind Equations'!$B$127))</f>
        <v>1.4713536180231943E-9</v>
      </c>
      <c r="D20" s="90">
        <f>(('Com-Ind Equations'!$B$103^(10/3)*'Chemical Info'!AH21*'Chemical Info'!AN21*41+'Com-Ind Equations'!$B$106^(10/3)*'Chemical Info'!AJ21)/'Com-Ind Equations'!$B$108^2)/('Com-Ind Equations'!$B$110*'Chemical Info'!AL21*'Com-Ind Equations'!$B$113+'Com-Ind Equations'!$B$106+'Com-Ind Equations'!$B$103*'Chemical Info'!AN21*41)</f>
        <v>0</v>
      </c>
      <c r="E20" s="65" t="str">
        <f>IF(D20=0,"NA",1/(('Com-Ind Equations'!$B$74*(3.14*D20*'Com-Ind Equations'!$B$76)^(1/2)*0.0001)/(2*'Com-Ind Equations'!$B$77*D20)))</f>
        <v>NA</v>
      </c>
      <c r="F20" s="65" t="str">
        <f>IF(D20=0,"NA",(1/('Com-Ind Equations'!$B$88*('Com-Ind Equations'!$B$89*(31500000))/('Com-Ind Equations'!$B$90*'Com-Ind Equations'!$B$91*1000000))))</f>
        <v>NA</v>
      </c>
      <c r="G20" s="95" t="str">
        <f>IF('Chemical Info'!E21="Yes",('Chemical Info'!AP21/'Com-Ind Equations'!$B$139)*((('Chemical Info'!AL21*'Com-Ind Equations'!$B$141)*'Com-Ind Equations'!$B$139)+'Com-Ind Equations'!$B$142+('Chemical Info'!AN21*41)*'Com-Ind Equations'!$B$144),"NA")</f>
        <v>NA</v>
      </c>
      <c r="H20" s="112" t="str">
        <f>IF('Chemical Info'!H21="NA","NA",IF('Chemical Info'!E21="Yes",'Chemical Info'!H21*'Chemical Info'!AD21*'Com-Ind Equations'!$B$18*'Com-Ind Equations'!$B$22*(('Com-Ind Equations'!$B$24*'Com-Ind Equations'!$B$25)/'Com-Ind Equations'!$B$26),'Chemical Info'!H21*'Chemical Info'!AD21*'Com-Ind Equations'!$B$17*'Com-Ind Equations'!$B$22*('Com-Ind Equations'!$B$24*'Com-Ind Equations'!$B$25/'Com-Ind Equations'!$B$26)))</f>
        <v>NA</v>
      </c>
      <c r="I20" s="108" t="str">
        <f>IF('Chemical Info'!H21="NA","NA",IF('Chemical Info'!E21="Yes",0,('Chemical Info'!H21/'Chemical Info'!AF21)*'Com-Ind Equations'!$B$19*'Chemical Info'!AB21*'Com-Ind Equations'!$B$22*(('Com-Ind Equations'!$B$24*'Com-Ind Equations'!$B$29*'Com-Ind Equations'!$B$30)/'Com-Ind Equations'!$B$26)))</f>
        <v>NA</v>
      </c>
      <c r="J20" s="115" t="str">
        <f>IF('Chemical Info'!J21="NA","NA",IF(E20="NA",'Com-Ind Equations'!$B$20*1000*'Com-Ind Equations'!$B$24*'Com-Ind Equations'!$B$21*'Chemical Info'!J21*'Com-Ind Calculations'!C20,IF('Chemical Info'!E21="Yes",'Com-Ind Equations'!$B$20*1000*'Com-Ind Equations'!$B$24*'Com-Ind Equations'!$B$21*'Chemical Info'!J21*'Com-Ind Calculations'!E20,'Com-Ind Equations'!$B$20*1000*'Com-Ind Equations'!$B$24*'Com-Ind Equations'!$B$21*'Chemical Info'!J21*('Com-Ind Calculations'!C20+'Com-Ind Calculations'!E20))))</f>
        <v>NA</v>
      </c>
      <c r="K20" s="117" t="str">
        <f>IF('Chemical Info'!J21="NA","NA",IF(F20="NA",'Com-Ind Equations'!$B$20*1000*'Com-Ind Equations'!$B$24*'Com-Ind Equations'!$B$21*'Chemical Info'!J21*'Com-Ind Calculations'!C20,IF('Chemical Info'!E21="Yes",'Com-Ind Equations'!$B$20*1000*'Com-Ind Equations'!$B$24*'Com-Ind Equations'!$B$21*'Chemical Info'!J21*'Com-Ind Calculations'!F20,'Com-Ind Equations'!$B$20*1000*'Com-Ind Equations'!$B$24*'Com-Ind Equations'!$B$21*'Chemical Info'!J21*('Com-Ind Calculations'!C20+'Com-Ind Calculations'!F20))))</f>
        <v>NA</v>
      </c>
      <c r="L20" s="95" t="str">
        <f>IF(AND(H20="NA",I20="NA",J20="NA"),"NA",IF(H20="NA",'Com-Ind Equations'!$B$13*'Com-Ind Equations'!$B$14/J20,IF(J20="NA",'Com-Ind Equations'!$B$13*'Com-Ind Equations'!$B$14/(H20+I20),'Com-Ind Equations'!$B$13*'Com-Ind Equations'!$B$14/(H20+I20+J20))))</f>
        <v>NA</v>
      </c>
      <c r="M20" s="95" t="str">
        <f>IF(AND(H20="NA",I20="NA",K20="NA"),"NA",IF(H20="NA",'Com-Ind Equations'!$B$13*'Com-Ind Equations'!$B$14/K20,IF(K20="NA",'Com-Ind Equations'!$B$13*'Com-Ind Equations'!$B$14/(H20+I20),'Com-Ind Equations'!$B$13*'Com-Ind Equations'!$B$14/(H20+I20+K20))))</f>
        <v>NA</v>
      </c>
      <c r="N20" s="95" t="str">
        <f t="shared" si="0"/>
        <v>NA</v>
      </c>
      <c r="O20" s="94">
        <f>IF('Chemical Info'!L21="NA","NA",IF('Chemical Info'!E21="Yes",(('Com-Ind Equations'!$B$46*'Chemical Info'!AD21*'Com-Ind Equations'!$B$48*'Com-Ind Equations'!$B$49*'Com-Ind Equations'!$B$51)/('Com-Ind Equations'!$B$55*'Com-Ind Equations'!$B$56))/'Chemical Info'!L21,(('Com-Ind Equations'!$B$46*'Chemical Info'!AD21*'Com-Ind Equations'!$B$48*'Com-Ind Equations'!$B$49*'Com-Ind Equations'!$B$50)/('Com-Ind Equations'!$B$55*'Com-Ind Equations'!$B$56))/'Chemical Info'!L21))</f>
        <v>4.2808219178082184E-4</v>
      </c>
      <c r="P20" s="90">
        <f>IF('Chemical Info'!L21="NA","NA", IF('Chemical Info'!E21="Yes",0,((('Com-Ind Equations'!$B$58*'Com-Ind Equations'!$B$59*'Com-Ind Equations'!$B$48*'Com-Ind Equations'!$B$52*'Com-Ind Equations'!$B$49*'Chemical Info'!AB21)/('Com-Ind Equations'!$B$55*'Com-Ind Equations'!$B$56))/('Chemical Info'!L21*'Chemical Info'!AF21))))</f>
        <v>0</v>
      </c>
      <c r="Q20" s="90" t="str">
        <f>IF('Chemical Info'!N21="NA","NA",IF('Com-Ind Calculations'!E20="NA",(('Com-Ind Equations'!$B$53*'Com-Ind Equations'!$B$49*'Com-Ind Equations'!$B$54*'Com-Ind Calculations'!C20)/('Com-Ind Equations'!$B$56))/('Chemical Info'!N21),IF('Chemical Info'!E21="Yes",(('Com-Ind Equations'!$B$53*'Com-Ind Equations'!$B$49*'Com-Ind Equations'!$B$54*'Com-Ind Calculations'!E20)/('Com-Ind Equations'!$B$56))/('Chemical Info'!N21),(('Com-Ind Equations'!$B$53*'Com-Ind Equations'!$B$49*'Com-Ind Equations'!$B$54*('Com-Ind Calculations'!C20+'Com-Ind Calculations'!E20))/('Com-Ind Equations'!$B$56))/('Chemical Info'!N21))))</f>
        <v>NA</v>
      </c>
      <c r="R20" s="90" t="str">
        <f>IF('Chemical Info'!N21="NA","NA",IF('Com-Ind Calculations'!F20="NA",(('Com-Ind Equations'!$B$53*'Com-Ind Equations'!$B$49*'Com-Ind Equations'!$B$54*'Com-Ind Calculations'!C20)/('Com-Ind Equations'!$B$56))/('Chemical Info'!N21),IF('Chemical Info'!E21="Yes",(('Com-Ind Equations'!$B$53*'Com-Ind Equations'!$B$49*'Com-Ind Equations'!$B$54*'Com-Ind Calculations'!F20)/('Com-Ind Equations'!$B$56))/('Chemical Info'!N21),(('Com-Ind Equations'!$B$53*'Com-Ind Equations'!$B$49*'Com-Ind Equations'!$B$54*('Com-Ind Calculations'!C20+'Com-Ind Calculations'!F20))/('Com-Ind Equations'!$B$56))/('Chemical Info'!N21))))</f>
        <v>NA</v>
      </c>
      <c r="S20" s="90">
        <f>IF(AND(O20="NA",P20="NA",Q20="NA"),"NA",IF(O20="NA",'Com-Ind Equations'!$B$45/'Com-Ind Calculations'!Q20,IF('Com-Ind Calculations'!Q20="NA",'Com-Ind Equations'!$B$45/('Com-Ind Calculations'!O20+'Com-Ind Calculations'!P20),'Com-Ind Equations'!$B$45/('Com-Ind Calculations'!O20+'Com-Ind Calculations'!P20+'Com-Ind Calculations'!Q20))))</f>
        <v>467.2000000000001</v>
      </c>
      <c r="T20" s="95">
        <f>IF(AND(O20="NA",P20="NA",R20="NA"),"NA",IF(O20="NA",'Com-Ind Equations'!$B$45/R20,IF(R20="NA",'Com-Ind Equations'!$B$45/(O20+P20),'Com-Ind Equations'!$B$45/(O20+P20+R20))))</f>
        <v>467.2000000000001</v>
      </c>
      <c r="U20" s="97">
        <f t="shared" si="1"/>
        <v>467.2000000000001</v>
      </c>
      <c r="V20" s="101">
        <f t="shared" si="3"/>
        <v>467.2000000000001</v>
      </c>
      <c r="W20" s="105">
        <f t="shared" si="4"/>
        <v>470</v>
      </c>
      <c r="X20" s="100" t="str">
        <f t="shared" si="2"/>
        <v>Noncancer</v>
      </c>
      <c r="Y20" s="70"/>
    </row>
    <row r="21" spans="1:26">
      <c r="A21" s="67" t="s">
        <v>111</v>
      </c>
      <c r="B21" s="566" t="s">
        <v>112</v>
      </c>
      <c r="C21" s="85">
        <f>1/(('Com-Ind Equations'!$B$123*3600)/(0.036*(1-'Com-Ind Equations'!$B$124)*(('Com-Ind Equations'!$B$125/'Com-Ind Equations'!$B$126)^3)*'Com-Ind Equations'!$B$127))</f>
        <v>1.4713536180231943E-9</v>
      </c>
      <c r="D21" s="90">
        <f>(('Com-Ind Equations'!$B$103^(10/3)*'Chemical Info'!AH22*'Chemical Info'!AN22*41+'Com-Ind Equations'!$B$106^(10/3)*'Chemical Info'!AJ22)/'Com-Ind Equations'!$B$108^2)/('Com-Ind Equations'!$B$110*'Chemical Info'!AL22*'Com-Ind Equations'!$B$113+'Com-Ind Equations'!$B$106+'Com-Ind Equations'!$B$103*'Chemical Info'!AN22*41)</f>
        <v>0</v>
      </c>
      <c r="E21" s="65" t="str">
        <f>IF(D21=0,"NA",1/(('Com-Ind Equations'!$B$74*(3.14*D21*'Com-Ind Equations'!$B$76)^(1/2)*0.0001)/(2*'Com-Ind Equations'!$B$77*D21)))</f>
        <v>NA</v>
      </c>
      <c r="F21" s="65" t="str">
        <f>IF(D21=0,"NA",(1/('Com-Ind Equations'!$B$88*('Com-Ind Equations'!$B$89*(31500000))/('Com-Ind Equations'!$B$90*'Com-Ind Equations'!$B$91*1000000))))</f>
        <v>NA</v>
      </c>
      <c r="G21" s="95" t="str">
        <f>IF('Chemical Info'!E22="Yes",('Chemical Info'!AP22/'Com-Ind Equations'!$B$139)*((('Chemical Info'!AL22*'Com-Ind Equations'!$B$141)*'Com-Ind Equations'!$B$139)+'Com-Ind Equations'!$B$142+('Chemical Info'!AN22*41)*'Com-Ind Equations'!$B$144),"NA")</f>
        <v>NA</v>
      </c>
      <c r="H21" s="112" t="str">
        <f>IF('Chemical Info'!H22="NA","NA",IF('Chemical Info'!E22="Yes",'Chemical Info'!H22*'Chemical Info'!AD22*'Com-Ind Equations'!$B$18*'Com-Ind Equations'!$B$22*(('Com-Ind Equations'!$B$24*'Com-Ind Equations'!$B$25)/'Com-Ind Equations'!$B$26),'Chemical Info'!H22*'Chemical Info'!AD22*'Com-Ind Equations'!$B$17*'Com-Ind Equations'!$B$22*('Com-Ind Equations'!$B$24*'Com-Ind Equations'!$B$25/'Com-Ind Equations'!$B$26)))</f>
        <v>NA</v>
      </c>
      <c r="I21" s="108" t="str">
        <f>IF('Chemical Info'!H22="NA","NA",IF('Chemical Info'!E22="Yes",0,('Chemical Info'!H22/'Chemical Info'!AF22)*'Com-Ind Equations'!$B$19*'Chemical Info'!AB22*'Com-Ind Equations'!$B$22*(('Com-Ind Equations'!$B$24*'Com-Ind Equations'!$B$29*'Com-Ind Equations'!$B$30)/'Com-Ind Equations'!$B$26)))</f>
        <v>NA</v>
      </c>
      <c r="J21" s="115" t="str">
        <f>IF('Chemical Info'!J22="NA","NA",IF(E21="NA",'Com-Ind Equations'!$B$20*1000*'Com-Ind Equations'!$B$24*'Com-Ind Equations'!$B$21*'Chemical Info'!J22*'Com-Ind Calculations'!C21,IF('Chemical Info'!E22="Yes",'Com-Ind Equations'!$B$20*1000*'Com-Ind Equations'!$B$24*'Com-Ind Equations'!$B$21*'Chemical Info'!J22*'Com-Ind Calculations'!E21,'Com-Ind Equations'!$B$20*1000*'Com-Ind Equations'!$B$24*'Com-Ind Equations'!$B$21*'Chemical Info'!J22*('Com-Ind Calculations'!C21+'Com-Ind Calculations'!E21))))</f>
        <v>NA</v>
      </c>
      <c r="K21" s="117" t="str">
        <f>IF('Chemical Info'!J22="NA","NA",IF(F21="NA",'Com-Ind Equations'!$B$20*1000*'Com-Ind Equations'!$B$24*'Com-Ind Equations'!$B$21*'Chemical Info'!J22*'Com-Ind Calculations'!C21,IF('Chemical Info'!E22="Yes",'Com-Ind Equations'!$B$20*1000*'Com-Ind Equations'!$B$24*'Com-Ind Equations'!$B$21*'Chemical Info'!J22*'Com-Ind Calculations'!F21,'Com-Ind Equations'!$B$20*1000*'Com-Ind Equations'!$B$24*'Com-Ind Equations'!$B$21*'Chemical Info'!J22*('Com-Ind Calculations'!C21+'Com-Ind Calculations'!F21))))</f>
        <v>NA</v>
      </c>
      <c r="L21" s="95" t="str">
        <f>IF(AND(H21="NA",I21="NA",J21="NA"),"NA",IF(H21="NA",'Com-Ind Equations'!$B$13*'Com-Ind Equations'!$B$14/J21,IF(J21="NA",'Com-Ind Equations'!$B$13*'Com-Ind Equations'!$B$14/(H21+I21),'Com-Ind Equations'!$B$13*'Com-Ind Equations'!$B$14/(H21+I21+J21))))</f>
        <v>NA</v>
      </c>
      <c r="M21" s="95" t="str">
        <f>IF(AND(H21="NA",I21="NA",K21="NA"),"NA",IF(H21="NA",'Com-Ind Equations'!$B$13*'Com-Ind Equations'!$B$14/K21,IF(K21="NA",'Com-Ind Equations'!$B$13*'Com-Ind Equations'!$B$14/(H21+I21),'Com-Ind Equations'!$B$13*'Com-Ind Equations'!$B$14/(H21+I21+K21))))</f>
        <v>NA</v>
      </c>
      <c r="N21" s="95" t="str">
        <f t="shared" si="0"/>
        <v>NA</v>
      </c>
      <c r="O21" s="94">
        <f>IF('Chemical Info'!L22="NA","NA",IF('Chemical Info'!E22="Yes",(('Com-Ind Equations'!$B$46*'Chemical Info'!AD22*'Com-Ind Equations'!$B$48*'Com-Ind Equations'!$B$49*'Com-Ind Equations'!$B$51)/('Com-Ind Equations'!$B$55*'Com-Ind Equations'!$B$56))/'Chemical Info'!L22,(('Com-Ind Equations'!$B$46*'Chemical Info'!AD22*'Com-Ind Equations'!$B$48*'Com-Ind Equations'!$B$49*'Com-Ind Equations'!$B$50)/('Com-Ind Equations'!$B$55*'Com-Ind Equations'!$B$56))/'Chemical Info'!L22))</f>
        <v>1.821626348003497E-5</v>
      </c>
      <c r="P21" s="90">
        <f>IF('Chemical Info'!L22="NA","NA", IF('Chemical Info'!E22="Yes",0,((('Com-Ind Equations'!$B$58*'Com-Ind Equations'!$B$59*'Com-Ind Equations'!$B$48*'Com-Ind Equations'!$B$52*'Com-Ind Equations'!$B$49*'Chemical Info'!AB22)/('Com-Ind Equations'!$B$55*'Com-Ind Equations'!$B$56))/('Chemical Info'!L22*'Chemical Info'!AF22))))</f>
        <v>0</v>
      </c>
      <c r="Q21" s="90">
        <f>IF('Chemical Info'!N22="NA","NA",IF('Com-Ind Calculations'!E21="NA",(('Com-Ind Equations'!$B$53*'Com-Ind Equations'!$B$49*'Com-Ind Equations'!$B$54*'Com-Ind Calculations'!C21)/('Com-Ind Equations'!$B$56))/('Chemical Info'!N22),IF('Chemical Info'!E22="Yes",(('Com-Ind Equations'!$B$53*'Com-Ind Equations'!$B$49*'Com-Ind Equations'!$B$54*'Com-Ind Calculations'!E21)/('Com-Ind Equations'!$B$56))/('Chemical Info'!N22),(('Com-Ind Equations'!$B$53*'Com-Ind Equations'!$B$49*'Com-Ind Equations'!$B$54*('Com-Ind Calculations'!C21+'Com-Ind Calculations'!E21))/('Com-Ind Equations'!$B$56))/('Chemical Info'!N22))))</f>
        <v>1.5116646760512269E-6</v>
      </c>
      <c r="R21" s="90">
        <f>IF('Chemical Info'!N22="NA","NA",IF('Com-Ind Calculations'!F21="NA",(('Com-Ind Equations'!$B$53*'Com-Ind Equations'!$B$49*'Com-Ind Equations'!$B$54*'Com-Ind Calculations'!C21)/('Com-Ind Equations'!$B$56))/('Chemical Info'!N22),IF('Chemical Info'!E22="Yes",(('Com-Ind Equations'!$B$53*'Com-Ind Equations'!$B$49*'Com-Ind Equations'!$B$54*'Com-Ind Calculations'!F21)/('Com-Ind Equations'!$B$56))/('Chemical Info'!N22),(('Com-Ind Equations'!$B$53*'Com-Ind Equations'!$B$49*'Com-Ind Equations'!$B$54*('Com-Ind Calculations'!C21+'Com-Ind Calculations'!F21))/('Com-Ind Equations'!$B$56))/('Chemical Info'!N22))))</f>
        <v>1.5116646760512269E-6</v>
      </c>
      <c r="S21" s="90">
        <f>IF(AND(O21="NA",P21="NA",Q21="NA"),"NA",IF(O21="NA",'Com-Ind Equations'!$B$45/'Com-Ind Calculations'!Q21,IF('Com-Ind Calculations'!Q21="NA",'Com-Ind Equations'!$B$45/('Com-Ind Calculations'!O21+'Com-Ind Calculations'!P21),'Com-Ind Equations'!$B$45/('Com-Ind Calculations'!O21+'Com-Ind Calculations'!P21+'Com-Ind Calculations'!Q21))))</f>
        <v>10137.912020847392</v>
      </c>
      <c r="T21" s="95">
        <f>IF(AND(O21="NA",P21="NA",R21="NA"),"NA",IF(O21="NA",'Com-Ind Equations'!$B$45/R21,IF(R21="NA",'Com-Ind Equations'!$B$45/(O21+P21),'Com-Ind Equations'!$B$45/(O21+P21+R21))))</f>
        <v>10137.912020847392</v>
      </c>
      <c r="U21" s="97">
        <f t="shared" si="1"/>
        <v>10137.912020847392</v>
      </c>
      <c r="V21" s="101">
        <f t="shared" si="3"/>
        <v>10137.912020847392</v>
      </c>
      <c r="W21" s="105">
        <f t="shared" si="4"/>
        <v>10000</v>
      </c>
      <c r="X21" s="100" t="str">
        <f t="shared" si="2"/>
        <v>Noncancer</v>
      </c>
      <c r="Y21" s="70"/>
    </row>
    <row r="22" spans="1:26">
      <c r="A22" s="67" t="s">
        <v>74</v>
      </c>
      <c r="B22" s="590" t="s">
        <v>75</v>
      </c>
      <c r="C22" s="85">
        <f>1/(('Com-Ind Equations'!$B$123*3600)/(0.036*(1-'Com-Ind Equations'!$B$124)*(('Com-Ind Equations'!$B$125/'Com-Ind Equations'!$B$126)^3)*'Com-Ind Equations'!$B$127))</f>
        <v>1.4713536180231943E-9</v>
      </c>
      <c r="D22" s="90">
        <f>(('Com-Ind Equations'!$B$103^(10/3)*'Chemical Info'!AH23*'Chemical Info'!AN23*41+'Com-Ind Equations'!$B$106^(10/3)*'Chemical Info'!AJ23)/'Com-Ind Equations'!$B$108^2)/('Com-Ind Equations'!$B$110*'Chemical Info'!AL23*'Com-Ind Equations'!$B$113+'Com-Ind Equations'!$B$106+'Com-Ind Equations'!$B$103*'Chemical Info'!AN23*41)</f>
        <v>1.0577244577059752E-5</v>
      </c>
      <c r="E22" s="65">
        <f>IF(D22=0,"NA",1/(('Com-Ind Equations'!$B$74*(3.14*D22*'Com-Ind Equations'!$B$76)^(1/2)*0.0001)/(2*'Com-Ind Equations'!$B$77*D22)))</f>
        <v>1.9090392480281306E-5</v>
      </c>
      <c r="F22" s="65">
        <f>IF(D22=0,"NA",(1/('Com-Ind Equations'!$B$88*('Com-Ind Equations'!$B$89*(31500000))/('Com-Ind Equations'!$B$90*'Com-Ind Equations'!$B$91*1000000))))</f>
        <v>6.1914410640015851E-5</v>
      </c>
      <c r="G22" s="95">
        <f>IF('Chemical Info'!E23="Yes",('Chemical Info'!AP23/'Com-Ind Equations'!$B$139)*((('Chemical Info'!AL23*'Com-Ind Equations'!$B$141)*'Com-Ind Equations'!$B$139)+'Com-Ind Equations'!$B$142+('Chemical Info'!AN23*41)*'Com-Ind Equations'!$B$144),"NA")</f>
        <v>3.1299592224000001</v>
      </c>
      <c r="H22" s="112" t="str">
        <f>IF('Chemical Info'!H23="NA","NA",IF('Chemical Info'!E23="Yes",'Chemical Info'!H23*'Chemical Info'!AD23*'Com-Ind Equations'!$B$18*'Com-Ind Equations'!$B$22*(('Com-Ind Equations'!$B$24*'Com-Ind Equations'!$B$25)/'Com-Ind Equations'!$B$26),'Chemical Info'!H23*'Chemical Info'!AD23*'Com-Ind Equations'!$B$17*'Com-Ind Equations'!$B$22*('Com-Ind Equations'!$B$24*'Com-Ind Equations'!$B$25/'Com-Ind Equations'!$B$26)))</f>
        <v>NA</v>
      </c>
      <c r="I22" s="108" t="str">
        <f>IF('Chemical Info'!H23="NA","NA",IF('Chemical Info'!E23="Yes",0,('Chemical Info'!H23/'Chemical Info'!AF23)*'Com-Ind Equations'!$B$19*'Chemical Info'!AB23*'Com-Ind Equations'!$B$22*(('Com-Ind Equations'!$B$24*'Com-Ind Equations'!$B$29*'Com-Ind Equations'!$B$30)/'Com-Ind Equations'!$B$26)))</f>
        <v>NA</v>
      </c>
      <c r="J22" s="115" t="str">
        <f>IF('Chemical Info'!J23="NA","NA",IF(E22="NA",'Com-Ind Equations'!$B$20*1000*'Com-Ind Equations'!$B$24*'Com-Ind Equations'!$B$21*'Chemical Info'!J23*'Com-Ind Calculations'!C22,IF('Chemical Info'!E23="Yes",'Com-Ind Equations'!$B$20*1000*'Com-Ind Equations'!$B$24*'Com-Ind Equations'!$B$21*'Chemical Info'!J23*'Com-Ind Calculations'!E22,'Com-Ind Equations'!$B$20*1000*'Com-Ind Equations'!$B$24*'Com-Ind Equations'!$B$21*'Chemical Info'!J23*('Com-Ind Calculations'!C22+'Com-Ind Calculations'!E22))))</f>
        <v>NA</v>
      </c>
      <c r="K22" s="117" t="str">
        <f>IF('Chemical Info'!J23="NA","NA",IF(F22="NA",'Com-Ind Equations'!$B$20*1000*'Com-Ind Equations'!$B$24*'Com-Ind Equations'!$B$21*'Chemical Info'!J23*'Com-Ind Calculations'!C22,IF('Chemical Info'!E23="Yes",'Com-Ind Equations'!$B$20*1000*'Com-Ind Equations'!$B$24*'Com-Ind Equations'!$B$21*'Chemical Info'!J23*'Com-Ind Calculations'!F22,'Com-Ind Equations'!$B$20*1000*'Com-Ind Equations'!$B$24*'Com-Ind Equations'!$B$21*'Chemical Info'!J23*('Com-Ind Calculations'!C22+'Com-Ind Calculations'!F22))))</f>
        <v>NA</v>
      </c>
      <c r="L22" s="95" t="str">
        <f>IF(AND(H22="NA",I22="NA",J22="NA"),"NA",IF(H22="NA",'Com-Ind Equations'!$B$13*'Com-Ind Equations'!$B$14/J22,IF(J22="NA",'Com-Ind Equations'!$B$13*'Com-Ind Equations'!$B$14/(H22+I22),'Com-Ind Equations'!$B$13*'Com-Ind Equations'!$B$14/(H22+I22+J22))))</f>
        <v>NA</v>
      </c>
      <c r="M22" s="95" t="str">
        <f>IF(AND(H22="NA",I22="NA",K22="NA"),"NA",IF(H22="NA",'Com-Ind Equations'!$B$13*'Com-Ind Equations'!$B$14/K22,IF(K22="NA",'Com-Ind Equations'!$B$13*'Com-Ind Equations'!$B$14/(H22+I22),'Com-Ind Equations'!$B$13*'Com-Ind Equations'!$B$14/(H22+I22+K22))))</f>
        <v>NA</v>
      </c>
      <c r="N22" s="95" t="str">
        <f t="shared" si="0"/>
        <v>NA</v>
      </c>
      <c r="O22" s="94">
        <f>IF('Chemical Info'!L23="NA","NA",IF('Chemical Info'!E23="Yes",(('Com-Ind Equations'!$B$46*'Chemical Info'!AD23*'Com-Ind Equations'!$B$48*'Com-Ind Equations'!$B$49*'Com-Ind Equations'!$B$51)/('Com-Ind Equations'!$B$55*'Com-Ind Equations'!$B$56))/'Chemical Info'!L23,(('Com-Ind Equations'!$B$46*'Chemical Info'!AD23*'Com-Ind Equations'!$B$48*'Com-Ind Equations'!$B$49*'Com-Ind Equations'!$B$50)/('Com-Ind Equations'!$B$55*'Com-Ind Equations'!$B$56))/'Chemical Info'!L23))</f>
        <v>2.0547945205479454E-3</v>
      </c>
      <c r="P22" s="90">
        <f>IF('Chemical Info'!L23="NA","NA", IF('Chemical Info'!E23="Yes",0,((('Com-Ind Equations'!$B$58*'Com-Ind Equations'!$B$59*'Com-Ind Equations'!$B$48*'Com-Ind Equations'!$B$52*'Com-Ind Equations'!$B$49*'Chemical Info'!AB23)/('Com-Ind Equations'!$B$55*'Com-Ind Equations'!$B$56))/('Chemical Info'!L23*'Chemical Info'!AF23))))</f>
        <v>0</v>
      </c>
      <c r="Q22" s="90">
        <f>IF('Chemical Info'!N23="NA","NA",IF('Com-Ind Calculations'!E22="NA",(('Com-Ind Equations'!$B$53*'Com-Ind Equations'!$B$49*'Com-Ind Equations'!$B$54*'Com-Ind Calculations'!C22)/('Com-Ind Equations'!$B$56))/('Chemical Info'!N23),IF('Chemical Info'!E23="Yes",(('Com-Ind Equations'!$B$53*'Com-Ind Equations'!$B$49*'Com-Ind Equations'!$B$54*'Com-Ind Calculations'!E22)/('Com-Ind Equations'!$B$56))/('Chemical Info'!N23),(('Com-Ind Equations'!$B$53*'Com-Ind Equations'!$B$49*'Com-Ind Equations'!$B$54*('Com-Ind Calculations'!C22+'Com-Ind Calculations'!E22))/('Com-Ind Equations'!$B$56))/('Chemical Info'!N23))))</f>
        <v>1.3075611287863907E-2</v>
      </c>
      <c r="R22" s="90">
        <f>IF('Chemical Info'!N23="NA","NA",IF('Com-Ind Calculations'!F22="NA",(('Com-Ind Equations'!$B$53*'Com-Ind Equations'!$B$49*'Com-Ind Equations'!$B$54*'Com-Ind Calculations'!C22)/('Com-Ind Equations'!$B$56))/('Chemical Info'!N23),IF('Chemical Info'!E23="Yes",(('Com-Ind Equations'!$B$53*'Com-Ind Equations'!$B$49*'Com-Ind Equations'!$B$54*'Com-Ind Calculations'!F22)/('Com-Ind Equations'!$B$56))/('Chemical Info'!N23),(('Com-Ind Equations'!$B$53*'Com-Ind Equations'!$B$49*'Com-Ind Equations'!$B$54*('Com-Ind Calculations'!C22+'Com-Ind Calculations'!F22))/('Com-Ind Equations'!$B$56))/('Chemical Info'!N23))))</f>
        <v>4.2407130575353329E-2</v>
      </c>
      <c r="S22" s="90">
        <f>IF(AND(O22="NA",P22="NA",Q22="NA"),"NA",IF(O22="NA",'Com-Ind Equations'!$B$45/'Com-Ind Calculations'!Q22,IF('Com-Ind Calculations'!Q22="NA",'Com-Ind Equations'!$B$45/('Com-Ind Calculations'!O22+'Com-Ind Calculations'!P22),'Com-Ind Equations'!$B$45/('Com-Ind Calculations'!O22+'Com-Ind Calculations'!P22+'Com-Ind Calculations'!Q22))))</f>
        <v>13.218416117352824</v>
      </c>
      <c r="T22" s="95">
        <f>IF(AND(O22="NA",P22="NA",R22="NA"),"NA",IF(O22="NA",'Com-Ind Equations'!$B$45/R22,IF(R22="NA",'Com-Ind Equations'!$B$45/(O22+P22),'Com-Ind Equations'!$B$45/(O22+P22+R22))))</f>
        <v>4.4982307799001946</v>
      </c>
      <c r="U22" s="97">
        <f t="shared" si="1"/>
        <v>13.218416117352824</v>
      </c>
      <c r="V22" s="101">
        <f t="shared" si="3"/>
        <v>3.1299592224000001</v>
      </c>
      <c r="W22" s="105">
        <f t="shared" si="4"/>
        <v>3.1</v>
      </c>
      <c r="X22" s="100" t="str">
        <f t="shared" si="2"/>
        <v>Csat</v>
      </c>
      <c r="Y22" s="70"/>
    </row>
    <row r="23" spans="1:26">
      <c r="A23" s="67" t="s">
        <v>159</v>
      </c>
      <c r="B23" s="590" t="s">
        <v>73</v>
      </c>
      <c r="C23" s="85">
        <f>1/(('Com-Ind Equations'!$B$123*3600)/(0.036*(1-'Com-Ind Equations'!$B$124)*(('Com-Ind Equations'!$B$125/'Com-Ind Equations'!$B$126)^3)*'Com-Ind Equations'!$B$127))</f>
        <v>1.4713536180231943E-9</v>
      </c>
      <c r="D23" s="90">
        <f>(('Com-Ind Equations'!$B$103^(10/3)*'Chemical Info'!AH24*'Chemical Info'!AN24*41+'Com-Ind Equations'!$B$106^(10/3)*'Chemical Info'!AJ24)/'Com-Ind Equations'!$B$108^2)/('Com-Ind Equations'!$B$110*'Chemical Info'!AL24*'Com-Ind Equations'!$B$113+'Com-Ind Equations'!$B$106+'Com-Ind Equations'!$B$103*'Chemical Info'!AN24*41)</f>
        <v>0</v>
      </c>
      <c r="E23" s="65" t="str">
        <f>IF(D23=0,"NA",1/(('Com-Ind Equations'!$B$74*(3.14*D23*'Com-Ind Equations'!$B$76)^(1/2)*0.0001)/(2*'Com-Ind Equations'!$B$77*D23)))</f>
        <v>NA</v>
      </c>
      <c r="F23" s="65" t="str">
        <f>IF(D23=0,"NA",(1/('Com-Ind Equations'!$B$88*('Com-Ind Equations'!$B$89*(31500000))/('Com-Ind Equations'!$B$90*'Com-Ind Equations'!$B$91*1000000))))</f>
        <v>NA</v>
      </c>
      <c r="G23" s="95" t="str">
        <f>IF('Chemical Info'!E24="Yes",('Chemical Info'!AP24/'Com-Ind Equations'!$B$139)*((('Chemical Info'!AL24*'Com-Ind Equations'!$B$141)*'Com-Ind Equations'!$B$139)+'Com-Ind Equations'!$B$142+('Chemical Info'!AN24*41)*'Com-Ind Equations'!$B$144),"NA")</f>
        <v>NA</v>
      </c>
      <c r="H23" s="112" t="str">
        <f>IF('Chemical Info'!H24="NA","NA",IF('Chemical Info'!E24="Yes",'Chemical Info'!H24*'Chemical Info'!AD24*'Com-Ind Equations'!$B$18*'Com-Ind Equations'!$B$22*(('Com-Ind Equations'!$B$24*'Com-Ind Equations'!$B$25)/'Com-Ind Equations'!$B$26),'Chemical Info'!H24*'Chemical Info'!AD24*'Com-Ind Equations'!$B$17*'Com-Ind Equations'!$B$22*('Com-Ind Equations'!$B$24*'Com-Ind Equations'!$B$25/'Com-Ind Equations'!$B$26)))</f>
        <v>NA</v>
      </c>
      <c r="I23" s="108" t="str">
        <f>IF('Chemical Info'!H24="NA","NA",IF('Chemical Info'!E24="Yes",0,('Chemical Info'!H24/'Chemical Info'!AF24)*'Com-Ind Equations'!$B$19*'Chemical Info'!AB24*'Com-Ind Equations'!$B$22*(('Com-Ind Equations'!$B$24*'Com-Ind Equations'!$B$29*'Com-Ind Equations'!$B$30)/'Com-Ind Equations'!$B$26)))</f>
        <v>NA</v>
      </c>
      <c r="J23" s="115" t="str">
        <f>IF('Chemical Info'!J24="NA","NA",IF(E23="NA",'Com-Ind Equations'!$B$20*1000*'Com-Ind Equations'!$B$24*'Com-Ind Equations'!$B$21*'Chemical Info'!J24*'Com-Ind Calculations'!C23,IF('Chemical Info'!E24="Yes",'Com-Ind Equations'!$B$20*1000*'Com-Ind Equations'!$B$24*'Com-Ind Equations'!$B$21*'Chemical Info'!J24*'Com-Ind Calculations'!E23,'Com-Ind Equations'!$B$20*1000*'Com-Ind Equations'!$B$24*'Com-Ind Equations'!$B$21*'Chemical Info'!J24*('Com-Ind Calculations'!C23+'Com-Ind Calculations'!E23))))</f>
        <v>NA</v>
      </c>
      <c r="K23" s="117" t="str">
        <f>IF('Chemical Info'!J24="NA","NA",IF(F23="NA",'Com-Ind Equations'!$B$20*1000*'Com-Ind Equations'!$B$24*'Com-Ind Equations'!$B$21*'Chemical Info'!J24*'Com-Ind Calculations'!C23,IF('Chemical Info'!E24="Yes",'Com-Ind Equations'!$B$20*1000*'Com-Ind Equations'!$B$24*'Com-Ind Equations'!$B$21*'Chemical Info'!J24*'Com-Ind Calculations'!F23,'Com-Ind Equations'!$B$20*1000*'Com-Ind Equations'!$B$24*'Com-Ind Equations'!$B$21*'Chemical Info'!J24*('Com-Ind Calculations'!C23+'Com-Ind Calculations'!F23))))</f>
        <v>NA</v>
      </c>
      <c r="L23" s="95" t="str">
        <f>IF(AND(H23="NA",I23="NA",J23="NA"),"NA",IF(H23="NA",'Com-Ind Equations'!$B$13*'Com-Ind Equations'!$B$14/J23,IF(J23="NA",'Com-Ind Equations'!$B$13*'Com-Ind Equations'!$B$14/(H23+I23),'Com-Ind Equations'!$B$13*'Com-Ind Equations'!$B$14/(H23+I23+J23))))</f>
        <v>NA</v>
      </c>
      <c r="M23" s="95" t="str">
        <f>IF(AND(H23="NA",I23="NA",K23="NA"),"NA",IF(H23="NA",'Com-Ind Equations'!$B$13*'Com-Ind Equations'!$B$14/K23,IF(K23="NA",'Com-Ind Equations'!$B$13*'Com-Ind Equations'!$B$14/(H23+I23),'Com-Ind Equations'!$B$13*'Com-Ind Equations'!$B$14/(H23+I23+K23))))</f>
        <v>NA</v>
      </c>
      <c r="N23" s="95" t="str">
        <f t="shared" si="0"/>
        <v>NA</v>
      </c>
      <c r="O23" s="94">
        <f>IF('Chemical Info'!L24="NA","NA",IF('Chemical Info'!E24="Yes",(('Com-Ind Equations'!$B$46*'Chemical Info'!AD24*'Com-Ind Equations'!$B$48*'Com-Ind Equations'!$B$49*'Com-Ind Equations'!$B$51)/('Com-Ind Equations'!$B$55*'Com-Ind Equations'!$B$56))/'Chemical Info'!L24,(('Com-Ind Equations'!$B$46*'Chemical Info'!AD24*'Com-Ind Equations'!$B$48*'Com-Ind Equations'!$B$49*'Com-Ind Equations'!$B$50)/('Com-Ind Equations'!$B$55*'Com-Ind Equations'!$B$56))/'Chemical Info'!L24))</f>
        <v>8.5616438356164361E-3</v>
      </c>
      <c r="P23" s="90">
        <f>IF('Chemical Info'!L24="NA","NA", IF('Chemical Info'!E24="Yes",0,((('Com-Ind Equations'!$B$58*'Com-Ind Equations'!$B$59*'Com-Ind Equations'!$B$48*'Com-Ind Equations'!$B$52*'Com-Ind Equations'!$B$49*'Chemical Info'!AB24)/('Com-Ind Equations'!$B$55*'Com-Ind Equations'!$B$56))/('Chemical Info'!L24*'Chemical Info'!AF24))))</f>
        <v>2.6090136986301363E-3</v>
      </c>
      <c r="Q23" s="90" t="str">
        <f>IF('Chemical Info'!N24="NA","NA",IF('Com-Ind Calculations'!E23="NA",(('Com-Ind Equations'!$B$53*'Com-Ind Equations'!$B$49*'Com-Ind Equations'!$B$54*'Com-Ind Calculations'!C23)/('Com-Ind Equations'!$B$56))/('Chemical Info'!N24),IF('Chemical Info'!E24="Yes",(('Com-Ind Equations'!$B$53*'Com-Ind Equations'!$B$49*'Com-Ind Equations'!$B$54*'Com-Ind Calculations'!E23)/('Com-Ind Equations'!$B$56))/('Chemical Info'!N24),(('Com-Ind Equations'!$B$53*'Com-Ind Equations'!$B$49*'Com-Ind Equations'!$B$54*('Com-Ind Calculations'!C23+'Com-Ind Calculations'!E23))/('Com-Ind Equations'!$B$56))/('Chemical Info'!N24))))</f>
        <v>NA</v>
      </c>
      <c r="R23" s="90" t="str">
        <f>IF('Chemical Info'!N24="NA","NA",IF('Com-Ind Calculations'!F23="NA",(('Com-Ind Equations'!$B$53*'Com-Ind Equations'!$B$49*'Com-Ind Equations'!$B$54*'Com-Ind Calculations'!C23)/('Com-Ind Equations'!$B$56))/('Chemical Info'!N24),IF('Chemical Info'!E24="Yes",(('Com-Ind Equations'!$B$53*'Com-Ind Equations'!$B$49*'Com-Ind Equations'!$B$54*'Com-Ind Calculations'!F23)/('Com-Ind Equations'!$B$56))/('Chemical Info'!N24),(('Com-Ind Equations'!$B$53*'Com-Ind Equations'!$B$49*'Com-Ind Equations'!$B$54*('Com-Ind Calculations'!C23+'Com-Ind Calculations'!F23))/('Com-Ind Equations'!$B$56))/('Chemical Info'!N24))))</f>
        <v>NA</v>
      </c>
      <c r="S23" s="90">
        <f>IF(AND(O23="NA",P23="NA",Q23="NA"),"NA",IF(O23="NA",'Com-Ind Equations'!$B$45/'Com-Ind Calculations'!Q23,IF('Com-Ind Calculations'!Q23="NA",'Com-Ind Equations'!$B$45/('Com-Ind Calculations'!O23+'Com-Ind Calculations'!P23),'Com-Ind Equations'!$B$45/('Com-Ind Calculations'!O23+'Com-Ind Calculations'!P23+'Com-Ind Calculations'!Q23))))</f>
        <v>17.904049012947329</v>
      </c>
      <c r="T23" s="95">
        <f>IF(AND(O23="NA",P23="NA",R23="NA"),"NA",IF(O23="NA",'Com-Ind Equations'!$B$45/R23,IF(R23="NA",'Com-Ind Equations'!$B$45/(O23+P23),'Com-Ind Equations'!$B$45/(O23+P23+R23))))</f>
        <v>17.904049012947329</v>
      </c>
      <c r="U23" s="97">
        <f t="shared" si="1"/>
        <v>17.904049012947329</v>
      </c>
      <c r="V23" s="101">
        <f t="shared" si="3"/>
        <v>17.904049012947329</v>
      </c>
      <c r="W23" s="105">
        <f t="shared" si="4"/>
        <v>18</v>
      </c>
      <c r="X23" s="100" t="str">
        <f t="shared" si="2"/>
        <v>Noncancer</v>
      </c>
      <c r="Y23" s="70"/>
    </row>
    <row r="24" spans="1:26">
      <c r="A24" s="67" t="s">
        <v>1106</v>
      </c>
      <c r="B24" s="590" t="s">
        <v>1144</v>
      </c>
      <c r="C24" s="85">
        <f>1/(('Com-Ind Equations'!$B$123*3600)/(0.036*(1-'Com-Ind Equations'!$B$124)*(('Com-Ind Equations'!$B$125/'Com-Ind Equations'!$B$126)^3)*'Com-Ind Equations'!$B$127))</f>
        <v>1.4713536180231943E-9</v>
      </c>
      <c r="D24" s="90">
        <f>(('Com-Ind Equations'!$B$103^(10/3)*'Chemical Info'!AH25*'Chemical Info'!AN25*41+'Com-Ind Equations'!$B$106^(10/3)*'Chemical Info'!AJ25)/'Com-Ind Equations'!$B$108^2)/('Com-Ind Equations'!$B$110*'Chemical Info'!AL25*'Com-Ind Equations'!$B$113+'Com-Ind Equations'!$B$106+'Com-Ind Equations'!$B$103*'Chemical Info'!AN25*41)</f>
        <v>0</v>
      </c>
      <c r="E24" s="65" t="str">
        <f>IF(D24=0,"NA",1/(('Com-Ind Equations'!$B$74*(3.14*D24*'Com-Ind Equations'!$B$76)^(1/2)*0.0001)/(2*'Com-Ind Equations'!$B$77*D24)))</f>
        <v>NA</v>
      </c>
      <c r="F24" s="65" t="str">
        <f>IF(D24=0,"NA",(1/('Com-Ind Equations'!$B$88*('Com-Ind Equations'!$B$89*(31500000))/('Com-Ind Equations'!$B$90*'Com-Ind Equations'!$B$91*1000000))))</f>
        <v>NA</v>
      </c>
      <c r="G24" s="95" t="str">
        <f>IF('Chemical Info'!E25="Yes",('Chemical Info'!AP25/'Com-Ind Equations'!$B$139)*((('Chemical Info'!AL25*'Com-Ind Equations'!$B$141)*'Com-Ind Equations'!$B$139)+'Com-Ind Equations'!$B$142+('Chemical Info'!AN25*41)*'Com-Ind Equations'!$B$144),"NA")</f>
        <v>NA</v>
      </c>
      <c r="H24" s="112" t="str">
        <f>IF('Chemical Info'!H25="NA","NA",IF('Chemical Info'!E25="Yes",'Chemical Info'!H25*'Chemical Info'!AD25*'Com-Ind Equations'!$B$18*'Com-Ind Equations'!$B$22*(('Com-Ind Equations'!$B$24*'Com-Ind Equations'!$B$25)/'Com-Ind Equations'!$B$26),'Chemical Info'!H25*'Chemical Info'!AD25*'Com-Ind Equations'!$B$17*'Com-Ind Equations'!$B$22*('Com-Ind Equations'!$B$24*'Com-Ind Equations'!$B$25/'Com-Ind Equations'!$B$26)))</f>
        <v>NA</v>
      </c>
      <c r="I24" s="108" t="str">
        <f>IF('Chemical Info'!H25="NA","NA",IF('Chemical Info'!E25="Yes",0,('Chemical Info'!H25/'Chemical Info'!AF25)*'Com-Ind Equations'!$B$19*'Chemical Info'!AB25*'Com-Ind Equations'!$B$22*(('Com-Ind Equations'!$B$24*'Com-Ind Equations'!$B$29*'Com-Ind Equations'!$B$30)/'Com-Ind Equations'!$B$26)))</f>
        <v>NA</v>
      </c>
      <c r="J24" s="115" t="str">
        <f>IF('Chemical Info'!J25="NA","NA",IF(E24="NA",'Com-Ind Equations'!$B$20*1000*'Com-Ind Equations'!$B$24*'Com-Ind Equations'!$B$21*'Chemical Info'!J25*'Com-Ind Calculations'!C24,IF('Chemical Info'!E25="Yes",'Com-Ind Equations'!$B$20*1000*'Com-Ind Equations'!$B$24*'Com-Ind Equations'!$B$21*'Chemical Info'!J25*'Com-Ind Calculations'!E24,'Com-Ind Equations'!$B$20*1000*'Com-Ind Equations'!$B$24*'Com-Ind Equations'!$B$21*'Chemical Info'!J25*('Com-Ind Calculations'!C24+'Com-Ind Calculations'!E24))))</f>
        <v>NA</v>
      </c>
      <c r="K24" s="117" t="str">
        <f>IF('Chemical Info'!J25="NA","NA",IF(F24="NA",'Com-Ind Equations'!$B$20*1000*'Com-Ind Equations'!$B$24*'Com-Ind Equations'!$B$21*'Chemical Info'!J25*'Com-Ind Calculations'!C24,IF('Chemical Info'!E25="Yes",'Com-Ind Equations'!$B$20*1000*'Com-Ind Equations'!$B$24*'Com-Ind Equations'!$B$21*'Chemical Info'!J25*'Com-Ind Calculations'!F24,'Com-Ind Equations'!$B$20*1000*'Com-Ind Equations'!$B$24*'Com-Ind Equations'!$B$21*'Chemical Info'!J25*('Com-Ind Calculations'!C24+'Com-Ind Calculations'!F24))))</f>
        <v>NA</v>
      </c>
      <c r="L24" s="95" t="str">
        <f>IF(AND(H24="NA",I24="NA",J24="NA"),"NA",IF(H24="NA",'Com-Ind Equations'!$B$13*'Com-Ind Equations'!$B$14/J24,IF(J24="NA",'Com-Ind Equations'!$B$13*'Com-Ind Equations'!$B$14/(H24+I24),'Com-Ind Equations'!$B$13*'Com-Ind Equations'!$B$14/(H24+I24+J24))))</f>
        <v>NA</v>
      </c>
      <c r="M24" s="95" t="str">
        <f>IF(AND(H24="NA",I24="NA",K24="NA"),"NA",IF(H24="NA",'Com-Ind Equations'!$B$13*'Com-Ind Equations'!$B$14/K24,IF(K24="NA",'Com-Ind Equations'!$B$13*'Com-Ind Equations'!$B$14/(H24+I24),'Com-Ind Equations'!$B$13*'Com-Ind Equations'!$B$14/(H24+I24+K24))))</f>
        <v>NA</v>
      </c>
      <c r="N24" s="95" t="str">
        <f t="shared" ref="N24" si="5">IF(AND(L24="NA",M24="NA"),"NA",MAX(L24,M24))</f>
        <v>NA</v>
      </c>
      <c r="O24" s="94">
        <f>IF('Chemical Info'!L25="NA","NA",IF('Chemical Info'!E25="Yes",(('Com-Ind Equations'!$B$46*'Chemical Info'!AD25*'Com-Ind Equations'!$B$48*'Com-Ind Equations'!$B$49*'Com-Ind Equations'!$B$51)/('Com-Ind Equations'!$B$55*'Com-Ind Equations'!$B$56))/'Chemical Info'!L25,(('Com-Ind Equations'!$B$46*'Chemical Info'!AD25*'Com-Ind Equations'!$B$48*'Com-Ind Equations'!$B$49*'Com-Ind Equations'!$B$50)/('Com-Ind Equations'!$B$55*'Com-Ind Equations'!$B$56))/'Chemical Info'!L25))</f>
        <v>1.7123287671232871E-4</v>
      </c>
      <c r="P24" s="90">
        <f>IF('Chemical Info'!L25="NA","NA", IF('Chemical Info'!E25="Yes",0,((('Com-Ind Equations'!$B$58*'Com-Ind Equations'!$B$59*'Com-Ind Equations'!$B$48*'Com-Ind Equations'!$B$52*'Com-Ind Equations'!$B$49*'Chemical Info'!AB25)/('Com-Ind Equations'!$B$55*'Com-Ind Equations'!$B$56))/('Chemical Info'!L25*'Chemical Info'!AF25))))</f>
        <v>0</v>
      </c>
      <c r="Q24" s="90">
        <f>IF('Chemical Info'!N25="NA","NA",IF('Com-Ind Calculations'!E24="NA",(('Com-Ind Equations'!$B$53*'Com-Ind Equations'!$B$49*'Com-Ind Equations'!$B$54*'Com-Ind Calculations'!C24)/('Com-Ind Equations'!$B$56))/('Chemical Info'!N25),IF('Chemical Info'!E25="Yes",(('Com-Ind Equations'!$B$53*'Com-Ind Equations'!$B$49*'Com-Ind Equations'!$B$54*'Com-Ind Calculations'!E24)/('Com-Ind Equations'!$B$56))/('Chemical Info'!N25),(('Com-Ind Equations'!$B$53*'Com-Ind Equations'!$B$49*'Com-Ind Equations'!$B$54*('Com-Ind Calculations'!C24+'Com-Ind Calculations'!E24))/('Com-Ind Equations'!$B$56))/('Chemical Info'!N25))))</f>
        <v>1.5116646760512269E-7</v>
      </c>
      <c r="R24" s="90">
        <f>IF('Chemical Info'!N25="NA","NA",IF('Com-Ind Calculations'!F24="NA",(('Com-Ind Equations'!$B$53*'Com-Ind Equations'!$B$49*'Com-Ind Equations'!$B$54*'Com-Ind Calculations'!C24)/('Com-Ind Equations'!$B$56))/('Chemical Info'!N25),IF('Chemical Info'!E25="Yes",(('Com-Ind Equations'!$B$53*'Com-Ind Equations'!$B$49*'Com-Ind Equations'!$B$54*'Com-Ind Calculations'!F24)/('Com-Ind Equations'!$B$56))/('Chemical Info'!N25),(('Com-Ind Equations'!$B$53*'Com-Ind Equations'!$B$49*'Com-Ind Equations'!$B$54*('Com-Ind Calculations'!C24+'Com-Ind Calculations'!F24))/('Com-Ind Equations'!$B$56))/('Chemical Info'!N25))))</f>
        <v>1.5116646760512269E-7</v>
      </c>
      <c r="S24" s="90">
        <f>IF(AND(O24="NA",P24="NA",Q24="NA"),"NA",IF(O24="NA",'Com-Ind Equations'!$B$45/'Com-Ind Calculations'!Q24,IF('Com-Ind Calculations'!Q24="NA",'Com-Ind Equations'!$B$45/('Com-Ind Calculations'!O24+'Com-Ind Calculations'!P24),'Com-Ind Equations'!$B$45/('Com-Ind Calculations'!O24+'Com-Ind Calculations'!P24+'Com-Ind Calculations'!Q24))))</f>
        <v>1166.9697848709443</v>
      </c>
      <c r="T24" s="95">
        <f>IF(AND(O24="NA",P24="NA",R24="NA"),"NA",IF(O24="NA",'Com-Ind Equations'!$B$45/R24,IF(R24="NA",'Com-Ind Equations'!$B$45/(O24+P24),'Com-Ind Equations'!$B$45/(O24+P24+R24))))</f>
        <v>1166.9697848709443</v>
      </c>
      <c r="U24" s="97">
        <f t="shared" ref="U24" si="6">IF(AND(S24="NA",T24="NA"),"NA",MAX(S24,T24))</f>
        <v>1166.9697848709443</v>
      </c>
      <c r="V24" s="101">
        <f t="shared" ref="V24" si="7">IF(AND(N24="NA",U24="NA",G24="NA"),"NA",MIN(N24,U24,G24))</f>
        <v>1166.9697848709443</v>
      </c>
      <c r="W24" s="105">
        <f t="shared" ref="W24" si="8">IF(V24&gt;100000,100000,IF(ISNUMBER(ROUND(V24*1000000,2-LEN(INT(V24*1000000)))/1000000),ROUND(V24*1000000,2-LEN(INT(V24*1000000)))/1000000,"NA"))</f>
        <v>1200</v>
      </c>
      <c r="X24" s="100" t="str">
        <f t="shared" ref="X24" si="9">IF(W24=100000,"Max Limit",IF(V24=G24,"Csat",IF(V24=N24,"Cancer",IF(V24=U24,"Noncancer",""))))</f>
        <v>Noncancer</v>
      </c>
      <c r="Y24" s="70"/>
    </row>
    <row r="25" spans="1:26" ht="12">
      <c r="A25" s="67" t="s">
        <v>576</v>
      </c>
      <c r="B25" s="566" t="s">
        <v>114</v>
      </c>
      <c r="C25" s="85">
        <f>1/(('Com-Ind Equations'!$B$123*3600)/(0.036*(1-'Com-Ind Equations'!$B$124)*(('Com-Ind Equations'!$B$125/'Com-Ind Equations'!$B$126)^3)*'Com-Ind Equations'!$B$127))</f>
        <v>1.4713536180231943E-9</v>
      </c>
      <c r="D25" s="90">
        <f>(('Com-Ind Equations'!$B$103^(10/3)*'Chemical Info'!AH26*'Chemical Info'!AN26*41+'Com-Ind Equations'!$B$106^(10/3)*'Chemical Info'!AJ26)/'Com-Ind Equations'!$B$108^2)/('Com-Ind Equations'!$B$110*'Chemical Info'!AL26*'Com-Ind Equations'!$B$113+'Com-Ind Equations'!$B$106+'Com-Ind Equations'!$B$103*'Chemical Info'!AN26*41)</f>
        <v>0</v>
      </c>
      <c r="E25" s="65" t="str">
        <f>IF(D25=0,"NA",1/(('Com-Ind Equations'!$B$74*(3.14*D25*'Com-Ind Equations'!$B$76)^(1/2)*0.0001)/(2*'Com-Ind Equations'!$B$77*D25)))</f>
        <v>NA</v>
      </c>
      <c r="F25" s="65" t="str">
        <f>IF(D25=0,"NA",(1/('Com-Ind Equations'!$B$88*('Com-Ind Equations'!$B$89*(31500000))/('Com-Ind Equations'!$B$90*'Com-Ind Equations'!$B$91*1000000))))</f>
        <v>NA</v>
      </c>
      <c r="G25" s="95" t="str">
        <f>IF('Chemical Info'!E26="Yes",('Chemical Info'!AP26/'Com-Ind Equations'!$B$139)*((('Chemical Info'!AL26*'Com-Ind Equations'!$B$141)*'Com-Ind Equations'!$B$139)+'Com-Ind Equations'!$B$142+('Chemical Info'!AN26*41)*'Com-Ind Equations'!$B$144),"NA")</f>
        <v>NA</v>
      </c>
      <c r="H25" s="112" t="str">
        <f>IF('Chemical Info'!H26="NA","NA",IF('Chemical Info'!E26="Yes",'Chemical Info'!H26*'Chemical Info'!AD26*'Com-Ind Equations'!$B$18*'Com-Ind Equations'!$B$22*(('Com-Ind Equations'!$B$24*'Com-Ind Equations'!$B$25)/'Com-Ind Equations'!$B$26),'Chemical Info'!H26*'Chemical Info'!AD26*'Com-Ind Equations'!$B$17*'Com-Ind Equations'!$B$22*('Com-Ind Equations'!$B$24*'Com-Ind Equations'!$B$25/'Com-Ind Equations'!$B$26)))</f>
        <v>NA</v>
      </c>
      <c r="I25" s="108" t="str">
        <f>IF('Chemical Info'!H26="NA","NA",IF('Chemical Info'!E26="Yes",0,('Chemical Info'!H26/'Chemical Info'!AF26)*'Com-Ind Equations'!$B$19*'Chemical Info'!AB26*'Com-Ind Equations'!$B$22*(('Com-Ind Equations'!$B$24*'Com-Ind Equations'!$B$29*'Com-Ind Equations'!$B$30)/'Com-Ind Equations'!$B$26)))</f>
        <v>NA</v>
      </c>
      <c r="J25" s="115">
        <f>IF('Chemical Info'!J26="NA","NA",IF(E25="NA",'Com-Ind Equations'!$B$20*1000*'Com-Ind Equations'!$B$24*'Com-Ind Equations'!$B$21*'Chemical Info'!J26*'Com-Ind Calculations'!C25,IF('Chemical Info'!E26="Yes",'Com-Ind Equations'!$B$20*1000*'Com-Ind Equations'!$B$24*'Com-Ind Equations'!$B$21*'Chemical Info'!J26*'Com-Ind Calculations'!E25,'Com-Ind Equations'!$B$20*1000*'Com-Ind Equations'!$B$24*'Com-Ind Equations'!$B$21*'Chemical Info'!J26*('Com-Ind Calculations'!C25+'Com-Ind Calculations'!E25))))</f>
        <v>6.6210912811043748E-7</v>
      </c>
      <c r="K25" s="117">
        <f>IF('Chemical Info'!J26="NA","NA",IF(F25="NA",'Com-Ind Equations'!$B$20*1000*'Com-Ind Equations'!$B$24*'Com-Ind Equations'!$B$21*'Chemical Info'!J26*'Com-Ind Calculations'!C25,IF('Chemical Info'!E26="Yes",'Com-Ind Equations'!$B$20*1000*'Com-Ind Equations'!$B$24*'Com-Ind Equations'!$B$21*'Chemical Info'!J26*'Com-Ind Calculations'!F25,'Com-Ind Equations'!$B$20*1000*'Com-Ind Equations'!$B$24*'Com-Ind Equations'!$B$21*'Chemical Info'!J26*('Com-Ind Calculations'!C25+'Com-Ind Calculations'!F25))))</f>
        <v>6.6210912811043748E-7</v>
      </c>
      <c r="L25" s="95">
        <f>IF(AND(H25="NA",I25="NA",J25="NA"),"NA",IF(H25="NA",'Com-Ind Equations'!$B$13*'Com-Ind Equations'!$B$14/J25,IF(J25="NA",'Com-Ind Equations'!$B$13*'Com-Ind Equations'!$B$14/(H25+I25),'Com-Ind Equations'!$B$13*'Com-Ind Equations'!$B$14/(H25+I25+J25))))</f>
        <v>385888.04949594883</v>
      </c>
      <c r="M25" s="95">
        <f>IF(AND(H25="NA",I25="NA",K25="NA"),"NA",IF(H25="NA",'Com-Ind Equations'!$B$13*'Com-Ind Equations'!$B$14/K25,IF(K25="NA",'Com-Ind Equations'!$B$13*'Com-Ind Equations'!$B$14/(H25+I25),'Com-Ind Equations'!$B$13*'Com-Ind Equations'!$B$14/(H25+I25+K25))))</f>
        <v>385888.04949594883</v>
      </c>
      <c r="N25" s="95">
        <f t="shared" si="0"/>
        <v>385888.04949594883</v>
      </c>
      <c r="O25" s="94">
        <f>IF('Chemical Info'!L26="NA","NA",IF('Chemical Info'!E26="Yes",(('Com-Ind Equations'!$B$46*'Chemical Info'!AD26*'Com-Ind Equations'!$B$48*'Com-Ind Equations'!$B$49*'Com-Ind Equations'!$B$51)/('Com-Ind Equations'!$B$55*'Com-Ind Equations'!$B$56))/'Chemical Info'!L26,(('Com-Ind Equations'!$B$46*'Chemical Info'!AD26*'Com-Ind Equations'!$B$48*'Com-Ind Equations'!$B$49*'Com-Ind Equations'!$B$50)/('Com-Ind Equations'!$B$55*'Com-Ind Equations'!$B$56))/'Chemical Info'!L26))</f>
        <v>7.644324853228961E-5</v>
      </c>
      <c r="P25" s="90">
        <f>IF('Chemical Info'!L26="NA","NA", IF('Chemical Info'!E26="Yes",0,((('Com-Ind Equations'!$B$58*'Com-Ind Equations'!$B$59*'Com-Ind Equations'!$B$48*'Com-Ind Equations'!$B$52*'Com-Ind Equations'!$B$49*'Chemical Info'!AB26)/('Com-Ind Equations'!$B$55*'Com-Ind Equations'!$B$56))/('Chemical Info'!L26*'Chemical Info'!AF26))))</f>
        <v>0</v>
      </c>
      <c r="Q25" s="90">
        <f>IF('Chemical Info'!N26="NA","NA",IF('Com-Ind Calculations'!E25="NA",(('Com-Ind Equations'!$B$53*'Com-Ind Equations'!$B$49*'Com-Ind Equations'!$B$54*'Com-Ind Calculations'!C25)/('Com-Ind Equations'!$B$56))/('Chemical Info'!N26),IF('Chemical Info'!E26="Yes",(('Com-Ind Equations'!$B$53*'Com-Ind Equations'!$B$49*'Com-Ind Equations'!$B$54*'Com-Ind Calculations'!E25)/('Com-Ind Equations'!$B$56))/('Chemical Info'!N26),(('Com-Ind Equations'!$B$53*'Com-Ind Equations'!$B$49*'Com-Ind Equations'!$B$54*('Com-Ind Calculations'!C25+'Com-Ind Calculations'!E25))/('Com-Ind Equations'!$B$56))/('Chemical Info'!N26))))</f>
        <v>2.1595209657874672E-5</v>
      </c>
      <c r="R25" s="90">
        <f>IF('Chemical Info'!N26="NA","NA",IF('Com-Ind Calculations'!F25="NA",(('Com-Ind Equations'!$B$53*'Com-Ind Equations'!$B$49*'Com-Ind Equations'!$B$54*'Com-Ind Calculations'!C25)/('Com-Ind Equations'!$B$56))/('Chemical Info'!N26),IF('Chemical Info'!E26="Yes",(('Com-Ind Equations'!$B$53*'Com-Ind Equations'!$B$49*'Com-Ind Equations'!$B$54*'Com-Ind Calculations'!F25)/('Com-Ind Equations'!$B$56))/('Chemical Info'!N26),(('Com-Ind Equations'!$B$53*'Com-Ind Equations'!$B$49*'Com-Ind Equations'!$B$54*('Com-Ind Calculations'!C25+'Com-Ind Calculations'!F25))/('Com-Ind Equations'!$B$56))/('Chemical Info'!N26))))</f>
        <v>2.1595209657874672E-5</v>
      </c>
      <c r="S25" s="90">
        <f>IF(AND(O25="NA",P25="NA",Q25="NA"),"NA",IF(O25="NA",'Com-Ind Equations'!$B$45/'Com-Ind Calculations'!Q25,IF('Com-Ind Calculations'!Q25="NA",'Com-Ind Equations'!$B$45/('Com-Ind Calculations'!O25+'Com-Ind Calculations'!P25),'Com-Ind Equations'!$B$45/('Com-Ind Calculations'!O25+'Com-Ind Calculations'!P25+'Com-Ind Calculations'!Q25))))</f>
        <v>2040.015762100847</v>
      </c>
      <c r="T25" s="95">
        <f>IF(AND(O25="NA",P25="NA",R25="NA"),"NA",IF(O25="NA",'Com-Ind Equations'!$B$45/R25,IF(R25="NA",'Com-Ind Equations'!$B$45/(O25+P25),'Com-Ind Equations'!$B$45/(O25+P25+R25))))</f>
        <v>2040.015762100847</v>
      </c>
      <c r="U25" s="97">
        <f t="shared" si="1"/>
        <v>2040.015762100847</v>
      </c>
      <c r="V25" s="101">
        <f t="shared" si="3"/>
        <v>2040.015762100847</v>
      </c>
      <c r="W25" s="105">
        <f t="shared" si="4"/>
        <v>2000</v>
      </c>
      <c r="X25" s="100" t="str">
        <f t="shared" si="2"/>
        <v>Noncancer</v>
      </c>
      <c r="Y25" s="70"/>
    </row>
    <row r="26" spans="1:26">
      <c r="A26" s="67" t="s">
        <v>184</v>
      </c>
      <c r="B26" s="566" t="s">
        <v>185</v>
      </c>
      <c r="C26" s="85">
        <f>1/(('Com-Ind Equations'!$B$123*3600)/(0.036*(1-'Com-Ind Equations'!$B$124)*(('Com-Ind Equations'!$B$125/'Com-Ind Equations'!$B$126)^3)*'Com-Ind Equations'!$B$127))</f>
        <v>1.4713536180231943E-9</v>
      </c>
      <c r="D26" s="90">
        <f>(('Com-Ind Equations'!$B$103^(10/3)*'Chemical Info'!AH27*'Chemical Info'!AN27*41+'Com-Ind Equations'!$B$106^(10/3)*'Chemical Info'!AJ27)/'Com-Ind Equations'!$B$108^2)/('Com-Ind Equations'!$B$110*'Chemical Info'!AL27*'Com-Ind Equations'!$B$113+'Com-Ind Equations'!$B$106+'Com-Ind Equations'!$B$103*'Chemical Info'!AN27*41)</f>
        <v>0</v>
      </c>
      <c r="E26" s="65" t="str">
        <f>IF(D26=0,"NA",1/(('Com-Ind Equations'!$B$74*(3.14*D26*'Com-Ind Equations'!$B$76)^(1/2)*0.0001)/(2*'Com-Ind Equations'!$B$77*D26)))</f>
        <v>NA</v>
      </c>
      <c r="F26" s="65" t="str">
        <f>IF(D26=0,"NA",(1/('Com-Ind Equations'!$B$88*('Com-Ind Equations'!$B$89*(31500000))/('Com-Ind Equations'!$B$90*'Com-Ind Equations'!$B$91*1000000))))</f>
        <v>NA</v>
      </c>
      <c r="G26" s="95" t="str">
        <f>IF('Chemical Info'!E27="Yes",('Chemical Info'!AP27/'Com-Ind Equations'!$B$139)*((('Chemical Info'!AL27*'Com-Ind Equations'!$B$141)*'Com-Ind Equations'!$B$139)+'Com-Ind Equations'!$B$142+('Chemical Info'!AN27*41)*'Com-Ind Equations'!$B$144),"NA")</f>
        <v>NA</v>
      </c>
      <c r="H26" s="112" t="str">
        <f>IF('Chemical Info'!H27="NA","NA",IF('Chemical Info'!E27="Yes",'Chemical Info'!H27*'Chemical Info'!AD27*'Com-Ind Equations'!$B$18*'Com-Ind Equations'!$B$22*(('Com-Ind Equations'!$B$24*'Com-Ind Equations'!$B$25)/'Com-Ind Equations'!$B$26),'Chemical Info'!H27*'Chemical Info'!AD27*'Com-Ind Equations'!$B$17*'Com-Ind Equations'!$B$22*('Com-Ind Equations'!$B$24*'Com-Ind Equations'!$B$25/'Com-Ind Equations'!$B$26)))</f>
        <v>NA</v>
      </c>
      <c r="I26" s="108" t="str">
        <f>IF('Chemical Info'!H27="NA","NA",IF('Chemical Info'!E27="Yes",0,('Chemical Info'!H27/'Chemical Info'!AF27)*'Com-Ind Equations'!$B$19*'Chemical Info'!AB27*'Com-Ind Equations'!$B$22*(('Com-Ind Equations'!$B$24*'Com-Ind Equations'!$B$29*'Com-Ind Equations'!$B$30)/'Com-Ind Equations'!$B$26)))</f>
        <v>NA</v>
      </c>
      <c r="J26" s="115" t="str">
        <f>IF('Chemical Info'!J27="NA","NA",IF(E26="NA",'Com-Ind Equations'!$B$20*1000*'Com-Ind Equations'!$B$24*'Com-Ind Equations'!$B$21*'Chemical Info'!J27*'Com-Ind Calculations'!C26,IF('Chemical Info'!E27="Yes",'Com-Ind Equations'!$B$20*1000*'Com-Ind Equations'!$B$24*'Com-Ind Equations'!$B$21*'Chemical Info'!J27*'Com-Ind Calculations'!E26,'Com-Ind Equations'!$B$20*1000*'Com-Ind Equations'!$B$24*'Com-Ind Equations'!$B$21*'Chemical Info'!J27*('Com-Ind Calculations'!C26+'Com-Ind Calculations'!E26))))</f>
        <v>NA</v>
      </c>
      <c r="K26" s="117" t="str">
        <f>IF('Chemical Info'!J27="NA","NA",IF(F26="NA",'Com-Ind Equations'!$B$20*1000*'Com-Ind Equations'!$B$24*'Com-Ind Equations'!$B$21*'Chemical Info'!J27*'Com-Ind Calculations'!C26,IF('Chemical Info'!E27="Yes",'Com-Ind Equations'!$B$20*1000*'Com-Ind Equations'!$B$24*'Com-Ind Equations'!$B$21*'Chemical Info'!J27*'Com-Ind Calculations'!F26,'Com-Ind Equations'!$B$20*1000*'Com-Ind Equations'!$B$24*'Com-Ind Equations'!$B$21*'Chemical Info'!J27*('Com-Ind Calculations'!C26+'Com-Ind Calculations'!F26))))</f>
        <v>NA</v>
      </c>
      <c r="L26" s="95" t="str">
        <f>IF(AND(H26="NA",I26="NA",J26="NA"),"NA",IF(H26="NA",'Com-Ind Equations'!$B$13*'Com-Ind Equations'!$B$14/J26,IF(J26="NA",'Com-Ind Equations'!$B$13*'Com-Ind Equations'!$B$14/(H26+I26),'Com-Ind Equations'!$B$13*'Com-Ind Equations'!$B$14/(H26+I26+J26))))</f>
        <v>NA</v>
      </c>
      <c r="M26" s="95" t="str">
        <f>IF(AND(H26="NA",I26="NA",K26="NA"),"NA",IF(H26="NA",'Com-Ind Equations'!$B$13*'Com-Ind Equations'!$B$14/K26,IF(K26="NA",'Com-Ind Equations'!$B$13*'Com-Ind Equations'!$B$14/(H26+I26),'Com-Ind Equations'!$B$13*'Com-Ind Equations'!$B$14/(H26+I26+K26))))</f>
        <v>NA</v>
      </c>
      <c r="N26" s="95" t="str">
        <f t="shared" si="0"/>
        <v>NA</v>
      </c>
      <c r="O26" s="94">
        <f>IF('Chemical Info'!L27="NA","NA",IF('Chemical Info'!E27="Yes",(('Com-Ind Equations'!$B$46*'Chemical Info'!AD27*'Com-Ind Equations'!$B$48*'Com-Ind Equations'!$B$49*'Com-Ind Equations'!$B$51)/('Com-Ind Equations'!$B$55*'Com-Ind Equations'!$B$56))/'Chemical Info'!L27,(('Com-Ind Equations'!$B$46*'Chemical Info'!AD27*'Com-Ind Equations'!$B$48*'Com-Ind Equations'!$B$49*'Com-Ind Equations'!$B$50)/('Com-Ind Equations'!$B$55*'Com-Ind Equations'!$B$56))/'Chemical Info'!L27))</f>
        <v>1.7123287671232871E-4</v>
      </c>
      <c r="P26" s="90">
        <f>IF('Chemical Info'!L27="NA","NA", IF('Chemical Info'!E27="Yes",0,((('Com-Ind Equations'!$B$58*'Com-Ind Equations'!$B$59*'Com-Ind Equations'!$B$48*'Com-Ind Equations'!$B$52*'Com-Ind Equations'!$B$49*'Chemical Info'!AB27)/('Com-Ind Equations'!$B$55*'Com-Ind Equations'!$B$56))/('Chemical Info'!L27*'Chemical Info'!AF27))))</f>
        <v>0</v>
      </c>
      <c r="Q26" s="90">
        <f>IF('Chemical Info'!N27="NA","NA",IF('Com-Ind Calculations'!E26="NA",(('Com-Ind Equations'!$B$53*'Com-Ind Equations'!$B$49*'Com-Ind Equations'!$B$54*'Com-Ind Calculations'!C26)/('Com-Ind Equations'!$B$56))/('Chemical Info'!N27),IF('Chemical Info'!E27="Yes",(('Com-Ind Equations'!$B$53*'Com-Ind Equations'!$B$49*'Com-Ind Equations'!$B$54*'Com-Ind Calculations'!E26)/('Com-Ind Equations'!$B$56))/('Chemical Info'!N27),(('Com-Ind Equations'!$B$53*'Com-Ind Equations'!$B$49*'Com-Ind Equations'!$B$54*('Com-Ind Calculations'!C26+'Com-Ind Calculations'!E26))/('Com-Ind Equations'!$B$56))/('Chemical Info'!N27))))</f>
        <v>1.5116646760512269E-8</v>
      </c>
      <c r="R26" s="90">
        <f>IF('Chemical Info'!N27="NA","NA",IF('Com-Ind Calculations'!F26="NA",(('Com-Ind Equations'!$B$53*'Com-Ind Equations'!$B$49*'Com-Ind Equations'!$B$54*'Com-Ind Calculations'!C26)/('Com-Ind Equations'!$B$56))/('Chemical Info'!N27),IF('Chemical Info'!E27="Yes",(('Com-Ind Equations'!$B$53*'Com-Ind Equations'!$B$49*'Com-Ind Equations'!$B$54*'Com-Ind Calculations'!F26)/('Com-Ind Equations'!$B$56))/('Chemical Info'!N27),(('Com-Ind Equations'!$B$53*'Com-Ind Equations'!$B$49*'Com-Ind Equations'!$B$54*('Com-Ind Calculations'!C26+'Com-Ind Calculations'!F26))/('Com-Ind Equations'!$B$56))/('Chemical Info'!N27))))</f>
        <v>1.5116646760512269E-8</v>
      </c>
      <c r="S26" s="90">
        <f>IF(AND(O26="NA",P26="NA",Q26="NA"),"NA",IF(O26="NA",'Com-Ind Equations'!$B$45/'Com-Ind Calculations'!Q26,IF('Com-Ind Calculations'!Q26="NA",'Com-Ind Equations'!$B$45/('Com-Ind Calculations'!O26+'Com-Ind Calculations'!P26),'Com-Ind Equations'!$B$45/('Com-Ind Calculations'!O26+'Com-Ind Calculations'!P26+'Com-Ind Calculations'!Q26))))</f>
        <v>1167.8968966405394</v>
      </c>
      <c r="T26" s="95">
        <f>IF(AND(O26="NA",P26="NA",R26="NA"),"NA",IF(O26="NA",'Com-Ind Equations'!$B$45/R26,IF(R26="NA",'Com-Ind Equations'!$B$45/(O26+P26),'Com-Ind Equations'!$B$45/(O26+P26+R26))))</f>
        <v>1167.8968966405394</v>
      </c>
      <c r="U26" s="97">
        <f t="shared" si="1"/>
        <v>1167.8968966405394</v>
      </c>
      <c r="V26" s="101">
        <f t="shared" si="3"/>
        <v>1167.8968966405394</v>
      </c>
      <c r="W26" s="105">
        <f t="shared" si="4"/>
        <v>1200</v>
      </c>
      <c r="X26" s="100" t="str">
        <f t="shared" si="2"/>
        <v>Noncancer</v>
      </c>
      <c r="Y26" s="70"/>
    </row>
    <row r="27" spans="1:26">
      <c r="A27" s="67" t="s">
        <v>186</v>
      </c>
      <c r="B27" s="566" t="s">
        <v>187</v>
      </c>
      <c r="C27" s="85">
        <f>1/(('Com-Ind Equations'!$B$123*3600)/(0.036*(1-'Com-Ind Equations'!$B$124)*(('Com-Ind Equations'!$B$125/'Com-Ind Equations'!$B$126)^3)*'Com-Ind Equations'!$B$127))</f>
        <v>1.4713536180231943E-9</v>
      </c>
      <c r="D27" s="90">
        <f>(('Com-Ind Equations'!$B$103^(10/3)*'Chemical Info'!AH28*'Chemical Info'!AN28*41+'Com-Ind Equations'!$B$106^(10/3)*'Chemical Info'!AJ28)/'Com-Ind Equations'!$B$108^2)/('Com-Ind Equations'!$B$110*'Chemical Info'!AL28*'Com-Ind Equations'!$B$113+'Com-Ind Equations'!$B$106+'Com-Ind Equations'!$B$103*'Chemical Info'!AN28*41)</f>
        <v>0</v>
      </c>
      <c r="E27" s="65" t="str">
        <f>IF(D27=0,"NA",1/(('Com-Ind Equations'!$B$74*(3.14*D27*'Com-Ind Equations'!$B$76)^(1/2)*0.0001)/(2*'Com-Ind Equations'!$B$77*D27)))</f>
        <v>NA</v>
      </c>
      <c r="F27" s="65" t="str">
        <f>IF(D27=0,"NA",(1/('Com-Ind Equations'!$B$88*('Com-Ind Equations'!$B$89*(31500000))/('Com-Ind Equations'!$B$90*'Com-Ind Equations'!$B$91*1000000))))</f>
        <v>NA</v>
      </c>
      <c r="G27" s="95" t="str">
        <f>IF('Chemical Info'!E28="Yes",('Chemical Info'!AP28/'Com-Ind Equations'!$B$139)*((('Chemical Info'!AL28*'Com-Ind Equations'!$B$141)*'Com-Ind Equations'!$B$139)+'Com-Ind Equations'!$B$142+('Chemical Info'!AN28*41)*'Com-Ind Equations'!$B$144),"NA")</f>
        <v>NA</v>
      </c>
      <c r="H27" s="112" t="str">
        <f>IF('Chemical Info'!H28="NA","NA",IF('Chemical Info'!E28="Yes",'Chemical Info'!H28*'Chemical Info'!AD28*'Com-Ind Equations'!$B$18*'Com-Ind Equations'!$B$22*(('Com-Ind Equations'!$B$24*'Com-Ind Equations'!$B$25)/'Com-Ind Equations'!$B$26),'Chemical Info'!H28*'Chemical Info'!AD28*'Com-Ind Equations'!$B$17*'Com-Ind Equations'!$B$22*('Com-Ind Equations'!$B$24*'Com-Ind Equations'!$B$25/'Com-Ind Equations'!$B$26)))</f>
        <v>NA</v>
      </c>
      <c r="I27" s="108" t="str">
        <f>IF('Chemical Info'!H28="NA","NA",IF('Chemical Info'!E28="Yes",0,('Chemical Info'!H28/'Chemical Info'!AF28)*'Com-Ind Equations'!$B$19*'Chemical Info'!AB28*'Com-Ind Equations'!$B$22*(('Com-Ind Equations'!$B$24*'Com-Ind Equations'!$B$29*'Com-Ind Equations'!$B$30)/'Com-Ind Equations'!$B$26)))</f>
        <v>NA</v>
      </c>
      <c r="J27" s="115" t="str">
        <f>IF('Chemical Info'!J28="NA","NA",IF(E27="NA",'Com-Ind Equations'!$B$20*1000*'Com-Ind Equations'!$B$24*'Com-Ind Equations'!$B$21*'Chemical Info'!J28*'Com-Ind Calculations'!C27,IF('Chemical Info'!E28="Yes",'Com-Ind Equations'!$B$20*1000*'Com-Ind Equations'!$B$24*'Com-Ind Equations'!$B$21*'Chemical Info'!J28*'Com-Ind Calculations'!E27,'Com-Ind Equations'!$B$20*1000*'Com-Ind Equations'!$B$24*'Com-Ind Equations'!$B$21*'Chemical Info'!J28*('Com-Ind Calculations'!C27+'Com-Ind Calculations'!E27))))</f>
        <v>NA</v>
      </c>
      <c r="K27" s="117" t="str">
        <f>IF('Chemical Info'!J28="NA","NA",IF(F27="NA",'Com-Ind Equations'!$B$20*1000*'Com-Ind Equations'!$B$24*'Com-Ind Equations'!$B$21*'Chemical Info'!J28*'Com-Ind Calculations'!C27,IF('Chemical Info'!E28="Yes",'Com-Ind Equations'!$B$20*1000*'Com-Ind Equations'!$B$24*'Com-Ind Equations'!$B$21*'Chemical Info'!J28*'Com-Ind Calculations'!F27,'Com-Ind Equations'!$B$20*1000*'Com-Ind Equations'!$B$24*'Com-Ind Equations'!$B$21*'Chemical Info'!J28*('Com-Ind Calculations'!C27+'Com-Ind Calculations'!F27))))</f>
        <v>NA</v>
      </c>
      <c r="L27" s="95" t="str">
        <f>IF(AND(H27="NA",I27="NA",J27="NA"),"NA",IF(H27="NA",'Com-Ind Equations'!$B$13*'Com-Ind Equations'!$B$14/J27,IF(J27="NA",'Com-Ind Equations'!$B$13*'Com-Ind Equations'!$B$14/(H27+I27),'Com-Ind Equations'!$B$13*'Com-Ind Equations'!$B$14/(H27+I27+J27))))</f>
        <v>NA</v>
      </c>
      <c r="M27" s="95" t="str">
        <f>IF(AND(H27="NA",I27="NA",K27="NA"),"NA",IF(H27="NA",'Com-Ind Equations'!$B$13*'Com-Ind Equations'!$B$14/K27,IF(K27="NA",'Com-Ind Equations'!$B$13*'Com-Ind Equations'!$B$14/(H27+I27),'Com-Ind Equations'!$B$13*'Com-Ind Equations'!$B$14/(H27+I27+K27))))</f>
        <v>NA</v>
      </c>
      <c r="N27" s="95" t="str">
        <f t="shared" si="0"/>
        <v>NA</v>
      </c>
      <c r="O27" s="94">
        <f>IF('Chemical Info'!L28="NA","NA",IF('Chemical Info'!E28="Yes",(('Com-Ind Equations'!$B$46*'Chemical Info'!AD28*'Com-Ind Equations'!$B$48*'Com-Ind Equations'!$B$49*'Com-Ind Equations'!$B$51)/('Com-Ind Equations'!$B$55*'Com-Ind Equations'!$B$56))/'Chemical Info'!L28,(('Com-Ind Equations'!$B$46*'Chemical Info'!AD28*'Com-Ind Equations'!$B$48*'Com-Ind Equations'!$B$49*'Com-Ind Equations'!$B$50)/('Com-Ind Equations'!$B$55*'Com-Ind Equations'!$B$56))/'Chemical Info'!L28))</f>
        <v>1.7123287671232871E-4</v>
      </c>
      <c r="P27" s="90">
        <f>IF('Chemical Info'!L28="NA","NA", IF('Chemical Info'!E28="Yes",0,((('Com-Ind Equations'!$B$58*'Com-Ind Equations'!$B$59*'Com-Ind Equations'!$B$48*'Com-Ind Equations'!$B$52*'Com-Ind Equations'!$B$49*'Chemical Info'!AB28)/('Com-Ind Equations'!$B$55*'Com-Ind Equations'!$B$56))/('Chemical Info'!L28*'Chemical Info'!AF28))))</f>
        <v>0</v>
      </c>
      <c r="Q27" s="90" t="str">
        <f>IF('Chemical Info'!N28="NA","NA",IF('Com-Ind Calculations'!E27="NA",(('Com-Ind Equations'!$B$53*'Com-Ind Equations'!$B$49*'Com-Ind Equations'!$B$54*'Com-Ind Calculations'!C27)/('Com-Ind Equations'!$B$56))/('Chemical Info'!N28),IF('Chemical Info'!E28="Yes",(('Com-Ind Equations'!$B$53*'Com-Ind Equations'!$B$49*'Com-Ind Equations'!$B$54*'Com-Ind Calculations'!E27)/('Com-Ind Equations'!$B$56))/('Chemical Info'!N28),(('Com-Ind Equations'!$B$53*'Com-Ind Equations'!$B$49*'Com-Ind Equations'!$B$54*('Com-Ind Calculations'!C27+'Com-Ind Calculations'!E27))/('Com-Ind Equations'!$B$56))/('Chemical Info'!N28))))</f>
        <v>NA</v>
      </c>
      <c r="R27" s="90" t="str">
        <f>IF('Chemical Info'!N28="NA","NA",IF('Com-Ind Calculations'!F27="NA",(('Com-Ind Equations'!$B$53*'Com-Ind Equations'!$B$49*'Com-Ind Equations'!$B$54*'Com-Ind Calculations'!C27)/('Com-Ind Equations'!$B$56))/('Chemical Info'!N28),IF('Chemical Info'!E28="Yes",(('Com-Ind Equations'!$B$53*'Com-Ind Equations'!$B$49*'Com-Ind Equations'!$B$54*'Com-Ind Calculations'!F27)/('Com-Ind Equations'!$B$56))/('Chemical Info'!N28),(('Com-Ind Equations'!$B$53*'Com-Ind Equations'!$B$49*'Com-Ind Equations'!$B$54*('Com-Ind Calculations'!C27+'Com-Ind Calculations'!F27))/('Com-Ind Equations'!$B$56))/('Chemical Info'!N28))))</f>
        <v>NA</v>
      </c>
      <c r="S27" s="90">
        <f>IF(AND(O27="NA",P27="NA",Q27="NA"),"NA",IF(O27="NA",'Com-Ind Equations'!$B$45/'Com-Ind Calculations'!Q27,IF('Com-Ind Calculations'!Q27="NA",'Com-Ind Equations'!$B$45/('Com-Ind Calculations'!O27+'Com-Ind Calculations'!P27),'Com-Ind Equations'!$B$45/('Com-Ind Calculations'!O27+'Com-Ind Calculations'!P27+'Com-Ind Calculations'!Q27))))</f>
        <v>1168.0000000000005</v>
      </c>
      <c r="T27" s="95">
        <f>IF(AND(O27="NA",P27="NA",R27="NA"),"NA",IF(O27="NA",'Com-Ind Equations'!$B$45/R27,IF(R27="NA",'Com-Ind Equations'!$B$45/(O27+P27),'Com-Ind Equations'!$B$45/(O27+P27+R27))))</f>
        <v>1168.0000000000005</v>
      </c>
      <c r="U27" s="97">
        <f t="shared" si="1"/>
        <v>1168.0000000000005</v>
      </c>
      <c r="V27" s="101">
        <f t="shared" si="3"/>
        <v>1168.0000000000005</v>
      </c>
      <c r="W27" s="105">
        <f t="shared" si="4"/>
        <v>1200</v>
      </c>
      <c r="X27" s="100" t="str">
        <f t="shared" si="2"/>
        <v>Noncancer</v>
      </c>
      <c r="Y27" s="70"/>
    </row>
    <row r="28" spans="1:26">
      <c r="A28" s="67" t="s">
        <v>188</v>
      </c>
      <c r="B28" s="566" t="s">
        <v>189</v>
      </c>
      <c r="C28" s="85">
        <f>1/(('Com-Ind Equations'!$B$123*3600)/(0.036*(1-'Com-Ind Equations'!$B$124)*(('Com-Ind Equations'!$B$125/'Com-Ind Equations'!$B$126)^3)*'Com-Ind Equations'!$B$127))</f>
        <v>1.4713536180231943E-9</v>
      </c>
      <c r="D28" s="90">
        <f>(('Com-Ind Equations'!$B$103^(10/3)*'Chemical Info'!AH29*'Chemical Info'!AN29*41+'Com-Ind Equations'!$B$106^(10/3)*'Chemical Info'!AJ29)/'Com-Ind Equations'!$B$108^2)/('Com-Ind Equations'!$B$110*'Chemical Info'!AL29*'Com-Ind Equations'!$B$113+'Com-Ind Equations'!$B$106+'Com-Ind Equations'!$B$103*'Chemical Info'!AN29*41)</f>
        <v>0</v>
      </c>
      <c r="E28" s="65" t="str">
        <f>IF(D28=0,"NA",1/(('Com-Ind Equations'!$B$74*(3.14*D28*'Com-Ind Equations'!$B$76)^(1/2)*0.0001)/(2*'Com-Ind Equations'!$B$77*D28)))</f>
        <v>NA</v>
      </c>
      <c r="F28" s="65" t="str">
        <f>IF(D28=0,"NA",(1/('Com-Ind Equations'!$B$88*('Com-Ind Equations'!$B$89*(31500000))/('Com-Ind Equations'!$B$90*'Com-Ind Equations'!$B$91*1000000))))</f>
        <v>NA</v>
      </c>
      <c r="G28" s="95" t="str">
        <f>IF('Chemical Info'!E29="Yes",('Chemical Info'!AP29/'Com-Ind Equations'!$B$139)*((('Chemical Info'!AL29*'Com-Ind Equations'!$B$141)*'Com-Ind Equations'!$B$139)+'Com-Ind Equations'!$B$142+('Chemical Info'!AN29*41)*'Com-Ind Equations'!$B$144),"NA")</f>
        <v>NA</v>
      </c>
      <c r="H28" s="112" t="str">
        <f>IF('Chemical Info'!H29="NA","NA",IF('Chemical Info'!E29="Yes",'Chemical Info'!H29*'Chemical Info'!AD29*'Com-Ind Equations'!$B$18*'Com-Ind Equations'!$B$22*(('Com-Ind Equations'!$B$24*'Com-Ind Equations'!$B$25)/'Com-Ind Equations'!$B$26),'Chemical Info'!H29*'Chemical Info'!AD29*'Com-Ind Equations'!$B$17*'Com-Ind Equations'!$B$22*('Com-Ind Equations'!$B$24*'Com-Ind Equations'!$B$25/'Com-Ind Equations'!$B$26)))</f>
        <v>NA</v>
      </c>
      <c r="I28" s="108" t="str">
        <f>IF('Chemical Info'!H29="NA","NA",IF('Chemical Info'!E29="Yes",0,('Chemical Info'!H29/'Chemical Info'!AF29)*'Com-Ind Equations'!$B$19*'Chemical Info'!AB29*'Com-Ind Equations'!$B$22*(('Com-Ind Equations'!$B$24*'Com-Ind Equations'!$B$29*'Com-Ind Equations'!$B$30)/'Com-Ind Equations'!$B$26)))</f>
        <v>NA</v>
      </c>
      <c r="J28" s="115" t="str">
        <f>IF('Chemical Info'!J29="NA","NA",IF(E28="NA",'Com-Ind Equations'!$B$20*1000*'Com-Ind Equations'!$B$24*'Com-Ind Equations'!$B$21*'Chemical Info'!J29*'Com-Ind Calculations'!C28,IF('Chemical Info'!E29="Yes",'Com-Ind Equations'!$B$20*1000*'Com-Ind Equations'!$B$24*'Com-Ind Equations'!$B$21*'Chemical Info'!J29*'Com-Ind Calculations'!E28,'Com-Ind Equations'!$B$20*1000*'Com-Ind Equations'!$B$24*'Com-Ind Equations'!$B$21*'Chemical Info'!J29*('Com-Ind Calculations'!C28+'Com-Ind Calculations'!E28))))</f>
        <v>NA</v>
      </c>
      <c r="K28" s="117" t="str">
        <f>IF('Chemical Info'!J29="NA","NA",IF(F28="NA",'Com-Ind Equations'!$B$20*1000*'Com-Ind Equations'!$B$24*'Com-Ind Equations'!$B$21*'Chemical Info'!J29*'Com-Ind Calculations'!C28,IF('Chemical Info'!E29="Yes",'Com-Ind Equations'!$B$20*1000*'Com-Ind Equations'!$B$24*'Com-Ind Equations'!$B$21*'Chemical Info'!J29*'Com-Ind Calculations'!F28,'Com-Ind Equations'!$B$20*1000*'Com-Ind Equations'!$B$24*'Com-Ind Equations'!$B$21*'Chemical Info'!J29*('Com-Ind Calculations'!C28+'Com-Ind Calculations'!F28))))</f>
        <v>NA</v>
      </c>
      <c r="L28" s="95" t="str">
        <f>IF(AND(H28="NA",I28="NA",J28="NA"),"NA",IF(H28="NA",'Com-Ind Equations'!$B$13*'Com-Ind Equations'!$B$14/J28,IF(J28="NA",'Com-Ind Equations'!$B$13*'Com-Ind Equations'!$B$14/(H28+I28),'Com-Ind Equations'!$B$13*'Com-Ind Equations'!$B$14/(H28+I28+J28))))</f>
        <v>NA</v>
      </c>
      <c r="M28" s="95" t="str">
        <f>IF(AND(H28="NA",I28="NA",K28="NA"),"NA",IF(H28="NA",'Com-Ind Equations'!$B$13*'Com-Ind Equations'!$B$14/K28,IF(K28="NA",'Com-Ind Equations'!$B$13*'Com-Ind Equations'!$B$14/(H28+I28),'Com-Ind Equations'!$B$13*'Com-Ind Equations'!$B$14/(H28+I28+K28))))</f>
        <v>NA</v>
      </c>
      <c r="N28" s="95" t="str">
        <f t="shared" si="0"/>
        <v>NA</v>
      </c>
      <c r="O28" s="94">
        <f>IF('Chemical Info'!L29="NA","NA",IF('Chemical Info'!E29="Yes",(('Com-Ind Equations'!$B$46*'Chemical Info'!AD29*'Com-Ind Equations'!$B$48*'Com-Ind Equations'!$B$49*'Com-Ind Equations'!$B$51)/('Com-Ind Equations'!$B$55*'Com-Ind Equations'!$B$56))/'Chemical Info'!L29,(('Com-Ind Equations'!$B$46*'Chemical Info'!AD29*'Com-Ind Equations'!$B$48*'Com-Ind Equations'!$B$49*'Com-Ind Equations'!$B$50)/('Com-Ind Equations'!$B$55*'Com-Ind Equations'!$B$56))/'Chemical Info'!L29))</f>
        <v>1.9910799617712645E-6</v>
      </c>
      <c r="P28" s="90">
        <f>IF('Chemical Info'!L29="NA","NA", IF('Chemical Info'!E29="Yes",0,((('Com-Ind Equations'!$B$58*'Com-Ind Equations'!$B$59*'Com-Ind Equations'!$B$48*'Com-Ind Equations'!$B$52*'Com-Ind Equations'!$B$49*'Chemical Info'!AB29)/('Com-Ind Equations'!$B$55*'Com-Ind Equations'!$B$56))/('Chemical Info'!L29*'Chemical Info'!AF29))))</f>
        <v>0</v>
      </c>
      <c r="Q28" s="90" t="str">
        <f>IF('Chemical Info'!N29="NA","NA",IF('Com-Ind Calculations'!E28="NA",(('Com-Ind Equations'!$B$53*'Com-Ind Equations'!$B$49*'Com-Ind Equations'!$B$54*'Com-Ind Calculations'!C28)/('Com-Ind Equations'!$B$56))/('Chemical Info'!N29),IF('Chemical Info'!E29="Yes",(('Com-Ind Equations'!$B$53*'Com-Ind Equations'!$B$49*'Com-Ind Equations'!$B$54*'Com-Ind Calculations'!E28)/('Com-Ind Equations'!$B$56))/('Chemical Info'!N29),(('Com-Ind Equations'!$B$53*'Com-Ind Equations'!$B$49*'Com-Ind Equations'!$B$54*('Com-Ind Calculations'!C28+'Com-Ind Calculations'!E28))/('Com-Ind Equations'!$B$56))/('Chemical Info'!N29))))</f>
        <v>NA</v>
      </c>
      <c r="R28" s="90" t="str">
        <f>IF('Chemical Info'!N29="NA","NA",IF('Com-Ind Calculations'!F28="NA",(('Com-Ind Equations'!$B$53*'Com-Ind Equations'!$B$49*'Com-Ind Equations'!$B$54*'Com-Ind Calculations'!C28)/('Com-Ind Equations'!$B$56))/('Chemical Info'!N29),IF('Chemical Info'!E29="Yes",(('Com-Ind Equations'!$B$53*'Com-Ind Equations'!$B$49*'Com-Ind Equations'!$B$54*'Com-Ind Calculations'!F28)/('Com-Ind Equations'!$B$56))/('Chemical Info'!N29),(('Com-Ind Equations'!$B$53*'Com-Ind Equations'!$B$49*'Com-Ind Equations'!$B$54*('Com-Ind Calculations'!C28+'Com-Ind Calculations'!F28))/('Com-Ind Equations'!$B$56))/('Chemical Info'!N29))))</f>
        <v>NA</v>
      </c>
      <c r="S28" s="90">
        <f>IF(AND(O28="NA",P28="NA",Q28="NA"),"NA",IF(O28="NA",'Com-Ind Equations'!$B$45/'Com-Ind Calculations'!Q28,IF('Com-Ind Calculations'!Q28="NA",'Com-Ind Equations'!$B$45/('Com-Ind Calculations'!O28+'Com-Ind Calculations'!P28),'Com-Ind Equations'!$B$45/('Com-Ind Calculations'!O28+'Com-Ind Calculations'!P28+'Com-Ind Calculations'!Q28))))</f>
        <v>100448.00000000001</v>
      </c>
      <c r="T28" s="95">
        <f>IF(AND(O28="NA",P28="NA",R28="NA"),"NA",IF(O28="NA",'Com-Ind Equations'!$B$45/R28,IF(R28="NA",'Com-Ind Equations'!$B$45/(O28+P28),'Com-Ind Equations'!$B$45/(O28+P28+R28))))</f>
        <v>100448.00000000001</v>
      </c>
      <c r="U28" s="97">
        <f t="shared" si="1"/>
        <v>100448.00000000001</v>
      </c>
      <c r="V28" s="101">
        <f t="shared" si="3"/>
        <v>100448.00000000001</v>
      </c>
      <c r="W28" s="105">
        <f t="shared" si="4"/>
        <v>100000</v>
      </c>
      <c r="X28" s="100" t="str">
        <f t="shared" si="2"/>
        <v>Max Limit</v>
      </c>
      <c r="Y28" s="70"/>
    </row>
    <row r="29" spans="1:26" s="2" customFormat="1">
      <c r="A29" s="67" t="s">
        <v>190</v>
      </c>
      <c r="B29" s="566" t="s">
        <v>114</v>
      </c>
      <c r="C29" s="85">
        <f>1/(('Com-Ind Equations'!$B$123*3600)/(0.036*(1-'Com-Ind Equations'!$B$124)*(('Com-Ind Equations'!$B$125/'Com-Ind Equations'!$B$126)^3)*'Com-Ind Equations'!$B$127))</f>
        <v>1.4713536180231943E-9</v>
      </c>
      <c r="D29" s="115">
        <f>(('Com-Ind Equations'!$B$103^(10/3)*'Chemical Info'!AH30*'Chemical Info'!AN30*41+'Com-Ind Equations'!$B$106^(10/3)*'Chemical Info'!AJ30)/'Com-Ind Equations'!$B$108^2)/('Com-Ind Equations'!$B$110*'Chemical Info'!AL30*'Com-Ind Equations'!$B$113+'Com-Ind Equations'!$B$106+'Com-Ind Equations'!$B$103*'Chemical Info'!AN30*41)</f>
        <v>0</v>
      </c>
      <c r="E29" s="160" t="str">
        <f>IF(D29=0,"NA",1/(('Com-Ind Equations'!$B$74*(3.14*D29*'Com-Ind Equations'!$B$76)^(1/2)*0.0001)/(2*'Com-Ind Equations'!$B$77*D29)))</f>
        <v>NA</v>
      </c>
      <c r="F29" s="160" t="str">
        <f>IF(D29=0,"NA",(1/('Com-Ind Equations'!$B$88*('Com-Ind Equations'!$B$89*(31500000))/('Com-Ind Equations'!$B$90*'Com-Ind Equations'!$B$91*1000000))))</f>
        <v>NA</v>
      </c>
      <c r="G29" s="151" t="str">
        <f>IF('Chemical Info'!E30="Yes",('Chemical Info'!AP30/'Com-Ind Equations'!$B$139)*((('Chemical Info'!AL30*'Com-Ind Equations'!$B$141)*'Com-Ind Equations'!$B$139)+'Com-Ind Equations'!$B$142+('Chemical Info'!AN30*41)*'Com-Ind Equations'!$B$144),"NA")</f>
        <v>NA</v>
      </c>
      <c r="H29" s="161" t="str">
        <f>IF('Chemical Info'!H30="NA","NA",IF('Chemical Info'!E30="Yes",'Chemical Info'!H30*'Chemical Info'!AD30*'Com-Ind Equations'!$B$18*'Com-Ind Equations'!$B$22*(('Com-Ind Equations'!$B$24*'Com-Ind Equations'!$B$25)/'Com-Ind Equations'!$B$26),'Chemical Info'!H30*'Chemical Info'!AD30*'Com-Ind Equations'!$B$17*'Com-Ind Equations'!$B$22*('Com-Ind Equations'!$B$24*'Com-Ind Equations'!$B$25/'Com-Ind Equations'!$B$26)))</f>
        <v>NA</v>
      </c>
      <c r="I29" s="114" t="str">
        <f>IF('Chemical Info'!H30="NA","NA",IF('Chemical Info'!E30="Yes",0,('Chemical Info'!H30/'Chemical Info'!AF30)*'Com-Ind Equations'!$B$19*'Chemical Info'!AB30*'Com-Ind Equations'!$B$22*(('Com-Ind Equations'!$B$24*'Com-Ind Equations'!$B$29*'Com-Ind Equations'!$B$30)/'Com-Ind Equations'!$B$26)))</f>
        <v>NA</v>
      </c>
      <c r="J29" s="115" t="str">
        <f>IF('Chemical Info'!J30="NA","NA",IF(E29="NA",'Com-Ind Equations'!$B$20*1000*'Com-Ind Equations'!$B$24*'Com-Ind Equations'!$B$21*'Chemical Info'!J30*'Com-Ind Calculations'!C29,IF('Chemical Info'!E30="Yes",'Com-Ind Equations'!$B$20*1000*'Com-Ind Equations'!$B$24*'Com-Ind Equations'!$B$21*'Chemical Info'!J30*'Com-Ind Calculations'!E29,'Com-Ind Equations'!$B$20*1000*'Com-Ind Equations'!$B$24*'Com-Ind Equations'!$B$21*'Chemical Info'!J30*('Com-Ind Calculations'!C29+'Com-Ind Calculations'!E29))))</f>
        <v>NA</v>
      </c>
      <c r="K29" s="117" t="str">
        <f>IF('Chemical Info'!J30="NA","NA",IF(F29="NA",'Com-Ind Equations'!$B$20*1000*'Com-Ind Equations'!$B$24*'Com-Ind Equations'!$B$21*'Chemical Info'!J30*'Com-Ind Calculations'!C29,IF('Chemical Info'!E30="Yes",'Com-Ind Equations'!$B$20*1000*'Com-Ind Equations'!$B$24*'Com-Ind Equations'!$B$21*'Chemical Info'!J30*'Com-Ind Calculations'!F29,'Com-Ind Equations'!$B$20*1000*'Com-Ind Equations'!$B$24*'Com-Ind Equations'!$B$21*'Chemical Info'!J30*('Com-Ind Calculations'!C29+'Com-Ind Calculations'!F29))))</f>
        <v>NA</v>
      </c>
      <c r="L29" s="151" t="str">
        <f>IF(AND(H29="NA",I29="NA",J29="NA"),"NA",IF(H29="NA",'Com-Ind Equations'!$B$13*'Com-Ind Equations'!$B$14/J29,IF(J29="NA",'Com-Ind Equations'!$B$13*'Com-Ind Equations'!$B$14/(H29+I29),'Com-Ind Equations'!$B$13*'Com-Ind Equations'!$B$14/(H29+I29+J29))))</f>
        <v>NA</v>
      </c>
      <c r="M29" s="151" t="str">
        <f>IF(AND(H29="NA",I29="NA",K29="NA"),"NA",IF(H29="NA",'Com-Ind Equations'!$B$13*'Com-Ind Equations'!$B$14/K29,IF(K29="NA",'Com-Ind Equations'!$B$13*'Com-Ind Equations'!$B$14/(H29+I29),'Com-Ind Equations'!$B$13*'Com-Ind Equations'!$B$14/(H29+I29+K29))))</f>
        <v>NA</v>
      </c>
      <c r="N29" s="151" t="str">
        <f t="shared" si="0"/>
        <v>NA</v>
      </c>
      <c r="O29" s="162">
        <f>IF('Chemical Info'!L30="NA","NA",IF('Chemical Info'!E30="Yes",(('Com-Ind Equations'!$B$46*'Chemical Info'!AD30*'Com-Ind Equations'!$B$48*'Com-Ind Equations'!$B$49*'Com-Ind Equations'!$B$51)/('Com-Ind Equations'!$B$55*'Com-Ind Equations'!$B$56))/'Chemical Info'!L30,(('Com-Ind Equations'!$B$46*'Chemical Info'!AD30*'Com-Ind Equations'!$B$48*'Com-Ind Equations'!$B$49*'Com-Ind Equations'!$B$50)/('Com-Ind Equations'!$B$55*'Com-Ind Equations'!$B$56))/'Chemical Info'!L30))</f>
        <v>8.5616438356164351E-2</v>
      </c>
      <c r="P29" s="115">
        <f>IF('Chemical Info'!L30="NA","NA", IF('Chemical Info'!E30="Yes",0,((('Com-Ind Equations'!$B$58*'Com-Ind Equations'!$B$59*'Com-Ind Equations'!$B$48*'Com-Ind Equations'!$B$52*'Com-Ind Equations'!$B$49*'Chemical Info'!AB30)/('Com-Ind Equations'!$B$55*'Com-Ind Equations'!$B$56))/('Chemical Info'!L30*'Chemical Info'!AF30))))</f>
        <v>0</v>
      </c>
      <c r="Q29" s="90" t="str">
        <f>IF('Chemical Info'!N30="NA","NA",IF('Com-Ind Calculations'!E29="NA",(('Com-Ind Equations'!$B$53*'Com-Ind Equations'!$B$49*'Com-Ind Equations'!$B$54*'Com-Ind Calculations'!C29)/('Com-Ind Equations'!$B$56))/('Chemical Info'!N30),IF('Chemical Info'!E30="Yes",(('Com-Ind Equations'!$B$53*'Com-Ind Equations'!$B$49*'Com-Ind Equations'!$B$54*'Com-Ind Calculations'!E29)/('Com-Ind Equations'!$B$56))/('Chemical Info'!N30),(('Com-Ind Equations'!$B$53*'Com-Ind Equations'!$B$49*'Com-Ind Equations'!$B$54*('Com-Ind Calculations'!C29+'Com-Ind Calculations'!E29))/('Com-Ind Equations'!$B$56))/('Chemical Info'!N30))))</f>
        <v>NA</v>
      </c>
      <c r="R29" s="90" t="str">
        <f>IF('Chemical Info'!N30="NA","NA",IF('Com-Ind Calculations'!F29="NA",(('Com-Ind Equations'!$B$53*'Com-Ind Equations'!$B$49*'Com-Ind Equations'!$B$54*'Com-Ind Calculations'!C29)/('Com-Ind Equations'!$B$56))/('Chemical Info'!N30),IF('Chemical Info'!E30="Yes",(('Com-Ind Equations'!$B$53*'Com-Ind Equations'!$B$49*'Com-Ind Equations'!$B$54*'Com-Ind Calculations'!F29)/('Com-Ind Equations'!$B$56))/('Chemical Info'!N30),(('Com-Ind Equations'!$B$53*'Com-Ind Equations'!$B$49*'Com-Ind Equations'!$B$54*('Com-Ind Calculations'!C29+'Com-Ind Calculations'!F29))/('Com-Ind Equations'!$B$56))/('Chemical Info'!N30))))</f>
        <v>NA</v>
      </c>
      <c r="S29" s="115">
        <f>IF(AND(O29="NA",P29="NA",Q29="NA"),"NA",IF(O29="NA",'Com-Ind Equations'!$B$45/'Com-Ind Calculations'!Q29,IF('Com-Ind Calculations'!Q29="NA",'Com-Ind Equations'!$B$45/('Com-Ind Calculations'!O29+'Com-Ind Calculations'!P29),'Com-Ind Equations'!$B$45/('Com-Ind Calculations'!O29+'Com-Ind Calculations'!P29+'Com-Ind Calculations'!Q29))))</f>
        <v>2.3360000000000012</v>
      </c>
      <c r="T29" s="151">
        <f>IF(AND(O29="NA",P29="NA",R29="NA"),"NA",IF(O29="NA",'Com-Ind Equations'!$B$45/R29,IF(R29="NA",'Com-Ind Equations'!$B$45/(O29+P29),'Com-Ind Equations'!$B$45/(O29+P29+R29))))</f>
        <v>2.3360000000000012</v>
      </c>
      <c r="U29" s="163">
        <f t="shared" si="1"/>
        <v>2.3360000000000012</v>
      </c>
      <c r="V29" s="101">
        <f t="shared" si="3"/>
        <v>2.3360000000000012</v>
      </c>
      <c r="W29" s="105">
        <f t="shared" si="4"/>
        <v>2.2999999999999998</v>
      </c>
      <c r="X29" s="100" t="str">
        <f t="shared" si="2"/>
        <v>Noncancer</v>
      </c>
      <c r="Y29" s="72"/>
      <c r="Z29" s="164"/>
    </row>
    <row r="30" spans="1:26">
      <c r="A30" s="67" t="s">
        <v>54</v>
      </c>
      <c r="B30" s="62" t="s">
        <v>114</v>
      </c>
      <c r="C30" s="85">
        <f>1/(('Com-Ind Equations'!$B$123*3600)/(0.036*(1-'Com-Ind Equations'!$B$124)*(('Com-Ind Equations'!$B$125/'Com-Ind Equations'!$B$126)^3)*'Com-Ind Equations'!$B$127))</f>
        <v>1.4713536180231943E-9</v>
      </c>
      <c r="D30" s="115">
        <f>(('Com-Ind Equations'!$B$103^(10/3)*'Chemical Info'!AH31*'Chemical Info'!AN31*41+'Com-Ind Equations'!$B$106^(10/3)*'Chemical Info'!AJ31)/'Com-Ind Equations'!$B$108^2)/('Com-Ind Equations'!$B$110*'Chemical Info'!AL31*'Com-Ind Equations'!$B$113+'Com-Ind Equations'!$B$106+'Com-Ind Equations'!$B$103*'Chemical Info'!AN31*41)</f>
        <v>0</v>
      </c>
      <c r="E30" s="160" t="str">
        <f>IF(D30=0,"NA",1/(('Com-Ind Equations'!$B$74*(3.14*D30*'Com-Ind Equations'!$B$76)^(1/2)*0.0001)/(2*'Com-Ind Equations'!$B$77*D30)))</f>
        <v>NA</v>
      </c>
      <c r="F30" s="160" t="str">
        <f>IF(D30=0,"NA",(1/('Com-Ind Equations'!$B$88*('Com-Ind Equations'!$B$89*(31500000))/('Com-Ind Equations'!$B$90*'Com-Ind Equations'!$B$91*1000000))))</f>
        <v>NA</v>
      </c>
      <c r="G30" s="151" t="str">
        <f>IF('Chemical Info'!E31="Yes",('Chemical Info'!AP31/'Com-Ind Equations'!$B$139)*((('Chemical Info'!AL31*'Com-Ind Equations'!$B$141)*'Com-Ind Equations'!$B$139)+'Com-Ind Equations'!$B$142+('Chemical Info'!AN31*41)*'Com-Ind Equations'!$B$144),"NA")</f>
        <v>NA</v>
      </c>
      <c r="H30" s="161" t="str">
        <f>IF('Chemical Info'!H31="NA","NA",IF('Chemical Info'!E31="Yes",'Chemical Info'!H31*'Chemical Info'!AD31*'Com-Ind Equations'!$B$18*'Com-Ind Equations'!$B$22*(('Com-Ind Equations'!$B$24*'Com-Ind Equations'!$B$25)/'Com-Ind Equations'!$B$26),'Chemical Info'!H31*'Chemical Info'!AD31*'Com-Ind Equations'!$B$17*'Com-Ind Equations'!$B$22*('Com-Ind Equations'!$B$24*'Com-Ind Equations'!$B$25/'Com-Ind Equations'!$B$26)))</f>
        <v>NA</v>
      </c>
      <c r="I30" s="114" t="str">
        <f>IF('Chemical Info'!H31="NA","NA",IF('Chemical Info'!E31="Yes",0,('Chemical Info'!H31/'Chemical Info'!AF31)*'Com-Ind Equations'!$B$19*'Chemical Info'!AB31*'Com-Ind Equations'!$B$22*(('Com-Ind Equations'!$B$24*'Com-Ind Equations'!$B$29*'Com-Ind Equations'!$B$30)/'Com-Ind Equations'!$B$26)))</f>
        <v>NA</v>
      </c>
      <c r="J30" s="115" t="str">
        <f>IF('Chemical Info'!J31="NA","NA",IF(E30="NA",'Com-Ind Equations'!$B$20*1000*'Com-Ind Equations'!$B$24*'Com-Ind Equations'!$B$21*'Chemical Info'!J31*'Com-Ind Calculations'!C30,IF('Chemical Info'!E31="Yes",'Com-Ind Equations'!$B$20*1000*'Com-Ind Equations'!$B$24*'Com-Ind Equations'!$B$21*'Chemical Info'!J31*'Com-Ind Calculations'!E30,'Com-Ind Equations'!$B$20*1000*'Com-Ind Equations'!$B$24*'Com-Ind Equations'!$B$21*'Chemical Info'!J31*('Com-Ind Calculations'!C30+'Com-Ind Calculations'!E30))))</f>
        <v>NA</v>
      </c>
      <c r="K30" s="117" t="str">
        <f>IF('Chemical Info'!J31="NA","NA",IF(F30="NA",'Com-Ind Equations'!$B$20*1000*'Com-Ind Equations'!$B$24*'Com-Ind Equations'!$B$21*'Chemical Info'!J31*'Com-Ind Calculations'!C30,IF('Chemical Info'!E31="Yes",'Com-Ind Equations'!$B$20*1000*'Com-Ind Equations'!$B$24*'Com-Ind Equations'!$B$21*'Chemical Info'!J31*'Com-Ind Calculations'!F30,'Com-Ind Equations'!$B$20*1000*'Com-Ind Equations'!$B$24*'Com-Ind Equations'!$B$21*'Chemical Info'!J31*('Com-Ind Calculations'!C30+'Com-Ind Calculations'!F30))))</f>
        <v>NA</v>
      </c>
      <c r="L30" s="151" t="str">
        <f>IF(AND(H30="NA",I30="NA",J30="NA"),"NA",IF(H30="NA",'Com-Ind Equations'!$B$13*'Com-Ind Equations'!$B$14/J30,IF(J30="NA",'Com-Ind Equations'!$B$13*'Com-Ind Equations'!$B$14/(H30+I30),'Com-Ind Equations'!$B$13*'Com-Ind Equations'!$B$14/(H30+I30+J30))))</f>
        <v>NA</v>
      </c>
      <c r="M30" s="151" t="str">
        <f>IF(AND(H30="NA",I30="NA",K30="NA"),"NA",IF(H30="NA",'Com-Ind Equations'!$B$13*'Com-Ind Equations'!$B$14/K30,IF(K30="NA",'Com-Ind Equations'!$B$13*'Com-Ind Equations'!$B$14/(H30+I30),'Com-Ind Equations'!$B$13*'Com-Ind Equations'!$B$14/(H30+I30+K30))))</f>
        <v>NA</v>
      </c>
      <c r="N30" s="151" t="str">
        <f>IF(AND(L30="NA",M30="NA"),"NA",MAX(L30,M30))</f>
        <v>NA</v>
      </c>
      <c r="O30" s="162">
        <f>IF('Chemical Info'!L31="NA","NA",IF('Chemical Info'!E31="Yes",(('Com-Ind Equations'!$B$46*'Chemical Info'!AD31*'Com-Ind Equations'!$B$48*'Com-Ind Equations'!$B$49*'Com-Ind Equations'!$B$51)/('Com-Ind Equations'!$B$55*'Com-Ind Equations'!$B$56))/'Chemical Info'!L31,(('Com-Ind Equations'!$B$46*'Chemical Info'!AD31*'Com-Ind Equations'!$B$48*'Com-Ind Equations'!$B$49*'Com-Ind Equations'!$B$50)/('Com-Ind Equations'!$B$55*'Com-Ind Equations'!$B$56))/'Chemical Info'!L31))</f>
        <v>2.8538812785388124E-6</v>
      </c>
      <c r="P30" s="115">
        <f>IF('Chemical Info'!L31="NA","NA", IF('Chemical Info'!E31="Yes",0,((('Com-Ind Equations'!$B$58*'Com-Ind Equations'!$B$59*'Com-Ind Equations'!$B$48*'Com-Ind Equations'!$B$52*'Com-Ind Equations'!$B$49*'Chemical Info'!AB31)/('Com-Ind Equations'!$B$55*'Com-Ind Equations'!$B$56))/('Chemical Info'!L31*'Chemical Info'!AF31))))</f>
        <v>0</v>
      </c>
      <c r="Q30" s="90" t="str">
        <f>IF('Chemical Info'!N31="NA","NA",IF('Com-Ind Calculations'!E30="NA",(('Com-Ind Equations'!$B$53*'Com-Ind Equations'!$B$49*'Com-Ind Equations'!$B$54*'Com-Ind Calculations'!C30)/('Com-Ind Equations'!$B$56))/('Chemical Info'!N31),IF('Chemical Info'!E31="Yes",(('Com-Ind Equations'!$B$53*'Com-Ind Equations'!$B$49*'Com-Ind Equations'!$B$54*'Com-Ind Calculations'!E30)/('Com-Ind Equations'!$B$56))/('Chemical Info'!N31),(('Com-Ind Equations'!$B$53*'Com-Ind Equations'!$B$49*'Com-Ind Equations'!$B$54*('Com-Ind Calculations'!C30+'Com-Ind Calculations'!E30))/('Com-Ind Equations'!$B$56))/('Chemical Info'!N31))))</f>
        <v>NA</v>
      </c>
      <c r="R30" s="90" t="str">
        <f>IF('Chemical Info'!N31="NA","NA",IF('Com-Ind Calculations'!F30="NA",(('Com-Ind Equations'!$B$53*'Com-Ind Equations'!$B$49*'Com-Ind Equations'!$B$54*'Com-Ind Calculations'!C30)/('Com-Ind Equations'!$B$56))/('Chemical Info'!N31),IF('Chemical Info'!E31="Yes",(('Com-Ind Equations'!$B$53*'Com-Ind Equations'!$B$49*'Com-Ind Equations'!$B$54*'Com-Ind Calculations'!F30)/('Com-Ind Equations'!$B$56))/('Chemical Info'!N31),(('Com-Ind Equations'!$B$53*'Com-Ind Equations'!$B$49*'Com-Ind Equations'!$B$54*('Com-Ind Calculations'!C30+'Com-Ind Calculations'!F30))/('Com-Ind Equations'!$B$56))/('Chemical Info'!N31))))</f>
        <v>NA</v>
      </c>
      <c r="S30" s="115">
        <f>IF(AND(O30="NA",P30="NA",Q30="NA"),"NA",IF(O30="NA",'Com-Ind Equations'!$B$45/'Com-Ind Calculations'!Q30,IF('Com-Ind Calculations'!Q30="NA",'Com-Ind Equations'!$B$45/('Com-Ind Calculations'!O30+'Com-Ind Calculations'!P30),'Com-Ind Equations'!$B$45/('Com-Ind Calculations'!O30+'Com-Ind Calculations'!P30+'Com-Ind Calculations'!Q30))))</f>
        <v>70080.000000000015</v>
      </c>
      <c r="T30" s="151">
        <f>IF(AND(O30="NA",P30="NA",R30="NA"),"NA",IF(O30="NA",'Com-Ind Equations'!$B$45/R30,IF(R30="NA",'Com-Ind Equations'!$B$45/(O30+P30),'Com-Ind Equations'!$B$45/(O30+P30+R30))))</f>
        <v>70080.000000000015</v>
      </c>
      <c r="U30" s="163">
        <f>IF(AND(S30="NA",T30="NA"),"NA",MAX(S30,T30))</f>
        <v>70080.000000000015</v>
      </c>
      <c r="V30" s="101">
        <f>IF(AND(N30="NA",U30="NA",G30="NA"),"NA",MIN(N30,U30,G30))</f>
        <v>70080.000000000015</v>
      </c>
      <c r="W30" s="105">
        <f>IF(V30&gt;100000,100000,IF(ISNUMBER(ROUND(V30*1000000,2-LEN(INT(V30*1000000)))/1000000),ROUND(V30*1000000,2-LEN(INT(V30*1000000)))/1000000,"NA"))</f>
        <v>70000</v>
      </c>
      <c r="X30" s="100" t="str">
        <f>IF(W30=100000,"Max Limit",IF(V30=G30,"Csat",IF(V30=N30,"Cancer",IF(V30=U30,"Noncancer",""))))</f>
        <v>Noncancer</v>
      </c>
      <c r="Y30" s="70"/>
    </row>
    <row r="31" spans="1:26" ht="12">
      <c r="A31" s="67" t="s">
        <v>577</v>
      </c>
      <c r="B31" s="566" t="s">
        <v>55</v>
      </c>
      <c r="C31" s="85">
        <f>1/(('Com-Ind Equations'!$B$123*3600)/(0.036*(1-'Com-Ind Equations'!$B$124)*(('Com-Ind Equations'!$B$125/'Com-Ind Equations'!$B$126)^3)*'Com-Ind Equations'!$B$127))</f>
        <v>1.4713536180231943E-9</v>
      </c>
      <c r="D31" s="90">
        <f>(('Com-Ind Equations'!$B$103^(10/3)*'Chemical Info'!AH32*'Chemical Info'!AN32*41+'Com-Ind Equations'!$B$106^(10/3)*'Chemical Info'!AJ32)/'Com-Ind Equations'!$B$108^2)/('Com-Ind Equations'!$B$110*'Chemical Info'!AL32*'Com-Ind Equations'!$B$113+'Com-Ind Equations'!$B$106+'Com-Ind Equations'!$B$103*'Chemical Info'!AN32*41)</f>
        <v>0</v>
      </c>
      <c r="E31" s="65" t="str">
        <f>IF(D31=0,"NA",1/(('Com-Ind Equations'!$B$74*(3.14*D31*'Com-Ind Equations'!$B$76)^(1/2)*0.0001)/(2*'Com-Ind Equations'!$B$77*D31)))</f>
        <v>NA</v>
      </c>
      <c r="F31" s="65" t="str">
        <f>IF(D31=0,"NA",(1/('Com-Ind Equations'!$B$88*('Com-Ind Equations'!$B$89*(31500000))/('Com-Ind Equations'!$B$90*'Com-Ind Equations'!$B$91*1000000))))</f>
        <v>NA</v>
      </c>
      <c r="G31" s="95" t="s">
        <v>31</v>
      </c>
      <c r="H31" s="112" t="str">
        <f>IF('Chemical Info'!H32="NA","NA",IF('Chemical Info'!E32="Yes",'Chemical Info'!H32*'Chemical Info'!AD32*'Com-Ind Equations'!$B$18*'Com-Ind Equations'!$B$22*(('Com-Ind Equations'!$B$24*'Com-Ind Equations'!$B$25)/'Com-Ind Equations'!$B$26),'Chemical Info'!H32*'Chemical Info'!AD32*'Com-Ind Equations'!$B$17*'Com-Ind Equations'!$B$22*('Com-Ind Equations'!$B$24*'Com-Ind Equations'!$B$25/'Com-Ind Equations'!$B$26)))</f>
        <v>NA</v>
      </c>
      <c r="I31" s="108" t="str">
        <f>IF('Chemical Info'!H32="NA","NA",IF('Chemical Info'!E32="Yes",0,('Chemical Info'!H32/'Chemical Info'!AF32)*'Com-Ind Equations'!$B$19*'Chemical Info'!AB32*'Com-Ind Equations'!$B$22*(('Com-Ind Equations'!$B$24*'Com-Ind Equations'!$B$29*'Com-Ind Equations'!$B$30)/'Com-Ind Equations'!$B$26)))</f>
        <v>NA</v>
      </c>
      <c r="J31" s="115" t="str">
        <f>IF('Chemical Info'!J32="NA","NA",IF(E31="NA",'Com-Ind Equations'!$B$20*1000*'Com-Ind Equations'!$B$24*'Com-Ind Equations'!$B$21*'Chemical Info'!J32*'Com-Ind Calculations'!C31,IF('Chemical Info'!E32="Yes",'Com-Ind Equations'!$B$20*1000*'Com-Ind Equations'!$B$24*'Com-Ind Equations'!$B$21*'Chemical Info'!J32*'Com-Ind Calculations'!E31,'Com-Ind Equations'!$B$20*1000*'Com-Ind Equations'!$B$24*'Com-Ind Equations'!$B$21*'Chemical Info'!J32*('Com-Ind Calculations'!C31+'Com-Ind Calculations'!E31))))</f>
        <v>NA</v>
      </c>
      <c r="K31" s="117" t="str">
        <f>IF('Chemical Info'!J32="NA","NA",IF(F31="NA",'Com-Ind Equations'!$B$20*1000*'Com-Ind Equations'!$B$24*'Com-Ind Equations'!$B$21*'Chemical Info'!J32*'Com-Ind Calculations'!C31,IF('Chemical Info'!E32="Yes",'Com-Ind Equations'!$B$20*1000*'Com-Ind Equations'!$B$24*'Com-Ind Equations'!$B$21*'Chemical Info'!J32*'Com-Ind Calculations'!F31,'Com-Ind Equations'!$B$20*1000*'Com-Ind Equations'!$B$24*'Com-Ind Equations'!$B$21*'Chemical Info'!J32*('Com-Ind Calculations'!C31+'Com-Ind Calculations'!F31))))</f>
        <v>NA</v>
      </c>
      <c r="L31" s="95" t="str">
        <f>IF(AND(H31="NA",I31="NA",J31="NA"),"NA",IF(H31="NA",'Com-Ind Equations'!$B$13*'Com-Ind Equations'!$B$14/J31,IF(J31="NA",'Com-Ind Equations'!$B$13*'Com-Ind Equations'!$B$14/(H31+I31),'Com-Ind Equations'!$B$13*'Com-Ind Equations'!$B$14/(H31+I31+J31))))</f>
        <v>NA</v>
      </c>
      <c r="M31" s="95" t="str">
        <f>IF(AND(H31="NA",I31="NA",K31="NA"),"NA",IF(H31="NA",'Com-Ind Equations'!$B$13*'Com-Ind Equations'!$B$14/K31,IF(K31="NA",'Com-Ind Equations'!$B$13*'Com-Ind Equations'!$B$14/(H31+I31),'Com-Ind Equations'!$B$13*'Com-Ind Equations'!$B$14/(H31+I31+K31))))</f>
        <v>NA</v>
      </c>
      <c r="N31" s="95" t="str">
        <f t="shared" si="0"/>
        <v>NA</v>
      </c>
      <c r="O31" s="94" t="str">
        <f>IF('Chemical Info'!L32="NA","NA",IF('Chemical Info'!E32="Yes",(('Com-Ind Equations'!$B$46*'Chemical Info'!AD32*'Com-Ind Equations'!$B$48*'Com-Ind Equations'!$B$49*'Com-Ind Equations'!$B$51)/('Com-Ind Equations'!$B$55*'Com-Ind Equations'!$B$56))/'Chemical Info'!L32,(('Com-Ind Equations'!$B$46*'Chemical Info'!AD32*'Com-Ind Equations'!$B$48*'Com-Ind Equations'!$B$49*'Com-Ind Equations'!$B$50)/('Com-Ind Equations'!$B$55*'Com-Ind Equations'!$B$56))/'Chemical Info'!L32))</f>
        <v>NA</v>
      </c>
      <c r="P31" s="90" t="str">
        <f>IF('Chemical Info'!L32="NA","NA", IF('Chemical Info'!E32="Yes",0,((('Com-Ind Equations'!$B$58*'Com-Ind Equations'!$B$59*'Com-Ind Equations'!$B$48*'Com-Ind Equations'!$B$52*'Com-Ind Equations'!$B$49*'Chemical Info'!AB32)/('Com-Ind Equations'!$B$55*'Com-Ind Equations'!$B$56))/('Chemical Info'!L32*'Chemical Info'!AF32))))</f>
        <v>NA</v>
      </c>
      <c r="Q31" s="90">
        <f>IF('Chemical Info'!N32="NA","NA",IF('Com-Ind Calculations'!E31="NA",(('Com-Ind Equations'!$B$53*'Com-Ind Equations'!$B$49*'Com-Ind Equations'!$B$54*'Com-Ind Calculations'!C31)/('Com-Ind Equations'!$B$56))/('Chemical Info'!N32),IF('Chemical Info'!E32="Yes",(('Com-Ind Equations'!$B$53*'Com-Ind Equations'!$B$49*'Com-Ind Equations'!$B$54*'Com-Ind Calculations'!E31)/('Com-Ind Equations'!$B$56))/('Chemical Info'!N32),(('Com-Ind Equations'!$B$53*'Com-Ind Equations'!$B$49*'Com-Ind Equations'!$B$54*('Com-Ind Calculations'!C31+'Com-Ind Calculations'!E31))/('Com-Ind Equations'!$B$56))/('Chemical Info'!N32))))</f>
        <v>3.0233293521024538E-6</v>
      </c>
      <c r="R31" s="90">
        <f>IF('Chemical Info'!N32="NA","NA",IF('Com-Ind Calculations'!F31="NA",(('Com-Ind Equations'!$B$53*'Com-Ind Equations'!$B$49*'Com-Ind Equations'!$B$54*'Com-Ind Calculations'!C31)/('Com-Ind Equations'!$B$56))/('Chemical Info'!N32),IF('Chemical Info'!E32="Yes",(('Com-Ind Equations'!$B$53*'Com-Ind Equations'!$B$49*'Com-Ind Equations'!$B$54*'Com-Ind Calculations'!F31)/('Com-Ind Equations'!$B$56))/('Chemical Info'!N32),(('Com-Ind Equations'!$B$53*'Com-Ind Equations'!$B$49*'Com-Ind Equations'!$B$54*('Com-Ind Calculations'!C31+'Com-Ind Calculations'!F31))/('Com-Ind Equations'!$B$56))/('Chemical Info'!N32))))</f>
        <v>3.0233293521024538E-6</v>
      </c>
      <c r="S31" s="90">
        <f>IF(AND(O31="NA",P31="NA",Q31="NA"),"NA",IF(O31="NA",'Com-Ind Equations'!$B$45/'Com-Ind Calculations'!Q31,IF('Com-Ind Calculations'!Q31="NA",'Com-Ind Equations'!$B$45/('Com-Ind Calculations'!O31+'Com-Ind Calculations'!P31),'Com-Ind Equations'!$B$45/('Com-Ind Calculations'!O31+'Com-Ind Calculations'!P31+'Com-Ind Calculations'!Q31))))</f>
        <v>66152.237056448372</v>
      </c>
      <c r="T31" s="95">
        <f>IF(AND(O31="NA",P31="NA",R31="NA"),"NA",IF(O31="NA",'Com-Ind Equations'!$B$45/R31,IF(R31="NA",'Com-Ind Equations'!$B$45/(O31+P31),'Com-Ind Equations'!$B$45/(O31+P31+R31))))</f>
        <v>66152.237056448372</v>
      </c>
      <c r="U31" s="97">
        <f t="shared" si="1"/>
        <v>66152.237056448372</v>
      </c>
      <c r="V31" s="101">
        <f t="shared" si="3"/>
        <v>66152.237056448372</v>
      </c>
      <c r="W31" s="105">
        <f t="shared" si="4"/>
        <v>66000</v>
      </c>
      <c r="X31" s="100" t="str">
        <f t="shared" si="2"/>
        <v>Noncancer</v>
      </c>
      <c r="Y31" s="70"/>
    </row>
    <row r="32" spans="1:26" ht="12">
      <c r="A32" s="67" t="s">
        <v>578</v>
      </c>
      <c r="B32" s="566" t="s">
        <v>243</v>
      </c>
      <c r="C32" s="85">
        <f>1/(('Com-Ind Equations'!$B$123*3600)/(0.036*(1-'Com-Ind Equations'!$B$124)*(('Com-Ind Equations'!$B$125/'Com-Ind Equations'!$B$126)^3)*'Com-Ind Equations'!$B$127))</f>
        <v>1.4713536180231943E-9</v>
      </c>
      <c r="D32" s="90">
        <f>(('Com-Ind Equations'!$B$103^(10/3)*'Chemical Info'!AH33*'Chemical Info'!AN33*41+'Com-Ind Equations'!$B$106^(10/3)*'Chemical Info'!AJ33)/'Com-Ind Equations'!$B$108^2)/('Com-Ind Equations'!$B$110*'Chemical Info'!AL33*'Com-Ind Equations'!$B$113+'Com-Ind Equations'!$B$106+'Com-Ind Equations'!$B$103*'Chemical Info'!AN33*41)</f>
        <v>0</v>
      </c>
      <c r="E32" s="65" t="str">
        <f>IF(D32=0,"NA",1/(('Com-Ind Equations'!$B$74*(3.14*D32*'Com-Ind Equations'!$B$76)^(1/2)*0.0001)/(2*'Com-Ind Equations'!$B$77*D32)))</f>
        <v>NA</v>
      </c>
      <c r="F32" s="65" t="str">
        <f>IF(D32=0,"NA",(1/('Com-Ind Equations'!$B$88*('Com-Ind Equations'!$B$89*(31500000))/('Com-Ind Equations'!$B$90*'Com-Ind Equations'!$B$91*1000000))))</f>
        <v>NA</v>
      </c>
      <c r="G32" s="95" t="str">
        <f>IF('Chemical Info'!E33="Yes",('Chemical Info'!AP33/'Com-Ind Equations'!$B$139)*((('Chemical Info'!AL33*'Com-Ind Equations'!$B$141)*'Com-Ind Equations'!$B$139)+'Com-Ind Equations'!$B$142+('Chemical Info'!AN33*41)*'Com-Ind Equations'!$B$144),"NA")</f>
        <v>NA</v>
      </c>
      <c r="H32" s="112" t="str">
        <f>IF('Chemical Info'!H33="NA","NA",IF('Chemical Info'!E33="Yes",'Chemical Info'!H33*'Chemical Info'!AD33*'Com-Ind Equations'!$B$18*'Com-Ind Equations'!$B$22*(('Com-Ind Equations'!$B$24*'Com-Ind Equations'!$B$25)/'Com-Ind Equations'!$B$26),'Chemical Info'!H33*'Chemical Info'!AD33*'Com-Ind Equations'!$B$17*'Com-Ind Equations'!$B$22*('Com-Ind Equations'!$B$24*'Com-Ind Equations'!$B$25/'Com-Ind Equations'!$B$26)))</f>
        <v>NA</v>
      </c>
      <c r="I32" s="108" t="str">
        <f>IF('Chemical Info'!H33="NA","NA",IF('Chemical Info'!E33="Yes",0,('Chemical Info'!H33/'Chemical Info'!AF33)*'Com-Ind Equations'!$B$19*'Chemical Info'!AB33*'Com-Ind Equations'!$B$22*(('Com-Ind Equations'!$B$24*'Com-Ind Equations'!$B$29*'Com-Ind Equations'!$B$30)/'Com-Ind Equations'!$B$26)))</f>
        <v>NA</v>
      </c>
      <c r="J32" s="115" t="str">
        <f>IF('Chemical Info'!J33="NA","NA",IF(E32="NA",'Com-Ind Equations'!$B$20*1000*'Com-Ind Equations'!$B$24*'Com-Ind Equations'!$B$21*'Chemical Info'!J33*'Com-Ind Calculations'!C32,IF('Chemical Info'!E33="Yes",'Com-Ind Equations'!$B$20*1000*'Com-Ind Equations'!$B$24*'Com-Ind Equations'!$B$21*'Chemical Info'!J33*'Com-Ind Calculations'!E32,'Com-Ind Equations'!$B$20*1000*'Com-Ind Equations'!$B$24*'Com-Ind Equations'!$B$21*'Chemical Info'!J33*('Com-Ind Calculations'!C32+'Com-Ind Calculations'!E32))))</f>
        <v>NA</v>
      </c>
      <c r="K32" s="117" t="str">
        <f>IF('Chemical Info'!J33="NA","NA",IF(F32="NA",'Com-Ind Equations'!$B$20*1000*'Com-Ind Equations'!$B$24*'Com-Ind Equations'!$B$21*'Chemical Info'!J33*'Com-Ind Calculations'!C32,IF('Chemical Info'!E33="Yes",'Com-Ind Equations'!$B$20*1000*'Com-Ind Equations'!$B$24*'Com-Ind Equations'!$B$21*'Chemical Info'!J33*'Com-Ind Calculations'!F32,'Com-Ind Equations'!$B$20*1000*'Com-Ind Equations'!$B$24*'Com-Ind Equations'!$B$21*'Chemical Info'!J33*('Com-Ind Calculations'!C32+'Com-Ind Calculations'!F32))))</f>
        <v>NA</v>
      </c>
      <c r="L32" s="95" t="str">
        <f>IF(AND(H32="NA",I32="NA",J32="NA"),"NA",IF(H32="NA",'Com-Ind Equations'!$B$13*'Com-Ind Equations'!$B$14/J32,IF(J32="NA",'Com-Ind Equations'!$B$13*'Com-Ind Equations'!$B$14/(H32+I32),'Com-Ind Equations'!$B$13*'Com-Ind Equations'!$B$14/(H32+I32+J32))))</f>
        <v>NA</v>
      </c>
      <c r="M32" s="95" t="str">
        <f>IF(AND(H32="NA",I32="NA",K32="NA"),"NA",IF(H32="NA",'Com-Ind Equations'!$B$13*'Com-Ind Equations'!$B$14/K32,IF(K32="NA",'Com-Ind Equations'!$B$13*'Com-Ind Equations'!$B$14/(H32+I32),'Com-Ind Equations'!$B$13*'Com-Ind Equations'!$B$14/(H32+I32+K32))))</f>
        <v>NA</v>
      </c>
      <c r="N32" s="95" t="str">
        <f t="shared" si="0"/>
        <v>NA</v>
      </c>
      <c r="O32" s="94">
        <f>IF('Chemical Info'!L33="NA","NA",IF('Chemical Info'!E33="Yes",(('Com-Ind Equations'!$B$46*'Chemical Info'!AD33*'Com-Ind Equations'!$B$48*'Com-Ind Equations'!$B$49*'Com-Ind Equations'!$B$51)/('Com-Ind Equations'!$B$55*'Com-Ind Equations'!$B$56))/'Chemical Info'!L33,(('Com-Ind Equations'!$B$46*'Chemical Info'!AD33*'Com-Ind Equations'!$B$48*'Com-Ind Equations'!$B$49*'Com-Ind Equations'!$B$50)/('Com-Ind Equations'!$B$55*'Com-Ind Equations'!$B$56))/'Chemical Info'!L33))</f>
        <v>1.2230919765166338E-2</v>
      </c>
      <c r="P32" s="90">
        <f>IF('Chemical Info'!L33="NA","NA", IF('Chemical Info'!E33="Yes",0,((('Com-Ind Equations'!$B$58*'Com-Ind Equations'!$B$59*'Com-Ind Equations'!$B$48*'Com-Ind Equations'!$B$52*'Com-Ind Equations'!$B$49*'Chemical Info'!AB33)/('Com-Ind Equations'!$B$55*'Com-Ind Equations'!$B$56))/('Chemical Info'!L33*'Chemical Info'!AF33))))</f>
        <v>0</v>
      </c>
      <c r="Q32" s="90">
        <f>IF('Chemical Info'!N33="NA","NA",IF('Com-Ind Calculations'!E32="NA",(('Com-Ind Equations'!$B$53*'Com-Ind Equations'!$B$49*'Com-Ind Equations'!$B$54*'Com-Ind Calculations'!C32)/('Com-Ind Equations'!$B$56))/('Chemical Info'!N33),IF('Chemical Info'!E33="Yes",(('Com-Ind Equations'!$B$53*'Com-Ind Equations'!$B$49*'Com-Ind Equations'!$B$54*'Com-Ind Calculations'!E32)/('Com-Ind Equations'!$B$56))/('Chemical Info'!N33),(('Com-Ind Equations'!$B$53*'Com-Ind Equations'!$B$49*'Com-Ind Equations'!$B$54*('Com-Ind Calculations'!C32+'Com-Ind Calculations'!E32))/('Com-Ind Equations'!$B$56))/('Chemical Info'!N33))))</f>
        <v>3.0233293521024538E-6</v>
      </c>
      <c r="R32" s="90">
        <f>IF('Chemical Info'!N33="NA","NA",IF('Com-Ind Calculations'!F32="NA",(('Com-Ind Equations'!$B$53*'Com-Ind Equations'!$B$49*'Com-Ind Equations'!$B$54*'Com-Ind Calculations'!C32)/('Com-Ind Equations'!$B$56))/('Chemical Info'!N33),IF('Chemical Info'!E33="Yes",(('Com-Ind Equations'!$B$53*'Com-Ind Equations'!$B$49*'Com-Ind Equations'!$B$54*'Com-Ind Calculations'!F32)/('Com-Ind Equations'!$B$56))/('Chemical Info'!N33),(('Com-Ind Equations'!$B$53*'Com-Ind Equations'!$B$49*'Com-Ind Equations'!$B$54*('Com-Ind Calculations'!C32+'Com-Ind Calculations'!F32))/('Com-Ind Equations'!$B$56))/('Chemical Info'!N33))))</f>
        <v>3.0233293521024538E-6</v>
      </c>
      <c r="S32" s="90">
        <f>IF(AND(O32="NA",P32="NA",Q32="NA"),"NA",IF(O32="NA",'Com-Ind Equations'!$B$45/'Com-Ind Calculations'!Q32,IF('Com-Ind Calculations'!Q32="NA",'Com-Ind Equations'!$B$45/('Com-Ind Calculations'!O32+'Com-Ind Calculations'!P32),'Com-Ind Equations'!$B$45/('Com-Ind Calculations'!O32+'Com-Ind Calculations'!P32+'Com-Ind Calculations'!Q32))))</f>
        <v>16.347958990393892</v>
      </c>
      <c r="T32" s="95">
        <f>IF(AND(O32="NA",P32="NA",R32="NA"),"NA",IF(O32="NA",'Com-Ind Equations'!$B$45/R32,IF(R32="NA",'Com-Ind Equations'!$B$45/(O32+P32),'Com-Ind Equations'!$B$45/(O32+P32+R32))))</f>
        <v>16.347958990393892</v>
      </c>
      <c r="U32" s="97">
        <f t="shared" si="1"/>
        <v>16.347958990393892</v>
      </c>
      <c r="V32" s="101">
        <f t="shared" si="3"/>
        <v>16.347958990393892</v>
      </c>
      <c r="W32" s="105">
        <f t="shared" si="4"/>
        <v>16</v>
      </c>
      <c r="X32" s="100" t="str">
        <f t="shared" si="2"/>
        <v>Noncancer</v>
      </c>
      <c r="Y32" s="70"/>
    </row>
    <row r="33" spans="1:26" s="106" customFormat="1" ht="12">
      <c r="A33" s="67" t="s">
        <v>579</v>
      </c>
      <c r="B33" s="566" t="s">
        <v>56</v>
      </c>
      <c r="C33" s="85">
        <f>1/(('Com-Ind Equations'!$B$123*3600)/(0.036*(1-'Com-Ind Equations'!$B$124)*(('Com-Ind Equations'!$B$125/'Com-Ind Equations'!$B$126)^3)*'Com-Ind Equations'!$B$127))</f>
        <v>1.4713536180231943E-9</v>
      </c>
      <c r="D33" s="90">
        <f>(('Com-Ind Equations'!$B$103^(10/3)*'Chemical Info'!AH34*'Chemical Info'!AN34*41+'Com-Ind Equations'!$B$106^(10/3)*'Chemical Info'!AJ34)/'Com-Ind Equations'!$B$108^2)/('Com-Ind Equations'!$B$110*'Chemical Info'!AL34*'Com-Ind Equations'!$B$113+'Com-Ind Equations'!$B$106+'Com-Ind Equations'!$B$103*'Chemical Info'!AN34*41)</f>
        <v>0</v>
      </c>
      <c r="E33" s="65" t="str">
        <f>IF(D33=0,"NA",1/(('Com-Ind Equations'!$B$74*(3.14*D33*'Com-Ind Equations'!$B$76)^(1/2)*0.0001)/(2*'Com-Ind Equations'!$B$77*D33)))</f>
        <v>NA</v>
      </c>
      <c r="F33" s="65" t="str">
        <f>IF(D33=0,"NA",(1/('Com-Ind Equations'!$B$88*('Com-Ind Equations'!$B$89*(31500000))/('Com-Ind Equations'!$B$90*'Com-Ind Equations'!$B$91*1000000))))</f>
        <v>NA</v>
      </c>
      <c r="G33" s="95" t="str">
        <f>IF('Chemical Info'!E34="Yes",('Chemical Info'!AP34/'Com-Ind Equations'!$B$139)*((('Chemical Info'!AL34*'Com-Ind Equations'!$B$141)*'Com-Ind Equations'!$B$139)+'Com-Ind Equations'!$B$142+('Chemical Info'!AN34*41)*'Com-Ind Equations'!$B$144),"NA")</f>
        <v>NA</v>
      </c>
      <c r="H33" s="112" t="str">
        <f>IF('Chemical Info'!H34="NA","NA",IF('Chemical Info'!E34="Yes",'Chemical Info'!H34*'Chemical Info'!AD34*'Com-Ind Equations'!$B$18*'Com-Ind Equations'!$B$22*(('Com-Ind Equations'!$B$24*'Com-Ind Equations'!$B$25)/'Com-Ind Equations'!$B$26),'Chemical Info'!H34*'Chemical Info'!AD34*'Com-Ind Equations'!$B$17*'Com-Ind Equations'!$B$22*('Com-Ind Equations'!$B$24*'Com-Ind Equations'!$B$25/'Com-Ind Equations'!$B$26)))</f>
        <v>NA</v>
      </c>
      <c r="I33" s="108" t="str">
        <f>IF('Chemical Info'!H34="NA","NA",IF('Chemical Info'!E34="Yes",0,('Chemical Info'!H34/'Chemical Info'!AF34)*'Com-Ind Equations'!$B$19*'Chemical Info'!AB34*'Com-Ind Equations'!$B$22*(('Com-Ind Equations'!$B$24*'Com-Ind Equations'!$B$29*'Com-Ind Equations'!$B$30)/'Com-Ind Equations'!$B$26)))</f>
        <v>NA</v>
      </c>
      <c r="J33" s="115" t="str">
        <f>IF('Chemical Info'!J34="NA","NA",IF(E33="NA",'Com-Ind Equations'!$B$20*1000*'Com-Ind Equations'!$B$24*'Com-Ind Equations'!$B$21*'Chemical Info'!J34*'Com-Ind Calculations'!C33,IF('Chemical Info'!E34="Yes",'Com-Ind Equations'!$B$20*1000*'Com-Ind Equations'!$B$24*'Com-Ind Equations'!$B$21*'Chemical Info'!J34*'Com-Ind Calculations'!E33,'Com-Ind Equations'!$B$20*1000*'Com-Ind Equations'!$B$24*'Com-Ind Equations'!$B$21*'Chemical Info'!J34*('Com-Ind Calculations'!C33+'Com-Ind Calculations'!E33))))</f>
        <v>NA</v>
      </c>
      <c r="K33" s="117" t="str">
        <f>IF('Chemical Info'!J34="NA","NA",IF(F33="NA",'Com-Ind Equations'!$B$20*1000*'Com-Ind Equations'!$B$24*'Com-Ind Equations'!$B$21*'Chemical Info'!J34*'Com-Ind Calculations'!C33,IF('Chemical Info'!E34="Yes",'Com-Ind Equations'!$B$20*1000*'Com-Ind Equations'!$B$24*'Com-Ind Equations'!$B$21*'Chemical Info'!J34*'Com-Ind Calculations'!F33,'Com-Ind Equations'!$B$20*1000*'Com-Ind Equations'!$B$24*'Com-Ind Equations'!$B$21*'Chemical Info'!J34*('Com-Ind Calculations'!C33+'Com-Ind Calculations'!F33))))</f>
        <v>NA</v>
      </c>
      <c r="L33" s="95" t="str">
        <f>IF(AND(H33="NA",I33="NA",J33="NA"),"NA",IF(H33="NA",'Com-Ind Equations'!$B$13*'Com-Ind Equations'!$B$14/J33,IF(J33="NA",'Com-Ind Equations'!$B$13*'Com-Ind Equations'!$B$14/(H33+I33),'Com-Ind Equations'!$B$13*'Com-Ind Equations'!$B$14/(H33+I33+J33))))</f>
        <v>NA</v>
      </c>
      <c r="M33" s="95" t="str">
        <f>IF(AND(H33="NA",I33="NA",K33="NA"),"NA",IF(H33="NA",'Com-Ind Equations'!$B$13*'Com-Ind Equations'!$B$14/K33,IF(K33="NA",'Com-Ind Equations'!$B$13*'Com-Ind Equations'!$B$14/(H33+I33),'Com-Ind Equations'!$B$13*'Com-Ind Equations'!$B$14/(H33+I33+K33))))</f>
        <v>NA</v>
      </c>
      <c r="N33" s="95" t="str">
        <f t="shared" si="0"/>
        <v>NA</v>
      </c>
      <c r="O33" s="94">
        <f>IF('Chemical Info'!L34="NA","NA",IF('Chemical Info'!E34="Yes",(('Com-Ind Equations'!$B$46*'Chemical Info'!AD34*'Com-Ind Equations'!$B$48*'Com-Ind Equations'!$B$49*'Com-Ind Equations'!$B$51)/('Com-Ind Equations'!$B$55*'Com-Ind Equations'!$B$56))/'Chemical Info'!L34,(('Com-Ind Equations'!$B$46*'Chemical Info'!AD34*'Com-Ind Equations'!$B$48*'Com-Ind Equations'!$B$49*'Com-Ind Equations'!$B$50)/('Com-Ind Equations'!$B$55*'Com-Ind Equations'!$B$56))/'Chemical Info'!L34))</f>
        <v>2.8538812785388124E-6</v>
      </c>
      <c r="P33" s="90">
        <f>IF('Chemical Info'!L34="NA","NA", IF('Chemical Info'!E34="Yes",0,((('Com-Ind Equations'!$B$58*'Com-Ind Equations'!$B$59*'Com-Ind Equations'!$B$48*'Com-Ind Equations'!$B$52*'Com-Ind Equations'!$B$49*'Chemical Info'!AB34)/('Com-Ind Equations'!$B$55*'Com-Ind Equations'!$B$56))/('Chemical Info'!L34*'Chemical Info'!AF34))))</f>
        <v>0</v>
      </c>
      <c r="Q33" s="90" t="str">
        <f>IF('Chemical Info'!N34="NA","NA",IF('Com-Ind Calculations'!E33="NA",(('Com-Ind Equations'!$B$53*'Com-Ind Equations'!$B$49*'Com-Ind Equations'!$B$54*'Com-Ind Calculations'!C33)/('Com-Ind Equations'!$B$56))/('Chemical Info'!N34),IF('Chemical Info'!E34="Yes",(('Com-Ind Equations'!$B$53*'Com-Ind Equations'!$B$49*'Com-Ind Equations'!$B$54*'Com-Ind Calculations'!E33)/('Com-Ind Equations'!$B$56))/('Chemical Info'!N34),(('Com-Ind Equations'!$B$53*'Com-Ind Equations'!$B$49*'Com-Ind Equations'!$B$54*('Com-Ind Calculations'!C33+'Com-Ind Calculations'!E33))/('Com-Ind Equations'!$B$56))/('Chemical Info'!N34))))</f>
        <v>NA</v>
      </c>
      <c r="R33" s="90" t="str">
        <f>IF('Chemical Info'!N34="NA","NA",IF('Com-Ind Calculations'!F33="NA",(('Com-Ind Equations'!$B$53*'Com-Ind Equations'!$B$49*'Com-Ind Equations'!$B$54*'Com-Ind Calculations'!C33)/('Com-Ind Equations'!$B$56))/('Chemical Info'!N34),IF('Chemical Info'!E34="Yes",(('Com-Ind Equations'!$B$53*'Com-Ind Equations'!$B$49*'Com-Ind Equations'!$B$54*'Com-Ind Calculations'!F33)/('Com-Ind Equations'!$B$56))/('Chemical Info'!N34),(('Com-Ind Equations'!$B$53*'Com-Ind Equations'!$B$49*'Com-Ind Equations'!$B$54*('Com-Ind Calculations'!C33+'Com-Ind Calculations'!F33))/('Com-Ind Equations'!$B$56))/('Chemical Info'!N34))))</f>
        <v>NA</v>
      </c>
      <c r="S33" s="90">
        <f>IF(AND(O33="NA",P33="NA",Q33="NA"),"NA",IF(O33="NA",'Com-Ind Equations'!$B$45/'Com-Ind Calculations'!Q33,IF('Com-Ind Calculations'!Q33="NA",'Com-Ind Equations'!$B$45/('Com-Ind Calculations'!O33+'Com-Ind Calculations'!P33),'Com-Ind Equations'!$B$45/('Com-Ind Calculations'!O33+'Com-Ind Calculations'!P33+'Com-Ind Calculations'!Q33))))</f>
        <v>70080.000000000015</v>
      </c>
      <c r="T33" s="95">
        <f>IF(AND(O33="NA",P33="NA",R33="NA"),"NA",IF(O33="NA",'Com-Ind Equations'!$B$45/R33,IF(R33="NA",'Com-Ind Equations'!$B$45/(O33+P33),'Com-Ind Equations'!$B$45/(O33+P33+R33))))</f>
        <v>70080.000000000015</v>
      </c>
      <c r="U33" s="97">
        <f t="shared" si="1"/>
        <v>70080.000000000015</v>
      </c>
      <c r="V33" s="101">
        <f t="shared" si="3"/>
        <v>70080.000000000015</v>
      </c>
      <c r="W33" s="105">
        <f t="shared" si="4"/>
        <v>70000</v>
      </c>
      <c r="X33" s="100" t="str">
        <f t="shared" si="2"/>
        <v>Noncancer</v>
      </c>
      <c r="Y33" s="70"/>
    </row>
    <row r="34" spans="1:26">
      <c r="A34" s="568" t="s">
        <v>364</v>
      </c>
      <c r="B34" s="593"/>
      <c r="C34" s="397"/>
      <c r="D34" s="397"/>
      <c r="E34" s="396"/>
      <c r="F34" s="396"/>
      <c r="G34" s="397"/>
      <c r="H34" s="386"/>
      <c r="I34" s="397"/>
      <c r="J34" s="397"/>
      <c r="K34" s="397"/>
      <c r="L34" s="397"/>
      <c r="M34" s="397"/>
      <c r="N34" s="397"/>
      <c r="O34" s="397"/>
      <c r="P34" s="397"/>
      <c r="Q34" s="397"/>
      <c r="R34" s="397"/>
      <c r="S34" s="397"/>
      <c r="T34" s="397"/>
      <c r="U34" s="397"/>
      <c r="V34" s="398"/>
      <c r="W34" s="399"/>
      <c r="X34" s="400"/>
      <c r="Y34" s="401"/>
    </row>
    <row r="35" spans="1:26">
      <c r="A35" s="67" t="s">
        <v>195</v>
      </c>
      <c r="B35" s="566" t="s">
        <v>196</v>
      </c>
      <c r="C35" s="85">
        <f>1/(('Com-Ind Equations'!$B$123*3600)/(0.036*(1-'Com-Ind Equations'!$B$124)*(('Com-Ind Equations'!$B$125/'Com-Ind Equations'!$B$126)^3)*'Com-Ind Equations'!$B$127))</f>
        <v>1.4713536180231943E-9</v>
      </c>
      <c r="D35" s="90">
        <f>(('Com-Ind Equations'!$B$103^(10/3)*'Chemical Info'!AH36*'Chemical Info'!AN36*41+'Com-Ind Equations'!$B$106^(10/3)*'Chemical Info'!AJ36)/'Com-Ind Equations'!$B$108^2)/('Com-Ind Equations'!$B$110*'Chemical Info'!AL36*'Com-Ind Equations'!$B$113+'Com-Ind Equations'!$B$106+'Com-Ind Equations'!$B$103*'Chemical Info'!AN36*41)</f>
        <v>6.8155405074730161E-5</v>
      </c>
      <c r="E35" s="65">
        <f>IF(D35=0,"NA",1/(('Com-Ind Equations'!$B$74*(3.14*D35*'Com-Ind Equations'!$B$76)^(1/2)*0.0001)/(2*'Com-Ind Equations'!$B$77*D35)))</f>
        <v>4.8459478430128994E-5</v>
      </c>
      <c r="F35" s="65">
        <f>IF(D35=0,"NA",(1/('Com-Ind Equations'!$B$88*('Com-Ind Equations'!$B$89*(31500000))/('Com-Ind Equations'!$B$90*'Com-Ind Equations'!$B$91*1000000))))</f>
        <v>6.1914410640015851E-5</v>
      </c>
      <c r="G35" s="95">
        <f>IF('Chemical Info'!E36="Yes",('Chemical Info'!AP36/'Com-Ind Equations'!$B$139)*((('Chemical Info'!AL36*'Com-Ind Equations'!$B$141)*'Com-Ind Equations'!$B$139)+'Com-Ind Equations'!$B$142+('Chemical Info'!AN36*41)*'Com-Ind Equations'!$B$144),"NA")</f>
        <v>114451.86666666665</v>
      </c>
      <c r="H35" s="112" t="str">
        <f>IF('Chemical Info'!H36="NA","NA",IF('Chemical Info'!E36="Yes",'Chemical Info'!H36*'Chemical Info'!AD36*'Com-Ind Equations'!$B$18*'Com-Ind Equations'!$B$22*(('Com-Ind Equations'!$B$24*'Com-Ind Equations'!$B$25)/'Com-Ind Equations'!$B$26),'Chemical Info'!H36*'Chemical Info'!AD36*'Com-Ind Equations'!$B$17*'Com-Ind Equations'!$B$22*('Com-Ind Equations'!$B$24*'Com-Ind Equations'!$B$25/'Com-Ind Equations'!$B$26)))</f>
        <v>NA</v>
      </c>
      <c r="I35" s="108" t="str">
        <f>IF('Chemical Info'!H36="NA","NA",IF('Chemical Info'!E36="Yes",0,('Chemical Info'!H36/'Chemical Info'!AF36)*'Com-Ind Equations'!$B$19*'Chemical Info'!AB36*'Com-Ind Equations'!$B$22*(('Com-Ind Equations'!$B$24*'Com-Ind Equations'!$B$29*'Com-Ind Equations'!$B$30)/'Com-Ind Equations'!$B$26)))</f>
        <v>NA</v>
      </c>
      <c r="J35" s="115" t="str">
        <f>IF('Chemical Info'!J36="NA","NA",IF(E35="NA",'Com-Ind Equations'!$B$20*1000*'Com-Ind Equations'!$B$24*'Com-Ind Equations'!$B$21*'Chemical Info'!J36*'Com-Ind Calculations'!C35,IF('Chemical Info'!E36="Yes",'Com-Ind Equations'!$B$20*1000*'Com-Ind Equations'!$B$24*'Com-Ind Equations'!$B$21*'Chemical Info'!J36*'Com-Ind Calculations'!E35,'Com-Ind Equations'!$B$20*1000*'Com-Ind Equations'!$B$24*'Com-Ind Equations'!$B$21*'Chemical Info'!J36*('Com-Ind Calculations'!C35+'Com-Ind Calculations'!E35))))</f>
        <v>NA</v>
      </c>
      <c r="K35" s="117" t="str">
        <f>IF('Chemical Info'!J36="NA","NA",IF(F35="NA",'Com-Ind Equations'!$B$20*1000*'Com-Ind Equations'!$B$24*'Com-Ind Equations'!$B$21*'Chemical Info'!J36*'Com-Ind Calculations'!C35,IF('Chemical Info'!E36="Yes",'Com-Ind Equations'!$B$20*1000*'Com-Ind Equations'!$B$24*'Com-Ind Equations'!$B$21*'Chemical Info'!J36*'Com-Ind Calculations'!F35,'Com-Ind Equations'!$B$20*1000*'Com-Ind Equations'!$B$24*'Com-Ind Equations'!$B$21*'Chemical Info'!J36*('Com-Ind Calculations'!C35+'Com-Ind Calculations'!F35))))</f>
        <v>NA</v>
      </c>
      <c r="L35" s="95" t="str">
        <f>IF(AND(H35="NA",I35="NA",J35="NA"),"NA",IF(H35="NA",'Com-Ind Equations'!$B$13*'Com-Ind Equations'!$B$14/J35,IF(J35="NA",'Com-Ind Equations'!$B$13*'Com-Ind Equations'!$B$14/(H35+I35),'Com-Ind Equations'!$B$13*'Com-Ind Equations'!$B$14/(H35+I35+J35))))</f>
        <v>NA</v>
      </c>
      <c r="M35" s="95" t="str">
        <f>IF(AND(H35="NA",I35="NA",K35="NA"),"NA",IF(H35="NA",'Com-Ind Equations'!$B$13*'Com-Ind Equations'!$B$14/K35,IF(K35="NA",'Com-Ind Equations'!$B$13*'Com-Ind Equations'!$B$14/(H35+I35),'Com-Ind Equations'!$B$13*'Com-Ind Equations'!$B$14/(H35+I35+K35))))</f>
        <v>NA</v>
      </c>
      <c r="N35" s="95" t="str">
        <f t="shared" ref="N35:N98" si="10">IF(AND(L35="NA",M35="NA"),"NA",MAX(L35,M35))</f>
        <v>NA</v>
      </c>
      <c r="O35" s="94">
        <f>IF('Chemical Info'!L36="NA","NA",IF('Chemical Info'!E36="Yes",(('Com-Ind Equations'!$B$46*'Chemical Info'!AD36*'Com-Ind Equations'!$B$48*'Com-Ind Equations'!$B$49*'Com-Ind Equations'!$B$51)/('Com-Ind Equations'!$B$55*'Com-Ind Equations'!$B$56))/'Chemical Info'!L36,(('Com-Ind Equations'!$B$46*'Chemical Info'!AD36*'Com-Ind Equations'!$B$48*'Com-Ind Equations'!$B$49*'Com-Ind Equations'!$B$50)/('Com-Ind Equations'!$B$55*'Com-Ind Equations'!$B$56))/'Chemical Info'!L36))</f>
        <v>8.9338892197736753E-7</v>
      </c>
      <c r="P35" s="90">
        <f>IF('Chemical Info'!L36="NA","NA", IF('Chemical Info'!E36="Yes",0,((('Com-Ind Equations'!$B$58*'Com-Ind Equations'!$B$59*'Com-Ind Equations'!$B$48*'Com-Ind Equations'!$B$52*'Com-Ind Equations'!$B$49*'Chemical Info'!AB36)/('Com-Ind Equations'!$B$55*'Com-Ind Equations'!$B$56))/('Chemical Info'!L36*'Chemical Info'!AF36))))</f>
        <v>0</v>
      </c>
      <c r="Q35" s="90" t="str">
        <f>IF('Chemical Info'!N36="NA","NA",IF('Com-Ind Calculations'!E35="NA",(('Com-Ind Equations'!$B$53*'Com-Ind Equations'!$B$49*'Com-Ind Equations'!$B$54*'Com-Ind Calculations'!C35)/('Com-Ind Equations'!$B$56))/('Chemical Info'!N36),IF('Chemical Info'!E36="Yes",(('Com-Ind Equations'!$B$53*'Com-Ind Equations'!$B$49*'Com-Ind Equations'!$B$54*'Com-Ind Calculations'!E35)/('Com-Ind Equations'!$B$56))/('Chemical Info'!N36),(('Com-Ind Equations'!$B$53*'Com-Ind Equations'!$B$49*'Com-Ind Equations'!$B$54*('Com-Ind Calculations'!C35+'Com-Ind Calculations'!E35))/('Com-Ind Equations'!$B$56))/('Chemical Info'!N36))))</f>
        <v>NA</v>
      </c>
      <c r="R35" s="90" t="str">
        <f>IF('Chemical Info'!N36="NA","NA",IF('Com-Ind Calculations'!F35="NA",(('Com-Ind Equations'!$B$53*'Com-Ind Equations'!$B$49*'Com-Ind Equations'!$B$54*'Com-Ind Calculations'!C35)/('Com-Ind Equations'!$B$56))/('Chemical Info'!N36),IF('Chemical Info'!E36="Yes",(('Com-Ind Equations'!$B$53*'Com-Ind Equations'!$B$49*'Com-Ind Equations'!$B$54*'Com-Ind Calculations'!F35)/('Com-Ind Equations'!$B$56))/('Chemical Info'!N36),(('Com-Ind Equations'!$B$53*'Com-Ind Equations'!$B$49*'Com-Ind Equations'!$B$54*('Com-Ind Calculations'!C35+'Com-Ind Calculations'!F35))/('Com-Ind Equations'!$B$56))/('Chemical Info'!N36))))</f>
        <v>NA</v>
      </c>
      <c r="S35" s="90">
        <f>IF(AND(O35="NA",P35="NA",Q35="NA"),"NA",IF(O35="NA",'Com-Ind Equations'!$B$45/'Com-Ind Calculations'!Q35,IF('Com-Ind Calculations'!Q35="NA",'Com-Ind Equations'!$B$45/('Com-Ind Calculations'!O35+'Com-Ind Calculations'!P35),'Com-Ind Equations'!$B$45/('Com-Ind Calculations'!O35+'Com-Ind Calculations'!P35+'Com-Ind Calculations'!Q35))))</f>
        <v>223866.66666666666</v>
      </c>
      <c r="T35" s="95">
        <f>IF(AND(O35="NA",P35="NA",R35="NA"),"NA",IF(O35="NA",'Com-Ind Equations'!$B$45/R35,IF(R35="NA",'Com-Ind Equations'!$B$45/(O35+P35),'Com-Ind Equations'!$B$45/(O35+P35+R35))))</f>
        <v>223866.66666666666</v>
      </c>
      <c r="U35" s="97">
        <f t="shared" ref="U35:U98" si="11">IF(AND(S35="NA",T35="NA"),"NA",MAX(S35,T35))</f>
        <v>223866.66666666666</v>
      </c>
      <c r="V35" s="101">
        <f t="shared" ref="V35:V98" si="12">IF(AND(N35="NA",U35="NA",G35="NA"),"NA",MIN(N35,U35,G35))</f>
        <v>114451.86666666665</v>
      </c>
      <c r="W35" s="105">
        <f t="shared" ref="W35:W98" si="13">IF(V35&gt;100000,100000,IF(ISNUMBER(ROUND(V35*1000000,2-LEN(INT(V35*1000000)))/1000000),ROUND(V35*1000000,2-LEN(INT(V35*1000000)))/1000000,"NA"))</f>
        <v>100000</v>
      </c>
      <c r="X35" s="100" t="str">
        <f t="shared" ref="X35:X78" si="14">IF(W35=100000,"Max Limit",IF(V35=G35,"Csat",IF(V35=N35,"Cancer",IF(V35=U35,"Noncancer",""))))</f>
        <v>Max Limit</v>
      </c>
      <c r="Y35" s="70"/>
    </row>
    <row r="36" spans="1:26">
      <c r="A36" s="67" t="s">
        <v>1161</v>
      </c>
      <c r="B36" s="566" t="s">
        <v>1162</v>
      </c>
      <c r="C36" s="85">
        <f>1/(('Com-Ind Equations'!$B$123*3600)/(0.036*(1-'Com-Ind Equations'!$B$124)*(('Com-Ind Equations'!$B$125/'Com-Ind Equations'!$B$126)^3)*'Com-Ind Equations'!$B$127))</f>
        <v>1.4713536180231943E-9</v>
      </c>
      <c r="D36" s="90">
        <f>(('Com-Ind Equations'!$B$103^(10/3)*'Chemical Info'!AH37*'Chemical Info'!AN37*41+'Com-Ind Equations'!$B$106^(10/3)*'Chemical Info'!AJ37)/'Com-Ind Equations'!$B$108^2)/('Com-Ind Equations'!$B$110*'Chemical Info'!AL37*'Com-Ind Equations'!$B$113+'Com-Ind Equations'!$B$106+'Com-Ind Equations'!$B$103*'Chemical Info'!AN37*41)</f>
        <v>2.1547606096755894E-4</v>
      </c>
      <c r="E36" s="65">
        <f>IF(D36=0,"NA",1/(('Com-Ind Equations'!$B$74*(3.14*D36*'Com-Ind Equations'!$B$76)^(1/2)*0.0001)/(2*'Com-Ind Equations'!$B$77*D36)))</f>
        <v>8.6164445544727804E-5</v>
      </c>
      <c r="F36" s="65">
        <f>IF(D36=0,"NA",(1/('Com-Ind Equations'!$B$88*('Com-Ind Equations'!$B$89*(31500000))/('Com-Ind Equations'!$B$90*'Com-Ind Equations'!$B$91*1000000))))</f>
        <v>6.1914410640015851E-5</v>
      </c>
      <c r="G36" s="95">
        <f>IF('Chemical Info'!E37="Yes",('Chemical Info'!AP37/'Com-Ind Equations'!$B$139)*((('Chemical Info'!AL37*'Com-Ind Equations'!$B$141)*'Com-Ind Equations'!$B$139)+'Com-Ind Equations'!$B$142+('Chemical Info'!AN37*41)*'Com-Ind Equations'!$B$144),"NA")</f>
        <v>10481.216823999999</v>
      </c>
      <c r="H36" s="112">
        <f>IF('Chemical Info'!H37="NA","NA",IF('Chemical Info'!E37="Yes",'Chemical Info'!H37*'Chemical Info'!AD37*'Com-Ind Equations'!$B$18*'Com-Ind Equations'!$B$22*(('Com-Ind Equations'!$B$24*'Com-Ind Equations'!$B$25)/'Com-Ind Equations'!$B$26),'Chemical Info'!H37*'Chemical Info'!AD37*'Com-Ind Equations'!$B$17*'Com-Ind Equations'!$B$22*('Com-Ind Equations'!$B$24*'Com-Ind Equations'!$B$25/'Com-Ind Equations'!$B$26)))</f>
        <v>3.0375000000000003E-3</v>
      </c>
      <c r="I36" s="108">
        <f>IF('Chemical Info'!H37="NA","NA",IF('Chemical Info'!E37="Yes",0,('Chemical Info'!H37/'Chemical Info'!AF37)*'Com-Ind Equations'!$B$19*'Chemical Info'!AB37*'Com-Ind Equations'!$B$22*(('Com-Ind Equations'!$B$24*'Com-Ind Equations'!$B$29*'Com-Ind Equations'!$B$30)/'Com-Ind Equations'!$B$26)))</f>
        <v>0</v>
      </c>
      <c r="J36" s="115">
        <f>IF('Chemical Info'!J37="NA","NA",IF(E36="NA",'Com-Ind Equations'!$B$20*1000*'Com-Ind Equations'!$B$24*'Com-Ind Equations'!$B$21*'Chemical Info'!J37*'Com-Ind Calculations'!C36,IF('Chemical Info'!E37="Yes",'Com-Ind Equations'!$B$20*1000*'Com-Ind Equations'!$B$24*'Com-Ind Equations'!$B$21*'Chemical Info'!J37*'Com-Ind Calculations'!E36,'Com-Ind Equations'!$B$20*1000*'Com-Ind Equations'!$B$24*'Com-Ind Equations'!$B$21*'Chemical Info'!J37*('Com-Ind Calculations'!C36+'Com-Ind Calculations'!E36))))</f>
        <v>1.0985966806952794E-2</v>
      </c>
      <c r="K36" s="117">
        <f>IF('Chemical Info'!J37="NA","NA",IF(F36="NA",'Com-Ind Equations'!$B$20*1000*'Com-Ind Equations'!$B$24*'Com-Ind Equations'!$B$21*'Chemical Info'!J37*'Com-Ind Calculations'!C36,IF('Chemical Info'!E37="Yes",'Com-Ind Equations'!$B$20*1000*'Com-Ind Equations'!$B$24*'Com-Ind Equations'!$B$21*'Chemical Info'!J37*'Com-Ind Calculations'!F36,'Com-Ind Equations'!$B$20*1000*'Com-Ind Equations'!$B$24*'Com-Ind Equations'!$B$21*'Chemical Info'!J37*('Com-Ind Calculations'!C36+'Com-Ind Calculations'!F36))))</f>
        <v>7.8940873566020215E-3</v>
      </c>
      <c r="L36" s="95">
        <f>IF(AND(H36="NA",I36="NA",J36="NA"),"NA",IF(H36="NA",'Com-Ind Equations'!$B$13*'Com-Ind Equations'!$B$14/J36,IF(J36="NA",'Com-Ind Equations'!$B$13*'Com-Ind Equations'!$B$14/(H36+I36),'Com-Ind Equations'!$B$13*'Com-Ind Equations'!$B$14/(H36+I36+J36))))</f>
        <v>18.21946053120929</v>
      </c>
      <c r="M36" s="95">
        <f>IF(AND(H36="NA",I36="NA",K36="NA"),"NA",IF(H36="NA",'Com-Ind Equations'!$B$13*'Com-Ind Equations'!$B$14/K36,IF(K36="NA",'Com-Ind Equations'!$B$13*'Com-Ind Equations'!$B$14/(H36+I36),'Com-Ind Equations'!$B$13*'Com-Ind Equations'!$B$14/(H36+I36+K36))))</f>
        <v>23.372634885060254</v>
      </c>
      <c r="N36" s="95">
        <f t="shared" ref="N36" si="15">IF(AND(L36="NA",M36="NA"),"NA",MAX(L36,M36))</f>
        <v>23.372634885060254</v>
      </c>
      <c r="O36" s="94">
        <f>IF('Chemical Info'!L37="NA","NA",IF('Chemical Info'!E37="Yes",(('Com-Ind Equations'!$B$46*'Chemical Info'!AD37*'Com-Ind Equations'!$B$48*'Com-Ind Equations'!$B$49*'Com-Ind Equations'!$B$51)/('Com-Ind Equations'!$B$55*'Com-Ind Equations'!$B$56))/'Chemical Info'!L37,(('Com-Ind Equations'!$B$46*'Chemical Info'!AD37*'Com-Ind Equations'!$B$48*'Com-Ind Equations'!$B$49*'Com-Ind Equations'!$B$50)/('Com-Ind Equations'!$B$55*'Com-Ind Equations'!$B$56))/'Chemical Info'!L37))</f>
        <v>6.8493150684931494E-3</v>
      </c>
      <c r="P36" s="90">
        <f>IF('Chemical Info'!L37="NA","NA", IF('Chemical Info'!E37="Yes",0,((('Com-Ind Equations'!$B$58*'Com-Ind Equations'!$B$59*'Com-Ind Equations'!$B$48*'Com-Ind Equations'!$B$52*'Com-Ind Equations'!$B$49*'Chemical Info'!AB37)/('Com-Ind Equations'!$B$55*'Com-Ind Equations'!$B$56))/('Chemical Info'!L37*'Chemical Info'!AF37))))</f>
        <v>0</v>
      </c>
      <c r="Q36" s="90">
        <f>IF('Chemical Info'!N37="NA","NA",IF('Com-Ind Calculations'!E36="NA",(('Com-Ind Equations'!$B$53*'Com-Ind Equations'!$B$49*'Com-Ind Equations'!$B$54*'Com-Ind Calculations'!C36)/('Com-Ind Equations'!$B$56))/('Chemical Info'!N37),IF('Chemical Info'!E37="Yes",(('Com-Ind Equations'!$B$53*'Com-Ind Equations'!$B$49*'Com-Ind Equations'!$B$54*'Com-Ind Calculations'!E36)/('Com-Ind Equations'!$B$56))/('Chemical Info'!N37),(('Com-Ind Equations'!$B$53*'Com-Ind Equations'!$B$49*'Com-Ind Equations'!$B$54*('Com-Ind Calculations'!C36+'Com-Ind Calculations'!E36))/('Com-Ind Equations'!$B$56))/('Chemical Info'!N37))))</f>
        <v>8.8525115285679242E-3</v>
      </c>
      <c r="R36" s="90">
        <f>IF('Chemical Info'!N37="NA","NA",IF('Com-Ind Calculations'!F36="NA",(('Com-Ind Equations'!$B$53*'Com-Ind Equations'!$B$49*'Com-Ind Equations'!$B$54*'Com-Ind Calculations'!C36)/('Com-Ind Equations'!$B$56))/('Chemical Info'!N37),IF('Chemical Info'!E37="Yes",(('Com-Ind Equations'!$B$53*'Com-Ind Equations'!$B$49*'Com-Ind Equations'!$B$54*'Com-Ind Calculations'!F36)/('Com-Ind Equations'!$B$56))/('Chemical Info'!N37),(('Com-Ind Equations'!$B$53*'Com-Ind Equations'!$B$49*'Com-Ind Equations'!$B$54*('Com-Ind Calculations'!C36+'Com-Ind Calculations'!F36))/('Com-Ind Equations'!$B$56))/('Chemical Info'!N37))))</f>
        <v>6.3610695863029979E-3</v>
      </c>
      <c r="S36" s="90">
        <f>IF(AND(O36="NA",P36="NA",Q36="NA"),"NA",IF(O36="NA",'Com-Ind Equations'!$B$45/'Com-Ind Calculations'!Q36,IF('Com-Ind Calculations'!Q36="NA",'Com-Ind Equations'!$B$45/('Com-Ind Calculations'!O36+'Com-Ind Calculations'!P36),'Com-Ind Equations'!$B$45/('Com-Ind Calculations'!O36+'Com-Ind Calculations'!P36+'Com-Ind Calculations'!Q36))))</f>
        <v>12.737371589457892</v>
      </c>
      <c r="T36" s="95">
        <f>IF(AND(O36="NA",P36="NA",R36="NA"),"NA",IF(O36="NA",'Com-Ind Equations'!$B$45/R36,IF(R36="NA",'Com-Ind Equations'!$B$45/(O36+P36),'Com-Ind Equations'!$B$45/(O36+P36+R36))))</f>
        <v>15.139604578235218</v>
      </c>
      <c r="U36" s="97">
        <f t="shared" ref="U36" si="16">IF(AND(S36="NA",T36="NA"),"NA",MAX(S36,T36))</f>
        <v>15.139604578235218</v>
      </c>
      <c r="V36" s="101">
        <f t="shared" ref="V36" si="17">IF(AND(N36="NA",U36="NA",G36="NA"),"NA",MIN(N36,U36,G36))</f>
        <v>15.139604578235218</v>
      </c>
      <c r="W36" s="105">
        <f t="shared" ref="W36" si="18">IF(V36&gt;100000,100000,IF(ISNUMBER(ROUND(V36*1000000,2-LEN(INT(V36*1000000)))/1000000),ROUND(V36*1000000,2-LEN(INT(V36*1000000)))/1000000,"NA"))</f>
        <v>15</v>
      </c>
      <c r="X36" s="100" t="str">
        <f t="shared" ref="X36" si="19">IF(W36=100000,"Max Limit",IF(V36=G36,"Csat",IF(V36=N36,"Cancer",IF(V36=U36,"Noncancer",""))))</f>
        <v>Noncancer</v>
      </c>
      <c r="Y36" s="70"/>
    </row>
    <row r="37" spans="1:26">
      <c r="A37" s="67" t="s">
        <v>1119</v>
      </c>
      <c r="B37" s="566" t="s">
        <v>1120</v>
      </c>
      <c r="C37" s="85">
        <f>1/(('Com-Ind Equations'!$B$123*3600)/(0.036*(1-'Com-Ind Equations'!$B$124)*(('Com-Ind Equations'!$B$125/'Com-Ind Equations'!$B$126)^3)*'Com-Ind Equations'!$B$127))</f>
        <v>1.4713536180231943E-9</v>
      </c>
      <c r="D37" s="90">
        <f>(('Com-Ind Equations'!$B$103^(10/3)*'Chemical Info'!AH38*'Chemical Info'!AN38*41+'Com-Ind Equations'!$B$106^(10/3)*'Chemical Info'!AJ38)/'Com-Ind Equations'!$B$108^2)/('Com-Ind Equations'!$B$110*'Chemical Info'!AL38*'Com-Ind Equations'!$B$113+'Com-Ind Equations'!$B$106+'Com-Ind Equations'!$B$103*'Chemical Info'!AN38*41)</f>
        <v>5.0888834409588248E-3</v>
      </c>
      <c r="E37" s="65">
        <f>IF(D37=0,"NA",1/(('Com-Ind Equations'!$B$74*(3.14*D37*'Com-Ind Equations'!$B$76)^(1/2)*0.0001)/(2*'Com-Ind Equations'!$B$77*D37)))</f>
        <v>4.1873555219459088E-4</v>
      </c>
      <c r="F37" s="65">
        <f>IF(D37=0,"NA",(1/('Com-Ind Equations'!$B$88*('Com-Ind Equations'!$B$89*(31500000))/('Com-Ind Equations'!$B$90*'Com-Ind Equations'!$B$91*1000000))))</f>
        <v>6.1914410640015851E-5</v>
      </c>
      <c r="G37" s="95">
        <f>IF('Chemical Info'!E38="Yes",('Chemical Info'!AP38/'Com-Ind Equations'!$B$139)*((('Chemical Info'!AL38*'Com-Ind Equations'!$B$141)*'Com-Ind Equations'!$B$139)+'Com-Ind Equations'!$B$142+('Chemical Info'!AN38*41)*'Com-Ind Equations'!$B$144),"NA")</f>
        <v>1421.4210666666663</v>
      </c>
      <c r="H37" s="112">
        <f>IF('Chemical Info'!H38="NA","NA",IF('Chemical Info'!E38="Yes",'Chemical Info'!H38*'Chemical Info'!AD38*'Com-Ind Equations'!$B$18*'Com-Ind Equations'!$B$22*(('Com-Ind Equations'!$B$24*'Com-Ind Equations'!$B$25)/'Com-Ind Equations'!$B$26),'Chemical Info'!H38*'Chemical Info'!AD38*'Com-Ind Equations'!$B$17*'Com-Ind Equations'!$B$22*('Com-Ind Equations'!$B$24*'Com-Ind Equations'!$B$25/'Com-Ind Equations'!$B$26)))</f>
        <v>1.1812500000000001E-4</v>
      </c>
      <c r="I37" s="108">
        <f>IF('Chemical Info'!H38="NA","NA",IF('Chemical Info'!E38="Yes",0,('Chemical Info'!H38/'Chemical Info'!AF38)*'Com-Ind Equations'!$B$19*'Chemical Info'!AB38*'Com-Ind Equations'!$B$22*(('Com-Ind Equations'!$B$24*'Com-Ind Equations'!$B$29*'Com-Ind Equations'!$B$30)/'Com-Ind Equations'!$B$26)))</f>
        <v>0</v>
      </c>
      <c r="J37" s="115">
        <f>IF('Chemical Info'!J38="NA","NA",IF(E37="NA",'Com-Ind Equations'!$B$20*1000*'Com-Ind Equations'!$B$24*'Com-Ind Equations'!$B$21*'Chemical Info'!J38*'Com-Ind Calculations'!C37,IF('Chemical Info'!E38="Yes",'Com-Ind Equations'!$B$20*1000*'Com-Ind Equations'!$B$24*'Com-Ind Equations'!$B$21*'Chemical Info'!J38*'Com-Ind Calculations'!E37,'Com-Ind Equations'!$B$20*1000*'Com-Ind Equations'!$B$24*'Com-Ind Equations'!$B$21*'Chemical Info'!J38*('Com-Ind Calculations'!C37+'Com-Ind Calculations'!E37))))</f>
        <v>4.7107749621891478E-3</v>
      </c>
      <c r="K37" s="117">
        <f>IF('Chemical Info'!J38="NA","NA",IF(F37="NA",'Com-Ind Equations'!$B$20*1000*'Com-Ind Equations'!$B$24*'Com-Ind Equations'!$B$21*'Chemical Info'!J38*'Com-Ind Calculations'!C37,IF('Chemical Info'!E38="Yes",'Com-Ind Equations'!$B$20*1000*'Com-Ind Equations'!$B$24*'Com-Ind Equations'!$B$21*'Chemical Info'!J38*'Com-Ind Calculations'!F37,'Com-Ind Equations'!$B$20*1000*'Com-Ind Equations'!$B$24*'Com-Ind Equations'!$B$21*'Chemical Info'!J38*('Com-Ind Calculations'!C37+'Com-Ind Calculations'!F37))))</f>
        <v>6.9653711970017827E-4</v>
      </c>
      <c r="L37" s="95">
        <f>IF(AND(H37="NA",I37="NA",J37="NA"),"NA",IF(H37="NA",'Com-Ind Equations'!$B$13*'Com-Ind Equations'!$B$14/J37,IF(J37="NA",'Com-Ind Equations'!$B$13*'Com-Ind Equations'!$B$14/(H37+I37),'Com-Ind Equations'!$B$13*'Com-Ind Equations'!$B$14/(H37+I37+J37))))</f>
        <v>52.910601172232788</v>
      </c>
      <c r="M37" s="95">
        <f>IF(AND(H37="NA",I37="NA",K37="NA"),"NA",IF(H37="NA",'Com-Ind Equations'!$B$13*'Com-Ind Equations'!$B$14/K37,IF(K37="NA",'Com-Ind Equations'!$B$13*'Com-Ind Equations'!$B$14/(H37+I37),'Com-Ind Equations'!$B$13*'Com-Ind Equations'!$B$14/(H37+I37+K37))))</f>
        <v>313.62695505473141</v>
      </c>
      <c r="N37" s="95">
        <f t="shared" ref="N37" si="20">IF(AND(L37="NA",M37="NA"),"NA",MAX(L37,M37))</f>
        <v>313.62695505473141</v>
      </c>
      <c r="O37" s="94">
        <f>IF('Chemical Info'!L38="NA","NA",IF('Chemical Info'!E38="Yes",(('Com-Ind Equations'!$B$46*'Chemical Info'!AD38*'Com-Ind Equations'!$B$48*'Com-Ind Equations'!$B$49*'Com-Ind Equations'!$B$51)/('Com-Ind Equations'!$B$55*'Com-Ind Equations'!$B$56))/'Chemical Info'!L38,(('Com-Ind Equations'!$B$46*'Chemical Info'!AD38*'Com-Ind Equations'!$B$48*'Com-Ind Equations'!$B$49*'Com-Ind Equations'!$B$50)/('Com-Ind Equations'!$B$55*'Com-Ind Equations'!$B$56))/'Chemical Info'!L38))</f>
        <v>1.2328767123287669E-5</v>
      </c>
      <c r="P37" s="90">
        <f>IF('Chemical Info'!L38="NA","NA", IF('Chemical Info'!E38="Yes",0,((('Com-Ind Equations'!$B$58*'Com-Ind Equations'!$B$59*'Com-Ind Equations'!$B$48*'Com-Ind Equations'!$B$52*'Com-Ind Equations'!$B$49*'Chemical Info'!AB38)/('Com-Ind Equations'!$B$55*'Com-Ind Equations'!$B$56))/('Chemical Info'!L38*'Chemical Info'!AF38))))</f>
        <v>0</v>
      </c>
      <c r="Q37" s="90">
        <f>IF('Chemical Info'!N38="NA","NA",IF('Com-Ind Calculations'!E37="NA",(('Com-Ind Equations'!$B$53*'Com-Ind Equations'!$B$49*'Com-Ind Equations'!$B$54*'Com-Ind Calculations'!C37)/('Com-Ind Equations'!$B$56))/('Chemical Info'!N38),IF('Chemical Info'!E38="Yes",(('Com-Ind Equations'!$B$53*'Com-Ind Equations'!$B$49*'Com-Ind Equations'!$B$54*'Com-Ind Calculations'!E37)/('Com-Ind Equations'!$B$56))/('Chemical Info'!N38),(('Com-Ind Equations'!$B$53*'Com-Ind Equations'!$B$49*'Com-Ind Equations'!$B$54*('Com-Ind Calculations'!C37+'Com-Ind Calculations'!E37))/('Com-Ind Equations'!$B$56))/('Chemical Info'!N38))))</f>
        <v>8.6041551820806347E-2</v>
      </c>
      <c r="R37" s="90">
        <f>IF('Chemical Info'!N38="NA","NA",IF('Com-Ind Calculations'!F37="NA",(('Com-Ind Equations'!$B$53*'Com-Ind Equations'!$B$49*'Com-Ind Equations'!$B$54*'Com-Ind Calculations'!C37)/('Com-Ind Equations'!$B$56))/('Chemical Info'!N38),IF('Chemical Info'!E38="Yes",(('Com-Ind Equations'!$B$53*'Com-Ind Equations'!$B$49*'Com-Ind Equations'!$B$54*'Com-Ind Calculations'!F37)/('Com-Ind Equations'!$B$56))/('Chemical Info'!N38),(('Com-Ind Equations'!$B$53*'Com-Ind Equations'!$B$49*'Com-Ind Equations'!$B$54*('Com-Ind Calculations'!C37+'Com-Ind Calculations'!F37))/('Com-Ind Equations'!$B$56))/('Chemical Info'!N38))))</f>
        <v>1.2722139172605996E-2</v>
      </c>
      <c r="S37" s="90">
        <f>IF(AND(O37="NA",P37="NA",Q37="NA"),"NA",IF(O37="NA",'Com-Ind Equations'!$B$45/'Com-Ind Calculations'!Q37,IF('Com-Ind Calculations'!Q37="NA",'Com-Ind Equations'!$B$45/('Com-Ind Calculations'!O37+'Com-Ind Calculations'!P37),'Com-Ind Equations'!$B$45/('Com-Ind Calculations'!O37+'Com-Ind Calculations'!P37+'Com-Ind Calculations'!Q37))))</f>
        <v>2.3241252879425991</v>
      </c>
      <c r="T37" s="95">
        <f>IF(AND(O37="NA",P37="NA",R37="NA"),"NA",IF(O37="NA",'Com-Ind Equations'!$B$45/R37,IF(R37="NA",'Com-Ind Equations'!$B$45/(O37+P37),'Com-Ind Equations'!$B$45/(O37+P37+R37))))</f>
        <v>15.705406849078905</v>
      </c>
      <c r="U37" s="97">
        <f t="shared" ref="U37" si="21">IF(AND(S37="NA",T37="NA"),"NA",MAX(S37,T37))</f>
        <v>15.705406849078905</v>
      </c>
      <c r="V37" s="101">
        <f t="shared" ref="V37" si="22">IF(AND(N37="NA",U37="NA",G37="NA"),"NA",MIN(N37,U37,G37))</f>
        <v>15.705406849078905</v>
      </c>
      <c r="W37" s="105">
        <f t="shared" ref="W37" si="23">IF(V37&gt;100000,100000,IF(ISNUMBER(ROUND(V37*1000000,2-LEN(INT(V37*1000000)))/1000000),ROUND(V37*1000000,2-LEN(INT(V37*1000000)))/1000000,"NA"))</f>
        <v>16</v>
      </c>
      <c r="X37" s="100" t="str">
        <f t="shared" ref="X37" si="24">IF(W37=100000,"Max Limit",IF(V37=G37,"Csat",IF(V37=N37,"Cancer",IF(V37=U37,"Noncancer",""))))</f>
        <v>Noncancer</v>
      </c>
      <c r="Y37" s="70"/>
    </row>
    <row r="38" spans="1:26" s="2" customFormat="1">
      <c r="A38" s="67" t="s">
        <v>226</v>
      </c>
      <c r="B38" s="566" t="s">
        <v>227</v>
      </c>
      <c r="C38" s="85">
        <f>1/(('Com-Ind Equations'!$B$123*3600)/(0.036*(1-'Com-Ind Equations'!$B$124)*(('Com-Ind Equations'!$B$125/'Com-Ind Equations'!$B$126)^3)*'Com-Ind Equations'!$B$127))</f>
        <v>1.4713536180231943E-9</v>
      </c>
      <c r="D38" s="90">
        <f>(('Com-Ind Equations'!$B$103^(10/3)*'Chemical Info'!AH39*'Chemical Info'!AN39*41+'Com-Ind Equations'!$B$106^(10/3)*'Chemical Info'!AJ39)/'Com-Ind Equations'!$B$108^2)/('Com-Ind Equations'!$B$110*'Chemical Info'!AL39*'Com-Ind Equations'!$B$113+'Com-Ind Equations'!$B$106+'Com-Ind Equations'!$B$103*'Chemical Info'!AN39*41)</f>
        <v>1.0182936376944313E-3</v>
      </c>
      <c r="E38" s="65">
        <f>IF(D38=0,"NA",1/(('Com-Ind Equations'!$B$74*(3.14*D38*'Com-Ind Equations'!$B$76)^(1/2)*0.0001)/(2*'Com-Ind Equations'!$B$77*D38)))</f>
        <v>1.8731178348136527E-4</v>
      </c>
      <c r="F38" s="65">
        <f>IF(D38=0,"NA",(1/('Com-Ind Equations'!$B$88*('Com-Ind Equations'!$B$89*(31500000))/('Com-Ind Equations'!$B$90*'Com-Ind Equations'!$B$91*1000000))))</f>
        <v>6.1914410640015851E-5</v>
      </c>
      <c r="G38" s="95">
        <f>IF('Chemical Info'!E39="Yes",('Chemical Info'!AP39/'Com-Ind Equations'!$B$139)*((('Chemical Info'!AL39*'Com-Ind Equations'!$B$141)*'Com-Ind Equations'!$B$139)+'Com-Ind Equations'!$B$142+('Chemical Info'!AN39*41)*'Com-Ind Equations'!$B$144),"NA")</f>
        <v>1820.9240400000001</v>
      </c>
      <c r="H38" s="112">
        <f>IF('Chemical Info'!H39="NA","NA",IF('Chemical Info'!E39="Yes",'Chemical Info'!H39*'Chemical Info'!AD39*'Com-Ind Equations'!$B$18*'Com-Ind Equations'!$B$22*(('Com-Ind Equations'!$B$24*'Com-Ind Equations'!$B$25)/'Com-Ind Equations'!$B$26),'Chemical Info'!H39*'Chemical Info'!AD39*'Com-Ind Equations'!$B$17*'Com-Ind Equations'!$B$22*('Com-Ind Equations'!$B$24*'Com-Ind Equations'!$B$25/'Com-Ind Equations'!$B$26)))</f>
        <v>3.0937500000000003E-4</v>
      </c>
      <c r="I38" s="108">
        <f>IF('Chemical Info'!H39="NA","NA",IF('Chemical Info'!E39="Yes",0,('Chemical Info'!H39/'Chemical Info'!AF39)*'Com-Ind Equations'!$B$19*'Chemical Info'!AB39*'Com-Ind Equations'!$B$22*(('Com-Ind Equations'!$B$24*'Com-Ind Equations'!$B$29*'Com-Ind Equations'!$B$30)/'Com-Ind Equations'!$B$26)))</f>
        <v>0</v>
      </c>
      <c r="J38" s="115">
        <f>IF('Chemical Info'!J39="NA","NA",IF(E38="NA",'Com-Ind Equations'!$B$20*1000*'Com-Ind Equations'!$B$24*'Com-Ind Equations'!$B$21*'Chemical Info'!J39*'Com-Ind Calculations'!C38,IF('Chemical Info'!E39="Yes",'Com-Ind Equations'!$B$20*1000*'Com-Ind Equations'!$B$24*'Com-Ind Equations'!$B$21*'Chemical Info'!J39*'Com-Ind Calculations'!E38,'Com-Ind Equations'!$B$20*1000*'Com-Ind Equations'!$B$24*'Com-Ind Equations'!$B$21*'Chemical Info'!J39*('Com-Ind Calculations'!C38+'Com-Ind Calculations'!E38))))</f>
        <v>2.739434833414967E-3</v>
      </c>
      <c r="K38" s="117">
        <f>IF('Chemical Info'!J39="NA","NA",IF(F38="NA",'Com-Ind Equations'!$B$20*1000*'Com-Ind Equations'!$B$24*'Com-Ind Equations'!$B$21*'Chemical Info'!J39*'Com-Ind Calculations'!C38,IF('Chemical Info'!E39="Yes",'Com-Ind Equations'!$B$20*1000*'Com-Ind Equations'!$B$24*'Com-Ind Equations'!$B$21*'Chemical Info'!J39*'Com-Ind Calculations'!F38,'Com-Ind Equations'!$B$20*1000*'Com-Ind Equations'!$B$24*'Com-Ind Equations'!$B$21*'Chemical Info'!J39*('Com-Ind Calculations'!C38+'Com-Ind Calculations'!F38))))</f>
        <v>9.0549825561023179E-4</v>
      </c>
      <c r="L38" s="95">
        <f>IF(AND(H38="NA",I38="NA",J38="NA"),"NA",IF(H38="NA",'Com-Ind Equations'!$B$13*'Com-Ind Equations'!$B$14/J38,IF(J38="NA",'Com-Ind Equations'!$B$13*'Com-Ind Equations'!$B$14/(H38+I38),'Com-Ind Equations'!$B$13*'Com-Ind Equations'!$B$14/(H38+I38+J38))))</f>
        <v>83.803193364085573</v>
      </c>
      <c r="M38" s="95">
        <f>IF(AND(H38="NA",I38="NA",K38="NA"),"NA",IF(H38="NA",'Com-Ind Equations'!$B$13*'Com-Ind Equations'!$B$14/K38,IF(K38="NA",'Com-Ind Equations'!$B$13*'Com-Ind Equations'!$B$14/(H38+I38),'Com-Ind Equations'!$B$13*'Com-Ind Equations'!$B$14/(H38+I38+K38))))</f>
        <v>210.31000461991582</v>
      </c>
      <c r="N38" s="95">
        <f t="shared" si="10"/>
        <v>210.31000461991582</v>
      </c>
      <c r="O38" s="94">
        <f>IF('Chemical Info'!L39="NA","NA",IF('Chemical Info'!E39="Yes",(('Com-Ind Equations'!$B$46*'Chemical Info'!AD39*'Com-Ind Equations'!$B$48*'Com-Ind Equations'!$B$49*'Com-Ind Equations'!$B$51)/('Com-Ind Equations'!$B$55*'Com-Ind Equations'!$B$56))/'Chemical Info'!L39,(('Com-Ind Equations'!$B$46*'Chemical Info'!AD39*'Com-Ind Equations'!$B$48*'Com-Ind Equations'!$B$49*'Com-Ind Equations'!$B$50)/('Com-Ind Equations'!$B$55*'Com-Ind Equations'!$B$56))/'Chemical Info'!L39))</f>
        <v>4.7418335089567963E-4</v>
      </c>
      <c r="P38" s="90">
        <f>IF('Chemical Info'!L39="NA","NA", IF('Chemical Info'!E39="Yes",0,((('Com-Ind Equations'!$B$58*'Com-Ind Equations'!$B$59*'Com-Ind Equations'!$B$48*'Com-Ind Equations'!$B$52*'Com-Ind Equations'!$B$49*'Chemical Info'!AB39)/('Com-Ind Equations'!$B$55*'Com-Ind Equations'!$B$56))/('Chemical Info'!L39*'Chemical Info'!AF39))))</f>
        <v>0</v>
      </c>
      <c r="Q38" s="90">
        <f>IF('Chemical Info'!N39="NA","NA",IF('Com-Ind Calculations'!E38="NA",(('Com-Ind Equations'!$B$53*'Com-Ind Equations'!$B$49*'Com-Ind Equations'!$B$54*'Com-Ind Calculations'!C38)/('Com-Ind Equations'!$B$56))/('Chemical Info'!N39),IF('Chemical Info'!E39="Yes",(('Com-Ind Equations'!$B$53*'Com-Ind Equations'!$B$49*'Com-Ind Equations'!$B$54*'Com-Ind Calculations'!E38)/('Com-Ind Equations'!$B$56))/('Chemical Info'!N39),(('Com-Ind Equations'!$B$53*'Com-Ind Equations'!$B$49*'Com-Ind Equations'!$B$54*('Com-Ind Calculations'!C38+'Com-Ind Calculations'!E38))/('Com-Ind Equations'!$B$56))/('Chemical Info'!N39))))</f>
        <v>1.2829574211052415E-2</v>
      </c>
      <c r="R38" s="90">
        <f>IF('Chemical Info'!N39="NA","NA",IF('Com-Ind Calculations'!F38="NA",(('Com-Ind Equations'!$B$53*'Com-Ind Equations'!$B$49*'Com-Ind Equations'!$B$54*'Com-Ind Calculations'!C38)/('Com-Ind Equations'!$B$56))/('Chemical Info'!N39),IF('Chemical Info'!E39="Yes",(('Com-Ind Equations'!$B$53*'Com-Ind Equations'!$B$49*'Com-Ind Equations'!$B$54*'Com-Ind Calculations'!F38)/('Com-Ind Equations'!$B$56))/('Chemical Info'!N39),(('Com-Ind Equations'!$B$53*'Com-Ind Equations'!$B$49*'Com-Ind Equations'!$B$54*('Com-Ind Calculations'!C38+'Com-Ind Calculations'!F38))/('Com-Ind Equations'!$B$56))/('Chemical Info'!N39))))</f>
        <v>4.2407130575353325E-3</v>
      </c>
      <c r="S38" s="90">
        <f>IF(AND(O38="NA",P38="NA",Q38="NA"),"NA",IF(O38="NA",'Com-Ind Equations'!$B$45/'Com-Ind Calculations'!Q38,IF('Com-Ind Calculations'!Q38="NA",'Com-Ind Equations'!$B$45/('Com-Ind Calculations'!O38+'Com-Ind Calculations'!P38),'Com-Ind Equations'!$B$45/('Com-Ind Calculations'!O38+'Com-Ind Calculations'!P38+'Com-Ind Calculations'!Q38))))</f>
        <v>15.033346711912992</v>
      </c>
      <c r="T38" s="95">
        <f>IF(AND(O38="NA",P38="NA",R38="NA"),"NA",IF(O38="NA",'Com-Ind Equations'!$B$45/R38,IF(R38="NA",'Com-Ind Equations'!$B$45/(O38+P38),'Com-Ind Equations'!$B$45/(O38+P38+R38))))</f>
        <v>42.418747449544611</v>
      </c>
      <c r="U38" s="97">
        <f t="shared" si="11"/>
        <v>42.418747449544611</v>
      </c>
      <c r="V38" s="101">
        <f t="shared" si="12"/>
        <v>42.418747449544611</v>
      </c>
      <c r="W38" s="105">
        <f t="shared" si="13"/>
        <v>42</v>
      </c>
      <c r="X38" s="100" t="str">
        <f t="shared" si="14"/>
        <v>Noncancer</v>
      </c>
      <c r="Y38" s="70"/>
    </row>
    <row r="39" spans="1:26" s="2" customFormat="1">
      <c r="A39" s="67" t="s">
        <v>1112</v>
      </c>
      <c r="B39" s="566" t="s">
        <v>1113</v>
      </c>
      <c r="C39" s="85">
        <f>1/(('Com-Ind Equations'!$B$123*3600)/(0.036*(1-'Com-Ind Equations'!$B$124)*(('Com-Ind Equations'!$B$125/'Com-Ind Equations'!$B$126)^3)*'Com-Ind Equations'!$B$127))</f>
        <v>1.4713536180231943E-9</v>
      </c>
      <c r="D39" s="90">
        <f>(('Com-Ind Equations'!$B$103^(10/3)*'Chemical Info'!AH40*'Chemical Info'!AN40*41+'Com-Ind Equations'!$B$106^(10/3)*'Chemical Info'!AJ40)/'Com-Ind Equations'!$B$108^2)/('Com-Ind Equations'!$B$110*'Chemical Info'!AL40*'Com-Ind Equations'!$B$113+'Com-Ind Equations'!$B$106+'Com-Ind Equations'!$B$103*'Chemical Info'!AN40*41)</f>
        <v>1.8169845577580102E-4</v>
      </c>
      <c r="E39" s="65">
        <f>IF(D39=0,"NA",1/(('Com-Ind Equations'!$B$74*(3.14*D39*'Com-Ind Equations'!$B$76)^(1/2)*0.0001)/(2*'Com-Ind Equations'!$B$77*D39)))</f>
        <v>7.9123265366105007E-5</v>
      </c>
      <c r="F39" s="65">
        <f>IF(D39=0,"NA",(1/('Com-Ind Equations'!$B$88*('Com-Ind Equations'!$B$89*(31500000))/('Com-Ind Equations'!$B$90*'Com-Ind Equations'!$B$91*1000000))))</f>
        <v>6.1914410640015851E-5</v>
      </c>
      <c r="G39" s="95">
        <f>IF('Chemical Info'!E40="Yes",('Chemical Info'!AP40/'Com-Ind Equations'!$B$139)*((('Chemical Info'!AL40*'Com-Ind Equations'!$B$141)*'Com-Ind Equations'!$B$139)+'Com-Ind Equations'!$B$142+('Chemical Info'!AN40*41)*'Com-Ind Equations'!$B$144),"NA")</f>
        <v>678.94746506666661</v>
      </c>
      <c r="H39" s="112" t="str">
        <f>IF('Chemical Info'!H40="NA","NA",IF('Chemical Info'!E40="Yes",'Chemical Info'!H40*'Chemical Info'!AD40*'Com-Ind Equations'!$B$18*'Com-Ind Equations'!$B$22*(('Com-Ind Equations'!$B$24*'Com-Ind Equations'!$B$25)/'Com-Ind Equations'!$B$26),'Chemical Info'!H40*'Chemical Info'!AD40*'Com-Ind Equations'!$B$17*'Com-Ind Equations'!$B$22*('Com-Ind Equations'!$B$24*'Com-Ind Equations'!$B$25/'Com-Ind Equations'!$B$26)))</f>
        <v>NA</v>
      </c>
      <c r="I39" s="108" t="str">
        <f>IF('Chemical Info'!H40="NA","NA",IF('Chemical Info'!E40="Yes",0,('Chemical Info'!H40/'Chemical Info'!AF40)*'Com-Ind Equations'!$B$19*'Chemical Info'!AB40*'Com-Ind Equations'!$B$22*(('Com-Ind Equations'!$B$24*'Com-Ind Equations'!$B$29*'Com-Ind Equations'!$B$30)/'Com-Ind Equations'!$B$26)))</f>
        <v>NA</v>
      </c>
      <c r="J39" s="115" t="str">
        <f>IF('Chemical Info'!J40="NA","NA",IF(E39="NA",'Com-Ind Equations'!$B$20*1000*'Com-Ind Equations'!$B$24*'Com-Ind Equations'!$B$21*'Chemical Info'!J40*'Com-Ind Calculations'!C39,IF('Chemical Info'!E40="Yes",'Com-Ind Equations'!$B$20*1000*'Com-Ind Equations'!$B$24*'Com-Ind Equations'!$B$21*'Chemical Info'!J40*'Com-Ind Calculations'!E39,'Com-Ind Equations'!$B$20*1000*'Com-Ind Equations'!$B$24*'Com-Ind Equations'!$B$21*'Chemical Info'!J40*('Com-Ind Calculations'!C39+'Com-Ind Calculations'!E39))))</f>
        <v>NA</v>
      </c>
      <c r="K39" s="117" t="str">
        <f>IF('Chemical Info'!J40="NA","NA",IF(F39="NA",'Com-Ind Equations'!$B$20*1000*'Com-Ind Equations'!$B$24*'Com-Ind Equations'!$B$21*'Chemical Info'!J40*'Com-Ind Calculations'!C39,IF('Chemical Info'!E40="Yes",'Com-Ind Equations'!$B$20*1000*'Com-Ind Equations'!$B$24*'Com-Ind Equations'!$B$21*'Chemical Info'!J40*'Com-Ind Calculations'!F39,'Com-Ind Equations'!$B$20*1000*'Com-Ind Equations'!$B$24*'Com-Ind Equations'!$B$21*'Chemical Info'!J40*('Com-Ind Calculations'!C39+'Com-Ind Calculations'!F39))))</f>
        <v>NA</v>
      </c>
      <c r="L39" s="95" t="str">
        <f>IF(AND(H39="NA",I39="NA",J39="NA"),"NA",IF(H39="NA",'Com-Ind Equations'!$B$13*'Com-Ind Equations'!$B$14/J39,IF(J39="NA",'Com-Ind Equations'!$B$13*'Com-Ind Equations'!$B$14/(H39+I39),'Com-Ind Equations'!$B$13*'Com-Ind Equations'!$B$14/(H39+I39+J39))))</f>
        <v>NA</v>
      </c>
      <c r="M39" s="95" t="str">
        <f>IF(AND(H39="NA",I39="NA",K39="NA"),"NA",IF(H39="NA",'Com-Ind Equations'!$B$13*'Com-Ind Equations'!$B$14/K39,IF(K39="NA",'Com-Ind Equations'!$B$13*'Com-Ind Equations'!$B$14/(H39+I39),'Com-Ind Equations'!$B$13*'Com-Ind Equations'!$B$14/(H39+I39+K39))))</f>
        <v>NA</v>
      </c>
      <c r="N39" s="95" t="str">
        <f t="shared" ref="N39" si="25">IF(AND(L39="NA",M39="NA"),"NA",MAX(L39,M39))</f>
        <v>NA</v>
      </c>
      <c r="O39" s="94">
        <f>IF('Chemical Info'!L40="NA","NA",IF('Chemical Info'!E40="Yes",(('Com-Ind Equations'!$B$46*'Chemical Info'!AD40*'Com-Ind Equations'!$B$48*'Com-Ind Equations'!$B$49*'Com-Ind Equations'!$B$51)/('Com-Ind Equations'!$B$55*'Com-Ind Equations'!$B$56))/'Chemical Info'!L40,(('Com-Ind Equations'!$B$46*'Chemical Info'!AD40*'Com-Ind Equations'!$B$48*'Com-Ind Equations'!$B$49*'Com-Ind Equations'!$B$50)/('Com-Ind Equations'!$B$55*'Com-Ind Equations'!$B$56))/'Chemical Info'!L40))</f>
        <v>7.7054794520547943E-5</v>
      </c>
      <c r="P39" s="90">
        <f>IF('Chemical Info'!L40="NA","NA", IF('Chemical Info'!E40="Yes",0,((('Com-Ind Equations'!$B$58*'Com-Ind Equations'!$B$59*'Com-Ind Equations'!$B$48*'Com-Ind Equations'!$B$52*'Com-Ind Equations'!$B$49*'Chemical Info'!AB40)/('Com-Ind Equations'!$B$55*'Com-Ind Equations'!$B$56))/('Chemical Info'!L40*'Chemical Info'!AF40))))</f>
        <v>0</v>
      </c>
      <c r="Q39" s="90">
        <f>IF('Chemical Info'!N40="NA","NA",IF('Com-Ind Calculations'!E39="NA",(('Com-Ind Equations'!$B$53*'Com-Ind Equations'!$B$49*'Com-Ind Equations'!$B$54*'Com-Ind Calculations'!C39)/('Com-Ind Equations'!$B$56))/('Chemical Info'!N40),IF('Chemical Info'!E40="Yes",(('Com-Ind Equations'!$B$53*'Com-Ind Equations'!$B$49*'Com-Ind Equations'!$B$54*'Com-Ind Calculations'!E39)/('Com-Ind Equations'!$B$56))/('Chemical Info'!N40),(('Com-Ind Equations'!$B$53*'Com-Ind Equations'!$B$49*'Com-Ind Equations'!$B$54*('Com-Ind Calculations'!C39+'Com-Ind Calculations'!E39))/('Com-Ind Equations'!$B$56))/('Chemical Info'!N40))))</f>
        <v>2.7097008687022265E-4</v>
      </c>
      <c r="R39" s="90">
        <f>IF('Chemical Info'!N40="NA","NA",IF('Com-Ind Calculations'!F39="NA",(('Com-Ind Equations'!$B$53*'Com-Ind Equations'!$B$49*'Com-Ind Equations'!$B$54*'Com-Ind Calculations'!C39)/('Com-Ind Equations'!$B$56))/('Chemical Info'!N40),IF('Chemical Info'!E40="Yes",(('Com-Ind Equations'!$B$53*'Com-Ind Equations'!$B$49*'Com-Ind Equations'!$B$54*'Com-Ind Calculations'!F39)/('Com-Ind Equations'!$B$56))/('Chemical Info'!N40),(('Com-Ind Equations'!$B$53*'Com-Ind Equations'!$B$49*'Com-Ind Equations'!$B$54*('Com-Ind Calculations'!C39+'Com-Ind Calculations'!F39))/('Com-Ind Equations'!$B$56))/('Chemical Info'!N40))))</f>
        <v>2.1203565287676663E-4</v>
      </c>
      <c r="S39" s="90">
        <f>IF(AND(O39="NA",P39="NA",Q39="NA"),"NA",IF(O39="NA",'Com-Ind Equations'!$B$45/'Com-Ind Calculations'!Q39,IF('Com-Ind Calculations'!Q39="NA",'Com-Ind Equations'!$B$45/('Com-Ind Calculations'!O39+'Com-Ind Calculations'!P39),'Com-Ind Equations'!$B$45/('Com-Ind Calculations'!O39+'Com-Ind Calculations'!P39+'Com-Ind Calculations'!Q39))))</f>
        <v>574.67155566798476</v>
      </c>
      <c r="T39" s="95">
        <f>IF(AND(O39="NA",P39="NA",R39="NA"),"NA",IF(O39="NA",'Com-Ind Equations'!$B$45/R39,IF(R39="NA",'Com-Ind Equations'!$B$45/(O39+P39),'Com-Ind Equations'!$B$45/(O39+P39+R39))))</f>
        <v>691.8250042524852</v>
      </c>
      <c r="U39" s="97">
        <f t="shared" ref="U39" si="26">IF(AND(S39="NA",T39="NA"),"NA",MAX(S39,T39))</f>
        <v>691.8250042524852</v>
      </c>
      <c r="V39" s="101">
        <f t="shared" ref="V39" si="27">IF(AND(N39="NA",U39="NA",G39="NA"),"NA",MIN(N39,U39,G39))</f>
        <v>678.94746506666661</v>
      </c>
      <c r="W39" s="105">
        <f t="shared" ref="W39" si="28">IF(V39&gt;100000,100000,IF(ISNUMBER(ROUND(V39*1000000,2-LEN(INT(V39*1000000)))/1000000),ROUND(V39*1000000,2-LEN(INT(V39*1000000)))/1000000,"NA"))</f>
        <v>680</v>
      </c>
      <c r="X39" s="100" t="str">
        <f t="shared" ref="X39" si="29">IF(W39=100000,"Max Limit",IF(V39=G39,"Csat",IF(V39=N39,"Cancer",IF(V39=U39,"Noncancer",""))))</f>
        <v>Csat</v>
      </c>
      <c r="Y39" s="70"/>
    </row>
    <row r="40" spans="1:26">
      <c r="A40" s="67" t="s">
        <v>228</v>
      </c>
      <c r="B40" s="566" t="s">
        <v>229</v>
      </c>
      <c r="C40" s="85">
        <f>1/(('Com-Ind Equations'!$B$123*3600)/(0.036*(1-'Com-Ind Equations'!$B$124)*(('Com-Ind Equations'!$B$125/'Com-Ind Equations'!$B$126)^3)*'Com-Ind Equations'!$B$127))</f>
        <v>1.4713536180231943E-9</v>
      </c>
      <c r="D40" s="90">
        <f>(('Com-Ind Equations'!$B$103^(10/3)*'Chemical Info'!AH41*'Chemical Info'!AN41*41+'Com-Ind Equations'!$B$106^(10/3)*'Chemical Info'!AJ41)/'Com-Ind Equations'!$B$108^2)/('Com-Ind Equations'!$B$110*'Chemical Info'!AL41*'Com-Ind Equations'!$B$113+'Com-Ind Equations'!$B$106+'Com-Ind Equations'!$B$103*'Chemical Info'!AN41*41)</f>
        <v>8.0968327320735741E-4</v>
      </c>
      <c r="E40" s="65">
        <f>IF(D40=0,"NA",1/(('Com-Ind Equations'!$B$74*(3.14*D40*'Com-Ind Equations'!$B$76)^(1/2)*0.0001)/(2*'Com-Ind Equations'!$B$77*D40)))</f>
        <v>1.6702680265009293E-4</v>
      </c>
      <c r="F40" s="65">
        <f>IF(D40=0,"NA",(1/('Com-Ind Equations'!$B$88*('Com-Ind Equations'!$B$89*(31500000))/('Com-Ind Equations'!$B$90*'Com-Ind Equations'!$B$91*1000000))))</f>
        <v>6.1914410640015851E-5</v>
      </c>
      <c r="G40" s="95">
        <f>IF('Chemical Info'!E41="Yes",('Chemical Info'!AP41/'Com-Ind Equations'!$B$139)*((('Chemical Info'!AL41*'Com-Ind Equations'!$B$141)*'Com-Ind Equations'!$B$139)+'Com-Ind Equations'!$B$142+('Chemical Info'!AN41*41)*'Com-Ind Equations'!$B$144),"NA")</f>
        <v>930.64955199999997</v>
      </c>
      <c r="H40" s="112">
        <f>IF('Chemical Info'!H41="NA","NA",IF('Chemical Info'!E41="Yes",'Chemical Info'!H41*'Chemical Info'!AD41*'Com-Ind Equations'!$B$18*'Com-Ind Equations'!$B$22*(('Com-Ind Equations'!$B$24*'Com-Ind Equations'!$B$25)/'Com-Ind Equations'!$B$26),'Chemical Info'!H41*'Chemical Info'!AD41*'Com-Ind Equations'!$B$17*'Com-Ind Equations'!$B$22*('Com-Ind Equations'!$B$24*'Com-Ind Equations'!$B$25/'Com-Ind Equations'!$B$26)))</f>
        <v>1.9687500000000003E-4</v>
      </c>
      <c r="I40" s="108">
        <f>IF('Chemical Info'!H41="NA","NA",IF('Chemical Info'!E41="Yes",0,('Chemical Info'!H41/'Chemical Info'!AF41)*'Com-Ind Equations'!$B$19*'Chemical Info'!AB41*'Com-Ind Equations'!$B$22*(('Com-Ind Equations'!$B$24*'Com-Ind Equations'!$B$29*'Com-Ind Equations'!$B$30)/'Com-Ind Equations'!$B$26)))</f>
        <v>0</v>
      </c>
      <c r="J40" s="115" t="str">
        <f>IF('Chemical Info'!J41="NA","NA",IF(E40="NA",'Com-Ind Equations'!$B$20*1000*'Com-Ind Equations'!$B$24*'Com-Ind Equations'!$B$21*'Chemical Info'!J41*'Com-Ind Calculations'!C40,IF('Chemical Info'!E41="Yes",'Com-Ind Equations'!$B$20*1000*'Com-Ind Equations'!$B$24*'Com-Ind Equations'!$B$21*'Chemical Info'!J41*'Com-Ind Calculations'!E40,'Com-Ind Equations'!$B$20*1000*'Com-Ind Equations'!$B$24*'Com-Ind Equations'!$B$21*'Chemical Info'!J41*('Com-Ind Calculations'!C40+'Com-Ind Calculations'!E40))))</f>
        <v>NA</v>
      </c>
      <c r="K40" s="117" t="str">
        <f>IF('Chemical Info'!J41="NA","NA",IF(F40="NA",'Com-Ind Equations'!$B$20*1000*'Com-Ind Equations'!$B$24*'Com-Ind Equations'!$B$21*'Chemical Info'!J41*'Com-Ind Calculations'!C40,IF('Chemical Info'!E41="Yes",'Com-Ind Equations'!$B$20*1000*'Com-Ind Equations'!$B$24*'Com-Ind Equations'!$B$21*'Chemical Info'!J41*'Com-Ind Calculations'!F40,'Com-Ind Equations'!$B$20*1000*'Com-Ind Equations'!$B$24*'Com-Ind Equations'!$B$21*'Chemical Info'!J41*('Com-Ind Calculations'!C40+'Com-Ind Calculations'!F40))))</f>
        <v>NA</v>
      </c>
      <c r="L40" s="95">
        <f>IF(AND(H40="NA",I40="NA",J40="NA"),"NA",IF(H40="NA",'Com-Ind Equations'!$B$13*'Com-Ind Equations'!$B$14/J40,IF(J40="NA",'Com-Ind Equations'!$B$13*'Com-Ind Equations'!$B$14/(H40+I40),'Com-Ind Equations'!$B$13*'Com-Ind Equations'!$B$14/(H40+I40+J40))))</f>
        <v>1297.7777777777776</v>
      </c>
      <c r="M40" s="95">
        <f>IF(AND(H40="NA",I40="NA",K40="NA"),"NA",IF(H40="NA",'Com-Ind Equations'!$B$13*'Com-Ind Equations'!$B$14/K40,IF(K40="NA",'Com-Ind Equations'!$B$13*'Com-Ind Equations'!$B$14/(H40+I40),'Com-Ind Equations'!$B$13*'Com-Ind Equations'!$B$14/(H40+I40+K40))))</f>
        <v>1297.7777777777776</v>
      </c>
      <c r="N40" s="95">
        <f t="shared" si="10"/>
        <v>1297.7777777777776</v>
      </c>
      <c r="O40" s="94">
        <f>IF('Chemical Info'!L41="NA","NA",IF('Chemical Info'!E41="Yes",(('Com-Ind Equations'!$B$46*'Chemical Info'!AD41*'Com-Ind Equations'!$B$48*'Com-Ind Equations'!$B$49*'Com-Ind Equations'!$B$51)/('Com-Ind Equations'!$B$55*'Com-Ind Equations'!$B$56))/'Chemical Info'!L41,(('Com-Ind Equations'!$B$46*'Chemical Info'!AD41*'Com-Ind Equations'!$B$48*'Com-Ind Equations'!$B$49*'Com-Ind Equations'!$B$50)/('Com-Ind Equations'!$B$55*'Com-Ind Equations'!$B$56))/'Chemical Info'!L41))</f>
        <v>8.219178082191781E-5</v>
      </c>
      <c r="P40" s="90">
        <f>IF('Chemical Info'!L41="NA","NA", IF('Chemical Info'!E41="Yes",0,((('Com-Ind Equations'!$B$58*'Com-Ind Equations'!$B$59*'Com-Ind Equations'!$B$48*'Com-Ind Equations'!$B$52*'Com-Ind Equations'!$B$49*'Chemical Info'!AB41)/('Com-Ind Equations'!$B$55*'Com-Ind Equations'!$B$56))/('Chemical Info'!L41*'Chemical Info'!AF41))))</f>
        <v>0</v>
      </c>
      <c r="Q40" s="90" t="str">
        <f>IF('Chemical Info'!N41="NA","NA",IF('Com-Ind Calculations'!E40="NA",(('Com-Ind Equations'!$B$53*'Com-Ind Equations'!$B$49*'Com-Ind Equations'!$B$54*'Com-Ind Calculations'!C40)/('Com-Ind Equations'!$B$56))/('Chemical Info'!N41),IF('Chemical Info'!E41="Yes",(('Com-Ind Equations'!$B$53*'Com-Ind Equations'!$B$49*'Com-Ind Equations'!$B$54*'Com-Ind Calculations'!E40)/('Com-Ind Equations'!$B$56))/('Chemical Info'!N41),(('Com-Ind Equations'!$B$53*'Com-Ind Equations'!$B$49*'Com-Ind Equations'!$B$54*('Com-Ind Calculations'!C40+'Com-Ind Calculations'!E40))/('Com-Ind Equations'!$B$56))/('Chemical Info'!N41))))</f>
        <v>NA</v>
      </c>
      <c r="R40" s="90" t="str">
        <f>IF('Chemical Info'!N41="NA","NA",IF('Com-Ind Calculations'!F40="NA",(('Com-Ind Equations'!$B$53*'Com-Ind Equations'!$B$49*'Com-Ind Equations'!$B$54*'Com-Ind Calculations'!C40)/('Com-Ind Equations'!$B$56))/('Chemical Info'!N41),IF('Chemical Info'!E41="Yes",(('Com-Ind Equations'!$B$53*'Com-Ind Equations'!$B$49*'Com-Ind Equations'!$B$54*'Com-Ind Calculations'!F40)/('Com-Ind Equations'!$B$56))/('Chemical Info'!N41),(('Com-Ind Equations'!$B$53*'Com-Ind Equations'!$B$49*'Com-Ind Equations'!$B$54*('Com-Ind Calculations'!C40+'Com-Ind Calculations'!F40))/('Com-Ind Equations'!$B$56))/('Chemical Info'!N41))))</f>
        <v>NA</v>
      </c>
      <c r="S40" s="90">
        <f>IF(AND(O40="NA",P40="NA",Q40="NA"),"NA",IF(O40="NA",'Com-Ind Equations'!$B$45/'Com-Ind Calculations'!Q40,IF('Com-Ind Calculations'!Q40="NA",'Com-Ind Equations'!$B$45/('Com-Ind Calculations'!O40+'Com-Ind Calculations'!P40),'Com-Ind Equations'!$B$45/('Com-Ind Calculations'!O40+'Com-Ind Calculations'!P40+'Com-Ind Calculations'!Q40))))</f>
        <v>2433.3333333333335</v>
      </c>
      <c r="T40" s="95">
        <f>IF(AND(O40="NA",P40="NA",R40="NA"),"NA",IF(O40="NA",'Com-Ind Equations'!$B$45/R40,IF(R40="NA",'Com-Ind Equations'!$B$45/(O40+P40),'Com-Ind Equations'!$B$45/(O40+P40+R40))))</f>
        <v>2433.3333333333335</v>
      </c>
      <c r="U40" s="97">
        <f t="shared" si="11"/>
        <v>2433.3333333333335</v>
      </c>
      <c r="V40" s="101">
        <f t="shared" si="12"/>
        <v>930.64955199999997</v>
      </c>
      <c r="W40" s="105">
        <f t="shared" si="13"/>
        <v>930</v>
      </c>
      <c r="X40" s="100" t="str">
        <f t="shared" si="14"/>
        <v>Csat</v>
      </c>
      <c r="Y40" s="70"/>
    </row>
    <row r="41" spans="1:26">
      <c r="A41" s="67" t="s">
        <v>319</v>
      </c>
      <c r="B41" s="566" t="s">
        <v>202</v>
      </c>
      <c r="C41" s="85">
        <f>1/(('Com-Ind Equations'!$B$123*3600)/(0.036*(1-'Com-Ind Equations'!$B$124)*(('Com-Ind Equations'!$B$125/'Com-Ind Equations'!$B$126)^3)*'Com-Ind Equations'!$B$127))</f>
        <v>1.4713536180231943E-9</v>
      </c>
      <c r="D41" s="90">
        <f>(('Com-Ind Equations'!$B$103^(10/3)*'Chemical Info'!AH42*'Chemical Info'!AN42*41+'Com-Ind Equations'!$B$106^(10/3)*'Chemical Info'!AJ42)/'Com-Ind Equations'!$B$108^2)/('Com-Ind Equations'!$B$110*'Chemical Info'!AL42*'Com-Ind Equations'!$B$113+'Com-Ind Equations'!$B$106+'Com-Ind Equations'!$B$103*'Chemical Info'!AN42*41)</f>
        <v>6.5293750910721373E-3</v>
      </c>
      <c r="E41" s="65">
        <f>IF(D41=0,"NA",1/(('Com-Ind Equations'!$B$74*(3.14*D41*'Com-Ind Equations'!$B$76)^(1/2)*0.0001)/(2*'Com-Ind Equations'!$B$77*D41)))</f>
        <v>4.7431230639620865E-4</v>
      </c>
      <c r="F41" s="65">
        <f>IF(D41=0,"NA",(1/('Com-Ind Equations'!$B$88*('Com-Ind Equations'!$B$89*(31500000))/('Com-Ind Equations'!$B$90*'Com-Ind Equations'!$B$91*1000000))))</f>
        <v>6.1914410640015851E-5</v>
      </c>
      <c r="G41" s="95">
        <f>IF('Chemical Info'!E42="Yes",('Chemical Info'!AP42/'Com-Ind Equations'!$B$139)*((('Chemical Info'!AL42*'Com-Ind Equations'!$B$141)*'Com-Ind Equations'!$B$139)+'Com-Ind Equations'!$B$142+('Chemical Info'!AN42*41)*'Com-Ind Equations'!$B$144),"NA")</f>
        <v>3579.5310933333335</v>
      </c>
      <c r="H41" s="112" t="str">
        <f>IF('Chemical Info'!H42="NA","NA",IF('Chemical Info'!E42="Yes",'Chemical Info'!H42*'Chemical Info'!AD42*'Com-Ind Equations'!$B$18*'Com-Ind Equations'!$B$22*(('Com-Ind Equations'!$B$24*'Com-Ind Equations'!$B$25)/'Com-Ind Equations'!$B$26),'Chemical Info'!H42*'Chemical Info'!AD42*'Com-Ind Equations'!$B$17*'Com-Ind Equations'!$B$22*('Com-Ind Equations'!$B$24*'Com-Ind Equations'!$B$25/'Com-Ind Equations'!$B$26)))</f>
        <v>NA</v>
      </c>
      <c r="I41" s="108" t="str">
        <f>IF('Chemical Info'!H42="NA","NA",IF('Chemical Info'!E42="Yes",0,('Chemical Info'!H42/'Chemical Info'!AF42)*'Com-Ind Equations'!$B$19*'Chemical Info'!AB42*'Com-Ind Equations'!$B$22*(('Com-Ind Equations'!$B$24*'Com-Ind Equations'!$B$29*'Com-Ind Equations'!$B$30)/'Com-Ind Equations'!$B$26)))</f>
        <v>NA</v>
      </c>
      <c r="J41" s="115" t="str">
        <f>IF('Chemical Info'!J42="NA","NA",IF(E41="NA",'Com-Ind Equations'!$B$20*1000*'Com-Ind Equations'!$B$24*'Com-Ind Equations'!$B$21*'Chemical Info'!J42*'Com-Ind Calculations'!C41,IF('Chemical Info'!E42="Yes",'Com-Ind Equations'!$B$20*1000*'Com-Ind Equations'!$B$24*'Com-Ind Equations'!$B$21*'Chemical Info'!J42*'Com-Ind Calculations'!E41,'Com-Ind Equations'!$B$20*1000*'Com-Ind Equations'!$B$24*'Com-Ind Equations'!$B$21*'Chemical Info'!J42*('Com-Ind Calculations'!C41+'Com-Ind Calculations'!E41))))</f>
        <v>NA</v>
      </c>
      <c r="K41" s="117" t="str">
        <f>IF('Chemical Info'!J42="NA","NA",IF(F41="NA",'Com-Ind Equations'!$B$20*1000*'Com-Ind Equations'!$B$24*'Com-Ind Equations'!$B$21*'Chemical Info'!J42*'Com-Ind Calculations'!C41,IF('Chemical Info'!E42="Yes",'Com-Ind Equations'!$B$20*1000*'Com-Ind Equations'!$B$24*'Com-Ind Equations'!$B$21*'Chemical Info'!J42*'Com-Ind Calculations'!F41,'Com-Ind Equations'!$B$20*1000*'Com-Ind Equations'!$B$24*'Com-Ind Equations'!$B$21*'Chemical Info'!J42*('Com-Ind Calculations'!C41+'Com-Ind Calculations'!F41))))</f>
        <v>NA</v>
      </c>
      <c r="L41" s="95" t="str">
        <f>IF(AND(H41="NA",I41="NA",J41="NA"),"NA",IF(H41="NA",'Com-Ind Equations'!$B$13*'Com-Ind Equations'!$B$14/J41,IF(J41="NA",'Com-Ind Equations'!$B$13*'Com-Ind Equations'!$B$14/(H41+I41),'Com-Ind Equations'!$B$13*'Com-Ind Equations'!$B$14/(H41+I41+J41))))</f>
        <v>NA</v>
      </c>
      <c r="M41" s="95" t="str">
        <f>IF(AND(H41="NA",I41="NA",K41="NA"),"NA",IF(H41="NA",'Com-Ind Equations'!$B$13*'Com-Ind Equations'!$B$14/K41,IF(K41="NA",'Com-Ind Equations'!$B$13*'Com-Ind Equations'!$B$14/(H41+I41),'Com-Ind Equations'!$B$13*'Com-Ind Equations'!$B$14/(H41+I41+K41))))</f>
        <v>NA</v>
      </c>
      <c r="N41" s="95" t="str">
        <f t="shared" si="10"/>
        <v>NA</v>
      </c>
      <c r="O41" s="94">
        <f>IF('Chemical Info'!L42="NA","NA",IF('Chemical Info'!E42="Yes",(('Com-Ind Equations'!$B$46*'Chemical Info'!AD42*'Com-Ind Equations'!$B$48*'Com-Ind Equations'!$B$49*'Com-Ind Equations'!$B$51)/('Com-Ind Equations'!$B$55*'Com-Ind Equations'!$B$56))/'Chemical Info'!L42,(('Com-Ind Equations'!$B$46*'Chemical Info'!AD42*'Com-Ind Equations'!$B$48*'Com-Ind Equations'!$B$49*'Com-Ind Equations'!$B$50)/('Com-Ind Equations'!$B$55*'Com-Ind Equations'!$B$56))/'Chemical Info'!L42))</f>
        <v>4.4031311154598822E-4</v>
      </c>
      <c r="P41" s="90">
        <f>IF('Chemical Info'!L42="NA","NA", IF('Chemical Info'!E42="Yes",0,((('Com-Ind Equations'!$B$58*'Com-Ind Equations'!$B$59*'Com-Ind Equations'!$B$48*'Com-Ind Equations'!$B$52*'Com-Ind Equations'!$B$49*'Chemical Info'!AB42)/('Com-Ind Equations'!$B$55*'Com-Ind Equations'!$B$56))/('Chemical Info'!L42*'Chemical Info'!AF42))))</f>
        <v>0</v>
      </c>
      <c r="Q41" s="90">
        <f>IF('Chemical Info'!N42="NA","NA",IF('Com-Ind Calculations'!E41="NA",(('Com-Ind Equations'!$B$53*'Com-Ind Equations'!$B$49*'Com-Ind Equations'!$B$54*'Com-Ind Calculations'!C41)/('Com-Ind Equations'!$B$56))/('Chemical Info'!N42),IF('Chemical Info'!E42="Yes",(('Com-Ind Equations'!$B$53*'Com-Ind Equations'!$B$49*'Com-Ind Equations'!$B$54*'Com-Ind Calculations'!E41)/('Com-Ind Equations'!$B$56))/('Chemical Info'!N42),(('Com-Ind Equations'!$B$53*'Com-Ind Equations'!$B$49*'Com-Ind Equations'!$B$54*('Com-Ind Calculations'!C41+'Com-Ind Calculations'!E41))/('Com-Ind Equations'!$B$56))/('Chemical Info'!N42))))</f>
        <v>2.4365358205284692E-2</v>
      </c>
      <c r="R41" s="90">
        <f>IF('Chemical Info'!N42="NA","NA",IF('Com-Ind Calculations'!F41="NA",(('Com-Ind Equations'!$B$53*'Com-Ind Equations'!$B$49*'Com-Ind Equations'!$B$54*'Com-Ind Calculations'!C41)/('Com-Ind Equations'!$B$56))/('Chemical Info'!N42),IF('Chemical Info'!E42="Yes",(('Com-Ind Equations'!$B$53*'Com-Ind Equations'!$B$49*'Com-Ind Equations'!$B$54*'Com-Ind Calculations'!F41)/('Com-Ind Equations'!$B$56))/('Chemical Info'!N42),(('Com-Ind Equations'!$B$53*'Com-Ind Equations'!$B$49*'Com-Ind Equations'!$B$54*('Com-Ind Calculations'!C41+'Com-Ind Calculations'!F41))/('Com-Ind Equations'!$B$56))/('Chemical Info'!N42))))</f>
        <v>3.180534793151499E-3</v>
      </c>
      <c r="S41" s="90">
        <f>IF(AND(O41="NA",P41="NA",Q41="NA"),"NA",IF(O41="NA",'Com-Ind Equations'!$B$45/'Com-Ind Calculations'!Q41,IF('Com-Ind Calculations'!Q41="NA",'Com-Ind Equations'!$B$45/('Com-Ind Calculations'!O41+'Com-Ind Calculations'!P41),'Com-Ind Equations'!$B$45/('Com-Ind Calculations'!O41+'Com-Ind Calculations'!P41+'Com-Ind Calculations'!Q41))))</f>
        <v>8.0626723399458964</v>
      </c>
      <c r="T41" s="95">
        <f>IF(AND(O41="NA",P41="NA",R41="NA"),"NA",IF(O41="NA",'Com-Ind Equations'!$B$45/R41,IF(R41="NA",'Com-Ind Equations'!$B$45/(O41+P41),'Com-Ind Equations'!$B$45/(O41+P41+R41))))</f>
        <v>55.235681051537988</v>
      </c>
      <c r="U41" s="97">
        <f t="shared" si="11"/>
        <v>55.235681051537988</v>
      </c>
      <c r="V41" s="101">
        <f t="shared" si="12"/>
        <v>55.235681051537988</v>
      </c>
      <c r="W41" s="105">
        <f t="shared" si="13"/>
        <v>55</v>
      </c>
      <c r="X41" s="100" t="str">
        <f t="shared" si="14"/>
        <v>Noncancer</v>
      </c>
      <c r="Y41" s="70"/>
    </row>
    <row r="42" spans="1:26">
      <c r="A42" s="67" t="s">
        <v>1152</v>
      </c>
      <c r="B42" s="566" t="s">
        <v>1153</v>
      </c>
      <c r="C42" s="85">
        <f>1/(('Com-Ind Equations'!$B$123*3600)/(0.036*(1-'Com-Ind Equations'!$B$124)*(('Com-Ind Equations'!$B$125/'Com-Ind Equations'!$B$126)^3)*'Com-Ind Equations'!$B$127))</f>
        <v>1.4713536180231943E-9</v>
      </c>
      <c r="D42" s="90">
        <f>(('Com-Ind Equations'!$B$103^(10/3)*'Chemical Info'!AH43*'Chemical Info'!AN43*41+'Com-Ind Equations'!$B$106^(10/3)*'Chemical Info'!AJ43)/'Com-Ind Equations'!$B$108^2)/('Com-Ind Equations'!$B$110*'Chemical Info'!AL43*'Com-Ind Equations'!$B$113+'Com-Ind Equations'!$B$106+'Com-Ind Equations'!$B$103*'Chemical Info'!AN43*41)</f>
        <v>1.4207034877703171E-5</v>
      </c>
      <c r="E42" s="65">
        <f>IF(D42=0,"NA",1/(('Com-Ind Equations'!$B$74*(3.14*D42*'Com-Ind Equations'!$B$76)^(1/2)*0.0001)/(2*'Com-Ind Equations'!$B$77*D42)))</f>
        <v>2.212484858252572E-5</v>
      </c>
      <c r="F42" s="65">
        <f>IF(D42=0,"NA",(1/('Com-Ind Equations'!$B$88*('Com-Ind Equations'!$B$89*(31500000))/('Com-Ind Equations'!$B$90*'Com-Ind Equations'!$B$91*1000000))))</f>
        <v>6.1914410640015851E-5</v>
      </c>
      <c r="G42" s="95">
        <f>IF('Chemical Info'!E43="Yes",('Chemical Info'!AP43/'Com-Ind Equations'!$B$139)*((('Chemical Info'!AL43*'Com-Ind Equations'!$B$141)*'Com-Ind Equations'!$B$139)+'Com-Ind Equations'!$B$142+('Chemical Info'!AN43*41)*'Com-Ind Equations'!$B$144),"NA")</f>
        <v>7640.4645147733336</v>
      </c>
      <c r="H42" s="112" t="str">
        <f>IF('Chemical Info'!H43="NA","NA",IF('Chemical Info'!E43="Yes",'Chemical Info'!H43*'Chemical Info'!AD43*'Com-Ind Equations'!$B$18*'Com-Ind Equations'!$B$22*(('Com-Ind Equations'!$B$24*'Com-Ind Equations'!$B$25)/'Com-Ind Equations'!$B$26),'Chemical Info'!H43*'Chemical Info'!AD43*'Com-Ind Equations'!$B$17*'Com-Ind Equations'!$B$22*('Com-Ind Equations'!$B$24*'Com-Ind Equations'!$B$25/'Com-Ind Equations'!$B$26)))</f>
        <v>NA</v>
      </c>
      <c r="I42" s="108" t="str">
        <f>IF('Chemical Info'!H43="NA","NA",IF('Chemical Info'!E43="Yes",0,('Chemical Info'!H43/'Chemical Info'!AF43)*'Com-Ind Equations'!$B$19*'Chemical Info'!AB43*'Com-Ind Equations'!$B$22*(('Com-Ind Equations'!$B$24*'Com-Ind Equations'!$B$29*'Com-Ind Equations'!$B$30)/'Com-Ind Equations'!$B$26)))</f>
        <v>NA</v>
      </c>
      <c r="J42" s="115" t="str">
        <f>IF('Chemical Info'!J43="NA","NA",IF(E42="NA",'Com-Ind Equations'!$B$20*1000*'Com-Ind Equations'!$B$24*'Com-Ind Equations'!$B$21*'Chemical Info'!J43*'Com-Ind Calculations'!C42,IF('Chemical Info'!E43="Yes",'Com-Ind Equations'!$B$20*1000*'Com-Ind Equations'!$B$24*'Com-Ind Equations'!$B$21*'Chemical Info'!J43*'Com-Ind Calculations'!E42,'Com-Ind Equations'!$B$20*1000*'Com-Ind Equations'!$B$24*'Com-Ind Equations'!$B$21*'Chemical Info'!J43*('Com-Ind Calculations'!C42+'Com-Ind Calculations'!E42))))</f>
        <v>NA</v>
      </c>
      <c r="K42" s="117" t="str">
        <f>IF('Chemical Info'!J43="NA","NA",IF(F42="NA",'Com-Ind Equations'!$B$20*1000*'Com-Ind Equations'!$B$24*'Com-Ind Equations'!$B$21*'Chemical Info'!J43*'Com-Ind Calculations'!C42,IF('Chemical Info'!E43="Yes",'Com-Ind Equations'!$B$20*1000*'Com-Ind Equations'!$B$24*'Com-Ind Equations'!$B$21*'Chemical Info'!J43*'Com-Ind Calculations'!F42,'Com-Ind Equations'!$B$20*1000*'Com-Ind Equations'!$B$24*'Com-Ind Equations'!$B$21*'Chemical Info'!J43*('Com-Ind Calculations'!C42+'Com-Ind Calculations'!F42))))</f>
        <v>NA</v>
      </c>
      <c r="L42" s="95" t="str">
        <f>IF(AND(H42="NA",I42="NA",J42="NA"),"NA",IF(H42="NA",'Com-Ind Equations'!$B$13*'Com-Ind Equations'!$B$14/J42,IF(J42="NA",'Com-Ind Equations'!$B$13*'Com-Ind Equations'!$B$14/(H42+I42),'Com-Ind Equations'!$B$13*'Com-Ind Equations'!$B$14/(H42+I42+J42))))</f>
        <v>NA</v>
      </c>
      <c r="M42" s="95" t="str">
        <f>IF(AND(H42="NA",I42="NA",K42="NA"),"NA",IF(H42="NA",'Com-Ind Equations'!$B$13*'Com-Ind Equations'!$B$14/K42,IF(K42="NA",'Com-Ind Equations'!$B$13*'Com-Ind Equations'!$B$14/(H42+I42),'Com-Ind Equations'!$B$13*'Com-Ind Equations'!$B$14/(H42+I42+K42))))</f>
        <v>NA</v>
      </c>
      <c r="N42" s="95" t="str">
        <f t="shared" ref="N42" si="30">IF(AND(L42="NA",M42="NA"),"NA",MAX(L42,M42))</f>
        <v>NA</v>
      </c>
      <c r="O42" s="94">
        <f>IF('Chemical Info'!L43="NA","NA",IF('Chemical Info'!E43="Yes",(('Com-Ind Equations'!$B$46*'Chemical Info'!AD43*'Com-Ind Equations'!$B$48*'Com-Ind Equations'!$B$49*'Com-Ind Equations'!$B$51)/('Com-Ind Equations'!$B$55*'Com-Ind Equations'!$B$56))/'Chemical Info'!L43,(('Com-Ind Equations'!$B$46*'Chemical Info'!AD43*'Com-Ind Equations'!$B$48*'Com-Ind Equations'!$B$49*'Com-Ind Equations'!$B$50)/('Com-Ind Equations'!$B$55*'Com-Ind Equations'!$B$56))/'Chemical Info'!L43))</f>
        <v>6.1643835616438346E-6</v>
      </c>
      <c r="P42" s="90">
        <f>IF('Chemical Info'!L43="NA","NA", IF('Chemical Info'!E43="Yes",0,((('Com-Ind Equations'!$B$58*'Com-Ind Equations'!$B$59*'Com-Ind Equations'!$B$48*'Com-Ind Equations'!$B$52*'Com-Ind Equations'!$B$49*'Chemical Info'!AB43)/('Com-Ind Equations'!$B$55*'Com-Ind Equations'!$B$56))/('Chemical Info'!L43*'Chemical Info'!AF43))))</f>
        <v>0</v>
      </c>
      <c r="Q42" s="90" t="str">
        <f>IF('Chemical Info'!N43="NA","NA",IF('Com-Ind Calculations'!E42="NA",(('Com-Ind Equations'!$B$53*'Com-Ind Equations'!$B$49*'Com-Ind Equations'!$B$54*'Com-Ind Calculations'!C42)/('Com-Ind Equations'!$B$56))/('Chemical Info'!N43),IF('Chemical Info'!E43="Yes",(('Com-Ind Equations'!$B$53*'Com-Ind Equations'!$B$49*'Com-Ind Equations'!$B$54*'Com-Ind Calculations'!E42)/('Com-Ind Equations'!$B$56))/('Chemical Info'!N43),(('Com-Ind Equations'!$B$53*'Com-Ind Equations'!$B$49*'Com-Ind Equations'!$B$54*('Com-Ind Calculations'!C42+'Com-Ind Calculations'!E42))/('Com-Ind Equations'!$B$56))/('Chemical Info'!N43))))</f>
        <v>NA</v>
      </c>
      <c r="R42" s="90" t="str">
        <f>IF('Chemical Info'!N43="NA","NA",IF('Com-Ind Calculations'!F42="NA",(('Com-Ind Equations'!$B$53*'Com-Ind Equations'!$B$49*'Com-Ind Equations'!$B$54*'Com-Ind Calculations'!C42)/('Com-Ind Equations'!$B$56))/('Chemical Info'!N43),IF('Chemical Info'!E43="Yes",(('Com-Ind Equations'!$B$53*'Com-Ind Equations'!$B$49*'Com-Ind Equations'!$B$54*'Com-Ind Calculations'!F42)/('Com-Ind Equations'!$B$56))/('Chemical Info'!N43),(('Com-Ind Equations'!$B$53*'Com-Ind Equations'!$B$49*'Com-Ind Equations'!$B$54*('Com-Ind Calculations'!C42+'Com-Ind Calculations'!F42))/('Com-Ind Equations'!$B$56))/('Chemical Info'!N43))))</f>
        <v>NA</v>
      </c>
      <c r="S42" s="90">
        <f>IF(AND(O42="NA",P42="NA",Q42="NA"),"NA",IF(O42="NA",'Com-Ind Equations'!$B$45/'Com-Ind Calculations'!Q42,IF('Com-Ind Calculations'!Q42="NA",'Com-Ind Equations'!$B$45/('Com-Ind Calculations'!O42+'Com-Ind Calculations'!P42),'Com-Ind Equations'!$B$45/('Com-Ind Calculations'!O42+'Com-Ind Calculations'!P42+'Com-Ind Calculations'!Q42))))</f>
        <v>32444.444444444453</v>
      </c>
      <c r="T42" s="95">
        <f>IF(AND(O42="NA",P42="NA",R42="NA"),"NA",IF(O42="NA",'Com-Ind Equations'!$B$45/R42,IF(R42="NA",'Com-Ind Equations'!$B$45/(O42+P42),'Com-Ind Equations'!$B$45/(O42+P42+R42))))</f>
        <v>32444.444444444453</v>
      </c>
      <c r="U42" s="97">
        <f t="shared" ref="U42" si="31">IF(AND(S42="NA",T42="NA"),"NA",MAX(S42,T42))</f>
        <v>32444.444444444453</v>
      </c>
      <c r="V42" s="101">
        <f t="shared" ref="V42" si="32">IF(AND(N42="NA",U42="NA",G42="NA"),"NA",MIN(N42,U42,G42))</f>
        <v>7640.4645147733336</v>
      </c>
      <c r="W42" s="105">
        <f t="shared" ref="W42" si="33">IF(V42&gt;100000,100000,IF(ISNUMBER(ROUND(V42*1000000,2-LEN(INT(V42*1000000)))/1000000),ROUND(V42*1000000,2-LEN(INT(V42*1000000)))/1000000,"NA"))</f>
        <v>7600</v>
      </c>
      <c r="X42" s="100" t="str">
        <f t="shared" ref="X42" si="34">IF(W42=100000,"Max Limit",IF(V42=G42,"Csat",IF(V42=N42,"Cancer",IF(V42=U42,"Noncancer",""))))</f>
        <v>Csat</v>
      </c>
      <c r="Y42" s="70"/>
    </row>
    <row r="43" spans="1:26" ht="12">
      <c r="A43" s="413" t="s">
        <v>1235</v>
      </c>
      <c r="B43" s="566" t="s">
        <v>1231</v>
      </c>
      <c r="C43" s="85">
        <f>1/(('Com-Ind Equations'!$B$123*3600)/(0.036*(1-'Com-Ind Equations'!$B$124)*(('Com-Ind Equations'!$B$125/'Com-Ind Equations'!$B$126)^3)*'Com-Ind Equations'!$B$127))</f>
        <v>1.4713536180231943E-9</v>
      </c>
      <c r="D43" s="90">
        <f>(('Com-Ind Equations'!$B$103^(10/3)*'Chemical Info'!AH44*'Chemical Info'!AN44*41+'Com-Ind Equations'!$B$106^(10/3)*'Chemical Info'!AJ44)/'Com-Ind Equations'!$B$108^2)/('Com-Ind Equations'!$B$110*'Chemical Info'!AL44*'Com-Ind Equations'!$B$113+'Com-Ind Equations'!$B$106+'Com-Ind Equations'!$B$103*'Chemical Info'!AN44*41)</f>
        <v>1.5457246539574584E-5</v>
      </c>
      <c r="E43" s="65">
        <f>IF(D43=0,"NA",1/(('Com-Ind Equations'!$B$74*(3.14*D43*'Com-Ind Equations'!$B$76)^(1/2)*0.0001)/(2*'Com-Ind Equations'!$B$77*D43)))</f>
        <v>2.3077813045398469E-5</v>
      </c>
      <c r="F43" s="65">
        <f>IF(D43=0,"NA",(1/('Com-Ind Equations'!$B$88*('Com-Ind Equations'!$B$89*(31500000))/('Com-Ind Equations'!$B$90*'Com-Ind Equations'!$B$91*1000000))))</f>
        <v>6.1914410640015851E-5</v>
      </c>
      <c r="G43" s="120"/>
      <c r="H43" s="112">
        <f>IF('Chemical Info'!H44="NA","NA",IF('Chemical Info'!E44="Yes",'Chemical Info'!H44*'Chemical Info'!AD44*'Com-Ind Equations'!$B$18*'Com-Ind Equations'!$B$22*(('Com-Ind Equations'!$B$24*'Com-Ind Equations'!$B$25)/'Com-Ind Equations'!$B$26),'Chemical Info'!H44*'Chemical Info'!AD44*'Com-Ind Equations'!$B$17*'Com-Ind Equations'!$B$22*('Com-Ind Equations'!$B$24*'Com-Ind Equations'!$B$25/'Com-Ind Equations'!$B$26)))</f>
        <v>2.8124999999999998E-6</v>
      </c>
      <c r="I43" s="108">
        <f>IF('Chemical Info'!H44="NA","NA",IF('Chemical Info'!E44="Yes",0,('Chemical Info'!H44/'Chemical Info'!AF44)*'Com-Ind Equations'!$B$19*'Chemical Info'!AB44*'Com-Ind Equations'!$B$22*(('Com-Ind Equations'!$B$24*'Com-Ind Equations'!$B$29*'Com-Ind Equations'!$B$30)/'Com-Ind Equations'!$B$26)))</f>
        <v>0</v>
      </c>
      <c r="J43" s="115" t="str">
        <f>IF('Chemical Info'!J44="NA","NA",IF(E43="NA",'Com-Ind Equations'!$B$20*1000*'Com-Ind Equations'!$B$24*'Com-Ind Equations'!$B$21*'Chemical Info'!J44*'Com-Ind Calculations'!C43,IF('Chemical Info'!E44="Yes",'Com-Ind Equations'!$B$20*1000*'Com-Ind Equations'!$B$24*'Com-Ind Equations'!$B$21*'Chemical Info'!J44*'Com-Ind Calculations'!E43,'Com-Ind Equations'!$B$20*1000*'Com-Ind Equations'!$B$24*'Com-Ind Equations'!$B$21*'Chemical Info'!J44*('Com-Ind Calculations'!C43+'Com-Ind Calculations'!E43))))</f>
        <v>NA</v>
      </c>
      <c r="K43" s="117" t="str">
        <f>IF('Chemical Info'!J44="NA","NA",IF(F43="NA",'Com-Ind Equations'!$B$20*1000*'Com-Ind Equations'!$B$24*'Com-Ind Equations'!$B$21*'Chemical Info'!J44*'Com-Ind Calculations'!C43,IF('Chemical Info'!E44="Yes",'Com-Ind Equations'!$B$20*1000*'Com-Ind Equations'!$B$24*'Com-Ind Equations'!$B$21*'Chemical Info'!J44*'Com-Ind Calculations'!F43,'Com-Ind Equations'!$B$20*1000*'Com-Ind Equations'!$B$24*'Com-Ind Equations'!$B$21*'Chemical Info'!J44*('Com-Ind Calculations'!C43+'Com-Ind Calculations'!F43))))</f>
        <v>NA</v>
      </c>
      <c r="L43" s="95">
        <f>IF(AND(H43="NA",I43="NA",J43="NA"),"NA",IF(H43="NA",'Com-Ind Equations'!$B$13*'Com-Ind Equations'!$B$14/J43,IF(J43="NA",'Com-Ind Equations'!$B$13*'Com-Ind Equations'!$B$14/(H43+I43),'Com-Ind Equations'!$B$13*'Com-Ind Equations'!$B$14/(H43+I43+J43))))</f>
        <v>90844.444444444453</v>
      </c>
      <c r="M43" s="95">
        <f>IF(AND(H43="NA",I43="NA",K43="NA"),"NA",IF(H43="NA",'Com-Ind Equations'!$B$13*'Com-Ind Equations'!$B$14/K43,IF(K43="NA",'Com-Ind Equations'!$B$13*'Com-Ind Equations'!$B$14/(H43+I43),'Com-Ind Equations'!$B$13*'Com-Ind Equations'!$B$14/(H43+I43+K43))))</f>
        <v>90844.444444444453</v>
      </c>
      <c r="N43" s="95">
        <f t="shared" ref="N43" si="35">IF(AND(L43="NA",M43="NA"),"NA",MAX(L43,M43))</f>
        <v>90844.444444444453</v>
      </c>
      <c r="O43" s="94">
        <f>IF('Chemical Info'!L44="NA","NA",IF('Chemical Info'!E44="Yes",(('Com-Ind Equations'!$B$46*'Chemical Info'!AD44*'Com-Ind Equations'!$B$48*'Com-Ind Equations'!$B$49*'Com-Ind Equations'!$B$51)/('Com-Ind Equations'!$B$55*'Com-Ind Equations'!$B$56))/'Chemical Info'!L44,(('Com-Ind Equations'!$B$46*'Chemical Info'!AD44*'Com-Ind Equations'!$B$48*'Com-Ind Equations'!$B$49*'Com-Ind Equations'!$B$50)/('Com-Ind Equations'!$B$55*'Com-Ind Equations'!$B$56))/'Chemical Info'!L44))</f>
        <v>1.5410958904109587E-6</v>
      </c>
      <c r="P43" s="90">
        <f>IF('Chemical Info'!L44="NA","NA", IF('Chemical Info'!E44="Yes",0,((('Com-Ind Equations'!$B$58*'Com-Ind Equations'!$B$59*'Com-Ind Equations'!$B$48*'Com-Ind Equations'!$B$52*'Com-Ind Equations'!$B$49*'Chemical Info'!AB44)/('Com-Ind Equations'!$B$55*'Com-Ind Equations'!$B$56))/('Chemical Info'!L44*'Chemical Info'!AF44))))</f>
        <v>0</v>
      </c>
      <c r="Q43" s="90">
        <f>IF('Chemical Info'!N44="NA","NA",IF('Com-Ind Calculations'!E43="NA",(('Com-Ind Equations'!$B$53*'Com-Ind Equations'!$B$49*'Com-Ind Equations'!$B$54*'Com-Ind Calculations'!C43)/('Com-Ind Equations'!$B$56))/('Chemical Info'!N44),IF('Chemical Info'!E44="Yes",(('Com-Ind Equations'!$B$53*'Com-Ind Equations'!$B$49*'Com-Ind Equations'!$B$54*'Com-Ind Calculations'!E43)/('Com-Ind Equations'!$B$56))/('Chemical Info'!N44),(('Com-Ind Equations'!$B$53*'Com-Ind Equations'!$B$49*'Com-Ind Equations'!$B$54*('Com-Ind Calculations'!C43+'Com-Ind Calculations'!E43))/('Com-Ind Equations'!$B$56))/('Chemical Info'!N44))))</f>
        <v>9.4840327583829328E-7</v>
      </c>
      <c r="R43" s="90">
        <f>IF('Chemical Info'!N44="NA","NA",IF('Com-Ind Calculations'!F43="NA",(('Com-Ind Equations'!$B$53*'Com-Ind Equations'!$B$49*'Com-Ind Equations'!$B$54*'Com-Ind Calculations'!C43)/('Com-Ind Equations'!$B$56))/('Chemical Info'!N44),IF('Chemical Info'!E44="Yes",(('Com-Ind Equations'!$B$53*'Com-Ind Equations'!$B$49*'Com-Ind Equations'!$B$54*'Com-Ind Calculations'!F43)/('Com-Ind Equations'!$B$56))/('Chemical Info'!N44),(('Com-Ind Equations'!$B$53*'Com-Ind Equations'!$B$49*'Com-Ind Equations'!$B$54*('Com-Ind Calculations'!C43+'Com-Ind Calculations'!F43))/('Com-Ind Equations'!$B$56))/('Chemical Info'!N44))))</f>
        <v>2.5444278345211994E-6</v>
      </c>
      <c r="S43" s="90">
        <f>IF(AND(O43="NA",P43="NA",Q43="NA"),"NA",IF(O43="NA",'Com-Ind Equations'!$B$45/'Com-Ind Calculations'!Q43,IF('Com-Ind Calculations'!Q43="NA",'Com-Ind Equations'!$B$45/('Com-Ind Calculations'!O43+'Com-Ind Calculations'!P43),'Com-Ind Equations'!$B$45/('Com-Ind Calculations'!O43+'Com-Ind Calculations'!P43+'Com-Ind Calculations'!Q43))))</f>
        <v>80337.44405760357</v>
      </c>
      <c r="T43" s="95">
        <f>IF(AND(O43="NA",P43="NA",R43="NA"),"NA",IF(O43="NA",'Com-Ind Equations'!$B$45/R43,IF(R43="NA",'Com-Ind Equations'!$B$45/(O43+P43),'Com-Ind Equations'!$B$45/(O43+P43+R43))))</f>
        <v>48953.332171219023</v>
      </c>
      <c r="U43" s="97">
        <f t="shared" ref="U43" si="36">IF(AND(S43="NA",T43="NA"),"NA",MAX(S43,T43))</f>
        <v>80337.44405760357</v>
      </c>
      <c r="V43" s="101">
        <f t="shared" ref="V43" si="37">IF(AND(N43="NA",U43="NA",G43="NA"),"NA",MIN(N43,U43,G43))</f>
        <v>80337.44405760357</v>
      </c>
      <c r="W43" s="105">
        <f t="shared" ref="W43" si="38">IF(V43&gt;100000,100000,IF(ISNUMBER(ROUND(V43*1000000,2-LEN(INT(V43*1000000)))/1000000),ROUND(V43*1000000,2-LEN(INT(V43*1000000)))/1000000,"NA"))</f>
        <v>80000</v>
      </c>
      <c r="X43" s="100" t="str">
        <f t="shared" ref="X43" si="39">IF(W43=100000,"Max Limit",IF(V43=G43,"Csat",IF(V43=N43,"Cancer",IF(V43=U43,"Noncancer",""))))</f>
        <v>Noncancer</v>
      </c>
      <c r="Y43" s="70"/>
    </row>
    <row r="44" spans="1:26">
      <c r="A44" s="67" t="s">
        <v>397</v>
      </c>
      <c r="B44" s="566" t="s">
        <v>18</v>
      </c>
      <c r="C44" s="85">
        <f>1/(('Com-Ind Equations'!$B$123*3600)/(0.036*(1-'Com-Ind Equations'!$B$124)*(('Com-Ind Equations'!$B$125/'Com-Ind Equations'!$B$126)^3)*'Com-Ind Equations'!$B$127))</f>
        <v>1.4713536180231943E-9</v>
      </c>
      <c r="D44" s="90">
        <f>(('Com-Ind Equations'!$B$103^(10/3)*'Chemical Info'!AH45*'Chemical Info'!AN45*41+'Com-Ind Equations'!$B$106^(10/3)*'Chemical Info'!AJ45)/'Com-Ind Equations'!$B$108^2)/('Com-Ind Equations'!$B$110*'Chemical Info'!AL45*'Com-Ind Equations'!$B$113+'Com-Ind Equations'!$B$106+'Com-Ind Equations'!$B$103*'Chemical Info'!AN45*41)</f>
        <v>1.9191550313830502E-4</v>
      </c>
      <c r="E44" s="65">
        <f>IF(D44=0,"NA",1/(('Com-Ind Equations'!$B$74*(3.14*D44*'Com-Ind Equations'!$B$76)^(1/2)*0.0001)/(2*'Com-Ind Equations'!$B$77*D44)))</f>
        <v>8.1317424158719752E-5</v>
      </c>
      <c r="F44" s="65">
        <f>IF(D44=0,"NA",(1/('Com-Ind Equations'!$B$88*('Com-Ind Equations'!$B$89*(31500000))/('Com-Ind Equations'!$B$90*'Com-Ind Equations'!$B$91*1000000))))</f>
        <v>6.1914410640015851E-5</v>
      </c>
      <c r="G44" s="95">
        <f>IF('Chemical Info'!E45="Yes",('Chemical Info'!AP45/'Com-Ind Equations'!$B$139)*((('Chemical Info'!AL45*'Com-Ind Equations'!$B$141)*'Com-Ind Equations'!$B$139)+'Com-Ind Equations'!$B$142+('Chemical Info'!AN45*41)*'Com-Ind Equations'!$B$144),"NA")</f>
        <v>107.5415184</v>
      </c>
      <c r="H44" s="112" t="str">
        <f>IF('Chemical Info'!H45="NA","NA",IF('Chemical Info'!E45="Yes",'Chemical Info'!H45*'Chemical Info'!AD45*'Com-Ind Equations'!$B$18*'Com-Ind Equations'!$B$22*(('Com-Ind Equations'!$B$24*'Com-Ind Equations'!$B$25)/'Com-Ind Equations'!$B$26),'Chemical Info'!H45*'Chemical Info'!AD45*'Com-Ind Equations'!$B$17*'Com-Ind Equations'!$B$22*('Com-Ind Equations'!$B$24*'Com-Ind Equations'!$B$25/'Com-Ind Equations'!$B$26)))</f>
        <v>NA</v>
      </c>
      <c r="I44" s="108" t="str">
        <f>IF('Chemical Info'!H45="NA","NA",IF('Chemical Info'!E45="Yes",0,('Chemical Info'!H45/'Chemical Info'!AF45)*'Com-Ind Equations'!$B$19*'Chemical Info'!AB45*'Com-Ind Equations'!$B$22*(('Com-Ind Equations'!$B$24*'Com-Ind Equations'!$B$29*'Com-Ind Equations'!$B$30)/'Com-Ind Equations'!$B$26)))</f>
        <v>NA</v>
      </c>
      <c r="J44" s="115" t="str">
        <f>IF('Chemical Info'!J45="NA","NA",IF(E44="NA",'Com-Ind Equations'!$B$20*1000*'Com-Ind Equations'!$B$24*'Com-Ind Equations'!$B$21*'Chemical Info'!J45*'Com-Ind Calculations'!C44,IF('Chemical Info'!E45="Yes",'Com-Ind Equations'!$B$20*1000*'Com-Ind Equations'!$B$24*'Com-Ind Equations'!$B$21*'Chemical Info'!J45*'Com-Ind Calculations'!E44,'Com-Ind Equations'!$B$20*1000*'Com-Ind Equations'!$B$24*'Com-Ind Equations'!$B$21*'Chemical Info'!J45*('Com-Ind Calculations'!C44+'Com-Ind Calculations'!E44))))</f>
        <v>NA</v>
      </c>
      <c r="K44" s="117" t="str">
        <f>IF('Chemical Info'!J45="NA","NA",IF(F44="NA",'Com-Ind Equations'!$B$20*1000*'Com-Ind Equations'!$B$24*'Com-Ind Equations'!$B$21*'Chemical Info'!J45*'Com-Ind Calculations'!C44,IF('Chemical Info'!E45="Yes",'Com-Ind Equations'!$B$20*1000*'Com-Ind Equations'!$B$24*'Com-Ind Equations'!$B$21*'Chemical Info'!J45*'Com-Ind Calculations'!F44,'Com-Ind Equations'!$B$20*1000*'Com-Ind Equations'!$B$24*'Com-Ind Equations'!$B$21*'Chemical Info'!J45*('Com-Ind Calculations'!C44+'Com-Ind Calculations'!F44))))</f>
        <v>NA</v>
      </c>
      <c r="L44" s="95" t="str">
        <f>IF(AND(H44="NA",I44="NA",J44="NA"),"NA",IF(H44="NA",'Com-Ind Equations'!$B$13*'Com-Ind Equations'!$B$14/J44,IF(J44="NA",'Com-Ind Equations'!$B$13*'Com-Ind Equations'!$B$14/(H44+I44),'Com-Ind Equations'!$B$13*'Com-Ind Equations'!$B$14/(H44+I44+J44))))</f>
        <v>NA</v>
      </c>
      <c r="M44" s="95" t="str">
        <f>IF(AND(H44="NA",I44="NA",K44="NA"),"NA",IF(H44="NA",'Com-Ind Equations'!$B$13*'Com-Ind Equations'!$B$14/K44,IF(K44="NA",'Com-Ind Equations'!$B$13*'Com-Ind Equations'!$B$14/(H44+I44),'Com-Ind Equations'!$B$13*'Com-Ind Equations'!$B$14/(H44+I44+K44))))</f>
        <v>NA</v>
      </c>
      <c r="N44" s="95" t="str">
        <f t="shared" si="10"/>
        <v>NA</v>
      </c>
      <c r="O44" s="94">
        <f>IF('Chemical Info'!L45="NA","NA",IF('Chemical Info'!E45="Yes",(('Com-Ind Equations'!$B$46*'Chemical Info'!AD45*'Com-Ind Equations'!$B$48*'Com-Ind Equations'!$B$49*'Com-Ind Equations'!$B$51)/('Com-Ind Equations'!$B$55*'Com-Ind Equations'!$B$56))/'Chemical Info'!L45,(('Com-Ind Equations'!$B$46*'Chemical Info'!AD45*'Com-Ind Equations'!$B$48*'Com-Ind Equations'!$B$49*'Com-Ind Equations'!$B$50)/('Com-Ind Equations'!$B$55*'Com-Ind Equations'!$B$56))/'Chemical Info'!L45))</f>
        <v>1.2328767123287669E-5</v>
      </c>
      <c r="P44" s="90">
        <f>IF('Chemical Info'!L45="NA","NA", IF('Chemical Info'!E45="Yes",0,((('Com-Ind Equations'!$B$58*'Com-Ind Equations'!$B$59*'Com-Ind Equations'!$B$48*'Com-Ind Equations'!$B$52*'Com-Ind Equations'!$B$49*'Chemical Info'!AB45)/('Com-Ind Equations'!$B$55*'Com-Ind Equations'!$B$56))/('Chemical Info'!L45*'Chemical Info'!AF45))))</f>
        <v>0</v>
      </c>
      <c r="Q44" s="90" t="str">
        <f>IF('Chemical Info'!N45="NA","NA",IF('Com-Ind Calculations'!E44="NA",(('Com-Ind Equations'!$B$53*'Com-Ind Equations'!$B$49*'Com-Ind Equations'!$B$54*'Com-Ind Calculations'!C44)/('Com-Ind Equations'!$B$56))/('Chemical Info'!N45),IF('Chemical Info'!E45="Yes",(('Com-Ind Equations'!$B$53*'Com-Ind Equations'!$B$49*'Com-Ind Equations'!$B$54*'Com-Ind Calculations'!E44)/('Com-Ind Equations'!$B$56))/('Chemical Info'!N45),(('Com-Ind Equations'!$B$53*'Com-Ind Equations'!$B$49*'Com-Ind Equations'!$B$54*('Com-Ind Calculations'!C44+'Com-Ind Calculations'!E44))/('Com-Ind Equations'!$B$56))/('Chemical Info'!N45))))</f>
        <v>NA</v>
      </c>
      <c r="R44" s="90" t="str">
        <f>IF('Chemical Info'!N45="NA","NA",IF('Com-Ind Calculations'!F44="NA",(('Com-Ind Equations'!$B$53*'Com-Ind Equations'!$B$49*'Com-Ind Equations'!$B$54*'Com-Ind Calculations'!C44)/('Com-Ind Equations'!$B$56))/('Chemical Info'!N45),IF('Chemical Info'!E45="Yes",(('Com-Ind Equations'!$B$53*'Com-Ind Equations'!$B$49*'Com-Ind Equations'!$B$54*'Com-Ind Calculations'!F44)/('Com-Ind Equations'!$B$56))/('Chemical Info'!N45),(('Com-Ind Equations'!$B$53*'Com-Ind Equations'!$B$49*'Com-Ind Equations'!$B$54*('Com-Ind Calculations'!C44+'Com-Ind Calculations'!F44))/('Com-Ind Equations'!$B$56))/('Chemical Info'!N45))))</f>
        <v>NA</v>
      </c>
      <c r="S44" s="90">
        <f>IF(AND(O44="NA",P44="NA",Q44="NA"),"NA",IF(O44="NA",'Com-Ind Equations'!$B$45/'Com-Ind Calculations'!Q44,IF('Com-Ind Calculations'!Q44="NA",'Com-Ind Equations'!$B$45/('Com-Ind Calculations'!O44+'Com-Ind Calculations'!P44),'Com-Ind Equations'!$B$45/('Com-Ind Calculations'!O44+'Com-Ind Calculations'!P44+'Com-Ind Calculations'!Q44))))</f>
        <v>16222.222222222226</v>
      </c>
      <c r="T44" s="95">
        <f>IF(AND(O44="NA",P44="NA",R44="NA"),"NA",IF(O44="NA",'Com-Ind Equations'!$B$45/R44,IF(R44="NA",'Com-Ind Equations'!$B$45/(O44+P44),'Com-Ind Equations'!$B$45/(O44+P44+R44))))</f>
        <v>16222.222222222226</v>
      </c>
      <c r="U44" s="97">
        <f t="shared" si="11"/>
        <v>16222.222222222226</v>
      </c>
      <c r="V44" s="101">
        <f t="shared" si="12"/>
        <v>107.5415184</v>
      </c>
      <c r="W44" s="105">
        <f t="shared" si="13"/>
        <v>110</v>
      </c>
      <c r="X44" s="100" t="str">
        <f t="shared" si="14"/>
        <v>Csat</v>
      </c>
      <c r="Y44" s="70"/>
      <c r="Z44" s="9"/>
    </row>
    <row r="45" spans="1:26">
      <c r="A45" s="67" t="s">
        <v>144</v>
      </c>
      <c r="B45" s="566" t="s">
        <v>145</v>
      </c>
      <c r="C45" s="85">
        <f>1/(('Com-Ind Equations'!$B$123*3600)/(0.036*(1-'Com-Ind Equations'!$B$124)*(('Com-Ind Equations'!$B$125/'Com-Ind Equations'!$B$126)^3)*'Com-Ind Equations'!$B$127))</f>
        <v>1.4713536180231943E-9</v>
      </c>
      <c r="D45" s="90">
        <f>(('Com-Ind Equations'!$B$103^(10/3)*'Chemical Info'!AH46*'Chemical Info'!AN46*41+'Com-Ind Equations'!$B$106^(10/3)*'Chemical Info'!AJ46)/'Com-Ind Equations'!$B$108^2)/('Com-Ind Equations'!$B$110*'Chemical Info'!AL46*'Com-Ind Equations'!$B$113+'Com-Ind Equations'!$B$106+'Com-Ind Equations'!$B$103*'Chemical Info'!AN46*41)</f>
        <v>2.3562989864710327E-4</v>
      </c>
      <c r="E45" s="65">
        <f>IF(D45=0,"NA",1/(('Com-Ind Equations'!$B$74*(3.14*D45*'Com-Ind Equations'!$B$76)^(1/2)*0.0001)/(2*'Com-Ind Equations'!$B$77*D45)))</f>
        <v>9.0103940033214858E-5</v>
      </c>
      <c r="F45" s="65">
        <f>IF(D45=0,"NA",(1/('Com-Ind Equations'!$B$88*('Com-Ind Equations'!$B$89*(31500000))/('Com-Ind Equations'!$B$90*'Com-Ind Equations'!$B$91*1000000))))</f>
        <v>6.1914410640015851E-5</v>
      </c>
      <c r="G45" s="95">
        <f>IF('Chemical Info'!E46="Yes",('Chemical Info'!AP46/'Com-Ind Equations'!$B$139)*((('Chemical Info'!AL46*'Com-Ind Equations'!$B$141)*'Com-Ind Equations'!$B$139)+'Com-Ind Equations'!$B$142+('Chemical Info'!AN46*41)*'Com-Ind Equations'!$B$144),"NA")</f>
        <v>144.68429653333334</v>
      </c>
      <c r="H45" s="112" t="str">
        <f>IF('Chemical Info'!H46="NA","NA",IF('Chemical Info'!E46="Yes",'Chemical Info'!H46*'Chemical Info'!AD46*'Com-Ind Equations'!$B$18*'Com-Ind Equations'!$B$22*(('Com-Ind Equations'!$B$24*'Com-Ind Equations'!$B$25)/'Com-Ind Equations'!$B$26),'Chemical Info'!H46*'Chemical Info'!AD46*'Com-Ind Equations'!$B$17*'Com-Ind Equations'!$B$22*('Com-Ind Equations'!$B$24*'Com-Ind Equations'!$B$25/'Com-Ind Equations'!$B$26)))</f>
        <v>NA</v>
      </c>
      <c r="I45" s="108" t="str">
        <f>IF('Chemical Info'!H46="NA","NA",IF('Chemical Info'!E46="Yes",0,('Chemical Info'!H46/'Chemical Info'!AF46)*'Com-Ind Equations'!$B$19*'Chemical Info'!AB46*'Com-Ind Equations'!$B$22*(('Com-Ind Equations'!$B$24*'Com-Ind Equations'!$B$29*'Com-Ind Equations'!$B$30)/'Com-Ind Equations'!$B$26)))</f>
        <v>NA</v>
      </c>
      <c r="J45" s="115" t="str">
        <f>IF('Chemical Info'!J46="NA","NA",IF(E45="NA",'Com-Ind Equations'!$B$20*1000*'Com-Ind Equations'!$B$24*'Com-Ind Equations'!$B$21*'Chemical Info'!J46*'Com-Ind Calculations'!C45,IF('Chemical Info'!E46="Yes",'Com-Ind Equations'!$B$20*1000*'Com-Ind Equations'!$B$24*'Com-Ind Equations'!$B$21*'Chemical Info'!J46*'Com-Ind Calculations'!E45,'Com-Ind Equations'!$B$20*1000*'Com-Ind Equations'!$B$24*'Com-Ind Equations'!$B$21*'Chemical Info'!J46*('Com-Ind Calculations'!C45+'Com-Ind Calculations'!E45))))</f>
        <v>NA</v>
      </c>
      <c r="K45" s="117" t="str">
        <f>IF('Chemical Info'!J46="NA","NA",IF(F45="NA",'Com-Ind Equations'!$B$20*1000*'Com-Ind Equations'!$B$24*'Com-Ind Equations'!$B$21*'Chemical Info'!J46*'Com-Ind Calculations'!C45,IF('Chemical Info'!E46="Yes",'Com-Ind Equations'!$B$20*1000*'Com-Ind Equations'!$B$24*'Com-Ind Equations'!$B$21*'Chemical Info'!J46*'Com-Ind Calculations'!F45,'Com-Ind Equations'!$B$20*1000*'Com-Ind Equations'!$B$24*'Com-Ind Equations'!$B$21*'Chemical Info'!J46*('Com-Ind Calculations'!C45+'Com-Ind Calculations'!F45))))</f>
        <v>NA</v>
      </c>
      <c r="L45" s="95" t="str">
        <f>IF(AND(H45="NA",I45="NA",J45="NA"),"NA",IF(H45="NA",'Com-Ind Equations'!$B$13*'Com-Ind Equations'!$B$14/J45,IF(J45="NA",'Com-Ind Equations'!$B$13*'Com-Ind Equations'!$B$14/(H45+I45),'Com-Ind Equations'!$B$13*'Com-Ind Equations'!$B$14/(H45+I45+J45))))</f>
        <v>NA</v>
      </c>
      <c r="M45" s="95" t="str">
        <f>IF(AND(H45="NA",I45="NA",K45="NA"),"NA",IF(H45="NA",'Com-Ind Equations'!$B$13*'Com-Ind Equations'!$B$14/K45,IF(K45="NA",'Com-Ind Equations'!$B$13*'Com-Ind Equations'!$B$14/(H45+I45),'Com-Ind Equations'!$B$13*'Com-Ind Equations'!$B$14/(H45+I45+K45))))</f>
        <v>NA</v>
      </c>
      <c r="N45" s="95" t="str">
        <f t="shared" si="10"/>
        <v>NA</v>
      </c>
      <c r="O45" s="94">
        <f>IF('Chemical Info'!L46="NA","NA",IF('Chemical Info'!E46="Yes",(('Com-Ind Equations'!$B$46*'Chemical Info'!AD46*'Com-Ind Equations'!$B$48*'Com-Ind Equations'!$B$49*'Com-Ind Equations'!$B$51)/('Com-Ind Equations'!$B$55*'Com-Ind Equations'!$B$56))/'Chemical Info'!L46,(('Com-Ind Equations'!$B$46*'Chemical Info'!AD46*'Com-Ind Equations'!$B$48*'Com-Ind Equations'!$B$49*'Com-Ind Equations'!$B$50)/('Com-Ind Equations'!$B$55*'Com-Ind Equations'!$B$56))/'Chemical Info'!L46))</f>
        <v>6.1643835616438346E-6</v>
      </c>
      <c r="P45" s="90">
        <f>IF('Chemical Info'!L46="NA","NA", IF('Chemical Info'!E46="Yes",0,((('Com-Ind Equations'!$B$58*'Com-Ind Equations'!$B$59*'Com-Ind Equations'!$B$48*'Com-Ind Equations'!$B$52*'Com-Ind Equations'!$B$49*'Chemical Info'!AB46)/('Com-Ind Equations'!$B$55*'Com-Ind Equations'!$B$56))/('Chemical Info'!L46*'Chemical Info'!AF46))))</f>
        <v>0</v>
      </c>
      <c r="Q45" s="90" t="str">
        <f>IF('Chemical Info'!N46="NA","NA",IF('Com-Ind Calculations'!E45="NA",(('Com-Ind Equations'!$B$53*'Com-Ind Equations'!$B$49*'Com-Ind Equations'!$B$54*'Com-Ind Calculations'!C45)/('Com-Ind Equations'!$B$56))/('Chemical Info'!N46),IF('Chemical Info'!E46="Yes",(('Com-Ind Equations'!$B$53*'Com-Ind Equations'!$B$49*'Com-Ind Equations'!$B$54*'Com-Ind Calculations'!E45)/('Com-Ind Equations'!$B$56))/('Chemical Info'!N46),(('Com-Ind Equations'!$B$53*'Com-Ind Equations'!$B$49*'Com-Ind Equations'!$B$54*('Com-Ind Calculations'!C45+'Com-Ind Calculations'!E45))/('Com-Ind Equations'!$B$56))/('Chemical Info'!N46))))</f>
        <v>NA</v>
      </c>
      <c r="R45" s="90" t="str">
        <f>IF('Chemical Info'!N46="NA","NA",IF('Com-Ind Calculations'!F45="NA",(('Com-Ind Equations'!$B$53*'Com-Ind Equations'!$B$49*'Com-Ind Equations'!$B$54*'Com-Ind Calculations'!C45)/('Com-Ind Equations'!$B$56))/('Chemical Info'!N46),IF('Chemical Info'!E46="Yes",(('Com-Ind Equations'!$B$53*'Com-Ind Equations'!$B$49*'Com-Ind Equations'!$B$54*'Com-Ind Calculations'!F45)/('Com-Ind Equations'!$B$56))/('Chemical Info'!N46),(('Com-Ind Equations'!$B$53*'Com-Ind Equations'!$B$49*'Com-Ind Equations'!$B$54*('Com-Ind Calculations'!C45+'Com-Ind Calculations'!F45))/('Com-Ind Equations'!$B$56))/('Chemical Info'!N46))))</f>
        <v>NA</v>
      </c>
      <c r="S45" s="90">
        <f>IF(AND(O45="NA",P45="NA",Q45="NA"),"NA",IF(O45="NA",'Com-Ind Equations'!$B$45/'Com-Ind Calculations'!Q45,IF('Com-Ind Calculations'!Q45="NA",'Com-Ind Equations'!$B$45/('Com-Ind Calculations'!O45+'Com-Ind Calculations'!P45),'Com-Ind Equations'!$B$45/('Com-Ind Calculations'!O45+'Com-Ind Calculations'!P45+'Com-Ind Calculations'!Q45))))</f>
        <v>32444.444444444453</v>
      </c>
      <c r="T45" s="95">
        <f>IF(AND(O45="NA",P45="NA",R45="NA"),"NA",IF(O45="NA",'Com-Ind Equations'!$B$45/R45,IF(R45="NA",'Com-Ind Equations'!$B$45/(O45+P45),'Com-Ind Equations'!$B$45/(O45+P45+R45))))</f>
        <v>32444.444444444453</v>
      </c>
      <c r="U45" s="97">
        <f t="shared" si="11"/>
        <v>32444.444444444453</v>
      </c>
      <c r="V45" s="101">
        <f t="shared" si="12"/>
        <v>144.68429653333334</v>
      </c>
      <c r="W45" s="105">
        <f t="shared" si="13"/>
        <v>140</v>
      </c>
      <c r="X45" s="100" t="str">
        <f t="shared" si="14"/>
        <v>Csat</v>
      </c>
      <c r="Y45" s="70"/>
      <c r="Z45" s="9"/>
    </row>
    <row r="46" spans="1:26">
      <c r="A46" s="67" t="s">
        <v>146</v>
      </c>
      <c r="B46" s="566" t="s">
        <v>147</v>
      </c>
      <c r="C46" s="85">
        <f>1/(('Com-Ind Equations'!$B$123*3600)/(0.036*(1-'Com-Ind Equations'!$B$124)*(('Com-Ind Equations'!$B$125/'Com-Ind Equations'!$B$126)^3)*'Com-Ind Equations'!$B$127))</f>
        <v>1.4713536180231943E-9</v>
      </c>
      <c r="D46" s="90">
        <f>(('Com-Ind Equations'!$B$103^(10/3)*'Chemical Info'!AH47*'Chemical Info'!AN47*41+'Com-Ind Equations'!$B$106^(10/3)*'Chemical Info'!AJ47)/'Com-Ind Equations'!$B$108^2)/('Com-Ind Equations'!$B$110*'Chemical Info'!AL47*'Com-Ind Equations'!$B$113+'Com-Ind Equations'!$B$106+'Com-Ind Equations'!$B$103*'Chemical Info'!AN47*41)</f>
        <v>2.3494294708038057E-4</v>
      </c>
      <c r="E46" s="65">
        <f>IF(D46=0,"NA",1/(('Com-Ind Equations'!$B$74*(3.14*D46*'Com-Ind Equations'!$B$76)^(1/2)*0.0001)/(2*'Com-Ind Equations'!$B$77*D46)))</f>
        <v>8.9972500384812143E-5</v>
      </c>
      <c r="F46" s="65">
        <f>IF(D46=0,"NA",(1/('Com-Ind Equations'!$B$88*('Com-Ind Equations'!$B$89*(31500000))/('Com-Ind Equations'!$B$90*'Com-Ind Equations'!$B$91*1000000))))</f>
        <v>6.1914410640015851E-5</v>
      </c>
      <c r="G46" s="95">
        <f>IF('Chemical Info'!E47="Yes",('Chemical Info'!AP47/'Com-Ind Equations'!$B$139)*((('Chemical Info'!AL47*'Com-Ind Equations'!$B$141)*'Com-Ind Equations'!$B$139)+'Com-Ind Equations'!$B$142+('Chemical Info'!AN47*41)*'Com-Ind Equations'!$B$144),"NA")</f>
        <v>183.10720800000001</v>
      </c>
      <c r="H46" s="112" t="str">
        <f>IF('Chemical Info'!H47="NA","NA",IF('Chemical Info'!E47="Yes",'Chemical Info'!H47*'Chemical Info'!AD47*'Com-Ind Equations'!$B$18*'Com-Ind Equations'!$B$22*(('Com-Ind Equations'!$B$24*'Com-Ind Equations'!$B$25)/'Com-Ind Equations'!$B$26),'Chemical Info'!H47*'Chemical Info'!AD47*'Com-Ind Equations'!$B$17*'Com-Ind Equations'!$B$22*('Com-Ind Equations'!$B$24*'Com-Ind Equations'!$B$25/'Com-Ind Equations'!$B$26)))</f>
        <v>NA</v>
      </c>
      <c r="I46" s="108" t="str">
        <f>IF('Chemical Info'!H47="NA","NA",IF('Chemical Info'!E47="Yes",0,('Chemical Info'!H47/'Chemical Info'!AF47)*'Com-Ind Equations'!$B$19*'Chemical Info'!AB47*'Com-Ind Equations'!$B$22*(('Com-Ind Equations'!$B$24*'Com-Ind Equations'!$B$29*'Com-Ind Equations'!$B$30)/'Com-Ind Equations'!$B$26)))</f>
        <v>NA</v>
      </c>
      <c r="J46" s="115" t="str">
        <f>IF('Chemical Info'!J47="NA","NA",IF(E46="NA",'Com-Ind Equations'!$B$20*1000*'Com-Ind Equations'!$B$24*'Com-Ind Equations'!$B$21*'Chemical Info'!J47*'Com-Ind Calculations'!C46,IF('Chemical Info'!E47="Yes",'Com-Ind Equations'!$B$20*1000*'Com-Ind Equations'!$B$24*'Com-Ind Equations'!$B$21*'Chemical Info'!J47*'Com-Ind Calculations'!E46,'Com-Ind Equations'!$B$20*1000*'Com-Ind Equations'!$B$24*'Com-Ind Equations'!$B$21*'Chemical Info'!J47*('Com-Ind Calculations'!C46+'Com-Ind Calculations'!E46))))</f>
        <v>NA</v>
      </c>
      <c r="K46" s="117" t="str">
        <f>IF('Chemical Info'!J47="NA","NA",IF(F46="NA",'Com-Ind Equations'!$B$20*1000*'Com-Ind Equations'!$B$24*'Com-Ind Equations'!$B$21*'Chemical Info'!J47*'Com-Ind Calculations'!C46,IF('Chemical Info'!E47="Yes",'Com-Ind Equations'!$B$20*1000*'Com-Ind Equations'!$B$24*'Com-Ind Equations'!$B$21*'Chemical Info'!J47*'Com-Ind Calculations'!F46,'Com-Ind Equations'!$B$20*1000*'Com-Ind Equations'!$B$24*'Com-Ind Equations'!$B$21*'Chemical Info'!J47*('Com-Ind Calculations'!C46+'Com-Ind Calculations'!F46))))</f>
        <v>NA</v>
      </c>
      <c r="L46" s="95" t="str">
        <f>IF(AND(H46="NA",I46="NA",J46="NA"),"NA",IF(H46="NA",'Com-Ind Equations'!$B$13*'Com-Ind Equations'!$B$14/J46,IF(J46="NA",'Com-Ind Equations'!$B$13*'Com-Ind Equations'!$B$14/(H46+I46),'Com-Ind Equations'!$B$13*'Com-Ind Equations'!$B$14/(H46+I46+J46))))</f>
        <v>NA</v>
      </c>
      <c r="M46" s="95" t="str">
        <f>IF(AND(H46="NA",I46="NA",K46="NA"),"NA",IF(H46="NA",'Com-Ind Equations'!$B$13*'Com-Ind Equations'!$B$14/K46,IF(K46="NA",'Com-Ind Equations'!$B$13*'Com-Ind Equations'!$B$14/(H46+I46),'Com-Ind Equations'!$B$13*'Com-Ind Equations'!$B$14/(H46+I46+K46))))</f>
        <v>NA</v>
      </c>
      <c r="N46" s="95" t="str">
        <f t="shared" si="10"/>
        <v>NA</v>
      </c>
      <c r="O46" s="94">
        <f>IF('Chemical Info'!L47="NA","NA",IF('Chemical Info'!E47="Yes",(('Com-Ind Equations'!$B$46*'Chemical Info'!AD47*'Com-Ind Equations'!$B$48*'Com-Ind Equations'!$B$49*'Com-Ind Equations'!$B$51)/('Com-Ind Equations'!$B$55*'Com-Ind Equations'!$B$56))/'Chemical Info'!L47,(('Com-Ind Equations'!$B$46*'Chemical Info'!AD47*'Com-Ind Equations'!$B$48*'Com-Ind Equations'!$B$49*'Com-Ind Equations'!$B$50)/('Com-Ind Equations'!$B$55*'Com-Ind Equations'!$B$56))/'Chemical Info'!L47))</f>
        <v>6.1643835616438346E-6</v>
      </c>
      <c r="P46" s="90">
        <f>IF('Chemical Info'!L47="NA","NA", IF('Chemical Info'!E47="Yes",0,((('Com-Ind Equations'!$B$58*'Com-Ind Equations'!$B$59*'Com-Ind Equations'!$B$48*'Com-Ind Equations'!$B$52*'Com-Ind Equations'!$B$49*'Chemical Info'!AB47)/('Com-Ind Equations'!$B$55*'Com-Ind Equations'!$B$56))/('Chemical Info'!L47*'Chemical Info'!AF47))))</f>
        <v>0</v>
      </c>
      <c r="Q46" s="90" t="str">
        <f>IF('Chemical Info'!N47="NA","NA",IF('Com-Ind Calculations'!E46="NA",(('Com-Ind Equations'!$B$53*'Com-Ind Equations'!$B$49*'Com-Ind Equations'!$B$54*'Com-Ind Calculations'!C46)/('Com-Ind Equations'!$B$56))/('Chemical Info'!N47),IF('Chemical Info'!E47="Yes",(('Com-Ind Equations'!$B$53*'Com-Ind Equations'!$B$49*'Com-Ind Equations'!$B$54*'Com-Ind Calculations'!E46)/('Com-Ind Equations'!$B$56))/('Chemical Info'!N47),(('Com-Ind Equations'!$B$53*'Com-Ind Equations'!$B$49*'Com-Ind Equations'!$B$54*('Com-Ind Calculations'!C46+'Com-Ind Calculations'!E46))/('Com-Ind Equations'!$B$56))/('Chemical Info'!N47))))</f>
        <v>NA</v>
      </c>
      <c r="R46" s="90" t="str">
        <f>IF('Chemical Info'!N47="NA","NA",IF('Com-Ind Calculations'!F46="NA",(('Com-Ind Equations'!$B$53*'Com-Ind Equations'!$B$49*'Com-Ind Equations'!$B$54*'Com-Ind Calculations'!C46)/('Com-Ind Equations'!$B$56))/('Chemical Info'!N47),IF('Chemical Info'!E47="Yes",(('Com-Ind Equations'!$B$53*'Com-Ind Equations'!$B$49*'Com-Ind Equations'!$B$54*'Com-Ind Calculations'!F46)/('Com-Ind Equations'!$B$56))/('Chemical Info'!N47),(('Com-Ind Equations'!$B$53*'Com-Ind Equations'!$B$49*'Com-Ind Equations'!$B$54*('Com-Ind Calculations'!C46+'Com-Ind Calculations'!F46))/('Com-Ind Equations'!$B$56))/('Chemical Info'!N47))))</f>
        <v>NA</v>
      </c>
      <c r="S46" s="90">
        <f>IF(AND(O46="NA",P46="NA",Q46="NA"),"NA",IF(O46="NA",'Com-Ind Equations'!$B$45/'Com-Ind Calculations'!Q46,IF('Com-Ind Calculations'!Q46="NA",'Com-Ind Equations'!$B$45/('Com-Ind Calculations'!O46+'Com-Ind Calculations'!P46),'Com-Ind Equations'!$B$45/('Com-Ind Calculations'!O46+'Com-Ind Calculations'!P46+'Com-Ind Calculations'!Q46))))</f>
        <v>32444.444444444453</v>
      </c>
      <c r="T46" s="95">
        <f>IF(AND(O46="NA",P46="NA",R46="NA"),"NA",IF(O46="NA",'Com-Ind Equations'!$B$45/R46,IF(R46="NA",'Com-Ind Equations'!$B$45/(O46+P46),'Com-Ind Equations'!$B$45/(O46+P46+R46))))</f>
        <v>32444.444444444453</v>
      </c>
      <c r="U46" s="97">
        <f t="shared" si="11"/>
        <v>32444.444444444453</v>
      </c>
      <c r="V46" s="101">
        <f t="shared" si="12"/>
        <v>183.10720800000001</v>
      </c>
      <c r="W46" s="105">
        <f t="shared" si="13"/>
        <v>180</v>
      </c>
      <c r="X46" s="100" t="str">
        <f t="shared" si="14"/>
        <v>Csat</v>
      </c>
      <c r="Y46" s="70"/>
      <c r="Z46" s="9"/>
    </row>
    <row r="47" spans="1:26">
      <c r="A47" s="67" t="s">
        <v>148</v>
      </c>
      <c r="B47" s="566" t="s">
        <v>149</v>
      </c>
      <c r="C47" s="85">
        <f>1/(('Com-Ind Equations'!$B$123*3600)/(0.036*(1-'Com-Ind Equations'!$B$124)*(('Com-Ind Equations'!$B$125/'Com-Ind Equations'!$B$126)^3)*'Com-Ind Equations'!$B$127))</f>
        <v>1.4713536180231943E-9</v>
      </c>
      <c r="D47" s="90">
        <f>(('Com-Ind Equations'!$B$103^(10/3)*'Chemical Info'!AH48*'Chemical Info'!AN48*41+'Com-Ind Equations'!$B$106^(10/3)*'Chemical Info'!AJ48)/'Com-Ind Equations'!$B$108^2)/('Com-Ind Equations'!$B$110*'Chemical Info'!AL48*'Com-Ind Equations'!$B$113+'Com-Ind Equations'!$B$106+'Com-Ind Equations'!$B$103*'Chemical Info'!AN48*41)</f>
        <v>9.3811971715478497E-3</v>
      </c>
      <c r="E47" s="65">
        <f>IF(D47=0,"NA",1/(('Com-Ind Equations'!$B$74*(3.14*D47*'Com-Ind Equations'!$B$76)^(1/2)*0.0001)/(2*'Com-Ind Equations'!$B$77*D47)))</f>
        <v>5.6853566771075269E-4</v>
      </c>
      <c r="F47" s="65">
        <f>IF(D47=0,"NA",(1/('Com-Ind Equations'!$B$88*('Com-Ind Equations'!$B$89*(31500000))/('Com-Ind Equations'!$B$90*'Com-Ind Equations'!$B$91*1000000))))</f>
        <v>6.1914410640015851E-5</v>
      </c>
      <c r="G47" s="95">
        <f>IF('Chemical Info'!E48="Yes",('Chemical Info'!AP48/'Com-Ind Equations'!$B$139)*((('Chemical Info'!AL48*'Com-Ind Equations'!$B$141)*'Com-Ind Equations'!$B$139)+'Com-Ind Equations'!$B$142+('Chemical Info'!AN48*41)*'Com-Ind Equations'!$B$144),"NA")</f>
        <v>735.6700800000001</v>
      </c>
      <c r="H47" s="112" t="str">
        <f>IF('Chemical Info'!H48="NA","NA",IF('Chemical Info'!E48="Yes",'Chemical Info'!H48*'Chemical Info'!AD48*'Com-Ind Equations'!$B$18*'Com-Ind Equations'!$B$22*(('Com-Ind Equations'!$B$24*'Com-Ind Equations'!$B$25)/'Com-Ind Equations'!$B$26),'Chemical Info'!H48*'Chemical Info'!AD48*'Com-Ind Equations'!$B$17*'Com-Ind Equations'!$B$22*('Com-Ind Equations'!$B$24*'Com-Ind Equations'!$B$25/'Com-Ind Equations'!$B$26)))</f>
        <v>NA</v>
      </c>
      <c r="I47" s="108" t="str">
        <f>IF('Chemical Info'!H48="NA","NA",IF('Chemical Info'!E48="Yes",0,('Chemical Info'!H48/'Chemical Info'!AF48)*'Com-Ind Equations'!$B$19*'Chemical Info'!AB48*'Com-Ind Equations'!$B$22*(('Com-Ind Equations'!$B$24*'Com-Ind Equations'!$B$29*'Com-Ind Equations'!$B$30)/'Com-Ind Equations'!$B$26)))</f>
        <v>NA</v>
      </c>
      <c r="J47" s="115" t="str">
        <f>IF('Chemical Info'!J48="NA","NA",IF(E47="NA",'Com-Ind Equations'!$B$20*1000*'Com-Ind Equations'!$B$24*'Com-Ind Equations'!$B$21*'Chemical Info'!J48*'Com-Ind Calculations'!C47,IF('Chemical Info'!E48="Yes",'Com-Ind Equations'!$B$20*1000*'Com-Ind Equations'!$B$24*'Com-Ind Equations'!$B$21*'Chemical Info'!J48*'Com-Ind Calculations'!E47,'Com-Ind Equations'!$B$20*1000*'Com-Ind Equations'!$B$24*'Com-Ind Equations'!$B$21*'Chemical Info'!J48*('Com-Ind Calculations'!C47+'Com-Ind Calculations'!E47))))</f>
        <v>NA</v>
      </c>
      <c r="K47" s="117" t="str">
        <f>IF('Chemical Info'!J48="NA","NA",IF(F47="NA",'Com-Ind Equations'!$B$20*1000*'Com-Ind Equations'!$B$24*'Com-Ind Equations'!$B$21*'Chemical Info'!J48*'Com-Ind Calculations'!C47,IF('Chemical Info'!E48="Yes",'Com-Ind Equations'!$B$20*1000*'Com-Ind Equations'!$B$24*'Com-Ind Equations'!$B$21*'Chemical Info'!J48*'Com-Ind Calculations'!F47,'Com-Ind Equations'!$B$20*1000*'Com-Ind Equations'!$B$24*'Com-Ind Equations'!$B$21*'Chemical Info'!J48*('Com-Ind Calculations'!C47+'Com-Ind Calculations'!F47))))</f>
        <v>NA</v>
      </c>
      <c r="L47" s="95" t="str">
        <f>IF(AND(H47="NA",I47="NA",J47="NA"),"NA",IF(H47="NA",'Com-Ind Equations'!$B$13*'Com-Ind Equations'!$B$14/J47,IF(J47="NA",'Com-Ind Equations'!$B$13*'Com-Ind Equations'!$B$14/(H47+I47),'Com-Ind Equations'!$B$13*'Com-Ind Equations'!$B$14/(H47+I47+J47))))</f>
        <v>NA</v>
      </c>
      <c r="M47" s="95" t="str">
        <f>IF(AND(H47="NA",I47="NA",K47="NA"),"NA",IF(H47="NA",'Com-Ind Equations'!$B$13*'Com-Ind Equations'!$B$14/K47,IF(K47="NA",'Com-Ind Equations'!$B$13*'Com-Ind Equations'!$B$14/(H47+I47),'Com-Ind Equations'!$B$13*'Com-Ind Equations'!$B$14/(H47+I47+K47))))</f>
        <v>NA</v>
      </c>
      <c r="N47" s="95" t="str">
        <f t="shared" si="10"/>
        <v>NA</v>
      </c>
      <c r="O47" s="94">
        <f>IF('Chemical Info'!L48="NA","NA",IF('Chemical Info'!E48="Yes",(('Com-Ind Equations'!$B$46*'Chemical Info'!AD48*'Com-Ind Equations'!$B$48*'Com-Ind Equations'!$B$49*'Com-Ind Equations'!$B$51)/('Com-Ind Equations'!$B$55*'Com-Ind Equations'!$B$56))/'Chemical Info'!L48,(('Com-Ind Equations'!$B$46*'Chemical Info'!AD48*'Com-Ind Equations'!$B$48*'Com-Ind Equations'!$B$49*'Com-Ind Equations'!$B$50)/('Com-Ind Equations'!$B$55*'Com-Ind Equations'!$B$56))/'Chemical Info'!L48))</f>
        <v>6.1643835616438346E-6</v>
      </c>
      <c r="P47" s="90">
        <f>IF('Chemical Info'!L48="NA","NA", IF('Chemical Info'!E48="Yes",0,((('Com-Ind Equations'!$B$58*'Com-Ind Equations'!$B$59*'Com-Ind Equations'!$B$48*'Com-Ind Equations'!$B$52*'Com-Ind Equations'!$B$49*'Chemical Info'!AB48)/('Com-Ind Equations'!$B$55*'Com-Ind Equations'!$B$56))/('Chemical Info'!L48*'Chemical Info'!AF48))))</f>
        <v>0</v>
      </c>
      <c r="Q47" s="90">
        <f>IF('Chemical Info'!N48="NA","NA",IF('Com-Ind Calculations'!E47="NA",(('Com-Ind Equations'!$B$53*'Com-Ind Equations'!$B$49*'Com-Ind Equations'!$B$54*'Com-Ind Calculations'!C47)/('Com-Ind Equations'!$B$56))/('Chemical Info'!N48),IF('Chemical Info'!E48="Yes",(('Com-Ind Equations'!$B$53*'Com-Ind Equations'!$B$49*'Com-Ind Equations'!$B$54*'Com-Ind Calculations'!E47)/('Com-Ind Equations'!$B$56))/('Chemical Info'!N48),(('Com-Ind Equations'!$B$53*'Com-Ind Equations'!$B$49*'Com-Ind Equations'!$B$54*('Com-Ind Calculations'!C47+'Com-Ind Calculations'!E47))/('Com-Ind Equations'!$B$56))/('Chemical Info'!N48))))</f>
        <v>1.6688913924973171E-4</v>
      </c>
      <c r="R47" s="90">
        <f>IF('Chemical Info'!N48="NA","NA",IF('Com-Ind Calculations'!F47="NA",(('Com-Ind Equations'!$B$53*'Com-Ind Equations'!$B$49*'Com-Ind Equations'!$B$54*'Com-Ind Calculations'!C47)/('Com-Ind Equations'!$B$56))/('Chemical Info'!N48),IF('Chemical Info'!E48="Yes",(('Com-Ind Equations'!$B$53*'Com-Ind Equations'!$B$49*'Com-Ind Equations'!$B$54*'Com-Ind Calculations'!F47)/('Com-Ind Equations'!$B$56))/('Chemical Info'!N48),(('Com-Ind Equations'!$B$53*'Com-Ind Equations'!$B$49*'Com-Ind Equations'!$B$54*('Com-Ind Calculations'!C47+'Com-Ind Calculations'!F47))/('Com-Ind Equations'!$B$56))/('Chemical Info'!N48))))</f>
        <v>1.8174484532294281E-5</v>
      </c>
      <c r="S47" s="90">
        <f>IF(AND(O47="NA",P47="NA",Q47="NA"),"NA",IF(O47="NA",'Com-Ind Equations'!$B$45/'Com-Ind Calculations'!Q47,IF('Com-Ind Calculations'!Q47="NA",'Com-Ind Equations'!$B$45/('Com-Ind Calculations'!O47+'Com-Ind Calculations'!P47),'Com-Ind Equations'!$B$45/('Com-Ind Calculations'!O47+'Com-Ind Calculations'!P47+'Com-Ind Calculations'!Q47))))</f>
        <v>1155.7118095653882</v>
      </c>
      <c r="T47" s="95">
        <f>IF(AND(O47="NA",P47="NA",R47="NA"),"NA",IF(O47="NA",'Com-Ind Equations'!$B$45/R47,IF(R47="NA",'Com-Ind Equations'!$B$45/(O47+P47),'Com-Ind Equations'!$B$45/(O47+P47+R47))))</f>
        <v>8217.3090066506575</v>
      </c>
      <c r="U47" s="97">
        <f t="shared" si="11"/>
        <v>8217.3090066506575</v>
      </c>
      <c r="V47" s="101">
        <f t="shared" si="12"/>
        <v>735.6700800000001</v>
      </c>
      <c r="W47" s="105">
        <f t="shared" si="13"/>
        <v>740</v>
      </c>
      <c r="X47" s="100" t="str">
        <f t="shared" si="14"/>
        <v>Csat</v>
      </c>
      <c r="Y47" s="70"/>
    </row>
    <row r="48" spans="1:26">
      <c r="A48" s="67" t="s">
        <v>150</v>
      </c>
      <c r="B48" s="566" t="s">
        <v>151</v>
      </c>
      <c r="C48" s="85">
        <f>1/(('Com-Ind Equations'!$B$123*3600)/(0.036*(1-'Com-Ind Equations'!$B$124)*(('Com-Ind Equations'!$B$125/'Com-Ind Equations'!$B$126)^3)*'Com-Ind Equations'!$B$127))</f>
        <v>1.4713536180231943E-9</v>
      </c>
      <c r="D48" s="90">
        <f>(('Com-Ind Equations'!$B$103^(10/3)*'Chemical Info'!AH49*'Chemical Info'!AN49*41+'Com-Ind Equations'!$B$106^(10/3)*'Chemical Info'!AJ49)/'Com-Ind Equations'!$B$108^2)/('Com-Ind Equations'!$B$110*'Chemical Info'!AL49*'Com-Ind Equations'!$B$113+'Com-Ind Equations'!$B$106+'Com-Ind Equations'!$B$103*'Chemical Info'!AN49*41)</f>
        <v>5.721656342970608E-3</v>
      </c>
      <c r="E48" s="65">
        <f>IF(D48=0,"NA",1/(('Com-Ind Equations'!$B$74*(3.14*D48*'Com-Ind Equations'!$B$76)^(1/2)*0.0001)/(2*'Com-Ind Equations'!$B$77*D48)))</f>
        <v>4.4400664372697937E-4</v>
      </c>
      <c r="F48" s="65">
        <f>IF(D48=0,"NA",(1/('Com-Ind Equations'!$B$88*('Com-Ind Equations'!$B$89*(31500000))/('Com-Ind Equations'!$B$90*'Com-Ind Equations'!$B$91*1000000))))</f>
        <v>6.1914410640015851E-5</v>
      </c>
      <c r="G48" s="95">
        <f>IF('Chemical Info'!E49="Yes",('Chemical Info'!AP49/'Com-Ind Equations'!$B$139)*((('Chemical Info'!AL49*'Com-Ind Equations'!$B$141)*'Com-Ind Equations'!$B$139)+'Com-Ind Equations'!$B$142+('Chemical Info'!AN49*41)*'Com-Ind Equations'!$B$144),"NA")</f>
        <v>455.63559599999996</v>
      </c>
      <c r="H48" s="112">
        <f>IF('Chemical Info'!H49="NA","NA",IF('Chemical Info'!E49="Yes",'Chemical Info'!H49*'Chemical Info'!AD49*'Com-Ind Equations'!$B$18*'Com-Ind Equations'!$B$22*(('Com-Ind Equations'!$B$24*'Com-Ind Equations'!$B$25)/'Com-Ind Equations'!$B$26),'Chemical Info'!H49*'Chemical Info'!AD49*'Com-Ind Equations'!$B$17*'Com-Ind Equations'!$B$22*('Com-Ind Equations'!$B$24*'Com-Ind Equations'!$B$25/'Com-Ind Equations'!$B$26)))</f>
        <v>3.9375000000000006E-4</v>
      </c>
      <c r="I48" s="108">
        <f>IF('Chemical Info'!H49="NA","NA",IF('Chemical Info'!E49="Yes",0,('Chemical Info'!H49/'Chemical Info'!AF49)*'Com-Ind Equations'!$B$19*'Chemical Info'!AB49*'Com-Ind Equations'!$B$22*(('Com-Ind Equations'!$B$24*'Com-Ind Equations'!$B$29*'Com-Ind Equations'!$B$30)/'Com-Ind Equations'!$B$26)))</f>
        <v>0</v>
      </c>
      <c r="J48" s="115">
        <f>IF('Chemical Info'!J49="NA","NA",IF(E48="NA",'Com-Ind Equations'!$B$20*1000*'Com-Ind Equations'!$B$24*'Com-Ind Equations'!$B$21*'Chemical Info'!J49*'Com-Ind Calculations'!C48,IF('Chemical Info'!E49="Yes",'Com-Ind Equations'!$B$20*1000*'Com-Ind Equations'!$B$24*'Com-Ind Equations'!$B$21*'Chemical Info'!J49*'Com-Ind Calculations'!E48,'Com-Ind Equations'!$B$20*1000*'Com-Ind Equations'!$B$24*'Com-Ind Equations'!$B$21*'Chemical Info'!J49*('Com-Ind Calculations'!C48+'Com-Ind Calculations'!E48))))</f>
        <v>4.9950747419285181E-3</v>
      </c>
      <c r="K48" s="117">
        <f>IF('Chemical Info'!J49="NA","NA",IF(F48="NA",'Com-Ind Equations'!$B$20*1000*'Com-Ind Equations'!$B$24*'Com-Ind Equations'!$B$21*'Chemical Info'!J49*'Com-Ind Calculations'!C48,IF('Chemical Info'!E49="Yes",'Com-Ind Equations'!$B$20*1000*'Com-Ind Equations'!$B$24*'Com-Ind Equations'!$B$21*'Chemical Info'!J49*'Com-Ind Calculations'!F48,'Com-Ind Equations'!$B$20*1000*'Com-Ind Equations'!$B$24*'Com-Ind Equations'!$B$21*'Chemical Info'!J49*('Com-Ind Calculations'!C48+'Com-Ind Calculations'!F48))))</f>
        <v>6.9653711970017827E-4</v>
      </c>
      <c r="L48" s="95">
        <f>IF(AND(H48="NA",I48="NA",J48="NA"),"NA",IF(H48="NA",'Com-Ind Equations'!$B$13*'Com-Ind Equations'!$B$14/J48,IF(J48="NA",'Com-Ind Equations'!$B$13*'Com-Ind Equations'!$B$14/(H48+I48),'Com-Ind Equations'!$B$13*'Com-Ind Equations'!$B$14/(H48+I48+J48))))</f>
        <v>47.412935516727032</v>
      </c>
      <c r="M48" s="95">
        <f>IF(AND(H48="NA",I48="NA",K48="NA"),"NA",IF(H48="NA",'Com-Ind Equations'!$B$13*'Com-Ind Equations'!$B$14/K48,IF(K48="NA",'Com-Ind Equations'!$B$13*'Com-Ind Equations'!$B$14/(H48+I48),'Com-Ind Equations'!$B$13*'Com-Ind Equations'!$B$14/(H48+I48+K48))))</f>
        <v>234.34194111204471</v>
      </c>
      <c r="N48" s="95">
        <f t="shared" si="10"/>
        <v>234.34194111204471</v>
      </c>
      <c r="O48" s="94">
        <f>IF('Chemical Info'!L49="NA","NA",IF('Chemical Info'!E49="Yes",(('Com-Ind Equations'!$B$46*'Chemical Info'!AD49*'Com-Ind Equations'!$B$48*'Com-Ind Equations'!$B$49*'Com-Ind Equations'!$B$51)/('Com-Ind Equations'!$B$55*'Com-Ind Equations'!$B$56))/'Chemical Info'!L49,(('Com-Ind Equations'!$B$46*'Chemical Info'!AD49*'Com-Ind Equations'!$B$48*'Com-Ind Equations'!$B$49*'Com-Ind Equations'!$B$50)/('Com-Ind Equations'!$B$55*'Com-Ind Equations'!$B$56))/'Chemical Info'!L49))</f>
        <v>1.86799501867995E-4</v>
      </c>
      <c r="P48" s="90">
        <f>IF('Chemical Info'!L49="NA","NA", IF('Chemical Info'!E49="Yes",0,((('Com-Ind Equations'!$B$58*'Com-Ind Equations'!$B$59*'Com-Ind Equations'!$B$48*'Com-Ind Equations'!$B$52*'Com-Ind Equations'!$B$49*'Chemical Info'!AB49)/('Com-Ind Equations'!$B$55*'Com-Ind Equations'!$B$56))/('Chemical Info'!L49*'Chemical Info'!AF49))))</f>
        <v>0</v>
      </c>
      <c r="Q48" s="90">
        <f>IF('Chemical Info'!N49="NA","NA",IF('Com-Ind Calculations'!E48="NA",(('Com-Ind Equations'!$B$53*'Com-Ind Equations'!$B$49*'Com-Ind Equations'!$B$54*'Com-Ind Calculations'!C48)/('Com-Ind Equations'!$B$56))/('Chemical Info'!N49),IF('Chemical Info'!E49="Yes",(('Com-Ind Equations'!$B$53*'Com-Ind Equations'!$B$49*'Com-Ind Equations'!$B$54*'Com-Ind Calculations'!E48)/('Com-Ind Equations'!$B$56))/('Chemical Info'!N49),(('Com-Ind Equations'!$B$53*'Com-Ind Equations'!$B$49*'Com-Ind Equations'!$B$54*('Com-Ind Calculations'!C48+'Com-Ind Calculations'!E48))/('Com-Ind Equations'!$B$56))/('Chemical Info'!N49))))</f>
        <v>9.1234241861708079E-4</v>
      </c>
      <c r="R48" s="90">
        <f>IF('Chemical Info'!N49="NA","NA",IF('Com-Ind Calculations'!F48="NA",(('Com-Ind Equations'!$B$53*'Com-Ind Equations'!$B$49*'Com-Ind Equations'!$B$54*'Com-Ind Calculations'!C48)/('Com-Ind Equations'!$B$56))/('Chemical Info'!N49),IF('Chemical Info'!E49="Yes",(('Com-Ind Equations'!$B$53*'Com-Ind Equations'!$B$49*'Com-Ind Equations'!$B$54*'Com-Ind Calculations'!F48)/('Com-Ind Equations'!$B$56))/('Chemical Info'!N49),(('Com-Ind Equations'!$B$53*'Com-Ind Equations'!$B$49*'Com-Ind Equations'!$B$54*('Com-Ind Calculations'!C48+'Com-Ind Calculations'!F48))/('Com-Ind Equations'!$B$56))/('Chemical Info'!N49))))</f>
        <v>1.2722139172605996E-4</v>
      </c>
      <c r="S48" s="90">
        <f>IF(AND(O48="NA",P48="NA",Q48="NA"),"NA",IF(O48="NA",'Com-Ind Equations'!$B$45/'Com-Ind Calculations'!Q48,IF('Com-Ind Calculations'!Q48="NA",'Com-Ind Equations'!$B$45/('Com-Ind Calculations'!O48+'Com-Ind Calculations'!P48),'Com-Ind Equations'!$B$45/('Com-Ind Calculations'!O48+'Com-Ind Calculations'!P48+'Com-Ind Calculations'!Q48))))</f>
        <v>181.96012386802201</v>
      </c>
      <c r="T48" s="95">
        <f>IF(AND(O48="NA",P48="NA",R48="NA"),"NA",IF(O48="NA",'Com-Ind Equations'!$B$45/R48,IF(R48="NA",'Com-Ind Equations'!$B$45/(O48+P48),'Com-Ind Equations'!$B$45/(O48+P48+R48))))</f>
        <v>636.9002957444817</v>
      </c>
      <c r="U48" s="97">
        <f t="shared" si="11"/>
        <v>636.9002957444817</v>
      </c>
      <c r="V48" s="101">
        <f t="shared" si="12"/>
        <v>234.34194111204471</v>
      </c>
      <c r="W48" s="105">
        <f t="shared" si="13"/>
        <v>230</v>
      </c>
      <c r="X48" s="100" t="str">
        <f t="shared" si="14"/>
        <v>Cancer</v>
      </c>
      <c r="Y48" s="70"/>
    </row>
    <row r="49" spans="1:25">
      <c r="A49" s="67" t="s">
        <v>19</v>
      </c>
      <c r="B49" s="566" t="s">
        <v>20</v>
      </c>
      <c r="C49" s="85">
        <f>1/(('Com-Ind Equations'!$B$123*3600)/(0.036*(1-'Com-Ind Equations'!$B$124)*(('Com-Ind Equations'!$B$125/'Com-Ind Equations'!$B$126)^3)*'Com-Ind Equations'!$B$127))</f>
        <v>1.4713536180231943E-9</v>
      </c>
      <c r="D49" s="90">
        <f>(('Com-Ind Equations'!$B$103^(10/3)*'Chemical Info'!AH50*'Chemical Info'!AN50*41+'Com-Ind Equations'!$B$106^(10/3)*'Chemical Info'!AJ50)/'Com-Ind Equations'!$B$108^2)/('Com-Ind Equations'!$B$110*'Chemical Info'!AL50*'Com-Ind Equations'!$B$113+'Com-Ind Equations'!$B$106+'Com-Ind Equations'!$B$103*'Chemical Info'!AN50*41)</f>
        <v>3.0621147466741716E-4</v>
      </c>
      <c r="E49" s="65">
        <f>IF(D49=0,"NA",1/(('Com-Ind Equations'!$B$74*(3.14*D49*'Com-Ind Equations'!$B$76)^(1/2)*0.0001)/(2*'Com-Ind Equations'!$B$77*D49)))</f>
        <v>1.0271628753470715E-4</v>
      </c>
      <c r="F49" s="65">
        <f>IF(D49=0,"NA",(1/('Com-Ind Equations'!$B$88*('Com-Ind Equations'!$B$89*(31500000))/('Com-Ind Equations'!$B$90*'Com-Ind Equations'!$B$91*1000000))))</f>
        <v>6.1914410640015851E-5</v>
      </c>
      <c r="G49" s="95">
        <f>IF('Chemical Info'!E50="Yes",('Chemical Info'!AP50/'Com-Ind Equations'!$B$139)*((('Chemical Info'!AL50*'Com-Ind Equations'!$B$141)*'Com-Ind Equations'!$B$139)+'Com-Ind Equations'!$B$142+('Chemical Info'!AN50*41)*'Com-Ind Equations'!$B$144),"NA")</f>
        <v>760.5465296000001</v>
      </c>
      <c r="H49" s="112" t="str">
        <f>IF('Chemical Info'!H50="NA","NA",IF('Chemical Info'!E50="Yes",'Chemical Info'!H50*'Chemical Info'!AD50*'Com-Ind Equations'!$B$18*'Com-Ind Equations'!$B$22*(('Com-Ind Equations'!$B$24*'Com-Ind Equations'!$B$25)/'Com-Ind Equations'!$B$26),'Chemical Info'!H50*'Chemical Info'!AD50*'Com-Ind Equations'!$B$17*'Com-Ind Equations'!$B$22*('Com-Ind Equations'!$B$24*'Com-Ind Equations'!$B$25/'Com-Ind Equations'!$B$26)))</f>
        <v>NA</v>
      </c>
      <c r="I49" s="108" t="str">
        <f>IF('Chemical Info'!H50="NA","NA",IF('Chemical Info'!E50="Yes",0,('Chemical Info'!H50/'Chemical Info'!AF50)*'Com-Ind Equations'!$B$19*'Chemical Info'!AB50*'Com-Ind Equations'!$B$22*(('Com-Ind Equations'!$B$24*'Com-Ind Equations'!$B$29*'Com-Ind Equations'!$B$30)/'Com-Ind Equations'!$B$26)))</f>
        <v>NA</v>
      </c>
      <c r="J49" s="115" t="str">
        <f>IF('Chemical Info'!J50="NA","NA",IF(E49="NA",'Com-Ind Equations'!$B$20*1000*'Com-Ind Equations'!$B$24*'Com-Ind Equations'!$B$21*'Chemical Info'!J50*'Com-Ind Calculations'!C49,IF('Chemical Info'!E50="Yes",'Com-Ind Equations'!$B$20*1000*'Com-Ind Equations'!$B$24*'Com-Ind Equations'!$B$21*'Chemical Info'!J50*'Com-Ind Calculations'!E49,'Com-Ind Equations'!$B$20*1000*'Com-Ind Equations'!$B$24*'Com-Ind Equations'!$B$21*'Chemical Info'!J50*('Com-Ind Calculations'!C49+'Com-Ind Calculations'!E49))))</f>
        <v>NA</v>
      </c>
      <c r="K49" s="117" t="str">
        <f>IF('Chemical Info'!J50="NA","NA",IF(F49="NA",'Com-Ind Equations'!$B$20*1000*'Com-Ind Equations'!$B$24*'Com-Ind Equations'!$B$21*'Chemical Info'!J50*'Com-Ind Calculations'!C49,IF('Chemical Info'!E50="Yes",'Com-Ind Equations'!$B$20*1000*'Com-Ind Equations'!$B$24*'Com-Ind Equations'!$B$21*'Chemical Info'!J50*'Com-Ind Calculations'!F49,'Com-Ind Equations'!$B$20*1000*'Com-Ind Equations'!$B$24*'Com-Ind Equations'!$B$21*'Chemical Info'!J50*('Com-Ind Calculations'!C49+'Com-Ind Calculations'!F49))))</f>
        <v>NA</v>
      </c>
      <c r="L49" s="95" t="str">
        <f>IF(AND(H49="NA",I49="NA",J49="NA"),"NA",IF(H49="NA",'Com-Ind Equations'!$B$13*'Com-Ind Equations'!$B$14/J49,IF(J49="NA",'Com-Ind Equations'!$B$13*'Com-Ind Equations'!$B$14/(H49+I49),'Com-Ind Equations'!$B$13*'Com-Ind Equations'!$B$14/(H49+I49+J49))))</f>
        <v>NA</v>
      </c>
      <c r="M49" s="95" t="str">
        <f>IF(AND(H49="NA",I49="NA",K49="NA"),"NA",IF(H49="NA",'Com-Ind Equations'!$B$13*'Com-Ind Equations'!$B$14/K49,IF(K49="NA",'Com-Ind Equations'!$B$13*'Com-Ind Equations'!$B$14/(H49+I49),'Com-Ind Equations'!$B$13*'Com-Ind Equations'!$B$14/(H49+I49+K49))))</f>
        <v>NA</v>
      </c>
      <c r="N49" s="95" t="str">
        <f t="shared" si="10"/>
        <v>NA</v>
      </c>
      <c r="O49" s="94">
        <f>IF('Chemical Info'!L50="NA","NA",IF('Chemical Info'!E50="Yes",(('Com-Ind Equations'!$B$46*'Chemical Info'!AD50*'Com-Ind Equations'!$B$48*'Com-Ind Equations'!$B$49*'Com-Ind Equations'!$B$51)/('Com-Ind Equations'!$B$55*'Com-Ind Equations'!$B$56))/'Chemical Info'!L50,(('Com-Ind Equations'!$B$46*'Chemical Info'!AD50*'Com-Ind Equations'!$B$48*'Com-Ind Equations'!$B$49*'Com-Ind Equations'!$B$50)/('Com-Ind Equations'!$B$55*'Com-Ind Equations'!$B$56))/'Chemical Info'!L50))</f>
        <v>3.0821917808219177E-5</v>
      </c>
      <c r="P49" s="90">
        <f>IF('Chemical Info'!L50="NA","NA", IF('Chemical Info'!E50="Yes",0,((('Com-Ind Equations'!$B$58*'Com-Ind Equations'!$B$59*'Com-Ind Equations'!$B$48*'Com-Ind Equations'!$B$52*'Com-Ind Equations'!$B$49*'Chemical Info'!AB50)/('Com-Ind Equations'!$B$55*'Com-Ind Equations'!$B$56))/('Chemical Info'!L50*'Chemical Info'!AF50))))</f>
        <v>0</v>
      </c>
      <c r="Q49" s="90">
        <f>IF('Chemical Info'!N50="NA","NA",IF('Com-Ind Calculations'!E49="NA",(('Com-Ind Equations'!$B$53*'Com-Ind Equations'!$B$49*'Com-Ind Equations'!$B$54*'Com-Ind Calculations'!C49)/('Com-Ind Equations'!$B$56))/('Chemical Info'!N50),IF('Chemical Info'!E50="Yes",(('Com-Ind Equations'!$B$53*'Com-Ind Equations'!$B$49*'Com-Ind Equations'!$B$54*'Com-Ind Calculations'!E49)/('Com-Ind Equations'!$B$56))/('Chemical Info'!N50),(('Com-Ind Equations'!$B$53*'Com-Ind Equations'!$B$49*'Com-Ind Equations'!$B$54*('Com-Ind Calculations'!C49+'Com-Ind Calculations'!E49))/('Com-Ind Equations'!$B$56))/('Chemical Info'!N50))))</f>
        <v>4.2212172959468693E-4</v>
      </c>
      <c r="R49" s="90">
        <f>IF('Chemical Info'!N50="NA","NA",IF('Com-Ind Calculations'!F49="NA",(('Com-Ind Equations'!$B$53*'Com-Ind Equations'!$B$49*'Com-Ind Equations'!$B$54*'Com-Ind Calculations'!C49)/('Com-Ind Equations'!$B$56))/('Chemical Info'!N50),IF('Chemical Info'!E50="Yes",(('Com-Ind Equations'!$B$53*'Com-Ind Equations'!$B$49*'Com-Ind Equations'!$B$54*'Com-Ind Calculations'!F49)/('Com-Ind Equations'!$B$56))/('Chemical Info'!N50),(('Com-Ind Equations'!$B$53*'Com-Ind Equations'!$B$49*'Com-Ind Equations'!$B$54*('Com-Ind Calculations'!C49+'Com-Ind Calculations'!F49))/('Com-Ind Equations'!$B$56))/('Chemical Info'!N50))))</f>
        <v>2.5444278345211993E-4</v>
      </c>
      <c r="S49" s="90">
        <f>IF(AND(O49="NA",P49="NA",Q49="NA"),"NA",IF(O49="NA",'Com-Ind Equations'!$B$45/'Com-Ind Calculations'!Q49,IF('Com-Ind Calculations'!Q49="NA",'Com-Ind Equations'!$B$45/('Com-Ind Calculations'!O49+'Com-Ind Calculations'!P49),'Com-Ind Equations'!$B$45/('Com-Ind Calculations'!O49+'Com-Ind Calculations'!P49+'Com-Ind Calculations'!Q49))))</f>
        <v>441.55603273555658</v>
      </c>
      <c r="T49" s="95">
        <f>IF(AND(O49="NA",P49="NA",R49="NA"),"NA",IF(O49="NA",'Com-Ind Equations'!$B$45/R49,IF(R49="NA",'Com-Ind Equations'!$B$45/(O49+P49),'Com-Ind Equations'!$B$45/(O49+P49+R49))))</f>
        <v>701.10321787579119</v>
      </c>
      <c r="U49" s="97">
        <f t="shared" si="11"/>
        <v>701.10321787579119</v>
      </c>
      <c r="V49" s="101">
        <f t="shared" si="12"/>
        <v>701.10321787579119</v>
      </c>
      <c r="W49" s="105">
        <f t="shared" si="13"/>
        <v>700</v>
      </c>
      <c r="X49" s="100" t="str">
        <f t="shared" si="14"/>
        <v>Noncancer</v>
      </c>
      <c r="Y49" s="70"/>
    </row>
    <row r="50" spans="1:25">
      <c r="A50" s="67" t="s">
        <v>320</v>
      </c>
      <c r="B50" s="566" t="s">
        <v>21</v>
      </c>
      <c r="C50" s="85">
        <f>1/(('Com-Ind Equations'!$B$123*3600)/(0.036*(1-'Com-Ind Equations'!$B$124)*(('Com-Ind Equations'!$B$125/'Com-Ind Equations'!$B$126)^3)*'Com-Ind Equations'!$B$127))</f>
        <v>1.4713536180231943E-9</v>
      </c>
      <c r="D50" s="90">
        <f>(('Com-Ind Equations'!$B$103^(10/3)*'Chemical Info'!AH51*'Chemical Info'!AN51*41+'Com-Ind Equations'!$B$106^(10/3)*'Chemical Info'!AJ51)/'Com-Ind Equations'!$B$108^2)/('Com-Ind Equations'!$B$110*'Chemical Info'!AL51*'Com-Ind Equations'!$B$113+'Com-Ind Equations'!$B$106+'Com-Ind Equations'!$B$103*'Chemical Info'!AN51*41)</f>
        <v>7.6129890825126691E-3</v>
      </c>
      <c r="E50" s="65">
        <f>IF(D50=0,"NA",1/(('Com-Ind Equations'!$B$74*(3.14*D50*'Com-Ind Equations'!$B$76)^(1/2)*0.0001)/(2*'Com-Ind Equations'!$B$77*D50)))</f>
        <v>5.1216062566436396E-4</v>
      </c>
      <c r="F50" s="65">
        <f>IF(D50=0,"NA",(1/('Com-Ind Equations'!$B$88*('Com-Ind Equations'!$B$89*(31500000))/('Com-Ind Equations'!$B$90*'Com-Ind Equations'!$B$91*1000000))))</f>
        <v>6.1914410640015851E-5</v>
      </c>
      <c r="G50" s="95">
        <f>IF('Chemical Info'!E51="Yes",('Chemical Info'!AP51/'Com-Ind Equations'!$B$139)*((('Chemical Info'!AL51*'Com-Ind Equations'!$B$141)*'Com-Ind Equations'!$B$139)+'Com-Ind Equations'!$B$142+('Chemical Info'!AN51*41)*'Com-Ind Equations'!$B$144),"NA")</f>
        <v>2115.87772</v>
      </c>
      <c r="H50" s="112" t="str">
        <f>IF('Chemical Info'!H51="NA","NA",IF('Chemical Info'!E51="Yes",'Chemical Info'!H51*'Chemical Info'!AD51*'Com-Ind Equations'!$B$18*'Com-Ind Equations'!$B$22*(('Com-Ind Equations'!$B$24*'Com-Ind Equations'!$B$25)/'Com-Ind Equations'!$B$26),'Chemical Info'!H51*'Chemical Info'!AD51*'Com-Ind Equations'!$B$17*'Com-Ind Equations'!$B$22*('Com-Ind Equations'!$B$24*'Com-Ind Equations'!$B$25/'Com-Ind Equations'!$B$26)))</f>
        <v>NA</v>
      </c>
      <c r="I50" s="108" t="str">
        <f>IF('Chemical Info'!H51="NA","NA",IF('Chemical Info'!E51="Yes",0,('Chemical Info'!H51/'Chemical Info'!AF51)*'Com-Ind Equations'!$B$19*'Chemical Info'!AB51*'Com-Ind Equations'!$B$22*(('Com-Ind Equations'!$B$24*'Com-Ind Equations'!$B$29*'Com-Ind Equations'!$B$30)/'Com-Ind Equations'!$B$26)))</f>
        <v>NA</v>
      </c>
      <c r="J50" s="115" t="str">
        <f>IF('Chemical Info'!J51="NA","NA",IF(E50="NA",'Com-Ind Equations'!$B$20*1000*'Com-Ind Equations'!$B$24*'Com-Ind Equations'!$B$21*'Chemical Info'!J51*'Com-Ind Calculations'!C50,IF('Chemical Info'!E51="Yes",'Com-Ind Equations'!$B$20*1000*'Com-Ind Equations'!$B$24*'Com-Ind Equations'!$B$21*'Chemical Info'!J51*'Com-Ind Calculations'!E50,'Com-Ind Equations'!$B$20*1000*'Com-Ind Equations'!$B$24*'Com-Ind Equations'!$B$21*'Chemical Info'!J51*('Com-Ind Calculations'!C50+'Com-Ind Calculations'!E50))))</f>
        <v>NA</v>
      </c>
      <c r="K50" s="117" t="str">
        <f>IF('Chemical Info'!J51="NA","NA",IF(F50="NA",'Com-Ind Equations'!$B$20*1000*'Com-Ind Equations'!$B$24*'Com-Ind Equations'!$B$21*'Chemical Info'!J51*'Com-Ind Calculations'!C50,IF('Chemical Info'!E51="Yes",'Com-Ind Equations'!$B$20*1000*'Com-Ind Equations'!$B$24*'Com-Ind Equations'!$B$21*'Chemical Info'!J51*'Com-Ind Calculations'!F50,'Com-Ind Equations'!$B$20*1000*'Com-Ind Equations'!$B$24*'Com-Ind Equations'!$B$21*'Chemical Info'!J51*('Com-Ind Calculations'!C50+'Com-Ind Calculations'!F50))))</f>
        <v>NA</v>
      </c>
      <c r="L50" s="95" t="str">
        <f>IF(AND(H50="NA",I50="NA",J50="NA"),"NA",IF(H50="NA",'Com-Ind Equations'!$B$13*'Com-Ind Equations'!$B$14/J50,IF(J50="NA",'Com-Ind Equations'!$B$13*'Com-Ind Equations'!$B$14/(H50+I50),'Com-Ind Equations'!$B$13*'Com-Ind Equations'!$B$14/(H50+I50+J50))))</f>
        <v>NA</v>
      </c>
      <c r="M50" s="95" t="str">
        <f>IF(AND(H50="NA",I50="NA",K50="NA"),"NA",IF(H50="NA",'Com-Ind Equations'!$B$13*'Com-Ind Equations'!$B$14/K50,IF(K50="NA",'Com-Ind Equations'!$B$13*'Com-Ind Equations'!$B$14/(H50+I50),'Com-Ind Equations'!$B$13*'Com-Ind Equations'!$B$14/(H50+I50+K50))))</f>
        <v>NA</v>
      </c>
      <c r="N50" s="95" t="str">
        <f t="shared" si="10"/>
        <v>NA</v>
      </c>
      <c r="O50" s="94" t="str">
        <f>IF('Chemical Info'!L51="NA","NA",IF('Chemical Info'!E51="Yes",(('Com-Ind Equations'!$B$46*'Chemical Info'!AD51*'Com-Ind Equations'!$B$48*'Com-Ind Equations'!$B$49*'Com-Ind Equations'!$B$51)/('Com-Ind Equations'!$B$55*'Com-Ind Equations'!$B$56))/'Chemical Info'!L51,(('Com-Ind Equations'!$B$46*'Chemical Info'!AD51*'Com-Ind Equations'!$B$48*'Com-Ind Equations'!$B$49*'Com-Ind Equations'!$B$50)/('Com-Ind Equations'!$B$55*'Com-Ind Equations'!$B$56))/'Chemical Info'!L51))</f>
        <v>NA</v>
      </c>
      <c r="P50" s="90" t="str">
        <f>IF('Chemical Info'!L51="NA","NA", IF('Chemical Info'!E51="Yes",0,((('Com-Ind Equations'!$B$58*'Com-Ind Equations'!$B$59*'Com-Ind Equations'!$B$48*'Com-Ind Equations'!$B$52*'Com-Ind Equations'!$B$49*'Chemical Info'!AB51)/('Com-Ind Equations'!$B$55*'Com-Ind Equations'!$B$56))/('Chemical Info'!L51*'Chemical Info'!AF51))))</f>
        <v>NA</v>
      </c>
      <c r="Q50" s="90">
        <f>IF('Chemical Info'!N51="NA","NA",IF('Com-Ind Calculations'!E50="NA",(('Com-Ind Equations'!$B$53*'Com-Ind Equations'!$B$49*'Com-Ind Equations'!$B$54*'Com-Ind Calculations'!C50)/('Com-Ind Equations'!$B$56))/('Chemical Info'!N51),IF('Chemical Info'!E51="Yes",(('Com-Ind Equations'!$B$53*'Com-Ind Equations'!$B$49*'Com-Ind Equations'!$B$54*'Com-Ind Calculations'!E50)/('Com-Ind Equations'!$B$56))/('Chemical Info'!N51),(('Com-Ind Equations'!$B$53*'Com-Ind Equations'!$B$49*'Com-Ind Equations'!$B$54*('Com-Ind Calculations'!C50+'Com-Ind Calculations'!E50))/('Com-Ind Equations'!$B$56))/('Chemical Info'!N51))))</f>
        <v>2.6309621181388559E-5</v>
      </c>
      <c r="R50" s="90">
        <f>IF('Chemical Info'!N51="NA","NA",IF('Com-Ind Calculations'!F50="NA",(('Com-Ind Equations'!$B$53*'Com-Ind Equations'!$B$49*'Com-Ind Equations'!$B$54*'Com-Ind Calculations'!C50)/('Com-Ind Equations'!$B$56))/('Chemical Info'!N51),IF('Chemical Info'!E51="Yes",(('Com-Ind Equations'!$B$53*'Com-Ind Equations'!$B$49*'Com-Ind Equations'!$B$54*'Com-Ind Calculations'!F50)/('Com-Ind Equations'!$B$56))/('Chemical Info'!N51),(('Com-Ind Equations'!$B$53*'Com-Ind Equations'!$B$49*'Com-Ind Equations'!$B$54*('Com-Ind Calculations'!C50+'Com-Ind Calculations'!F50))/('Com-Ind Equations'!$B$56))/('Chemical Info'!N51))))</f>
        <v>3.1805347931514992E-6</v>
      </c>
      <c r="S50" s="90">
        <f>IF(AND(O50="NA",P50="NA",Q50="NA"),"NA",IF(O50="NA",'Com-Ind Equations'!$B$45/'Com-Ind Calculations'!Q50,IF('Com-Ind Calculations'!Q50="NA",'Com-Ind Equations'!$B$45/('Com-Ind Calculations'!O50+'Com-Ind Calculations'!P50),'Com-Ind Equations'!$B$45/('Com-Ind Calculations'!O50+'Com-Ind Calculations'!P50+'Com-Ind Calculations'!Q50))))</f>
        <v>7601.7818204649839</v>
      </c>
      <c r="T50" s="95">
        <f>IF(AND(O50="NA",P50="NA",R50="NA"),"NA",IF(O50="NA",'Com-Ind Equations'!$B$45/R50,IF(R50="NA",'Com-Ind Equations'!$B$45/(O50+P50),'Com-Ind Equations'!$B$45/(O50+P50+R50))))</f>
        <v>62882.506561679787</v>
      </c>
      <c r="U50" s="97">
        <f t="shared" si="11"/>
        <v>62882.506561679787</v>
      </c>
      <c r="V50" s="101">
        <f t="shared" si="12"/>
        <v>2115.87772</v>
      </c>
      <c r="W50" s="105">
        <f t="shared" si="13"/>
        <v>2100</v>
      </c>
      <c r="X50" s="100" t="str">
        <f t="shared" si="14"/>
        <v>Csat</v>
      </c>
      <c r="Y50" s="70"/>
    </row>
    <row r="51" spans="1:25">
      <c r="A51" s="67" t="s">
        <v>154</v>
      </c>
      <c r="B51" s="566" t="s">
        <v>155</v>
      </c>
      <c r="C51" s="85">
        <f>1/(('Com-Ind Equations'!$B$123*3600)/(0.036*(1-'Com-Ind Equations'!$B$124)*(('Com-Ind Equations'!$B$125/'Com-Ind Equations'!$B$126)^3)*'Com-Ind Equations'!$B$127))</f>
        <v>1.4713536180231943E-9</v>
      </c>
      <c r="D51" s="90">
        <f>(('Com-Ind Equations'!$B$103^(10/3)*'Chemical Info'!AH52*'Chemical Info'!AN52*41+'Com-Ind Equations'!$B$106^(10/3)*'Chemical Info'!AJ52)/'Com-Ind Equations'!$B$108^2)/('Com-Ind Equations'!$B$110*'Chemical Info'!AL52*'Com-Ind Equations'!$B$113+'Com-Ind Equations'!$B$106+'Com-Ind Equations'!$B$103*'Chemical Info'!AN52*41)</f>
        <v>1.8447418678840862E-3</v>
      </c>
      <c r="E51" s="65">
        <f>IF(D51=0,"NA",1/(('Com-Ind Equations'!$B$74*(3.14*D51*'Com-Ind Equations'!$B$76)^(1/2)*0.0001)/(2*'Com-Ind Equations'!$B$77*D51)))</f>
        <v>2.5211366516416354E-4</v>
      </c>
      <c r="F51" s="65">
        <f>IF(D51=0,"NA",(1/('Com-Ind Equations'!$B$88*('Com-Ind Equations'!$B$89*(31500000))/('Com-Ind Equations'!$B$90*'Com-Ind Equations'!$B$91*1000000))))</f>
        <v>6.1914410640015851E-5</v>
      </c>
      <c r="G51" s="95">
        <f>IF('Chemical Info'!E52="Yes",('Chemical Info'!AP52/'Com-Ind Equations'!$B$139)*((('Chemical Info'!AL52*'Com-Ind Equations'!$B$141)*'Com-Ind Equations'!$B$139)+'Com-Ind Equations'!$B$142+('Chemical Info'!AN52*41)*'Com-Ind Equations'!$B$144),"NA")</f>
        <v>2536.11148</v>
      </c>
      <c r="H51" s="112" t="str">
        <f>IF('Chemical Info'!H52="NA","NA",IF('Chemical Info'!E52="Yes",'Chemical Info'!H52*'Chemical Info'!AD52*'Com-Ind Equations'!$B$18*'Com-Ind Equations'!$B$22*(('Com-Ind Equations'!$B$24*'Com-Ind Equations'!$B$25)/'Com-Ind Equations'!$B$26),'Chemical Info'!H52*'Chemical Info'!AD52*'Com-Ind Equations'!$B$17*'Com-Ind Equations'!$B$22*('Com-Ind Equations'!$B$24*'Com-Ind Equations'!$B$25/'Com-Ind Equations'!$B$26)))</f>
        <v>NA</v>
      </c>
      <c r="I51" s="108" t="str">
        <f>IF('Chemical Info'!H52="NA","NA",IF('Chemical Info'!E52="Yes",0,('Chemical Info'!H52/'Chemical Info'!AF52)*'Com-Ind Equations'!$B$19*'Chemical Info'!AB52*'Com-Ind Equations'!$B$22*(('Com-Ind Equations'!$B$24*'Com-Ind Equations'!$B$29*'Com-Ind Equations'!$B$30)/'Com-Ind Equations'!$B$26)))</f>
        <v>NA</v>
      </c>
      <c r="J51" s="115" t="str">
        <f>IF('Chemical Info'!J52="NA","NA",IF(E51="NA",'Com-Ind Equations'!$B$20*1000*'Com-Ind Equations'!$B$24*'Com-Ind Equations'!$B$21*'Chemical Info'!J52*'Com-Ind Calculations'!C51,IF('Chemical Info'!E52="Yes",'Com-Ind Equations'!$B$20*1000*'Com-Ind Equations'!$B$24*'Com-Ind Equations'!$B$21*'Chemical Info'!J52*'Com-Ind Calculations'!E51,'Com-Ind Equations'!$B$20*1000*'Com-Ind Equations'!$B$24*'Com-Ind Equations'!$B$21*'Chemical Info'!J52*('Com-Ind Calculations'!C51+'Com-Ind Calculations'!E51))))</f>
        <v>NA</v>
      </c>
      <c r="K51" s="117" t="str">
        <f>IF('Chemical Info'!J52="NA","NA",IF(F51="NA",'Com-Ind Equations'!$B$20*1000*'Com-Ind Equations'!$B$24*'Com-Ind Equations'!$B$21*'Chemical Info'!J52*'Com-Ind Calculations'!C51,IF('Chemical Info'!E52="Yes",'Com-Ind Equations'!$B$20*1000*'Com-Ind Equations'!$B$24*'Com-Ind Equations'!$B$21*'Chemical Info'!J52*'Com-Ind Calculations'!F51,'Com-Ind Equations'!$B$20*1000*'Com-Ind Equations'!$B$24*'Com-Ind Equations'!$B$21*'Chemical Info'!J52*('Com-Ind Calculations'!C51+'Com-Ind Calculations'!F51))))</f>
        <v>NA</v>
      </c>
      <c r="L51" s="95" t="str">
        <f>IF(AND(H51="NA",I51="NA",J51="NA"),"NA",IF(H51="NA",'Com-Ind Equations'!$B$13*'Com-Ind Equations'!$B$14/J51,IF(J51="NA",'Com-Ind Equations'!$B$13*'Com-Ind Equations'!$B$14/(H51+I51),'Com-Ind Equations'!$B$13*'Com-Ind Equations'!$B$14/(H51+I51+J51))))</f>
        <v>NA</v>
      </c>
      <c r="M51" s="95" t="str">
        <f>IF(AND(H51="NA",I51="NA",K51="NA"),"NA",IF(H51="NA",'Com-Ind Equations'!$B$13*'Com-Ind Equations'!$B$14/K51,IF(K51="NA",'Com-Ind Equations'!$B$13*'Com-Ind Equations'!$B$14/(H51+I51),'Com-Ind Equations'!$B$13*'Com-Ind Equations'!$B$14/(H51+I51+K51))))</f>
        <v>NA</v>
      </c>
      <c r="N51" s="95" t="str">
        <f t="shared" si="10"/>
        <v>NA</v>
      </c>
      <c r="O51" s="94">
        <f>IF('Chemical Info'!L52="NA","NA",IF('Chemical Info'!E52="Yes",(('Com-Ind Equations'!$B$46*'Chemical Info'!AD52*'Com-Ind Equations'!$B$48*'Com-Ind Equations'!$B$49*'Com-Ind Equations'!$B$51)/('Com-Ind Equations'!$B$55*'Com-Ind Equations'!$B$56))/'Chemical Info'!L52,(('Com-Ind Equations'!$B$46*'Chemical Info'!AD52*'Com-Ind Equations'!$B$48*'Com-Ind Equations'!$B$49*'Com-Ind Equations'!$B$50)/('Com-Ind Equations'!$B$55*'Com-Ind Equations'!$B$56))/'Chemical Info'!L52))</f>
        <v>3.0821917808219177E-5</v>
      </c>
      <c r="P51" s="90">
        <f>IF('Chemical Info'!L52="NA","NA", IF('Chemical Info'!E52="Yes",0,((('Com-Ind Equations'!$B$58*'Com-Ind Equations'!$B$59*'Com-Ind Equations'!$B$48*'Com-Ind Equations'!$B$52*'Com-Ind Equations'!$B$49*'Chemical Info'!AB52)/('Com-Ind Equations'!$B$55*'Com-Ind Equations'!$B$56))/('Chemical Info'!L52*'Chemical Info'!AF52))))</f>
        <v>0</v>
      </c>
      <c r="Q51" s="90">
        <f>IF('Chemical Info'!N52="NA","NA",IF('Com-Ind Calculations'!E51="NA",(('Com-Ind Equations'!$B$53*'Com-Ind Equations'!$B$49*'Com-Ind Equations'!$B$54*'Com-Ind Calculations'!C51)/('Com-Ind Equations'!$B$56))/('Chemical Info'!N52),IF('Chemical Info'!E52="Yes",(('Com-Ind Equations'!$B$53*'Com-Ind Equations'!$B$49*'Com-Ind Equations'!$B$54*'Com-Ind Calculations'!E51)/('Com-Ind Equations'!$B$56))/('Chemical Info'!N52),(('Com-Ind Equations'!$B$53*'Com-Ind Equations'!$B$49*'Com-Ind Equations'!$B$54*('Com-Ind Calculations'!C51+'Com-Ind Calculations'!E51))/('Com-Ind Equations'!$B$56))/('Chemical Info'!N52))))</f>
        <v>2.5902088886729131E-2</v>
      </c>
      <c r="R51" s="90">
        <f>IF('Chemical Info'!N52="NA","NA",IF('Com-Ind Calculations'!F51="NA",(('Com-Ind Equations'!$B$53*'Com-Ind Equations'!$B$49*'Com-Ind Equations'!$B$54*'Com-Ind Calculations'!C51)/('Com-Ind Equations'!$B$56))/('Chemical Info'!N52),IF('Chemical Info'!E52="Yes",(('Com-Ind Equations'!$B$53*'Com-Ind Equations'!$B$49*'Com-Ind Equations'!$B$54*'Com-Ind Calculations'!F51)/('Com-Ind Equations'!$B$56))/('Chemical Info'!N52),(('Com-Ind Equations'!$B$53*'Com-Ind Equations'!$B$49*'Com-Ind Equations'!$B$54*('Com-Ind Calculations'!C51+'Com-Ind Calculations'!F51))/('Com-Ind Equations'!$B$56))/('Chemical Info'!N52))))</f>
        <v>6.3610695863029979E-3</v>
      </c>
      <c r="S51" s="90">
        <f>IF(AND(O51="NA",P51="NA",Q51="NA"),"NA",IF(O51="NA",'Com-Ind Equations'!$B$45/'Com-Ind Calculations'!Q51,IF('Com-Ind Calculations'!Q51="NA",'Com-Ind Equations'!$B$45/('Com-Ind Calculations'!O51+'Com-Ind Calculations'!P51),'Com-Ind Equations'!$B$45/('Com-Ind Calculations'!O51+'Com-Ind Calculations'!P51+'Com-Ind Calculations'!Q51))))</f>
        <v>7.7122079163210255</v>
      </c>
      <c r="T51" s="95">
        <f>IF(AND(O51="NA",P51="NA",R51="NA"),"NA",IF(O51="NA",'Com-Ind Equations'!$B$45/R51,IF(R51="NA",'Com-Ind Equations'!$B$45/(O51+P51),'Com-Ind Equations'!$B$45/(O51+P51+R51))))</f>
        <v>31.289642490233366</v>
      </c>
      <c r="U51" s="97">
        <f t="shared" si="11"/>
        <v>31.289642490233366</v>
      </c>
      <c r="V51" s="101">
        <f t="shared" si="12"/>
        <v>31.289642490233366</v>
      </c>
      <c r="W51" s="105">
        <f t="shared" si="13"/>
        <v>31</v>
      </c>
      <c r="X51" s="100" t="str">
        <f t="shared" si="14"/>
        <v>Noncancer</v>
      </c>
      <c r="Y51" s="70"/>
    </row>
    <row r="52" spans="1:25">
      <c r="A52" s="67" t="s">
        <v>321</v>
      </c>
      <c r="B52" s="566" t="s">
        <v>132</v>
      </c>
      <c r="C52" s="85">
        <f>1/(('Com-Ind Equations'!$B$123*3600)/(0.036*(1-'Com-Ind Equations'!$B$124)*(('Com-Ind Equations'!$B$125/'Com-Ind Equations'!$B$126)^3)*'Com-Ind Equations'!$B$127))</f>
        <v>1.4713536180231943E-9</v>
      </c>
      <c r="D52" s="90">
        <f>(('Com-Ind Equations'!$B$103^(10/3)*'Chemical Info'!AH53*'Chemical Info'!AN53*41+'Com-Ind Equations'!$B$106^(10/3)*'Chemical Info'!AJ53)/'Com-Ind Equations'!$B$108^2)/('Com-Ind Equations'!$B$110*'Chemical Info'!AL53*'Com-Ind Equations'!$B$113+'Com-Ind Equations'!$B$106+'Com-Ind Equations'!$B$103*'Chemical Info'!AN53*41)</f>
        <v>9.2335869400994985E-3</v>
      </c>
      <c r="E52" s="65">
        <f>IF(D52=0,"NA",1/(('Com-Ind Equations'!$B$74*(3.14*D52*'Com-Ind Equations'!$B$76)^(1/2)*0.0001)/(2*'Com-Ind Equations'!$B$77*D52)))</f>
        <v>5.6404506681146987E-4</v>
      </c>
      <c r="F52" s="65">
        <f>IF(D52=0,"NA",(1/('Com-Ind Equations'!$B$88*('Com-Ind Equations'!$B$89*(31500000))/('Com-Ind Equations'!$B$90*'Com-Ind Equations'!$B$91*1000000))))</f>
        <v>6.1914410640015851E-5</v>
      </c>
      <c r="G52" s="95">
        <f>IF('Chemical Info'!E53="Yes",('Chemical Info'!AP53/'Com-Ind Equations'!$B$139)*((('Chemical Info'!AL53*'Com-Ind Equations'!$B$141)*'Com-Ind Equations'!$B$139)+'Com-Ind Equations'!$B$142+('Chemical Info'!AN53*41)*'Com-Ind Equations'!$B$144),"NA")</f>
        <v>1313.0951679999998</v>
      </c>
      <c r="H52" s="112" t="str">
        <f>IF('Chemical Info'!H53="NA","NA",IF('Chemical Info'!E53="Yes",'Chemical Info'!H53*'Chemical Info'!AD53*'Com-Ind Equations'!$B$18*'Com-Ind Equations'!$B$22*(('Com-Ind Equations'!$B$24*'Com-Ind Equations'!$B$25)/'Com-Ind Equations'!$B$26),'Chemical Info'!H53*'Chemical Info'!AD53*'Com-Ind Equations'!$B$17*'Com-Ind Equations'!$B$22*('Com-Ind Equations'!$B$24*'Com-Ind Equations'!$B$25/'Com-Ind Equations'!$B$26)))</f>
        <v>NA</v>
      </c>
      <c r="I52" s="108" t="str">
        <f>IF('Chemical Info'!H53="NA","NA",IF('Chemical Info'!E53="Yes",0,('Chemical Info'!H53/'Chemical Info'!AF53)*'Com-Ind Equations'!$B$19*'Chemical Info'!AB53*'Com-Ind Equations'!$B$22*(('Com-Ind Equations'!$B$24*'Com-Ind Equations'!$B$29*'Com-Ind Equations'!$B$30)/'Com-Ind Equations'!$B$26)))</f>
        <v>NA</v>
      </c>
      <c r="J52" s="115" t="str">
        <f>IF('Chemical Info'!J53="NA","NA",IF(E52="NA",'Com-Ind Equations'!$B$20*1000*'Com-Ind Equations'!$B$24*'Com-Ind Equations'!$B$21*'Chemical Info'!J53*'Com-Ind Calculations'!C52,IF('Chemical Info'!E53="Yes",'Com-Ind Equations'!$B$20*1000*'Com-Ind Equations'!$B$24*'Com-Ind Equations'!$B$21*'Chemical Info'!J53*'Com-Ind Calculations'!E52,'Com-Ind Equations'!$B$20*1000*'Com-Ind Equations'!$B$24*'Com-Ind Equations'!$B$21*'Chemical Info'!J53*('Com-Ind Calculations'!C52+'Com-Ind Calculations'!E52))))</f>
        <v>NA</v>
      </c>
      <c r="K52" s="117" t="str">
        <f>IF('Chemical Info'!J53="NA","NA",IF(F52="NA",'Com-Ind Equations'!$B$20*1000*'Com-Ind Equations'!$B$24*'Com-Ind Equations'!$B$21*'Chemical Info'!J53*'Com-Ind Calculations'!C52,IF('Chemical Info'!E53="Yes",'Com-Ind Equations'!$B$20*1000*'Com-Ind Equations'!$B$24*'Com-Ind Equations'!$B$21*'Chemical Info'!J53*'Com-Ind Calculations'!F52,'Com-Ind Equations'!$B$20*1000*'Com-Ind Equations'!$B$24*'Com-Ind Equations'!$B$21*'Chemical Info'!J53*('Com-Ind Calculations'!C52+'Com-Ind Calculations'!F52))))</f>
        <v>NA</v>
      </c>
      <c r="L52" s="95" t="str">
        <f>IF(AND(H52="NA",I52="NA",J52="NA"),"NA",IF(H52="NA",'Com-Ind Equations'!$B$13*'Com-Ind Equations'!$B$14/J52,IF(J52="NA",'Com-Ind Equations'!$B$13*'Com-Ind Equations'!$B$14/(H52+I52),'Com-Ind Equations'!$B$13*'Com-Ind Equations'!$B$14/(H52+I52+J52))))</f>
        <v>NA</v>
      </c>
      <c r="M52" s="95" t="str">
        <f>IF(AND(H52="NA",I52="NA",K52="NA"),"NA",IF(H52="NA",'Com-Ind Equations'!$B$13*'Com-Ind Equations'!$B$14/K52,IF(K52="NA",'Com-Ind Equations'!$B$13*'Com-Ind Equations'!$B$14/(H52+I52),'Com-Ind Equations'!$B$13*'Com-Ind Equations'!$B$14/(H52+I52+K52))))</f>
        <v>NA</v>
      </c>
      <c r="N52" s="95" t="str">
        <f t="shared" si="10"/>
        <v>NA</v>
      </c>
      <c r="O52" s="94" t="str">
        <f>IF('Chemical Info'!L53="NA","NA",IF('Chemical Info'!E53="Yes",(('Com-Ind Equations'!$B$46*'Chemical Info'!AD53*'Com-Ind Equations'!$B$48*'Com-Ind Equations'!$B$49*'Com-Ind Equations'!$B$51)/('Com-Ind Equations'!$B$55*'Com-Ind Equations'!$B$56))/'Chemical Info'!L53,(('Com-Ind Equations'!$B$46*'Chemical Info'!AD53*'Com-Ind Equations'!$B$48*'Com-Ind Equations'!$B$49*'Com-Ind Equations'!$B$50)/('Com-Ind Equations'!$B$55*'Com-Ind Equations'!$B$56))/'Chemical Info'!L53))</f>
        <v>NA</v>
      </c>
      <c r="P52" s="90" t="str">
        <f>IF('Chemical Info'!L53="NA","NA", IF('Chemical Info'!E53="Yes",0,((('Com-Ind Equations'!$B$58*'Com-Ind Equations'!$B$59*'Com-Ind Equations'!$B$48*'Com-Ind Equations'!$B$52*'Com-Ind Equations'!$B$49*'Chemical Info'!AB53)/('Com-Ind Equations'!$B$55*'Com-Ind Equations'!$B$56))/('Chemical Info'!L53*'Chemical Info'!AF53))))</f>
        <v>NA</v>
      </c>
      <c r="Q52" s="90">
        <f>IF('Chemical Info'!N53="NA","NA",IF('Com-Ind Calculations'!E52="NA",(('Com-Ind Equations'!$B$53*'Com-Ind Equations'!$B$49*'Com-Ind Equations'!$B$54*'Com-Ind Calculations'!C52)/('Com-Ind Equations'!$B$56))/('Chemical Info'!N53),IF('Chemical Info'!E53="Yes",(('Com-Ind Equations'!$B$53*'Com-Ind Equations'!$B$49*'Com-Ind Equations'!$B$54*'Com-Ind Calculations'!E52)/('Com-Ind Equations'!$B$56))/('Chemical Info'!N53),(('Com-Ind Equations'!$B$53*'Com-Ind Equations'!$B$49*'Com-Ind Equations'!$B$54*('Com-Ind Calculations'!C52+'Com-Ind Calculations'!E52))/('Com-Ind Equations'!$B$56))/('Chemical Info'!N53))))</f>
        <v>1.2877741251403423E-3</v>
      </c>
      <c r="R52" s="90">
        <f>IF('Chemical Info'!N53="NA","NA",IF('Com-Ind Calculations'!F52="NA",(('Com-Ind Equations'!$B$53*'Com-Ind Equations'!$B$49*'Com-Ind Equations'!$B$54*'Com-Ind Calculations'!C52)/('Com-Ind Equations'!$B$56))/('Chemical Info'!N53),IF('Chemical Info'!E53="Yes",(('Com-Ind Equations'!$B$53*'Com-Ind Equations'!$B$49*'Com-Ind Equations'!$B$54*'Com-Ind Calculations'!F52)/('Com-Ind Equations'!$B$56))/('Chemical Info'!N53),(('Com-Ind Equations'!$B$53*'Com-Ind Equations'!$B$49*'Com-Ind Equations'!$B$54*('Com-Ind Calculations'!C52+'Com-Ind Calculations'!F52))/('Com-Ind Equations'!$B$56))/('Chemical Info'!N53))))</f>
        <v>1.4135710191784441E-4</v>
      </c>
      <c r="S52" s="90">
        <f>IF(AND(O52="NA",P52="NA",Q52="NA"),"NA",IF(O52="NA",'Com-Ind Equations'!$B$45/'Com-Ind Calculations'!Q52,IF('Com-Ind Calculations'!Q52="NA",'Com-Ind Equations'!$B$45/('Com-Ind Calculations'!O52+'Com-Ind Calculations'!P52),'Com-Ind Equations'!$B$45/('Com-Ind Calculations'!O52+'Com-Ind Calculations'!P52+'Com-Ind Calculations'!Q52))))</f>
        <v>155.30673904338923</v>
      </c>
      <c r="T52" s="95">
        <f>IF(AND(O52="NA",P52="NA",R52="NA"),"NA",IF(O52="NA",'Com-Ind Equations'!$B$45/R52,IF(R52="NA",'Com-Ind Equations'!$B$45/(O52+P52),'Com-Ind Equations'!$B$45/(O52+P52+R52))))</f>
        <v>1414.8563976377952</v>
      </c>
      <c r="U52" s="97">
        <f t="shared" si="11"/>
        <v>1414.8563976377952</v>
      </c>
      <c r="V52" s="101">
        <f t="shared" si="12"/>
        <v>1313.0951679999998</v>
      </c>
      <c r="W52" s="105">
        <f t="shared" si="13"/>
        <v>1300</v>
      </c>
      <c r="X52" s="100" t="str">
        <f t="shared" si="14"/>
        <v>Csat</v>
      </c>
      <c r="Y52" s="70"/>
    </row>
    <row r="53" spans="1:25">
      <c r="A53" s="67" t="s">
        <v>1196</v>
      </c>
      <c r="B53" s="566" t="s">
        <v>1166</v>
      </c>
      <c r="C53" s="85">
        <f>1/(('Com-Ind Equations'!$B$123*3600)/(0.036*(1-'Com-Ind Equations'!$B$124)*(('Com-Ind Equations'!$B$125/'Com-Ind Equations'!$B$126)^3)*'Com-Ind Equations'!$B$127))</f>
        <v>1.4713536180231943E-9</v>
      </c>
      <c r="D53" s="90">
        <f>(('Com-Ind Equations'!$B$103^(10/3)*'Chemical Info'!AH54*'Chemical Info'!AN54*41+'Com-Ind Equations'!$B$106^(10/3)*'Chemical Info'!AJ54)/'Com-Ind Equations'!$B$108^2)/('Com-Ind Equations'!$B$110*'Chemical Info'!AL54*'Com-Ind Equations'!$B$113+'Com-Ind Equations'!$B$106+'Com-Ind Equations'!$B$103*'Chemical Info'!AN54*41)</f>
        <v>1.1012258569613118E-2</v>
      </c>
      <c r="E53" s="65">
        <f>IF(D53=0,"NA",1/(('Com-Ind Equations'!$B$74*(3.14*D53*'Com-Ind Equations'!$B$76)^(1/2)*0.0001)/(2*'Com-Ind Equations'!$B$77*D53)))</f>
        <v>6.159802446010456E-4</v>
      </c>
      <c r="F53" s="65">
        <f>IF(D53=0,"NA",(1/('Com-Ind Equations'!$B$88*('Com-Ind Equations'!$B$89*(31500000))/('Com-Ind Equations'!$B$90*'Com-Ind Equations'!$B$91*1000000))))</f>
        <v>6.1914410640015851E-5</v>
      </c>
      <c r="G53" s="95">
        <f>IF('Chemical Info'!E54="Yes",('Chemical Info'!AP54/'Com-Ind Equations'!$B$139)*((('Chemical Info'!AL54*'Com-Ind Equations'!$B$141)*'Com-Ind Equations'!$B$139)+'Com-Ind Equations'!$B$142+('Chemical Info'!AN54*41)*'Com-Ind Equations'!$B$144),"NA")</f>
        <v>781.76864479999995</v>
      </c>
      <c r="H53" s="112" t="str">
        <f>IF('Chemical Info'!H54="NA","NA",IF('Chemical Info'!E54="Yes",'Chemical Info'!H54*'Chemical Info'!AD54*'Com-Ind Equations'!$B$18*'Com-Ind Equations'!$B$22*(('Com-Ind Equations'!$B$24*'Com-Ind Equations'!$B$25)/'Com-Ind Equations'!$B$26),'Chemical Info'!H54*'Chemical Info'!AD54*'Com-Ind Equations'!$B$17*'Com-Ind Equations'!$B$22*('Com-Ind Equations'!$B$24*'Com-Ind Equations'!$B$25/'Com-Ind Equations'!$B$26)))</f>
        <v>NA</v>
      </c>
      <c r="I53" s="108" t="str">
        <f>IF('Chemical Info'!H54="NA","NA",IF('Chemical Info'!E54="Yes",0,('Chemical Info'!H54/'Chemical Info'!AF54)*'Com-Ind Equations'!$B$19*'Chemical Info'!AB54*'Com-Ind Equations'!$B$22*(('Com-Ind Equations'!$B$24*'Com-Ind Equations'!$B$29*'Com-Ind Equations'!$B$30)/'Com-Ind Equations'!$B$26)))</f>
        <v>NA</v>
      </c>
      <c r="J53" s="115">
        <f>IF('Chemical Info'!J54="NA","NA",IF(E53="NA",'Com-Ind Equations'!$B$20*1000*'Com-Ind Equations'!$B$24*'Com-Ind Equations'!$B$21*'Chemical Info'!J54*'Com-Ind Calculations'!C53,IF('Chemical Info'!E54="Yes",'Com-Ind Equations'!$B$20*1000*'Com-Ind Equations'!$B$24*'Com-Ind Equations'!$B$21*'Chemical Info'!J54*'Com-Ind Calculations'!E53,'Com-Ind Equations'!$B$20*1000*'Com-Ind Equations'!$B$24*'Com-Ind Equations'!$B$21*'Chemical Info'!J54*('Com-Ind Calculations'!C53+'Com-Ind Calculations'!E53))))</f>
        <v>0.34648888758808816</v>
      </c>
      <c r="K53" s="117">
        <f>IF('Chemical Info'!J54="NA","NA",IF(F53="NA",'Com-Ind Equations'!$B$20*1000*'Com-Ind Equations'!$B$24*'Com-Ind Equations'!$B$21*'Chemical Info'!J54*'Com-Ind Calculations'!C53,IF('Chemical Info'!E54="Yes",'Com-Ind Equations'!$B$20*1000*'Com-Ind Equations'!$B$24*'Com-Ind Equations'!$B$21*'Chemical Info'!J54*'Com-Ind Calculations'!F53,'Com-Ind Equations'!$B$20*1000*'Com-Ind Equations'!$B$24*'Com-Ind Equations'!$B$21*'Chemical Info'!J54*('Com-Ind Calculations'!C53+'Com-Ind Calculations'!F53))))</f>
        <v>3.4826855985008918E-2</v>
      </c>
      <c r="L53" s="95">
        <f>IF(AND(H53="NA",I53="NA",J53="NA"),"NA",IF(H53="NA",'Com-Ind Equations'!$B$13*'Com-Ind Equations'!$B$14/J53,IF(J53="NA",'Com-Ind Equations'!$B$13*'Com-Ind Equations'!$B$14/(H53+I53),'Com-Ind Equations'!$B$13*'Com-Ind Equations'!$B$14/(H53+I53+J53))))</f>
        <v>0.73739738604183669</v>
      </c>
      <c r="M53" s="95">
        <f>IF(AND(H53="NA",I53="NA",K53="NA"),"NA",IF(H53="NA",'Com-Ind Equations'!$B$13*'Com-Ind Equations'!$B$14/K53,IF(K53="NA",'Com-Ind Equations'!$B$13*'Com-Ind Equations'!$B$14/(H53+I53),'Com-Ind Equations'!$B$13*'Com-Ind Equations'!$B$14/(H53+I53+K53))))</f>
        <v>7.3362924321959744</v>
      </c>
      <c r="N53" s="95">
        <f t="shared" ref="N53" si="40">IF(AND(L53="NA",M53="NA"),"NA",MAX(L53,M53))</f>
        <v>7.3362924321959744</v>
      </c>
      <c r="O53" s="94">
        <f>IF('Chemical Info'!L54="NA","NA",IF('Chemical Info'!E54="Yes",(('Com-Ind Equations'!$B$46*'Chemical Info'!AD54*'Com-Ind Equations'!$B$48*'Com-Ind Equations'!$B$49*'Com-Ind Equations'!$B$51)/('Com-Ind Equations'!$B$55*'Com-Ind Equations'!$B$56))/'Chemical Info'!L54,(('Com-Ind Equations'!$B$46*'Chemical Info'!AD54*'Com-Ind Equations'!$B$48*'Com-Ind Equations'!$B$49*'Com-Ind Equations'!$B$50)/('Com-Ind Equations'!$B$55*'Com-Ind Equations'!$B$56))/'Chemical Info'!L54))</f>
        <v>3.0821917808219177E-5</v>
      </c>
      <c r="P53" s="90">
        <f>IF('Chemical Info'!L54="NA","NA", IF('Chemical Info'!E54="Yes",0,((('Com-Ind Equations'!$B$58*'Com-Ind Equations'!$B$59*'Com-Ind Equations'!$B$48*'Com-Ind Equations'!$B$52*'Com-Ind Equations'!$B$49*'Chemical Info'!AB54)/('Com-Ind Equations'!$B$55*'Com-Ind Equations'!$B$56))/('Chemical Info'!L54*'Chemical Info'!AF54))))</f>
        <v>0</v>
      </c>
      <c r="Q53" s="90">
        <f>IF('Chemical Info'!N54="NA","NA",IF('Com-Ind Calculations'!E53="NA",(('Com-Ind Equations'!$B$53*'Com-Ind Equations'!$B$49*'Com-Ind Equations'!$B$54*'Com-Ind Calculations'!C53)/('Com-Ind Equations'!$B$56))/('Chemical Info'!N54),IF('Chemical Info'!E54="Yes",(('Com-Ind Equations'!$B$53*'Com-Ind Equations'!$B$49*'Com-Ind Equations'!$B$54*'Com-Ind Calculations'!E53)/('Com-Ind Equations'!$B$56))/('Chemical Info'!N54),(('Com-Ind Equations'!$B$53*'Com-Ind Equations'!$B$49*'Com-Ind Equations'!$B$54*('Com-Ind Calculations'!C53+'Com-Ind Calculations'!E53))/('Com-Ind Equations'!$B$56))/('Chemical Info'!N54))))</f>
        <v>6.3285641568600571E-3</v>
      </c>
      <c r="R53" s="90">
        <f>IF('Chemical Info'!N54="NA","NA",IF('Com-Ind Calculations'!F53="NA",(('Com-Ind Equations'!$B$53*'Com-Ind Equations'!$B$49*'Com-Ind Equations'!$B$54*'Com-Ind Calculations'!C53)/('Com-Ind Equations'!$B$56))/('Chemical Info'!N54),IF('Chemical Info'!E54="Yes",(('Com-Ind Equations'!$B$53*'Com-Ind Equations'!$B$49*'Com-Ind Equations'!$B$54*'Com-Ind Calculations'!F53)/('Com-Ind Equations'!$B$56))/('Chemical Info'!N54),(('Com-Ind Equations'!$B$53*'Com-Ind Equations'!$B$49*'Com-Ind Equations'!$B$54*('Com-Ind Calculations'!C53+'Com-Ind Calculations'!F53))/('Com-Ind Equations'!$B$56))/('Chemical Info'!N54))))</f>
        <v>6.3610695863029981E-4</v>
      </c>
      <c r="S53" s="90">
        <f>IF(AND(O53="NA",P53="NA",Q53="NA"),"NA",IF(O53="NA",'Com-Ind Equations'!$B$45/'Com-Ind Calculations'!Q53,IF('Com-Ind Calculations'!Q53="NA",'Com-Ind Equations'!$B$45/('Com-Ind Calculations'!O53+'Com-Ind Calculations'!P53),'Com-Ind Equations'!$B$45/('Com-Ind Calculations'!O53+'Com-Ind Calculations'!P53+'Com-Ind Calculations'!Q53))))</f>
        <v>31.44957668110008</v>
      </c>
      <c r="T53" s="95">
        <f>IF(AND(O53="NA",P53="NA",R53="NA"),"NA",IF(O53="NA",'Com-Ind Equations'!$B$45/R53,IF(R53="NA",'Com-Ind Equations'!$B$45/(O53+P53),'Com-Ind Equations'!$B$45/(O53+P53+R53))))</f>
        <v>299.88205199334635</v>
      </c>
      <c r="U53" s="97">
        <f t="shared" ref="U53" si="41">IF(AND(S53="NA",T53="NA"),"NA",MAX(S53,T53))</f>
        <v>299.88205199334635</v>
      </c>
      <c r="V53" s="101">
        <f t="shared" ref="V53" si="42">IF(AND(N53="NA",U53="NA",G53="NA"),"NA",MIN(N53,U53,G53))</f>
        <v>7.3362924321959744</v>
      </c>
      <c r="W53" s="105">
        <f t="shared" ref="W53" si="43">IF(V53&gt;100000,100000,IF(ISNUMBER(ROUND(V53*1000000,2-LEN(INT(V53*1000000)))/1000000),ROUND(V53*1000000,2-LEN(INT(V53*1000000)))/1000000,"NA"))</f>
        <v>7.3</v>
      </c>
      <c r="X53" s="100" t="str">
        <f t="shared" ref="X53" si="44">IF(W53=100000,"Max Limit",IF(V53=G53,"Csat",IF(V53=N53,"Cancer",IF(V53=U53,"Noncancer",""))))</f>
        <v>Cancer</v>
      </c>
      <c r="Y53" s="70"/>
    </row>
    <row r="54" spans="1:25">
      <c r="A54" s="70" t="s">
        <v>365</v>
      </c>
      <c r="B54" s="566" t="s">
        <v>133</v>
      </c>
      <c r="C54" s="85">
        <f>1/(('Com-Ind Equations'!$B$123*3600)/(0.036*(1-'Com-Ind Equations'!$B$124)*(('Com-Ind Equations'!$B$125/'Com-Ind Equations'!$B$126)^3)*'Com-Ind Equations'!$B$127))</f>
        <v>1.4713536180231943E-9</v>
      </c>
      <c r="D54" s="90">
        <f>(('Com-Ind Equations'!$B$103^(10/3)*'Chemical Info'!AH55*'Chemical Info'!AN55*41+'Com-Ind Equations'!$B$106^(10/3)*'Chemical Info'!AJ55)/'Com-Ind Equations'!$B$108^2)/('Com-Ind Equations'!$B$110*'Chemical Info'!AL55*'Com-Ind Equations'!$B$113+'Com-Ind Equations'!$B$106+'Com-Ind Equations'!$B$103*'Chemical Info'!AN55*41)</f>
        <v>1.930667802674394E-4</v>
      </c>
      <c r="E54" s="65">
        <f>IF(D54=0,"NA",1/(('Com-Ind Equations'!$B$74*(3.14*D54*'Com-Ind Equations'!$B$76)^(1/2)*0.0001)/(2*'Com-Ind Equations'!$B$77*D54)))</f>
        <v>8.1560965995238063E-5</v>
      </c>
      <c r="F54" s="65">
        <f>IF(D54=0,"NA",(1/('Com-Ind Equations'!$B$88*('Com-Ind Equations'!$B$89*(31500000))/('Com-Ind Equations'!$B$90*'Com-Ind Equations'!$B$91*1000000))))</f>
        <v>6.1914410640015851E-5</v>
      </c>
      <c r="G54" s="95">
        <f>IF('Chemical Info'!E55="Yes",('Chemical Info'!AP55/'Com-Ind Equations'!$B$139)*((('Chemical Info'!AL55*'Com-Ind Equations'!$B$141)*'Com-Ind Equations'!$B$139)+'Com-Ind Equations'!$B$142+('Chemical Info'!AN55*41)*'Com-Ind Equations'!$B$144),"NA")</f>
        <v>906.84617760000015</v>
      </c>
      <c r="H54" s="112" t="str">
        <f>IF('Chemical Info'!H55="NA","NA",IF('Chemical Info'!E55="Yes",'Chemical Info'!H55*'Chemical Info'!AD55*'Com-Ind Equations'!$B$18*'Com-Ind Equations'!$B$22*(('Com-Ind Equations'!$B$24*'Com-Ind Equations'!$B$25)/'Com-Ind Equations'!$B$26),'Chemical Info'!H55*'Chemical Info'!AD55*'Com-Ind Equations'!$B$17*'Com-Ind Equations'!$B$22*('Com-Ind Equations'!$B$24*'Com-Ind Equations'!$B$25/'Com-Ind Equations'!$B$26)))</f>
        <v>NA</v>
      </c>
      <c r="I54" s="108" t="str">
        <f>IF('Chemical Info'!H55="NA","NA",IF('Chemical Info'!E55="Yes",0,('Chemical Info'!H55/'Chemical Info'!AF55)*'Com-Ind Equations'!$B$19*'Chemical Info'!AB55*'Com-Ind Equations'!$B$22*(('Com-Ind Equations'!$B$24*'Com-Ind Equations'!$B$29*'Com-Ind Equations'!$B$30)/'Com-Ind Equations'!$B$26)))</f>
        <v>NA</v>
      </c>
      <c r="J54" s="115" t="str">
        <f>IF('Chemical Info'!J55="NA","NA",IF(E54="NA",'Com-Ind Equations'!$B$20*1000*'Com-Ind Equations'!$B$24*'Com-Ind Equations'!$B$21*'Chemical Info'!J55*'Com-Ind Calculations'!C54,IF('Chemical Info'!E55="Yes",'Com-Ind Equations'!$B$20*1000*'Com-Ind Equations'!$B$24*'Com-Ind Equations'!$B$21*'Chemical Info'!J55*'Com-Ind Calculations'!E54,'Com-Ind Equations'!$B$20*1000*'Com-Ind Equations'!$B$24*'Com-Ind Equations'!$B$21*'Chemical Info'!J55*('Com-Ind Calculations'!C54+'Com-Ind Calculations'!E54))))</f>
        <v>NA</v>
      </c>
      <c r="K54" s="117" t="str">
        <f>IF('Chemical Info'!J55="NA","NA",IF(F54="NA",'Com-Ind Equations'!$B$20*1000*'Com-Ind Equations'!$B$24*'Com-Ind Equations'!$B$21*'Chemical Info'!J55*'Com-Ind Calculations'!C54,IF('Chemical Info'!E55="Yes",'Com-Ind Equations'!$B$20*1000*'Com-Ind Equations'!$B$24*'Com-Ind Equations'!$B$21*'Chemical Info'!J55*'Com-Ind Calculations'!F54,'Com-Ind Equations'!$B$20*1000*'Com-Ind Equations'!$B$24*'Com-Ind Equations'!$B$21*'Chemical Info'!J55*('Com-Ind Calculations'!C54+'Com-Ind Calculations'!F54))))</f>
        <v>NA</v>
      </c>
      <c r="L54" s="95" t="str">
        <f>IF(AND(H54="NA",I54="NA",J54="NA"),"NA",IF(H54="NA",'Com-Ind Equations'!$B$13*'Com-Ind Equations'!$B$14/J54,IF(J54="NA",'Com-Ind Equations'!$B$13*'Com-Ind Equations'!$B$14/(H54+I54),'Com-Ind Equations'!$B$13*'Com-Ind Equations'!$B$14/(H54+I54+J54))))</f>
        <v>NA</v>
      </c>
      <c r="M54" s="95" t="str">
        <f>IF(AND(H54="NA",I54="NA",K54="NA"),"NA",IF(H54="NA",'Com-Ind Equations'!$B$13*'Com-Ind Equations'!$B$14/K54,IF(K54="NA",'Com-Ind Equations'!$B$13*'Com-Ind Equations'!$B$14/(H54+I54),'Com-Ind Equations'!$B$13*'Com-Ind Equations'!$B$14/(H54+I54+K54))))</f>
        <v>NA</v>
      </c>
      <c r="N54" s="95" t="str">
        <f t="shared" si="10"/>
        <v>NA</v>
      </c>
      <c r="O54" s="94">
        <f>IF('Chemical Info'!L55="NA","NA",IF('Chemical Info'!E55="Yes",(('Com-Ind Equations'!$B$46*'Chemical Info'!AD55*'Com-Ind Equations'!$B$48*'Com-Ind Equations'!$B$49*'Com-Ind Equations'!$B$51)/('Com-Ind Equations'!$B$55*'Com-Ind Equations'!$B$56))/'Chemical Info'!L55,(('Com-Ind Equations'!$B$46*'Chemical Info'!AD55*'Com-Ind Equations'!$B$48*'Com-Ind Equations'!$B$49*'Com-Ind Equations'!$B$50)/('Com-Ind Equations'!$B$55*'Com-Ind Equations'!$B$56))/'Chemical Info'!L55))</f>
        <v>3.0821917808219177E-5</v>
      </c>
      <c r="P54" s="90">
        <f>IF('Chemical Info'!L55="NA","NA", IF('Chemical Info'!E55="Yes",0,((('Com-Ind Equations'!$B$58*'Com-Ind Equations'!$B$59*'Com-Ind Equations'!$B$48*'Com-Ind Equations'!$B$52*'Com-Ind Equations'!$B$49*'Chemical Info'!AB55)/('Com-Ind Equations'!$B$55*'Com-Ind Equations'!$B$56))/('Chemical Info'!L55*'Chemical Info'!AF55))))</f>
        <v>0</v>
      </c>
      <c r="Q54" s="90" t="str">
        <f>IF('Chemical Info'!N55="NA","NA",IF('Com-Ind Calculations'!E54="NA",(('Com-Ind Equations'!$B$53*'Com-Ind Equations'!$B$49*'Com-Ind Equations'!$B$54*'Com-Ind Calculations'!C54)/('Com-Ind Equations'!$B$56))/('Chemical Info'!N55),IF('Chemical Info'!E55="Yes",(('Com-Ind Equations'!$B$53*'Com-Ind Equations'!$B$49*'Com-Ind Equations'!$B$54*'Com-Ind Calculations'!E54)/('Com-Ind Equations'!$B$56))/('Chemical Info'!N55),(('Com-Ind Equations'!$B$53*'Com-Ind Equations'!$B$49*'Com-Ind Equations'!$B$54*('Com-Ind Calculations'!C54+'Com-Ind Calculations'!E54))/('Com-Ind Equations'!$B$56))/('Chemical Info'!N55))))</f>
        <v>NA</v>
      </c>
      <c r="R54" s="90" t="str">
        <f>IF('Chemical Info'!N55="NA","NA",IF('Com-Ind Calculations'!F54="NA",(('Com-Ind Equations'!$B$53*'Com-Ind Equations'!$B$49*'Com-Ind Equations'!$B$54*'Com-Ind Calculations'!C54)/('Com-Ind Equations'!$B$56))/('Chemical Info'!N55),IF('Chemical Info'!E55="Yes",(('Com-Ind Equations'!$B$53*'Com-Ind Equations'!$B$49*'Com-Ind Equations'!$B$54*'Com-Ind Calculations'!F54)/('Com-Ind Equations'!$B$56))/('Chemical Info'!N55),(('Com-Ind Equations'!$B$53*'Com-Ind Equations'!$B$49*'Com-Ind Equations'!$B$54*('Com-Ind Calculations'!C54+'Com-Ind Calculations'!F54))/('Com-Ind Equations'!$B$56))/('Chemical Info'!N55))))</f>
        <v>NA</v>
      </c>
      <c r="S54" s="90">
        <f>IF(AND(O54="NA",P54="NA",Q54="NA"),"NA",IF(O54="NA",'Com-Ind Equations'!$B$45/'Com-Ind Calculations'!Q54,IF('Com-Ind Calculations'!Q54="NA",'Com-Ind Equations'!$B$45/('Com-Ind Calculations'!O54+'Com-Ind Calculations'!P54),'Com-Ind Equations'!$B$45/('Com-Ind Calculations'!O54+'Com-Ind Calculations'!P54+'Com-Ind Calculations'!Q54))))</f>
        <v>6488.8888888888896</v>
      </c>
      <c r="T54" s="95">
        <f>IF(AND(O54="NA",P54="NA",R54="NA"),"NA",IF(O54="NA",'Com-Ind Equations'!$B$45/R54,IF(R54="NA",'Com-Ind Equations'!$B$45/(O54+P54),'Com-Ind Equations'!$B$45/(O54+P54+R54))))</f>
        <v>6488.8888888888896</v>
      </c>
      <c r="U54" s="97">
        <f t="shared" si="11"/>
        <v>6488.8888888888896</v>
      </c>
      <c r="V54" s="101">
        <f t="shared" si="12"/>
        <v>906.84617760000015</v>
      </c>
      <c r="W54" s="105">
        <f t="shared" si="13"/>
        <v>910</v>
      </c>
      <c r="X54" s="100" t="str">
        <f t="shared" si="14"/>
        <v>Csat</v>
      </c>
      <c r="Y54" s="70"/>
    </row>
    <row r="55" spans="1:25">
      <c r="A55" s="70" t="s">
        <v>1217</v>
      </c>
      <c r="B55" s="566" t="s">
        <v>1193</v>
      </c>
      <c r="C55" s="85">
        <f>1/(('Com-Ind Equations'!$B$123*3600)/(0.036*(1-'Com-Ind Equations'!$B$124)*(('Com-Ind Equations'!$B$125/'Com-Ind Equations'!$B$126)^3)*'Com-Ind Equations'!$B$127))</f>
        <v>1.4713536180231943E-9</v>
      </c>
      <c r="D55" s="90">
        <f>(('Com-Ind Equations'!$B$103^(10/3)*'Chemical Info'!AH56*'Chemical Info'!AN56*41+'Com-Ind Equations'!$B$106^(10/3)*'Chemical Info'!AJ56)/'Com-Ind Equations'!$B$108^2)/('Com-Ind Equations'!$B$110*'Chemical Info'!AL56*'Com-Ind Equations'!$B$113+'Com-Ind Equations'!$B$106+'Com-Ind Equations'!$B$103*'Chemical Info'!AN56*41)</f>
        <v>3.5590711675420082E-5</v>
      </c>
      <c r="E55" s="65">
        <f>IF(D55=0,"NA",1/(('Com-Ind Equations'!$B$74*(3.14*D55*'Com-Ind Equations'!$B$76)^(1/2)*0.0001)/(2*'Com-Ind Equations'!$B$77*D55)))</f>
        <v>3.5018450058541266E-5</v>
      </c>
      <c r="F55" s="65">
        <f>IF(D55=0,"NA",(1/('Com-Ind Equations'!$B$88*('Com-Ind Equations'!$B$89*(31500000))/('Com-Ind Equations'!$B$90*'Com-Ind Equations'!$B$91*1000000))))</f>
        <v>6.1914410640015851E-5</v>
      </c>
      <c r="G55" s="95">
        <f>IF('Chemical Info'!E56="Yes",('Chemical Info'!AP56/'Com-Ind Equations'!$B$139)*((('Chemical Info'!AL56*'Com-Ind Equations'!$B$141)*'Com-Ind Equations'!$B$139)+'Com-Ind Equations'!$B$142+('Chemical Info'!AN56*41)*'Com-Ind Equations'!$B$144),"NA")</f>
        <v>20074.071914666667</v>
      </c>
      <c r="H55" s="112">
        <f>IF('Chemical Info'!H56="NA","NA",IF('Chemical Info'!E56="Yes",'Chemical Info'!H56*'Chemical Info'!AD56*'Com-Ind Equations'!$B$18*'Com-Ind Equations'!$B$22*(('Com-Ind Equations'!$B$24*'Com-Ind Equations'!$B$25)/'Com-Ind Equations'!$B$26),'Chemical Info'!H56*'Chemical Info'!AD56*'Com-Ind Equations'!$B$17*'Com-Ind Equations'!$B$22*('Com-Ind Equations'!$B$24*'Com-Ind Equations'!$B$25/'Com-Ind Equations'!$B$26)))</f>
        <v>1.0687499999999999E-2</v>
      </c>
      <c r="I55" s="108">
        <f>IF('Chemical Info'!H56="NA","NA",IF('Chemical Info'!E56="Yes",0,('Chemical Info'!H56/'Chemical Info'!AF56)*'Com-Ind Equations'!$B$19*'Chemical Info'!AB56*'Com-Ind Equations'!$B$22*(('Com-Ind Equations'!$B$24*'Com-Ind Equations'!$B$29*'Com-Ind Equations'!$B$30)/'Com-Ind Equations'!$B$26)))</f>
        <v>0</v>
      </c>
      <c r="J55" s="115" t="str">
        <f>IF('Chemical Info'!J56="NA","NA",IF(E55="NA",'Com-Ind Equations'!$B$20*1000*'Com-Ind Equations'!$B$24*'Com-Ind Equations'!$B$21*'Chemical Info'!J56*'Com-Ind Calculations'!C55,IF('Chemical Info'!E56="Yes",'Com-Ind Equations'!$B$20*1000*'Com-Ind Equations'!$B$24*'Com-Ind Equations'!$B$21*'Chemical Info'!J56*'Com-Ind Calculations'!E55,'Com-Ind Equations'!$B$20*1000*'Com-Ind Equations'!$B$24*'Com-Ind Equations'!$B$21*'Chemical Info'!J56*('Com-Ind Calculations'!C55+'Com-Ind Calculations'!E55))))</f>
        <v>NA</v>
      </c>
      <c r="K55" s="117" t="str">
        <f>IF('Chemical Info'!J56="NA","NA",IF(F55="NA",'Com-Ind Equations'!$B$20*1000*'Com-Ind Equations'!$B$24*'Com-Ind Equations'!$B$21*'Chemical Info'!J56*'Com-Ind Calculations'!C55,IF('Chemical Info'!E56="Yes",'Com-Ind Equations'!$B$20*1000*'Com-Ind Equations'!$B$24*'Com-Ind Equations'!$B$21*'Chemical Info'!J56*'Com-Ind Calculations'!F55,'Com-Ind Equations'!$B$20*1000*'Com-Ind Equations'!$B$24*'Com-Ind Equations'!$B$21*'Chemical Info'!J56*('Com-Ind Calculations'!C55+'Com-Ind Calculations'!F55))))</f>
        <v>NA</v>
      </c>
      <c r="L55" s="95">
        <f>IF(AND(H55="NA",I55="NA",J55="NA"),"NA",IF(H55="NA",'Com-Ind Equations'!$B$13*'Com-Ind Equations'!$B$14/J55,IF(J55="NA",'Com-Ind Equations'!$B$13*'Com-Ind Equations'!$B$14/(H55+I55),'Com-Ind Equations'!$B$13*'Com-Ind Equations'!$B$14/(H55+I55+J55))))</f>
        <v>23.906432748538013</v>
      </c>
      <c r="M55" s="95">
        <f>IF(AND(H55="NA",I55="NA",K55="NA"),"NA",IF(H55="NA",'Com-Ind Equations'!$B$13*'Com-Ind Equations'!$B$14/K55,IF(K55="NA",'Com-Ind Equations'!$B$13*'Com-Ind Equations'!$B$14/(H55+I55),'Com-Ind Equations'!$B$13*'Com-Ind Equations'!$B$14/(H55+I55+K55))))</f>
        <v>23.906432748538013</v>
      </c>
      <c r="N55" s="95">
        <f t="shared" ref="N55" si="45">IF(AND(L55="NA",M55="NA"),"NA",MAX(L55,M55))</f>
        <v>23.906432748538013</v>
      </c>
      <c r="O55" s="94">
        <f>IF('Chemical Info'!L56="NA","NA",IF('Chemical Info'!E56="Yes",(('Com-Ind Equations'!$B$46*'Chemical Info'!AD56*'Com-Ind Equations'!$B$48*'Com-Ind Equations'!$B$49*'Com-Ind Equations'!$B$51)/('Com-Ind Equations'!$B$55*'Com-Ind Equations'!$B$56))/'Chemical Info'!L56,(('Com-Ind Equations'!$B$46*'Chemical Info'!AD56*'Com-Ind Equations'!$B$48*'Com-Ind Equations'!$B$49*'Com-Ind Equations'!$B$50)/('Com-Ind Equations'!$B$55*'Com-Ind Equations'!$B$56))/'Chemical Info'!L56))</f>
        <v>6.1643835616438354E-4</v>
      </c>
      <c r="P55" s="90">
        <f>IF('Chemical Info'!L56="NA","NA", IF('Chemical Info'!E56="Yes",0,((('Com-Ind Equations'!$B$58*'Com-Ind Equations'!$B$59*'Com-Ind Equations'!$B$48*'Com-Ind Equations'!$B$52*'Com-Ind Equations'!$B$49*'Chemical Info'!AB56)/('Com-Ind Equations'!$B$55*'Com-Ind Equations'!$B$56))/('Chemical Info'!L56*'Chemical Info'!AF56))))</f>
        <v>0</v>
      </c>
      <c r="Q55" s="90" t="str">
        <f>IF('Chemical Info'!N56="NA","NA",IF('Com-Ind Calculations'!E55="NA",(('Com-Ind Equations'!$B$53*'Com-Ind Equations'!$B$49*'Com-Ind Equations'!$B$54*'Com-Ind Calculations'!C55)/('Com-Ind Equations'!$B$56))/('Chemical Info'!N56),IF('Chemical Info'!E56="Yes",(('Com-Ind Equations'!$B$53*'Com-Ind Equations'!$B$49*'Com-Ind Equations'!$B$54*'Com-Ind Calculations'!E55)/('Com-Ind Equations'!$B$56))/('Chemical Info'!N56),(('Com-Ind Equations'!$B$53*'Com-Ind Equations'!$B$49*'Com-Ind Equations'!$B$54*('Com-Ind Calculations'!C55+'Com-Ind Calculations'!E55))/('Com-Ind Equations'!$B$56))/('Chemical Info'!N56))))</f>
        <v>NA</v>
      </c>
      <c r="R55" s="90" t="str">
        <f>IF('Chemical Info'!N56="NA","NA",IF('Com-Ind Calculations'!F55="NA",(('Com-Ind Equations'!$B$53*'Com-Ind Equations'!$B$49*'Com-Ind Equations'!$B$54*'Com-Ind Calculations'!C55)/('Com-Ind Equations'!$B$56))/('Chemical Info'!N56),IF('Chemical Info'!E56="Yes",(('Com-Ind Equations'!$B$53*'Com-Ind Equations'!$B$49*'Com-Ind Equations'!$B$54*'Com-Ind Calculations'!F55)/('Com-Ind Equations'!$B$56))/('Chemical Info'!N56),(('Com-Ind Equations'!$B$53*'Com-Ind Equations'!$B$49*'Com-Ind Equations'!$B$54*('Com-Ind Calculations'!C55+'Com-Ind Calculations'!F55))/('Com-Ind Equations'!$B$56))/('Chemical Info'!N56))))</f>
        <v>NA</v>
      </c>
      <c r="S55" s="90">
        <f>IF(AND(O55="NA",P55="NA",Q55="NA"),"NA",IF(O55="NA",'Com-Ind Equations'!$B$45/'Com-Ind Calculations'!Q55,IF('Com-Ind Calculations'!Q55="NA",'Com-Ind Equations'!$B$45/('Com-Ind Calculations'!O55+'Com-Ind Calculations'!P55),'Com-Ind Equations'!$B$45/('Com-Ind Calculations'!O55+'Com-Ind Calculations'!P55+'Com-Ind Calculations'!Q55))))</f>
        <v>324.44444444444446</v>
      </c>
      <c r="T55" s="95">
        <f>IF(AND(O55="NA",P55="NA",R55="NA"),"NA",IF(O55="NA",'Com-Ind Equations'!$B$45/R55,IF(R55="NA",'Com-Ind Equations'!$B$45/(O55+P55),'Com-Ind Equations'!$B$45/(O55+P55+R55))))</f>
        <v>324.44444444444446</v>
      </c>
      <c r="U55" s="97">
        <f t="shared" ref="U55" si="46">IF(AND(S55="NA",T55="NA"),"NA",MAX(S55,T55))</f>
        <v>324.44444444444446</v>
      </c>
      <c r="V55" s="101">
        <f t="shared" ref="V55" si="47">IF(AND(N55="NA",U55="NA",G55="NA"),"NA",MIN(N55,U55,G55))</f>
        <v>23.906432748538013</v>
      </c>
      <c r="W55" s="105">
        <f t="shared" ref="W55" si="48">IF(V55&gt;100000,100000,IF(ISNUMBER(ROUND(V55*1000000,2-LEN(INT(V55*1000000)))/1000000),ROUND(V55*1000000,2-LEN(INT(V55*1000000)))/1000000,"NA"))</f>
        <v>24</v>
      </c>
      <c r="X55" s="100" t="str">
        <f t="shared" ref="X55" si="49">IF(W55=100000,"Max Limit",IF(V55=G55,"Csat",IF(V55=N55,"Cancer",IF(V55=U55,"Noncancer",""))))</f>
        <v>Cancer</v>
      </c>
      <c r="Y55" s="70"/>
    </row>
    <row r="56" spans="1:25">
      <c r="A56" s="67" t="s">
        <v>14</v>
      </c>
      <c r="B56" s="566" t="s">
        <v>15</v>
      </c>
      <c r="C56" s="85">
        <f>1/(('Com-Ind Equations'!$B$123*3600)/(0.036*(1-'Com-Ind Equations'!$B$124)*(('Com-Ind Equations'!$B$125/'Com-Ind Equations'!$B$126)^3)*'Com-Ind Equations'!$B$127))</f>
        <v>1.4713536180231943E-9</v>
      </c>
      <c r="D56" s="90">
        <f>(('Com-Ind Equations'!$B$103^(10/3)*'Chemical Info'!AH57*'Chemical Info'!AN57*41+'Com-Ind Equations'!$B$106^(10/3)*'Chemical Info'!AJ57)/'Com-Ind Equations'!$B$108^2)/('Com-Ind Equations'!$B$110*'Chemical Info'!AL57*'Com-Ind Equations'!$B$113+'Com-Ind Equations'!$B$106+'Com-Ind Equations'!$B$103*'Chemical Info'!AN57*41)</f>
        <v>3.3043375116574282E-4</v>
      </c>
      <c r="E56" s="65">
        <f>IF(D56=0,"NA",1/(('Com-Ind Equations'!$B$74*(3.14*D56*'Com-Ind Equations'!$B$76)^(1/2)*0.0001)/(2*'Com-Ind Equations'!$B$77*D56)))</f>
        <v>1.0670156373654206E-4</v>
      </c>
      <c r="F56" s="65">
        <f>IF(D56=0,"NA",(1/('Com-Ind Equations'!$B$88*('Com-Ind Equations'!$B$89*(31500000))/('Com-Ind Equations'!$B$90*'Com-Ind Equations'!$B$91*1000000))))</f>
        <v>6.1914410640015851E-5</v>
      </c>
      <c r="G56" s="95">
        <f>IF('Chemical Info'!E57="Yes",('Chemical Info'!AP57/'Com-Ind Equations'!$B$139)*((('Chemical Info'!AL57*'Com-Ind Equations'!$B$141)*'Com-Ind Equations'!$B$139)+'Com-Ind Equations'!$B$142+('Chemical Info'!AN57*41)*'Com-Ind Equations'!$B$144),"NA")</f>
        <v>268.17605733333335</v>
      </c>
      <c r="H56" s="112" t="str">
        <f>IF('Chemical Info'!H57="NA","NA",IF('Chemical Info'!E57="Yes",'Chemical Info'!H57*'Chemical Info'!AD57*'Com-Ind Equations'!$B$18*'Com-Ind Equations'!$B$22*(('Com-Ind Equations'!$B$24*'Com-Ind Equations'!$B$25)/'Com-Ind Equations'!$B$26),'Chemical Info'!H57*'Chemical Info'!AD57*'Com-Ind Equations'!$B$17*'Com-Ind Equations'!$B$22*('Com-Ind Equations'!$B$24*'Com-Ind Equations'!$B$25/'Com-Ind Equations'!$B$26)))</f>
        <v>NA</v>
      </c>
      <c r="I56" s="108" t="str">
        <f>IF('Chemical Info'!H57="NA","NA",IF('Chemical Info'!E57="Yes",0,('Chemical Info'!H57/'Chemical Info'!AF57)*'Com-Ind Equations'!$B$19*'Chemical Info'!AB57*'Com-Ind Equations'!$B$22*(('Com-Ind Equations'!$B$24*'Com-Ind Equations'!$B$29*'Com-Ind Equations'!$B$30)/'Com-Ind Equations'!$B$26)))</f>
        <v>NA</v>
      </c>
      <c r="J56" s="115" t="str">
        <f>IF('Chemical Info'!J57="NA","NA",IF(E56="NA",'Com-Ind Equations'!$B$20*1000*'Com-Ind Equations'!$B$24*'Com-Ind Equations'!$B$21*'Chemical Info'!J57*'Com-Ind Calculations'!C56,IF('Chemical Info'!E57="Yes",'Com-Ind Equations'!$B$20*1000*'Com-Ind Equations'!$B$24*'Com-Ind Equations'!$B$21*'Chemical Info'!J57*'Com-Ind Calculations'!E56,'Com-Ind Equations'!$B$20*1000*'Com-Ind Equations'!$B$24*'Com-Ind Equations'!$B$21*'Chemical Info'!J57*('Com-Ind Calculations'!C56+'Com-Ind Calculations'!E56))))</f>
        <v>NA</v>
      </c>
      <c r="K56" s="117" t="str">
        <f>IF('Chemical Info'!J57="NA","NA",IF(F56="NA",'Com-Ind Equations'!$B$20*1000*'Com-Ind Equations'!$B$24*'Com-Ind Equations'!$B$21*'Chemical Info'!J57*'Com-Ind Calculations'!C56,IF('Chemical Info'!E57="Yes",'Com-Ind Equations'!$B$20*1000*'Com-Ind Equations'!$B$24*'Com-Ind Equations'!$B$21*'Chemical Info'!J57*'Com-Ind Calculations'!F56,'Com-Ind Equations'!$B$20*1000*'Com-Ind Equations'!$B$24*'Com-Ind Equations'!$B$21*'Chemical Info'!J57*('Com-Ind Calculations'!C56+'Com-Ind Calculations'!F56))))</f>
        <v>NA</v>
      </c>
      <c r="L56" s="95" t="str">
        <f>IF(AND(H56="NA",I56="NA",J56="NA"),"NA",IF(H56="NA",'Com-Ind Equations'!$B$13*'Com-Ind Equations'!$B$14/J56,IF(J56="NA",'Com-Ind Equations'!$B$13*'Com-Ind Equations'!$B$14/(H56+I56),'Com-Ind Equations'!$B$13*'Com-Ind Equations'!$B$14/(H56+I56+J56))))</f>
        <v>NA</v>
      </c>
      <c r="M56" s="95" t="str">
        <f>IF(AND(H56="NA",I56="NA",K56="NA"),"NA",IF(H56="NA",'Com-Ind Equations'!$B$13*'Com-Ind Equations'!$B$14/K56,IF(K56="NA",'Com-Ind Equations'!$B$13*'Com-Ind Equations'!$B$14/(H56+I56),'Com-Ind Equations'!$B$13*'Com-Ind Equations'!$B$14/(H56+I56+K56))))</f>
        <v>NA</v>
      </c>
      <c r="N56" s="95" t="str">
        <f t="shared" si="10"/>
        <v>NA</v>
      </c>
      <c r="O56" s="94">
        <f>IF('Chemical Info'!L57="NA","NA",IF('Chemical Info'!E57="Yes",(('Com-Ind Equations'!$B$46*'Chemical Info'!AD57*'Com-Ind Equations'!$B$48*'Com-Ind Equations'!$B$49*'Com-Ind Equations'!$B$51)/('Com-Ind Equations'!$B$55*'Com-Ind Equations'!$B$56))/'Chemical Info'!L57,(('Com-Ind Equations'!$B$46*'Chemical Info'!AD57*'Com-Ind Equations'!$B$48*'Com-Ind Equations'!$B$49*'Com-Ind Equations'!$B$50)/('Com-Ind Equations'!$B$55*'Com-Ind Equations'!$B$56))/'Chemical Info'!L57))</f>
        <v>6.1643835616438346E-6</v>
      </c>
      <c r="P56" s="90">
        <f>IF('Chemical Info'!L57="NA","NA", IF('Chemical Info'!E57="Yes",0,((('Com-Ind Equations'!$B$58*'Com-Ind Equations'!$B$59*'Com-Ind Equations'!$B$48*'Com-Ind Equations'!$B$52*'Com-Ind Equations'!$B$49*'Chemical Info'!AB57)/('Com-Ind Equations'!$B$55*'Com-Ind Equations'!$B$56))/('Chemical Info'!L57*'Chemical Info'!AF57))))</f>
        <v>0</v>
      </c>
      <c r="Q56" s="90">
        <f>IF('Chemical Info'!N57="NA","NA",IF('Com-Ind Calculations'!E56="NA",(('Com-Ind Equations'!$B$53*'Com-Ind Equations'!$B$49*'Com-Ind Equations'!$B$54*'Com-Ind Calculations'!C56)/('Com-Ind Equations'!$B$56))/('Chemical Info'!N57),IF('Chemical Info'!E57="Yes",(('Com-Ind Equations'!$B$53*'Com-Ind Equations'!$B$49*'Com-Ind Equations'!$B$54*'Com-Ind Calculations'!E56)/('Com-Ind Equations'!$B$56))/('Chemical Info'!N57),(('Com-Ind Equations'!$B$53*'Com-Ind Equations'!$B$49*'Com-Ind Equations'!$B$54*('Com-Ind Calculations'!C56+'Com-Ind Calculations'!E56))/('Com-Ind Equations'!$B$56))/('Chemical Info'!N57))))</f>
        <v>5.4812447124935983E-5</v>
      </c>
      <c r="R56" s="90">
        <f>IF('Chemical Info'!N57="NA","NA",IF('Com-Ind Calculations'!F56="NA",(('Com-Ind Equations'!$B$53*'Com-Ind Equations'!$B$49*'Com-Ind Equations'!$B$54*'Com-Ind Calculations'!C56)/('Com-Ind Equations'!$B$56))/('Chemical Info'!N57),IF('Chemical Info'!E57="Yes",(('Com-Ind Equations'!$B$53*'Com-Ind Equations'!$B$49*'Com-Ind Equations'!$B$54*'Com-Ind Calculations'!F56)/('Com-Ind Equations'!$B$56))/('Chemical Info'!N57),(('Com-Ind Equations'!$B$53*'Com-Ind Equations'!$B$49*'Com-Ind Equations'!$B$54*('Com-Ind Calculations'!C56+'Com-Ind Calculations'!F56))/('Com-Ind Equations'!$B$56))/('Chemical Info'!N57))))</f>
        <v>3.1805347931514991E-5</v>
      </c>
      <c r="S56" s="90">
        <f>IF(AND(O56="NA",P56="NA",Q56="NA"),"NA",IF(O56="NA",'Com-Ind Equations'!$B$45/'Com-Ind Calculations'!Q56,IF('Com-Ind Calculations'!Q56="NA",'Com-Ind Equations'!$B$45/('Com-Ind Calculations'!O56+'Com-Ind Calculations'!P56),'Com-Ind Equations'!$B$45/('Com-Ind Calculations'!O56+'Com-Ind Calculations'!P56+'Com-Ind Calculations'!Q56))))</f>
        <v>3279.9343250225256</v>
      </c>
      <c r="T56" s="95">
        <f>IF(AND(O56="NA",P56="NA",R56="NA"),"NA",IF(O56="NA",'Com-Ind Equations'!$B$45/R56,IF(R56="NA",'Com-Ind Equations'!$B$45/(O56+P56),'Com-Ind Equations'!$B$45/(O56+P56+R56))))</f>
        <v>5267.3535507101196</v>
      </c>
      <c r="U56" s="97">
        <f t="shared" si="11"/>
        <v>5267.3535507101196</v>
      </c>
      <c r="V56" s="101">
        <f t="shared" si="12"/>
        <v>268.17605733333335</v>
      </c>
      <c r="W56" s="105">
        <f t="shared" si="13"/>
        <v>270</v>
      </c>
      <c r="X56" s="100" t="str">
        <f t="shared" si="14"/>
        <v>Csat</v>
      </c>
      <c r="Y56" s="70"/>
    </row>
    <row r="57" spans="1:25">
      <c r="A57" s="70" t="s">
        <v>366</v>
      </c>
      <c r="B57" s="591" t="s">
        <v>126</v>
      </c>
      <c r="C57" s="85">
        <f>1/(('Com-Ind Equations'!$B$123*3600)/(0.036*(1-'Com-Ind Equations'!$B$124)*(('Com-Ind Equations'!$B$125/'Com-Ind Equations'!$B$126)^3)*'Com-Ind Equations'!$B$127))</f>
        <v>1.4713536180231943E-9</v>
      </c>
      <c r="D57" s="90">
        <f>(('Com-Ind Equations'!$B$103^(10/3)*'Chemical Info'!AH58*'Chemical Info'!AN58*41+'Com-Ind Equations'!$B$106^(10/3)*'Chemical Info'!AJ58)/'Com-Ind Equations'!$B$108^2)/('Com-Ind Equations'!$B$110*'Chemical Info'!AL58*'Com-Ind Equations'!$B$113+'Com-Ind Equations'!$B$106+'Com-Ind Equations'!$B$103*'Chemical Info'!AN58*41)</f>
        <v>1.7039289301752091E-4</v>
      </c>
      <c r="E57" s="65">
        <f>IF(D57=0,"NA",1/(('Com-Ind Equations'!$B$74*(3.14*D57*'Com-Ind Equations'!$B$76)^(1/2)*0.0001)/(2*'Com-Ind Equations'!$B$77*D57)))</f>
        <v>7.6622147909739306E-5</v>
      </c>
      <c r="F57" s="65">
        <f>IF(D57=0,"NA",(1/('Com-Ind Equations'!$B$88*('Com-Ind Equations'!$B$89*(31500000))/('Com-Ind Equations'!$B$90*'Com-Ind Equations'!$B$91*1000000))))</f>
        <v>6.1914410640015851E-5</v>
      </c>
      <c r="G57" s="95">
        <f>IF('Chemical Info'!E58="Yes",('Chemical Info'!AP58/'Com-Ind Equations'!$B$139)*((('Chemical Info'!AL58*'Com-Ind Equations'!$B$141)*'Com-Ind Equations'!$B$139)+'Com-Ind Equations'!$B$142+('Chemical Info'!AN58*41)*'Com-Ind Equations'!$B$144),"NA")</f>
        <v>1339.4669466666664</v>
      </c>
      <c r="H57" s="112">
        <f>IF('Chemical Info'!H58="NA","NA",IF('Chemical Info'!E58="Yes",'Chemical Info'!H58*'Chemical Info'!AD58*'Com-Ind Equations'!$B$18*'Com-Ind Equations'!$B$22*(('Com-Ind Equations'!$B$24*'Com-Ind Equations'!$B$25)/'Com-Ind Equations'!$B$26),'Chemical Info'!H58*'Chemical Info'!AD58*'Com-Ind Equations'!$B$17*'Com-Ind Equations'!$B$22*('Com-Ind Equations'!$B$24*'Com-Ind Equations'!$B$25/'Com-Ind Equations'!$B$26)))</f>
        <v>2.0249999999999997E-2</v>
      </c>
      <c r="I57" s="108">
        <f>IF('Chemical Info'!H58="NA","NA",IF('Chemical Info'!E58="Yes",0,('Chemical Info'!H58/'Chemical Info'!AF58)*'Com-Ind Equations'!$B$19*'Chemical Info'!AB58*'Com-Ind Equations'!$B$22*(('Com-Ind Equations'!$B$24*'Com-Ind Equations'!$B$29*'Com-Ind Equations'!$B$30)/'Com-Ind Equations'!$B$26)))</f>
        <v>0</v>
      </c>
      <c r="J57" s="115">
        <f>IF('Chemical Info'!J58="NA","NA",IF(E57="NA",'Com-Ind Equations'!$B$20*1000*'Com-Ind Equations'!$B$24*'Com-Ind Equations'!$B$21*'Chemical Info'!J58*'Com-Ind Calculations'!C57,IF('Chemical Info'!E58="Yes",'Com-Ind Equations'!$B$20*1000*'Com-Ind Equations'!$B$24*'Com-Ind Equations'!$B$21*'Chemical Info'!J58*'Com-Ind Calculations'!E57,'Com-Ind Equations'!$B$20*1000*'Com-Ind Equations'!$B$24*'Com-Ind Equations'!$B$21*'Chemical Info'!J58*('Com-Ind Calculations'!C57+'Com-Ind Calculations'!E57))))</f>
        <v>8.6199916398456713E-2</v>
      </c>
      <c r="K57" s="117">
        <f>IF('Chemical Info'!J58="NA","NA",IF(F57="NA",'Com-Ind Equations'!$B$20*1000*'Com-Ind Equations'!$B$24*'Com-Ind Equations'!$B$21*'Chemical Info'!J58*'Com-Ind Calculations'!C57,IF('Chemical Info'!E58="Yes",'Com-Ind Equations'!$B$20*1000*'Com-Ind Equations'!$B$24*'Com-Ind Equations'!$B$21*'Chemical Info'!J58*'Com-Ind Calculations'!F57,'Com-Ind Equations'!$B$20*1000*'Com-Ind Equations'!$B$24*'Com-Ind Equations'!$B$21*'Chemical Info'!J58*('Com-Ind Calculations'!C57+'Com-Ind Calculations'!F57))))</f>
        <v>6.9653711970017837E-2</v>
      </c>
      <c r="L57" s="95">
        <f>IF(AND(H57="NA",I57="NA",J57="NA"),"NA",IF(H57="NA",'Com-Ind Equations'!$B$13*'Com-Ind Equations'!$B$14/J57,IF(J57="NA",'Com-Ind Equations'!$B$13*'Com-Ind Equations'!$B$14/(H57+I57),'Com-Ind Equations'!$B$13*'Com-Ind Equations'!$B$14/(H57+I57+J57))))</f>
        <v>2.400189766646958</v>
      </c>
      <c r="M57" s="95">
        <f>IF(AND(H57="NA",I57="NA",K57="NA"),"NA",IF(H57="NA",'Com-Ind Equations'!$B$13*'Com-Ind Equations'!$B$14/K57,IF(K57="NA",'Com-Ind Equations'!$B$13*'Com-Ind Equations'!$B$14/(H57+I57),'Com-Ind Equations'!$B$13*'Com-Ind Equations'!$B$14/(H57+I57+K57))))</f>
        <v>2.8419293753433359</v>
      </c>
      <c r="N57" s="95">
        <f t="shared" si="10"/>
        <v>2.8419293753433359</v>
      </c>
      <c r="O57" s="94">
        <f>IF('Chemical Info'!L58="NA","NA",IF('Chemical Info'!E58="Yes",(('Com-Ind Equations'!$B$46*'Chemical Info'!AD58*'Com-Ind Equations'!$B$48*'Com-Ind Equations'!$B$49*'Com-Ind Equations'!$B$51)/('Com-Ind Equations'!$B$55*'Com-Ind Equations'!$B$56))/'Chemical Info'!L58,(('Com-Ind Equations'!$B$46*'Chemical Info'!AD58*'Com-Ind Equations'!$B$48*'Com-Ind Equations'!$B$49*'Com-Ind Equations'!$B$50)/('Com-Ind Equations'!$B$55*'Com-Ind Equations'!$B$56))/'Chemical Info'!L58))</f>
        <v>2.9354207436399217E-4</v>
      </c>
      <c r="P57" s="90">
        <f>IF('Chemical Info'!L58="NA","NA", IF('Chemical Info'!E58="Yes",0,((('Com-Ind Equations'!$B$58*'Com-Ind Equations'!$B$59*'Com-Ind Equations'!$B$48*'Com-Ind Equations'!$B$52*'Com-Ind Equations'!$B$49*'Chemical Info'!AB58)/('Com-Ind Equations'!$B$55*'Com-Ind Equations'!$B$56))/('Chemical Info'!L58*'Chemical Info'!AF58))))</f>
        <v>0</v>
      </c>
      <c r="Q57" s="90">
        <f>IF('Chemical Info'!N58="NA","NA",IF('Com-Ind Calculations'!E57="NA",(('Com-Ind Equations'!$B$53*'Com-Ind Equations'!$B$49*'Com-Ind Equations'!$B$54*'Com-Ind Calculations'!C57)/('Com-Ind Equations'!$B$56))/('Chemical Info'!N58),IF('Chemical Info'!E58="Yes",(('Com-Ind Equations'!$B$53*'Com-Ind Equations'!$B$49*'Com-Ind Equations'!$B$54*'Com-Ind Calculations'!E57)/('Com-Ind Equations'!$B$56))/('Chemical Info'!N58),(('Com-Ind Equations'!$B$53*'Com-Ind Equations'!$B$49*'Com-Ind Equations'!$B$54*('Com-Ind Calculations'!C57+'Com-Ind Calculations'!E57))/('Com-Ind Equations'!$B$56))/('Chemical Info'!N58))))</f>
        <v>1.7493641075282949E-3</v>
      </c>
      <c r="R57" s="90">
        <f>IF('Chemical Info'!N58="NA","NA",IF('Com-Ind Calculations'!F57="NA",(('Com-Ind Equations'!$B$53*'Com-Ind Equations'!$B$49*'Com-Ind Equations'!$B$54*'Com-Ind Calculations'!C57)/('Com-Ind Equations'!$B$56))/('Chemical Info'!N58),IF('Chemical Info'!E58="Yes",(('Com-Ind Equations'!$B$53*'Com-Ind Equations'!$B$49*'Com-Ind Equations'!$B$54*'Com-Ind Calculations'!F57)/('Com-Ind Equations'!$B$56))/('Chemical Info'!N58),(('Com-Ind Equations'!$B$53*'Com-Ind Equations'!$B$49*'Com-Ind Equations'!$B$54*('Com-Ind Calculations'!C57+'Com-Ind Calculations'!F57))/('Com-Ind Equations'!$B$56))/('Chemical Info'!N58))))</f>
        <v>1.4135710191784442E-3</v>
      </c>
      <c r="S57" s="90">
        <f>IF(AND(O57="NA",P57="NA",Q57="NA"),"NA",IF(O57="NA",'Com-Ind Equations'!$B$45/'Com-Ind Calculations'!Q57,IF('Com-Ind Calculations'!Q57="NA",'Com-Ind Equations'!$B$45/('Com-Ind Calculations'!O57+'Com-Ind Calculations'!P57),'Com-Ind Equations'!$B$45/('Com-Ind Calculations'!O57+'Com-Ind Calculations'!P57+'Com-Ind Calculations'!Q57))))</f>
        <v>97.8997478066984</v>
      </c>
      <c r="T57" s="95">
        <f>IF(AND(O57="NA",P57="NA",R57="NA"),"NA",IF(O57="NA",'Com-Ind Equations'!$B$45/R57,IF(R57="NA",'Com-Ind Equations'!$B$45/(O57+P57),'Com-Ind Equations'!$B$45/(O57+P57+R57))))</f>
        <v>117.15685431536309</v>
      </c>
      <c r="U57" s="97">
        <f t="shared" si="11"/>
        <v>117.15685431536309</v>
      </c>
      <c r="V57" s="101">
        <f t="shared" si="12"/>
        <v>2.8419293753433359</v>
      </c>
      <c r="W57" s="105">
        <f t="shared" si="13"/>
        <v>2.8</v>
      </c>
      <c r="X57" s="100" t="str">
        <f t="shared" si="14"/>
        <v>Cancer</v>
      </c>
      <c r="Y57" s="70"/>
    </row>
    <row r="58" spans="1:25">
      <c r="A58" s="67" t="s">
        <v>322</v>
      </c>
      <c r="B58" s="566" t="s">
        <v>176</v>
      </c>
      <c r="C58" s="85">
        <f>1/(('Com-Ind Equations'!$B$123*3600)/(0.036*(1-'Com-Ind Equations'!$B$124)*(('Com-Ind Equations'!$B$125/'Com-Ind Equations'!$B$126)^3)*'Com-Ind Equations'!$B$127))</f>
        <v>1.4713536180231943E-9</v>
      </c>
      <c r="D58" s="90">
        <f>(('Com-Ind Equations'!$B$103^(10/3)*'Chemical Info'!AH59*'Chemical Info'!AN59*41+'Com-Ind Equations'!$B$106^(10/3)*'Chemical Info'!AJ59)/'Com-Ind Equations'!$B$108^2)/('Com-Ind Equations'!$B$110*'Chemical Info'!AL59*'Com-Ind Equations'!$B$113+'Com-Ind Equations'!$B$106+'Com-Ind Equations'!$B$103*'Chemical Info'!AN59*41)</f>
        <v>3.9948587965106492E-4</v>
      </c>
      <c r="E58" s="65">
        <f>IF(D58=0,"NA",1/(('Com-Ind Equations'!$B$74*(3.14*D58*'Com-Ind Equations'!$B$76)^(1/2)*0.0001)/(2*'Com-Ind Equations'!$B$77*D58)))</f>
        <v>1.173219574854169E-4</v>
      </c>
      <c r="F58" s="65">
        <f>IF(D58=0,"NA",(1/('Com-Ind Equations'!$B$88*('Com-Ind Equations'!$B$89*(31500000))/('Com-Ind Equations'!$B$90*'Com-Ind Equations'!$B$91*1000000))))</f>
        <v>6.1914410640015851E-5</v>
      </c>
      <c r="G58" s="95">
        <f>IF('Chemical Info'!E59="Yes",('Chemical Info'!AP59/'Com-Ind Equations'!$B$139)*((('Chemical Info'!AL59*'Com-Ind Equations'!$B$141)*'Com-Ind Equations'!$B$139)+'Com-Ind Equations'!$B$142+('Chemical Info'!AN59*41)*'Com-Ind Equations'!$B$144),"NA")</f>
        <v>2816.3853759999997</v>
      </c>
      <c r="H58" s="112" t="str">
        <f>IF('Chemical Info'!H59="NA","NA",IF('Chemical Info'!E59="Yes",'Chemical Info'!H59*'Chemical Info'!AD59*'Com-Ind Equations'!$B$18*'Com-Ind Equations'!$B$22*(('Com-Ind Equations'!$B$24*'Com-Ind Equations'!$B$25)/'Com-Ind Equations'!$B$26),'Chemical Info'!H59*'Chemical Info'!AD59*'Com-Ind Equations'!$B$17*'Com-Ind Equations'!$B$22*('Com-Ind Equations'!$B$24*'Com-Ind Equations'!$B$25/'Com-Ind Equations'!$B$26)))</f>
        <v>NA</v>
      </c>
      <c r="I58" s="108" t="str">
        <f>IF('Chemical Info'!H59="NA","NA",IF('Chemical Info'!E59="Yes",0,('Chemical Info'!H59/'Chemical Info'!AF59)*'Com-Ind Equations'!$B$19*'Chemical Info'!AB59*'Com-Ind Equations'!$B$22*(('Com-Ind Equations'!$B$24*'Com-Ind Equations'!$B$29*'Com-Ind Equations'!$B$30)/'Com-Ind Equations'!$B$26)))</f>
        <v>NA</v>
      </c>
      <c r="J58" s="115" t="str">
        <f>IF('Chemical Info'!J59="NA","NA",IF(E58="NA",'Com-Ind Equations'!$B$20*1000*'Com-Ind Equations'!$B$24*'Com-Ind Equations'!$B$21*'Chemical Info'!J59*'Com-Ind Calculations'!C58,IF('Chemical Info'!E59="Yes",'Com-Ind Equations'!$B$20*1000*'Com-Ind Equations'!$B$24*'Com-Ind Equations'!$B$21*'Chemical Info'!J59*'Com-Ind Calculations'!E58,'Com-Ind Equations'!$B$20*1000*'Com-Ind Equations'!$B$24*'Com-Ind Equations'!$B$21*'Chemical Info'!J59*('Com-Ind Calculations'!C58+'Com-Ind Calculations'!E58))))</f>
        <v>NA</v>
      </c>
      <c r="K58" s="117" t="str">
        <f>IF('Chemical Info'!J59="NA","NA",IF(F58="NA",'Com-Ind Equations'!$B$20*1000*'Com-Ind Equations'!$B$24*'Com-Ind Equations'!$B$21*'Chemical Info'!J59*'Com-Ind Calculations'!C58,IF('Chemical Info'!E59="Yes",'Com-Ind Equations'!$B$20*1000*'Com-Ind Equations'!$B$24*'Com-Ind Equations'!$B$21*'Chemical Info'!J59*'Com-Ind Calculations'!F58,'Com-Ind Equations'!$B$20*1000*'Com-Ind Equations'!$B$24*'Com-Ind Equations'!$B$21*'Chemical Info'!J59*('Com-Ind Calculations'!C58+'Com-Ind Calculations'!F58))))</f>
        <v>NA</v>
      </c>
      <c r="L58" s="95" t="str">
        <f>IF(AND(H58="NA",I58="NA",J58="NA"),"NA",IF(H58="NA",'Com-Ind Equations'!$B$13*'Com-Ind Equations'!$B$14/J58,IF(J58="NA",'Com-Ind Equations'!$B$13*'Com-Ind Equations'!$B$14/(H58+I58),'Com-Ind Equations'!$B$13*'Com-Ind Equations'!$B$14/(H58+I58+J58))))</f>
        <v>NA</v>
      </c>
      <c r="M58" s="95" t="str">
        <f>IF(AND(H58="NA",I58="NA",K58="NA"),"NA",IF(H58="NA",'Com-Ind Equations'!$B$13*'Com-Ind Equations'!$B$14/K58,IF(K58="NA",'Com-Ind Equations'!$B$13*'Com-Ind Equations'!$B$14/(H58+I58),'Com-Ind Equations'!$B$13*'Com-Ind Equations'!$B$14/(H58+I58+K58))))</f>
        <v>NA</v>
      </c>
      <c r="N58" s="95" t="str">
        <f t="shared" si="10"/>
        <v>NA</v>
      </c>
      <c r="O58" s="94">
        <f>IF('Chemical Info'!L59="NA","NA",IF('Chemical Info'!E59="Yes",(('Com-Ind Equations'!$B$46*'Chemical Info'!AD59*'Com-Ind Equations'!$B$48*'Com-Ind Equations'!$B$49*'Com-Ind Equations'!$B$51)/('Com-Ind Equations'!$B$55*'Com-Ind Equations'!$B$56))/'Chemical Info'!L59,(('Com-Ind Equations'!$B$46*'Chemical Info'!AD59*'Com-Ind Equations'!$B$48*'Com-Ind Equations'!$B$49*'Com-Ind Equations'!$B$50)/('Com-Ind Equations'!$B$55*'Com-Ind Equations'!$B$56))/'Chemical Info'!L59))</f>
        <v>2.0547945205479451E-4</v>
      </c>
      <c r="P58" s="90">
        <f>IF('Chemical Info'!L59="NA","NA", IF('Chemical Info'!E59="Yes",0,((('Com-Ind Equations'!$B$58*'Com-Ind Equations'!$B$59*'Com-Ind Equations'!$B$48*'Com-Ind Equations'!$B$52*'Com-Ind Equations'!$B$49*'Chemical Info'!AB59)/('Com-Ind Equations'!$B$55*'Com-Ind Equations'!$B$56))/('Chemical Info'!L59*'Chemical Info'!AF59))))</f>
        <v>0</v>
      </c>
      <c r="Q58" s="90">
        <f>IF('Chemical Info'!N59="NA","NA",IF('Com-Ind Calculations'!E58="NA",(('Com-Ind Equations'!$B$53*'Com-Ind Equations'!$B$49*'Com-Ind Equations'!$B$54*'Com-Ind Calculations'!C58)/('Com-Ind Equations'!$B$56))/('Chemical Info'!N59),IF('Chemical Info'!E59="Yes",(('Com-Ind Equations'!$B$53*'Com-Ind Equations'!$B$49*'Com-Ind Equations'!$B$54*'Com-Ind Calculations'!E58)/('Com-Ind Equations'!$B$56))/('Chemical Info'!N59),(('Com-Ind Equations'!$B$53*'Com-Ind Equations'!$B$49*'Com-Ind Equations'!$B$54*('Com-Ind Calculations'!C58+'Com-Ind Calculations'!E58))/('Com-Ind Equations'!$B$56))/('Chemical Info'!N59))))</f>
        <v>6.02681288452484E-3</v>
      </c>
      <c r="R58" s="90">
        <f>IF('Chemical Info'!N59="NA","NA",IF('Com-Ind Calculations'!F58="NA",(('Com-Ind Equations'!$B$53*'Com-Ind Equations'!$B$49*'Com-Ind Equations'!$B$54*'Com-Ind Calculations'!C58)/('Com-Ind Equations'!$B$56))/('Chemical Info'!N59),IF('Chemical Info'!E59="Yes",(('Com-Ind Equations'!$B$53*'Com-Ind Equations'!$B$49*'Com-Ind Equations'!$B$54*'Com-Ind Calculations'!F58)/('Com-Ind Equations'!$B$56))/('Chemical Info'!N59),(('Com-Ind Equations'!$B$53*'Com-Ind Equations'!$B$49*'Com-Ind Equations'!$B$54*('Com-Ind Calculations'!C58+'Com-Ind Calculations'!F58))/('Com-Ind Equations'!$B$56))/('Chemical Info'!N59))))</f>
        <v>3.180534793151499E-3</v>
      </c>
      <c r="S58" s="90">
        <f>IF(AND(O58="NA",P58="NA",Q58="NA"),"NA",IF(O58="NA",'Com-Ind Equations'!$B$45/'Com-Ind Calculations'!Q58,IF('Com-Ind Calculations'!Q58="NA",'Com-Ind Equations'!$B$45/('Com-Ind Calculations'!O58+'Com-Ind Calculations'!P58),'Com-Ind Equations'!$B$45/('Com-Ind Calculations'!O58+'Com-Ind Calculations'!P58+'Com-Ind Calculations'!Q58))))</f>
        <v>32.090920836002169</v>
      </c>
      <c r="T58" s="95">
        <f>IF(AND(O58="NA",P58="NA",R58="NA"),"NA",IF(O58="NA",'Com-Ind Equations'!$B$45/R58,IF(R58="NA",'Com-Ind Equations'!$B$45/(O58+P58),'Com-Ind Equations'!$B$45/(O58+P58+R58))))</f>
        <v>59.066496924266481</v>
      </c>
      <c r="U58" s="97">
        <f t="shared" si="11"/>
        <v>59.066496924266481</v>
      </c>
      <c r="V58" s="101">
        <f t="shared" si="12"/>
        <v>59.066496924266481</v>
      </c>
      <c r="W58" s="105">
        <f t="shared" si="13"/>
        <v>59</v>
      </c>
      <c r="X58" s="100" t="str">
        <f t="shared" si="14"/>
        <v>Noncancer</v>
      </c>
      <c r="Y58" s="70"/>
    </row>
    <row r="59" spans="1:25">
      <c r="A59" s="67" t="s">
        <v>323</v>
      </c>
      <c r="B59" s="566" t="s">
        <v>0</v>
      </c>
      <c r="C59" s="85">
        <f>1/(('Com-Ind Equations'!$B$123*3600)/(0.036*(1-'Com-Ind Equations'!$B$124)*(('Com-Ind Equations'!$B$125/'Com-Ind Equations'!$B$126)^3)*'Com-Ind Equations'!$B$127))</f>
        <v>1.4713536180231943E-9</v>
      </c>
      <c r="D59" s="90">
        <f>(('Com-Ind Equations'!$B$103^(10/3)*'Chemical Info'!AH60*'Chemical Info'!AN60*41+'Com-Ind Equations'!$B$106^(10/3)*'Chemical Info'!AJ60)/'Com-Ind Equations'!$B$108^2)/('Com-Ind Equations'!$B$110*'Chemical Info'!AL60*'Com-Ind Equations'!$B$113+'Com-Ind Equations'!$B$106+'Com-Ind Equations'!$B$103*'Chemical Info'!AN60*41)</f>
        <v>1.8189224802355301E-2</v>
      </c>
      <c r="E59" s="65">
        <f>IF(D59=0,"NA",1/(('Com-Ind Equations'!$B$74*(3.14*D59*'Com-Ind Equations'!$B$76)^(1/2)*0.0001)/(2*'Com-Ind Equations'!$B$77*D59)))</f>
        <v>7.9165448963762746E-4</v>
      </c>
      <c r="F59" s="65">
        <f>IF(D59=0,"NA",(1/('Com-Ind Equations'!$B$88*('Com-Ind Equations'!$B$89*(31500000))/('Com-Ind Equations'!$B$90*'Com-Ind Equations'!$B$91*1000000))))</f>
        <v>6.1914410640015851E-5</v>
      </c>
      <c r="G59" s="95">
        <f>IF('Chemical Info'!E60="Yes",('Chemical Info'!AP60/'Com-Ind Equations'!$B$139)*((('Chemical Info'!AL60*'Com-Ind Equations'!$B$141)*'Com-Ind Equations'!$B$139)+'Com-Ind Equations'!$B$142+('Chemical Info'!AN60*41)*'Com-Ind Equations'!$B$144),"NA")</f>
        <v>836.76133333333337</v>
      </c>
      <c r="H59" s="112" t="str">
        <f>IF('Chemical Info'!H60="NA","NA",IF('Chemical Info'!E60="Yes",'Chemical Info'!H60*'Chemical Info'!AD60*'Com-Ind Equations'!$B$18*'Com-Ind Equations'!$B$22*(('Com-Ind Equations'!$B$24*'Com-Ind Equations'!$B$25)/'Com-Ind Equations'!$B$26),'Chemical Info'!H60*'Chemical Info'!AD60*'Com-Ind Equations'!$B$17*'Com-Ind Equations'!$B$22*('Com-Ind Equations'!$B$24*'Com-Ind Equations'!$B$25/'Com-Ind Equations'!$B$26)))</f>
        <v>NA</v>
      </c>
      <c r="I59" s="108" t="str">
        <f>IF('Chemical Info'!H60="NA","NA",IF('Chemical Info'!E60="Yes",0,('Chemical Info'!H60/'Chemical Info'!AF60)*'Com-Ind Equations'!$B$19*'Chemical Info'!AB60*'Com-Ind Equations'!$B$22*(('Com-Ind Equations'!$B$24*'Com-Ind Equations'!$B$29*'Com-Ind Equations'!$B$30)/'Com-Ind Equations'!$B$26)))</f>
        <v>NA</v>
      </c>
      <c r="J59" s="115" t="str">
        <f>IF('Chemical Info'!J60="NA","NA",IF(E59="NA",'Com-Ind Equations'!$B$20*1000*'Com-Ind Equations'!$B$24*'Com-Ind Equations'!$B$21*'Chemical Info'!J60*'Com-Ind Calculations'!C59,IF('Chemical Info'!E60="Yes",'Com-Ind Equations'!$B$20*1000*'Com-Ind Equations'!$B$24*'Com-Ind Equations'!$B$21*'Chemical Info'!J60*'Com-Ind Calculations'!E59,'Com-Ind Equations'!$B$20*1000*'Com-Ind Equations'!$B$24*'Com-Ind Equations'!$B$21*'Chemical Info'!J60*('Com-Ind Calculations'!C59+'Com-Ind Calculations'!E59))))</f>
        <v>NA</v>
      </c>
      <c r="K59" s="117" t="str">
        <f>IF('Chemical Info'!J60="NA","NA",IF(F59="NA",'Com-Ind Equations'!$B$20*1000*'Com-Ind Equations'!$B$24*'Com-Ind Equations'!$B$21*'Chemical Info'!J60*'Com-Ind Calculations'!C59,IF('Chemical Info'!E60="Yes",'Com-Ind Equations'!$B$20*1000*'Com-Ind Equations'!$B$24*'Com-Ind Equations'!$B$21*'Chemical Info'!J60*'Com-Ind Calculations'!F59,'Com-Ind Equations'!$B$20*1000*'Com-Ind Equations'!$B$24*'Com-Ind Equations'!$B$21*'Chemical Info'!J60*('Com-Ind Calculations'!C59+'Com-Ind Calculations'!F59))))</f>
        <v>NA</v>
      </c>
      <c r="L59" s="95" t="str">
        <f>IF(AND(H59="NA",I59="NA",J59="NA"),"NA",IF(H59="NA",'Com-Ind Equations'!$B$13*'Com-Ind Equations'!$B$14/J59,IF(J59="NA",'Com-Ind Equations'!$B$13*'Com-Ind Equations'!$B$14/(H59+I59),'Com-Ind Equations'!$B$13*'Com-Ind Equations'!$B$14/(H59+I59+J59))))</f>
        <v>NA</v>
      </c>
      <c r="M59" s="95" t="str">
        <f>IF(AND(H59="NA",I59="NA",K59="NA"),"NA",IF(H59="NA",'Com-Ind Equations'!$B$13*'Com-Ind Equations'!$B$14/K59,IF(K59="NA",'Com-Ind Equations'!$B$13*'Com-Ind Equations'!$B$14/(H59+I59),'Com-Ind Equations'!$B$13*'Com-Ind Equations'!$B$14/(H59+I59+K59))))</f>
        <v>NA</v>
      </c>
      <c r="N59" s="95" t="str">
        <f t="shared" si="10"/>
        <v>NA</v>
      </c>
      <c r="O59" s="94">
        <f>IF('Chemical Info'!L60="NA","NA",IF('Chemical Info'!E60="Yes",(('Com-Ind Equations'!$B$46*'Chemical Info'!AD60*'Com-Ind Equations'!$B$48*'Com-Ind Equations'!$B$49*'Com-Ind Equations'!$B$51)/('Com-Ind Equations'!$B$55*'Com-Ind Equations'!$B$56))/'Chemical Info'!L60,(('Com-Ind Equations'!$B$46*'Chemical Info'!AD60*'Com-Ind Equations'!$B$48*'Com-Ind Equations'!$B$49*'Com-Ind Equations'!$B$50)/('Com-Ind Equations'!$B$55*'Com-Ind Equations'!$B$56))/'Chemical Info'!L60))</f>
        <v>5.6039850560398504E-6</v>
      </c>
      <c r="P59" s="90">
        <f>IF('Chemical Info'!L60="NA","NA", IF('Chemical Info'!E60="Yes",0,((('Com-Ind Equations'!$B$58*'Com-Ind Equations'!$B$59*'Com-Ind Equations'!$B$48*'Com-Ind Equations'!$B$52*'Com-Ind Equations'!$B$49*'Chemical Info'!AB60)/('Com-Ind Equations'!$B$55*'Com-Ind Equations'!$B$56))/('Chemical Info'!L60*'Chemical Info'!AF60))))</f>
        <v>0</v>
      </c>
      <c r="Q59" s="90" t="str">
        <f>IF('Chemical Info'!N60="NA","NA",IF('Com-Ind Calculations'!E59="NA",(('Com-Ind Equations'!$B$53*'Com-Ind Equations'!$B$49*'Com-Ind Equations'!$B$54*'Com-Ind Calculations'!C59)/('Com-Ind Equations'!$B$56))/('Chemical Info'!N60),IF('Chemical Info'!E60="Yes",(('Com-Ind Equations'!$B$53*'Com-Ind Equations'!$B$49*'Com-Ind Equations'!$B$54*'Com-Ind Calculations'!E59)/('Com-Ind Equations'!$B$56))/('Chemical Info'!N60),(('Com-Ind Equations'!$B$53*'Com-Ind Equations'!$B$49*'Com-Ind Equations'!$B$54*('Com-Ind Calculations'!C59+'Com-Ind Calculations'!E59))/('Com-Ind Equations'!$B$56))/('Chemical Info'!N60))))</f>
        <v>NA</v>
      </c>
      <c r="R59" s="90" t="str">
        <f>IF('Chemical Info'!N60="NA","NA",IF('Com-Ind Calculations'!F59="NA",(('Com-Ind Equations'!$B$53*'Com-Ind Equations'!$B$49*'Com-Ind Equations'!$B$54*'Com-Ind Calculations'!C59)/('Com-Ind Equations'!$B$56))/('Chemical Info'!N60),IF('Chemical Info'!E60="Yes",(('Com-Ind Equations'!$B$53*'Com-Ind Equations'!$B$49*'Com-Ind Equations'!$B$54*'Com-Ind Calculations'!F59)/('Com-Ind Equations'!$B$56))/('Chemical Info'!N60),(('Com-Ind Equations'!$B$53*'Com-Ind Equations'!$B$49*'Com-Ind Equations'!$B$54*('Com-Ind Calculations'!C59+'Com-Ind Calculations'!F59))/('Com-Ind Equations'!$B$56))/('Chemical Info'!N60))))</f>
        <v>NA</v>
      </c>
      <c r="S59" s="90">
        <f>IF(AND(O59="NA",P59="NA",Q59="NA"),"NA",IF(O59="NA",'Com-Ind Equations'!$B$45/'Com-Ind Calculations'!Q59,IF('Com-Ind Calculations'!Q59="NA",'Com-Ind Equations'!$B$45/('Com-Ind Calculations'!O59+'Com-Ind Calculations'!P59),'Com-Ind Equations'!$B$45/('Com-Ind Calculations'!O59+'Com-Ind Calculations'!P59+'Com-Ind Calculations'!Q59))))</f>
        <v>35688.888888888891</v>
      </c>
      <c r="T59" s="95">
        <f>IF(AND(O59="NA",P59="NA",R59="NA"),"NA",IF(O59="NA",'Com-Ind Equations'!$B$45/R59,IF(R59="NA",'Com-Ind Equations'!$B$45/(O59+P59),'Com-Ind Equations'!$B$45/(O59+P59+R59))))</f>
        <v>35688.888888888891</v>
      </c>
      <c r="U59" s="97">
        <f t="shared" si="11"/>
        <v>35688.888888888891</v>
      </c>
      <c r="V59" s="101">
        <f t="shared" si="12"/>
        <v>836.76133333333337</v>
      </c>
      <c r="W59" s="105">
        <f t="shared" si="13"/>
        <v>840</v>
      </c>
      <c r="X59" s="100" t="str">
        <f t="shared" si="14"/>
        <v>Csat</v>
      </c>
      <c r="Y59" s="70"/>
    </row>
    <row r="60" spans="1:25">
      <c r="A60" s="70" t="s">
        <v>367</v>
      </c>
      <c r="B60" s="566" t="s">
        <v>160</v>
      </c>
      <c r="C60" s="85">
        <f>1/(('Com-Ind Equations'!$B$123*3600)/(0.036*(1-'Com-Ind Equations'!$B$124)*(('Com-Ind Equations'!$B$125/'Com-Ind Equations'!$B$126)^3)*'Com-Ind Equations'!$B$127))</f>
        <v>1.4713536180231943E-9</v>
      </c>
      <c r="D60" s="90">
        <f>(('Com-Ind Equations'!$B$103^(10/3)*'Chemical Info'!AH61*'Chemical Info'!AN61*41+'Com-Ind Equations'!$B$106^(10/3)*'Chemical Info'!AJ61)/'Com-Ind Equations'!$B$108^2)/('Com-Ind Equations'!$B$110*'Chemical Info'!AL61*'Com-Ind Equations'!$B$113+'Com-Ind Equations'!$B$106+'Com-Ind Equations'!$B$103*'Chemical Info'!AN61*41)</f>
        <v>2.9344617892785524E-3</v>
      </c>
      <c r="E60" s="65">
        <f>IF(D60=0,"NA",1/(('Com-Ind Equations'!$B$74*(3.14*D60*'Com-Ind Equations'!$B$76)^(1/2)*0.0001)/(2*'Com-Ind Equations'!$B$77*D60)))</f>
        <v>3.1797488083379203E-4</v>
      </c>
      <c r="F60" s="65">
        <f>IF(D60=0,"NA",(1/('Com-Ind Equations'!$B$88*('Com-Ind Equations'!$B$89*(31500000))/('Com-Ind Equations'!$B$90*'Com-Ind Equations'!$B$91*1000000))))</f>
        <v>6.1914410640015851E-5</v>
      </c>
      <c r="G60" s="95">
        <f>IF('Chemical Info'!E61="Yes",('Chemical Info'!AP61/'Com-Ind Equations'!$B$139)*((('Chemical Info'!AL61*'Com-Ind Equations'!$B$141)*'Com-Ind Equations'!$B$139)+'Com-Ind Equations'!$B$142+('Chemical Info'!AN61*41)*'Com-Ind Equations'!$B$144),"NA")</f>
        <v>1683.0159360000002</v>
      </c>
      <c r="H60" s="112" t="str">
        <f>IF('Chemical Info'!H61="NA","NA",IF('Chemical Info'!E61="Yes",'Chemical Info'!H61*'Chemical Info'!AD61*'Com-Ind Equations'!$B$18*'Com-Ind Equations'!$B$22*(('Com-Ind Equations'!$B$24*'Com-Ind Equations'!$B$25)/'Com-Ind Equations'!$B$26),'Chemical Info'!H61*'Chemical Info'!AD61*'Com-Ind Equations'!$B$17*'Com-Ind Equations'!$B$22*('Com-Ind Equations'!$B$24*'Com-Ind Equations'!$B$25/'Com-Ind Equations'!$B$26)))</f>
        <v>NA</v>
      </c>
      <c r="I60" s="108" t="str">
        <f>IF('Chemical Info'!H61="NA","NA",IF('Chemical Info'!E61="Yes",0,('Chemical Info'!H61/'Chemical Info'!AF61)*'Com-Ind Equations'!$B$19*'Chemical Info'!AB61*'Com-Ind Equations'!$B$22*(('Com-Ind Equations'!$B$24*'Com-Ind Equations'!$B$29*'Com-Ind Equations'!$B$30)/'Com-Ind Equations'!$B$26)))</f>
        <v>NA</v>
      </c>
      <c r="J60" s="115" t="str">
        <f>IF('Chemical Info'!J61="NA","NA",IF(E60="NA",'Com-Ind Equations'!$B$20*1000*'Com-Ind Equations'!$B$24*'Com-Ind Equations'!$B$21*'Chemical Info'!J61*'Com-Ind Calculations'!C60,IF('Chemical Info'!E61="Yes",'Com-Ind Equations'!$B$20*1000*'Com-Ind Equations'!$B$24*'Com-Ind Equations'!$B$21*'Chemical Info'!J61*'Com-Ind Calculations'!E60,'Com-Ind Equations'!$B$20*1000*'Com-Ind Equations'!$B$24*'Com-Ind Equations'!$B$21*'Chemical Info'!J61*('Com-Ind Calculations'!C60+'Com-Ind Calculations'!E60))))</f>
        <v>NA</v>
      </c>
      <c r="K60" s="117" t="str">
        <f>IF('Chemical Info'!J61="NA","NA",IF(F60="NA",'Com-Ind Equations'!$B$20*1000*'Com-Ind Equations'!$B$24*'Com-Ind Equations'!$B$21*'Chemical Info'!J61*'Com-Ind Calculations'!C60,IF('Chemical Info'!E61="Yes",'Com-Ind Equations'!$B$20*1000*'Com-Ind Equations'!$B$24*'Com-Ind Equations'!$B$21*'Chemical Info'!J61*'Com-Ind Calculations'!F60,'Com-Ind Equations'!$B$20*1000*'Com-Ind Equations'!$B$24*'Com-Ind Equations'!$B$21*'Chemical Info'!J61*('Com-Ind Calculations'!C60+'Com-Ind Calculations'!F60))))</f>
        <v>NA</v>
      </c>
      <c r="L60" s="95" t="str">
        <f>IF(AND(H60="NA",I60="NA",J60="NA"),"NA",IF(H60="NA",'Com-Ind Equations'!$B$13*'Com-Ind Equations'!$B$14/J60,IF(J60="NA",'Com-Ind Equations'!$B$13*'Com-Ind Equations'!$B$14/(H60+I60),'Com-Ind Equations'!$B$13*'Com-Ind Equations'!$B$14/(H60+I60+J60))))</f>
        <v>NA</v>
      </c>
      <c r="M60" s="95" t="str">
        <f>IF(AND(H60="NA",I60="NA",K60="NA"),"NA",IF(H60="NA",'Com-Ind Equations'!$B$13*'Com-Ind Equations'!$B$14/K60,IF(K60="NA",'Com-Ind Equations'!$B$13*'Com-Ind Equations'!$B$14/(H60+I60),'Com-Ind Equations'!$B$13*'Com-Ind Equations'!$B$14/(H60+I60+K60))))</f>
        <v>NA</v>
      </c>
      <c r="N60" s="95" t="str">
        <f t="shared" si="10"/>
        <v>NA</v>
      </c>
      <c r="O60" s="94">
        <f>IF('Chemical Info'!L61="NA","NA",IF('Chemical Info'!E61="Yes",(('Com-Ind Equations'!$B$46*'Chemical Info'!AD61*'Com-Ind Equations'!$B$48*'Com-Ind Equations'!$B$49*'Com-Ind Equations'!$B$51)/('Com-Ind Equations'!$B$55*'Com-Ind Equations'!$B$56))/'Chemical Info'!L61,(('Com-Ind Equations'!$B$46*'Chemical Info'!AD61*'Com-Ind Equations'!$B$48*'Com-Ind Equations'!$B$49*'Com-Ind Equations'!$B$50)/('Com-Ind Equations'!$B$55*'Com-Ind Equations'!$B$56))/'Chemical Info'!L61))</f>
        <v>3.4246575342465751E-5</v>
      </c>
      <c r="P60" s="90">
        <f>IF('Chemical Info'!L61="NA","NA", IF('Chemical Info'!E61="Yes",0,((('Com-Ind Equations'!$B$58*'Com-Ind Equations'!$B$59*'Com-Ind Equations'!$B$48*'Com-Ind Equations'!$B$52*'Com-Ind Equations'!$B$49*'Chemical Info'!AB61)/('Com-Ind Equations'!$B$55*'Com-Ind Equations'!$B$56))/('Chemical Info'!L61*'Chemical Info'!AF61))))</f>
        <v>0</v>
      </c>
      <c r="Q60" s="90" t="str">
        <f>IF('Chemical Info'!N61="NA","NA",IF('Com-Ind Calculations'!E60="NA",(('Com-Ind Equations'!$B$53*'Com-Ind Equations'!$B$49*'Com-Ind Equations'!$B$54*'Com-Ind Calculations'!C60)/('Com-Ind Equations'!$B$56))/('Chemical Info'!N61),IF('Chemical Info'!E61="Yes",(('Com-Ind Equations'!$B$53*'Com-Ind Equations'!$B$49*'Com-Ind Equations'!$B$54*'Com-Ind Calculations'!E60)/('Com-Ind Equations'!$B$56))/('Chemical Info'!N61),(('Com-Ind Equations'!$B$53*'Com-Ind Equations'!$B$49*'Com-Ind Equations'!$B$54*('Com-Ind Calculations'!C60+'Com-Ind Calculations'!E60))/('Com-Ind Equations'!$B$56))/('Chemical Info'!N61))))</f>
        <v>NA</v>
      </c>
      <c r="R60" s="90" t="str">
        <f>IF('Chemical Info'!N61="NA","NA",IF('Com-Ind Calculations'!F60="NA",(('Com-Ind Equations'!$B$53*'Com-Ind Equations'!$B$49*'Com-Ind Equations'!$B$54*'Com-Ind Calculations'!C60)/('Com-Ind Equations'!$B$56))/('Chemical Info'!N61),IF('Chemical Info'!E61="Yes",(('Com-Ind Equations'!$B$53*'Com-Ind Equations'!$B$49*'Com-Ind Equations'!$B$54*'Com-Ind Calculations'!F60)/('Com-Ind Equations'!$B$56))/('Chemical Info'!N61),(('Com-Ind Equations'!$B$53*'Com-Ind Equations'!$B$49*'Com-Ind Equations'!$B$54*('Com-Ind Calculations'!C60+'Com-Ind Calculations'!F60))/('Com-Ind Equations'!$B$56))/('Chemical Info'!N61))))</f>
        <v>NA</v>
      </c>
      <c r="S60" s="90">
        <f>IF(AND(O60="NA",P60="NA",Q60="NA"),"NA",IF(O60="NA",'Com-Ind Equations'!$B$45/'Com-Ind Calculations'!Q60,IF('Com-Ind Calculations'!Q60="NA",'Com-Ind Equations'!$B$45/('Com-Ind Calculations'!O60+'Com-Ind Calculations'!P60),'Com-Ind Equations'!$B$45/('Com-Ind Calculations'!O60+'Com-Ind Calculations'!P60+'Com-Ind Calculations'!Q60))))</f>
        <v>5840.0000000000009</v>
      </c>
      <c r="T60" s="95">
        <f>IF(AND(O60="NA",P60="NA",R60="NA"),"NA",IF(O60="NA",'Com-Ind Equations'!$B$45/R60,IF(R60="NA",'Com-Ind Equations'!$B$45/(O60+P60),'Com-Ind Equations'!$B$45/(O60+P60+R60))))</f>
        <v>5840.0000000000009</v>
      </c>
      <c r="U60" s="97">
        <f t="shared" si="11"/>
        <v>5840.0000000000009</v>
      </c>
      <c r="V60" s="101">
        <f t="shared" si="12"/>
        <v>1683.0159360000002</v>
      </c>
      <c r="W60" s="105">
        <f t="shared" si="13"/>
        <v>1700</v>
      </c>
      <c r="X60" s="100" t="str">
        <f t="shared" si="14"/>
        <v>Csat</v>
      </c>
      <c r="Y60" s="70"/>
    </row>
    <row r="61" spans="1:25">
      <c r="A61" s="70" t="s">
        <v>368</v>
      </c>
      <c r="B61" s="566" t="s">
        <v>161</v>
      </c>
      <c r="C61" s="85">
        <f>1/(('Com-Ind Equations'!$B$123*3600)/(0.036*(1-'Com-Ind Equations'!$B$124)*(('Com-Ind Equations'!$B$125/'Com-Ind Equations'!$B$126)^3)*'Com-Ind Equations'!$B$127))</f>
        <v>1.4713536180231943E-9</v>
      </c>
      <c r="D61" s="90">
        <f>(('Com-Ind Equations'!$B$103^(10/3)*'Chemical Info'!AH62*'Chemical Info'!AN62*41+'Com-Ind Equations'!$B$106^(10/3)*'Chemical Info'!AJ62)/'Com-Ind Equations'!$B$108^2)/('Com-Ind Equations'!$B$110*'Chemical Info'!AL62*'Com-Ind Equations'!$B$113+'Com-Ind Equations'!$B$106+'Com-Ind Equations'!$B$103*'Chemical Info'!AN62*41)</f>
        <v>6.0846192295957631E-4</v>
      </c>
      <c r="E61" s="65">
        <f>IF(D61=0,"NA",1/(('Com-Ind Equations'!$B$74*(3.14*D61*'Com-Ind Equations'!$B$76)^(1/2)*0.0001)/(2*'Com-Ind Equations'!$B$77*D61)))</f>
        <v>1.4479223992329754E-4</v>
      </c>
      <c r="F61" s="65">
        <f>IF(D61=0,"NA",(1/('Com-Ind Equations'!$B$88*('Com-Ind Equations'!$B$89*(31500000))/('Com-Ind Equations'!$B$90*'Com-Ind Equations'!$B$91*1000000))))</f>
        <v>6.1914410640015851E-5</v>
      </c>
      <c r="G61" s="95">
        <f>IF('Chemical Info'!E62="Yes",('Chemical Info'!AP62/'Com-Ind Equations'!$B$139)*((('Chemical Info'!AL62*'Com-Ind Equations'!$B$141)*'Com-Ind Equations'!$B$139)+'Com-Ind Equations'!$B$142+('Chemical Info'!AN62*41)*'Com-Ind Equations'!$B$144),"NA")</f>
        <v>2981.026026666666</v>
      </c>
      <c r="H61" s="112">
        <f>IF('Chemical Info'!H62="NA","NA",IF('Chemical Info'!E62="Yes",'Chemical Info'!H62*'Chemical Info'!AD62*'Com-Ind Equations'!$B$18*'Com-Ind Equations'!$B$22*(('Com-Ind Equations'!$B$24*'Com-Ind Equations'!$B$25)/'Com-Ind Equations'!$B$26),'Chemical Info'!H62*'Chemical Info'!AD62*'Com-Ind Equations'!$B$17*'Com-Ind Equations'!$B$22*('Com-Ind Equations'!$B$24*'Com-Ind Equations'!$B$25/'Com-Ind Equations'!$B$26)))</f>
        <v>5.1187499999999996E-4</v>
      </c>
      <c r="I61" s="108">
        <f>IF('Chemical Info'!H62="NA","NA",IF('Chemical Info'!E62="Yes",0,('Chemical Info'!H62/'Chemical Info'!AF62)*'Com-Ind Equations'!$B$19*'Chemical Info'!AB62*'Com-Ind Equations'!$B$22*(('Com-Ind Equations'!$B$24*'Com-Ind Equations'!$B$29*'Com-Ind Equations'!$B$30)/'Com-Ind Equations'!$B$26)))</f>
        <v>0</v>
      </c>
      <c r="J61" s="115">
        <f>IF('Chemical Info'!J62="NA","NA",IF(E61="NA",'Com-Ind Equations'!$B$20*1000*'Com-Ind Equations'!$B$24*'Com-Ind Equations'!$B$21*'Chemical Info'!J62*'Com-Ind Calculations'!C61,IF('Chemical Info'!E62="Yes",'Com-Ind Equations'!$B$20*1000*'Com-Ind Equations'!$B$24*'Com-Ind Equations'!$B$21*'Chemical Info'!J62*'Com-Ind Calculations'!E61,'Com-Ind Equations'!$B$20*1000*'Com-Ind Equations'!$B$24*'Com-Ind Equations'!$B$21*'Chemical Info'!J62*('Com-Ind Calculations'!C61+'Com-Ind Calculations'!E61))))</f>
        <v>7.0586216962607549E-3</v>
      </c>
      <c r="K61" s="117">
        <f>IF('Chemical Info'!J62="NA","NA",IF(F61="NA",'Com-Ind Equations'!$B$20*1000*'Com-Ind Equations'!$B$24*'Com-Ind Equations'!$B$21*'Chemical Info'!J62*'Com-Ind Calculations'!C61,IF('Chemical Info'!E62="Yes",'Com-Ind Equations'!$B$20*1000*'Com-Ind Equations'!$B$24*'Com-Ind Equations'!$B$21*'Chemical Info'!J62*'Com-Ind Calculations'!F61,'Com-Ind Equations'!$B$20*1000*'Com-Ind Equations'!$B$24*'Com-Ind Equations'!$B$21*'Chemical Info'!J62*('Com-Ind Calculations'!C61+'Com-Ind Calculations'!F61))))</f>
        <v>3.0183275187007728E-3</v>
      </c>
      <c r="L61" s="95">
        <f>IF(AND(H61="NA",I61="NA",J61="NA"),"NA",IF(H61="NA",'Com-Ind Equations'!$B$13*'Com-Ind Equations'!$B$14/J61,IF(J61="NA",'Com-Ind Equations'!$B$13*'Com-Ind Equations'!$B$14/(H61+I61),'Com-Ind Equations'!$B$13*'Com-Ind Equations'!$B$14/(H61+I61+J61))))</f>
        <v>33.749436827070724</v>
      </c>
      <c r="M61" s="95">
        <f>IF(AND(H61="NA",I61="NA",K61="NA"),"NA",IF(H61="NA",'Com-Ind Equations'!$B$13*'Com-Ind Equations'!$B$14/K61,IF(K61="NA",'Com-Ind Equations'!$B$13*'Com-Ind Equations'!$B$14/(H61+I61),'Com-Ind Equations'!$B$13*'Com-Ind Equations'!$B$14/(H61+I61+K61))))</f>
        <v>72.375451166476466</v>
      </c>
      <c r="N61" s="95">
        <f t="shared" si="10"/>
        <v>72.375451166476466</v>
      </c>
      <c r="O61" s="94">
        <f>IF('Chemical Info'!L62="NA","NA",IF('Chemical Info'!E62="Yes",(('Com-Ind Equations'!$B$46*'Chemical Info'!AD62*'Com-Ind Equations'!$B$48*'Com-Ind Equations'!$B$49*'Com-Ind Equations'!$B$51)/('Com-Ind Equations'!$B$55*'Com-Ind Equations'!$B$56))/'Chemical Info'!L62,(('Com-Ind Equations'!$B$46*'Chemical Info'!AD62*'Com-Ind Equations'!$B$48*'Com-Ind Equations'!$B$49*'Com-Ind Equations'!$B$50)/('Com-Ind Equations'!$B$55*'Com-Ind Equations'!$B$56))/'Chemical Info'!L62))</f>
        <v>5.1369863013698626E-5</v>
      </c>
      <c r="P61" s="90">
        <f>IF('Chemical Info'!L62="NA","NA", IF('Chemical Info'!E62="Yes",0,((('Com-Ind Equations'!$B$58*'Com-Ind Equations'!$B$59*'Com-Ind Equations'!$B$48*'Com-Ind Equations'!$B$52*'Com-Ind Equations'!$B$49*'Chemical Info'!AB62)/('Com-Ind Equations'!$B$55*'Com-Ind Equations'!$B$56))/('Chemical Info'!L62*'Chemical Info'!AF62))))</f>
        <v>0</v>
      </c>
      <c r="Q61" s="90">
        <f>IF('Chemical Info'!N62="NA","NA",IF('Com-Ind Calculations'!E61="NA",(('Com-Ind Equations'!$B$53*'Com-Ind Equations'!$B$49*'Com-Ind Equations'!$B$54*'Com-Ind Calculations'!C61)/('Com-Ind Equations'!$B$56))/('Chemical Info'!N62),IF('Chemical Info'!E62="Yes",(('Com-Ind Equations'!$B$53*'Com-Ind Equations'!$B$49*'Com-Ind Equations'!$B$54*'Com-Ind Calculations'!E61)/('Com-Ind Equations'!$B$56))/('Chemical Info'!N62),(('Com-Ind Equations'!$B$53*'Com-Ind Equations'!$B$49*'Com-Ind Equations'!$B$54*('Com-Ind Calculations'!C61+'Com-Ind Calculations'!E61))/('Com-Ind Equations'!$B$56))/('Chemical Info'!N62))))</f>
        <v>4.2502614458893601E-3</v>
      </c>
      <c r="R61" s="90">
        <f>IF('Chemical Info'!N62="NA","NA",IF('Com-Ind Calculations'!F61="NA",(('Com-Ind Equations'!$B$53*'Com-Ind Equations'!$B$49*'Com-Ind Equations'!$B$54*'Com-Ind Calculations'!C61)/('Com-Ind Equations'!$B$56))/('Chemical Info'!N62),IF('Chemical Info'!E62="Yes",(('Com-Ind Equations'!$B$53*'Com-Ind Equations'!$B$49*'Com-Ind Equations'!$B$54*'Com-Ind Calculations'!F61)/('Com-Ind Equations'!$B$56))/('Chemical Info'!N62),(('Com-Ind Equations'!$B$53*'Com-Ind Equations'!$B$49*'Com-Ind Equations'!$B$54*('Com-Ind Calculations'!C61+'Com-Ind Calculations'!F61))/('Com-Ind Equations'!$B$56))/('Chemical Info'!N62))))</f>
        <v>1.8174484532294281E-3</v>
      </c>
      <c r="S61" s="90">
        <f>IF(AND(O61="NA",P61="NA",Q61="NA"),"NA",IF(O61="NA",'Com-Ind Equations'!$B$45/'Com-Ind Calculations'!Q61,IF('Com-Ind Calculations'!Q61="NA",'Com-Ind Equations'!$B$45/('Com-Ind Calculations'!O61+'Com-Ind Calculations'!P61),'Com-Ind Equations'!$B$45/('Com-Ind Calculations'!O61+'Com-Ind Calculations'!P61+'Com-Ind Calculations'!Q61))))</f>
        <v>46.493989288682478</v>
      </c>
      <c r="T61" s="95">
        <f>IF(AND(O61="NA",P61="NA",R61="NA"),"NA",IF(O61="NA",'Com-Ind Equations'!$B$45/R61,IF(R61="NA",'Com-Ind Equations'!$B$45/(O61+P61),'Com-Ind Equations'!$B$45/(O61+P61+R61))))</f>
        <v>107.01949903940299</v>
      </c>
      <c r="U61" s="97">
        <f t="shared" si="11"/>
        <v>107.01949903940299</v>
      </c>
      <c r="V61" s="101">
        <f t="shared" si="12"/>
        <v>72.375451166476466</v>
      </c>
      <c r="W61" s="105">
        <f t="shared" si="13"/>
        <v>72</v>
      </c>
      <c r="X61" s="100" t="str">
        <f t="shared" si="14"/>
        <v>Cancer</v>
      </c>
      <c r="Y61" s="70"/>
    </row>
    <row r="62" spans="1:25">
      <c r="A62" s="70" t="s">
        <v>369</v>
      </c>
      <c r="B62" s="566" t="s">
        <v>162</v>
      </c>
      <c r="C62" s="85">
        <f>1/(('Com-Ind Equations'!$B$123*3600)/(0.036*(1-'Com-Ind Equations'!$B$124)*(('Com-Ind Equations'!$B$125/'Com-Ind Equations'!$B$126)^3)*'Com-Ind Equations'!$B$127))</f>
        <v>1.4713536180231943E-9</v>
      </c>
      <c r="D62" s="90">
        <f>(('Com-Ind Equations'!$B$103^(10/3)*'Chemical Info'!AH63*'Chemical Info'!AN63*41+'Com-Ind Equations'!$B$106^(10/3)*'Chemical Info'!AJ63)/'Com-Ind Equations'!$B$108^2)/('Com-Ind Equations'!$B$110*'Chemical Info'!AL63*'Com-Ind Equations'!$B$113+'Com-Ind Equations'!$B$106+'Com-Ind Equations'!$B$103*'Chemical Info'!AN63*41)</f>
        <v>9.5701342338191994E-3</v>
      </c>
      <c r="E62" s="65">
        <f>IF(D62=0,"NA",1/(('Com-Ind Equations'!$B$74*(3.14*D62*'Com-Ind Equations'!$B$76)^(1/2)*0.0001)/(2*'Com-Ind Equations'!$B$77*D62)))</f>
        <v>5.742322749463099E-4</v>
      </c>
      <c r="F62" s="65">
        <f>IF(D62=0,"NA",(1/('Com-Ind Equations'!$B$88*('Com-Ind Equations'!$B$89*(31500000))/('Com-Ind Equations'!$B$90*'Com-Ind Equations'!$B$91*1000000))))</f>
        <v>6.1914410640015851E-5</v>
      </c>
      <c r="G62" s="95">
        <f>IF('Chemical Info'!E63="Yes",('Chemical Info'!AP63/'Com-Ind Equations'!$B$139)*((('Chemical Info'!AL63*'Com-Ind Equations'!$B$141)*'Com-Ind Equations'!$B$139)+'Com-Ind Equations'!$B$142+('Chemical Info'!AN63*41)*'Com-Ind Equations'!$B$144),"NA")</f>
        <v>1187.42624</v>
      </c>
      <c r="H62" s="112" t="str">
        <f>IF('Chemical Info'!H63="NA","NA",IF('Chemical Info'!E63="Yes",'Chemical Info'!H63*'Chemical Info'!AD63*'Com-Ind Equations'!$B$18*'Com-Ind Equations'!$B$22*(('Com-Ind Equations'!$B$24*'Com-Ind Equations'!$B$25)/'Com-Ind Equations'!$B$26),'Chemical Info'!H63*'Chemical Info'!AD63*'Com-Ind Equations'!$B$17*'Com-Ind Equations'!$B$22*('Com-Ind Equations'!$B$24*'Com-Ind Equations'!$B$25/'Com-Ind Equations'!$B$26)))</f>
        <v>NA</v>
      </c>
      <c r="I62" s="108" t="str">
        <f>IF('Chemical Info'!H63="NA","NA",IF('Chemical Info'!E63="Yes",0,('Chemical Info'!H63/'Chemical Info'!AF63)*'Com-Ind Equations'!$B$19*'Chemical Info'!AB63*'Com-Ind Equations'!$B$22*(('Com-Ind Equations'!$B$24*'Com-Ind Equations'!$B$29*'Com-Ind Equations'!$B$30)/'Com-Ind Equations'!$B$26)))</f>
        <v>NA</v>
      </c>
      <c r="J62" s="115" t="str">
        <f>IF('Chemical Info'!J63="NA","NA",IF(E62="NA",'Com-Ind Equations'!$B$20*1000*'Com-Ind Equations'!$B$24*'Com-Ind Equations'!$B$21*'Chemical Info'!J63*'Com-Ind Calculations'!C62,IF('Chemical Info'!E63="Yes",'Com-Ind Equations'!$B$20*1000*'Com-Ind Equations'!$B$24*'Com-Ind Equations'!$B$21*'Chemical Info'!J63*'Com-Ind Calculations'!E62,'Com-Ind Equations'!$B$20*1000*'Com-Ind Equations'!$B$24*'Com-Ind Equations'!$B$21*'Chemical Info'!J63*('Com-Ind Calculations'!C62+'Com-Ind Calculations'!E62))))</f>
        <v>NA</v>
      </c>
      <c r="K62" s="117" t="str">
        <f>IF('Chemical Info'!J63="NA","NA",IF(F62="NA",'Com-Ind Equations'!$B$20*1000*'Com-Ind Equations'!$B$24*'Com-Ind Equations'!$B$21*'Chemical Info'!J63*'Com-Ind Calculations'!C62,IF('Chemical Info'!E63="Yes",'Com-Ind Equations'!$B$20*1000*'Com-Ind Equations'!$B$24*'Com-Ind Equations'!$B$21*'Chemical Info'!J63*'Com-Ind Calculations'!F62,'Com-Ind Equations'!$B$20*1000*'Com-Ind Equations'!$B$24*'Com-Ind Equations'!$B$21*'Chemical Info'!J63*('Com-Ind Calculations'!C62+'Com-Ind Calculations'!F62))))</f>
        <v>NA</v>
      </c>
      <c r="L62" s="95" t="str">
        <f>IF(AND(H62="NA",I62="NA",J62="NA"),"NA",IF(H62="NA",'Com-Ind Equations'!$B$13*'Com-Ind Equations'!$B$14/J62,IF(J62="NA",'Com-Ind Equations'!$B$13*'Com-Ind Equations'!$B$14/(H62+I62),'Com-Ind Equations'!$B$13*'Com-Ind Equations'!$B$14/(H62+I62+J62))))</f>
        <v>NA</v>
      </c>
      <c r="M62" s="95" t="str">
        <f>IF(AND(H62="NA",I62="NA",K62="NA"),"NA",IF(H62="NA",'Com-Ind Equations'!$B$13*'Com-Ind Equations'!$B$14/K62,IF(K62="NA",'Com-Ind Equations'!$B$13*'Com-Ind Equations'!$B$14/(H62+I62),'Com-Ind Equations'!$B$13*'Com-Ind Equations'!$B$14/(H62+I62+K62))))</f>
        <v>NA</v>
      </c>
      <c r="N62" s="95" t="str">
        <f t="shared" si="10"/>
        <v>NA</v>
      </c>
      <c r="O62" s="94">
        <f>IF('Chemical Info'!L63="NA","NA",IF('Chemical Info'!E63="Yes",(('Com-Ind Equations'!$B$46*'Chemical Info'!AD63*'Com-Ind Equations'!$B$48*'Com-Ind Equations'!$B$49*'Com-Ind Equations'!$B$51)/('Com-Ind Equations'!$B$55*'Com-Ind Equations'!$B$56))/'Chemical Info'!L63,(('Com-Ind Equations'!$B$46*'Chemical Info'!AD63*'Com-Ind Equations'!$B$48*'Com-Ind Equations'!$B$49*'Com-Ind Equations'!$B$50)/('Com-Ind Equations'!$B$55*'Com-Ind Equations'!$B$56))/'Chemical Info'!L63))</f>
        <v>1.5410958904109589E-5</v>
      </c>
      <c r="P62" s="90">
        <f>IF('Chemical Info'!L63="NA","NA", IF('Chemical Info'!E63="Yes",0,((('Com-Ind Equations'!$B$58*'Com-Ind Equations'!$B$59*'Com-Ind Equations'!$B$48*'Com-Ind Equations'!$B$52*'Com-Ind Equations'!$B$49*'Chemical Info'!AB63)/('Com-Ind Equations'!$B$55*'Com-Ind Equations'!$B$56))/('Chemical Info'!L63*'Chemical Info'!AF63))))</f>
        <v>0</v>
      </c>
      <c r="Q62" s="90">
        <f>IF('Chemical Info'!N63="NA","NA",IF('Com-Ind Calculations'!E62="NA",(('Com-Ind Equations'!$B$53*'Com-Ind Equations'!$B$49*'Com-Ind Equations'!$B$54*'Com-Ind Calculations'!C62)/('Com-Ind Equations'!$B$56))/('Chemical Info'!N63),IF('Chemical Info'!E63="Yes",(('Com-Ind Equations'!$B$53*'Com-Ind Equations'!$B$49*'Com-Ind Equations'!$B$54*'Com-Ind Calculations'!E62)/('Com-Ind Equations'!$B$56))/('Chemical Info'!N63),(('Com-Ind Equations'!$B$53*'Com-Ind Equations'!$B$49*'Com-Ind Equations'!$B$54*('Com-Ind Calculations'!C62+'Com-Ind Calculations'!E62))/('Com-Ind Equations'!$B$56))/('Chemical Info'!N63))))</f>
        <v>5.8996466604072941E-4</v>
      </c>
      <c r="R62" s="90">
        <f>IF('Chemical Info'!N63="NA","NA",IF('Com-Ind Calculations'!F62="NA",(('Com-Ind Equations'!$B$53*'Com-Ind Equations'!$B$49*'Com-Ind Equations'!$B$54*'Com-Ind Calculations'!C62)/('Com-Ind Equations'!$B$56))/('Chemical Info'!N63),IF('Chemical Info'!E63="Yes",(('Com-Ind Equations'!$B$53*'Com-Ind Equations'!$B$49*'Com-Ind Equations'!$B$54*'Com-Ind Calculations'!F62)/('Com-Ind Equations'!$B$56))/('Chemical Info'!N63),(('Com-Ind Equations'!$B$53*'Com-Ind Equations'!$B$49*'Com-Ind Equations'!$B$54*('Com-Ind Calculations'!C62+'Com-Ind Calculations'!F62))/('Com-Ind Equations'!$B$56))/('Chemical Info'!N63))))</f>
        <v>6.3610695863029981E-5</v>
      </c>
      <c r="S62" s="90">
        <f>IF(AND(O62="NA",P62="NA",Q62="NA"),"NA",IF(O62="NA",'Com-Ind Equations'!$B$45/'Com-Ind Calculations'!Q62,IF('Com-Ind Calculations'!Q62="NA",'Com-Ind Equations'!$B$45/('Com-Ind Calculations'!O62+'Com-Ind Calculations'!P62),'Com-Ind Equations'!$B$45/('Com-Ind Calculations'!O62+'Com-Ind Calculations'!P62+'Com-Ind Calculations'!Q62))))</f>
        <v>330.37339423473446</v>
      </c>
      <c r="T62" s="95">
        <f>IF(AND(O62="NA",P62="NA",R62="NA"),"NA",IF(O62="NA",'Com-Ind Equations'!$B$45/R62,IF(R62="NA",'Com-Ind Equations'!$B$45/(O62+P62),'Com-Ind Equations'!$B$45/(O62+P62+R62))))</f>
        <v>2530.951807948828</v>
      </c>
      <c r="U62" s="97">
        <f t="shared" si="11"/>
        <v>2530.951807948828</v>
      </c>
      <c r="V62" s="101">
        <f t="shared" si="12"/>
        <v>1187.42624</v>
      </c>
      <c r="W62" s="105">
        <f t="shared" si="13"/>
        <v>1200</v>
      </c>
      <c r="X62" s="100" t="str">
        <f t="shared" si="14"/>
        <v>Csat</v>
      </c>
      <c r="Y62" s="70"/>
    </row>
    <row r="63" spans="1:25">
      <c r="A63" s="67" t="s">
        <v>370</v>
      </c>
      <c r="B63" s="566" t="s">
        <v>113</v>
      </c>
      <c r="C63" s="85">
        <f>1/(('Com-Ind Equations'!$B$123*3600)/(0.036*(1-'Com-Ind Equations'!$B$124)*(('Com-Ind Equations'!$B$125/'Com-Ind Equations'!$B$126)^3)*'Com-Ind Equations'!$B$127))</f>
        <v>1.4713536180231943E-9</v>
      </c>
      <c r="D63" s="90">
        <f>(('Com-Ind Equations'!$B$103^(10/3)*'Chemical Info'!AH64*'Chemical Info'!AN64*41+'Com-Ind Equations'!$B$106^(10/3)*'Chemical Info'!AJ64)/'Com-Ind Equations'!$B$108^2)/('Com-Ind Equations'!$B$110*'Chemical Info'!AL64*'Com-Ind Equations'!$B$113+'Com-Ind Equations'!$B$106+'Com-Ind Equations'!$B$103*'Chemical Info'!AN64*41)</f>
        <v>2.0387225985662866E-3</v>
      </c>
      <c r="E63" s="65">
        <f>IF(D63=0,"NA",1/(('Com-Ind Equations'!$B$74*(3.14*D63*'Com-Ind Equations'!$B$76)^(1/2)*0.0001)/(2*'Com-Ind Equations'!$B$77*D63)))</f>
        <v>2.6503769893053858E-4</v>
      </c>
      <c r="F63" s="65">
        <f>IF(D63=0,"NA",(1/('Com-Ind Equations'!$B$88*('Com-Ind Equations'!$B$89*(31500000))/('Com-Ind Equations'!$B$90*'Com-Ind Equations'!$B$91*1000000))))</f>
        <v>6.1914410640015851E-5</v>
      </c>
      <c r="G63" s="95">
        <f>IF('Chemical Info'!E64="Yes",('Chemical Info'!AP64/'Com-Ind Equations'!$B$139)*((('Chemical Info'!AL64*'Com-Ind Equations'!$B$141)*'Com-Ind Equations'!$B$139)+'Com-Ind Equations'!$B$142+('Chemical Info'!AN64*41)*'Com-Ind Equations'!$B$144),"NA")</f>
        <v>2364.1720959999998</v>
      </c>
      <c r="H63" s="112" t="str">
        <f>IF('Chemical Info'!H64="NA","NA",IF('Chemical Info'!E64="Yes",'Chemical Info'!H64*'Chemical Info'!AD64*'Com-Ind Equations'!$B$18*'Com-Ind Equations'!$B$22*(('Com-Ind Equations'!$B$24*'Com-Ind Equations'!$B$25)/'Com-Ind Equations'!$B$26),'Chemical Info'!H64*'Chemical Info'!AD64*'Com-Ind Equations'!$B$17*'Com-Ind Equations'!$B$22*('Com-Ind Equations'!$B$24*'Com-Ind Equations'!$B$25/'Com-Ind Equations'!$B$26)))</f>
        <v>NA</v>
      </c>
      <c r="I63" s="108" t="str">
        <f>IF('Chemical Info'!H64="NA","NA",IF('Chemical Info'!E64="Yes",0,('Chemical Info'!H64/'Chemical Info'!AF64)*'Com-Ind Equations'!$B$19*'Chemical Info'!AB64*'Com-Ind Equations'!$B$22*(('Com-Ind Equations'!$B$24*'Com-Ind Equations'!$B$29*'Com-Ind Equations'!$B$30)/'Com-Ind Equations'!$B$26)))</f>
        <v>NA</v>
      </c>
      <c r="J63" s="115" t="str">
        <f>IF('Chemical Info'!J64="NA","NA",IF(E63="NA",'Com-Ind Equations'!$B$20*1000*'Com-Ind Equations'!$B$24*'Com-Ind Equations'!$B$21*'Chemical Info'!J64*'Com-Ind Calculations'!C63,IF('Chemical Info'!E64="Yes",'Com-Ind Equations'!$B$20*1000*'Com-Ind Equations'!$B$24*'Com-Ind Equations'!$B$21*'Chemical Info'!J64*'Com-Ind Calculations'!E63,'Com-Ind Equations'!$B$20*1000*'Com-Ind Equations'!$B$24*'Com-Ind Equations'!$B$21*'Chemical Info'!J64*('Com-Ind Calculations'!C63+'Com-Ind Calculations'!E63))))</f>
        <v>NA</v>
      </c>
      <c r="K63" s="117" t="str">
        <f>IF('Chemical Info'!J64="NA","NA",IF(F63="NA",'Com-Ind Equations'!$B$20*1000*'Com-Ind Equations'!$B$24*'Com-Ind Equations'!$B$21*'Chemical Info'!J64*'Com-Ind Calculations'!C63,IF('Chemical Info'!E64="Yes",'Com-Ind Equations'!$B$20*1000*'Com-Ind Equations'!$B$24*'Com-Ind Equations'!$B$21*'Chemical Info'!J64*'Com-Ind Calculations'!F63,'Com-Ind Equations'!$B$20*1000*'Com-Ind Equations'!$B$24*'Com-Ind Equations'!$B$21*'Chemical Info'!J64*('Com-Ind Calculations'!C63+'Com-Ind Calculations'!F63))))</f>
        <v>NA</v>
      </c>
      <c r="L63" s="95" t="str">
        <f>IF(AND(H63="NA",I63="NA",J63="NA"),"NA",IF(H63="NA",'Com-Ind Equations'!$B$13*'Com-Ind Equations'!$B$14/J63,IF(J63="NA",'Com-Ind Equations'!$B$13*'Com-Ind Equations'!$B$14/(H63+I63),'Com-Ind Equations'!$B$13*'Com-Ind Equations'!$B$14/(H63+I63+J63))))</f>
        <v>NA</v>
      </c>
      <c r="M63" s="95" t="str">
        <f>IF(AND(H63="NA",I63="NA",K63="NA"),"NA",IF(H63="NA",'Com-Ind Equations'!$B$13*'Com-Ind Equations'!$B$14/K63,IF(K63="NA",'Com-Ind Equations'!$B$13*'Com-Ind Equations'!$B$14/(H63+I63),'Com-Ind Equations'!$B$13*'Com-Ind Equations'!$B$14/(H63+I63+K63))))</f>
        <v>NA</v>
      </c>
      <c r="N63" s="95" t="str">
        <f t="shared" si="10"/>
        <v>NA</v>
      </c>
      <c r="O63" s="94">
        <f>IF('Chemical Info'!L64="NA","NA",IF('Chemical Info'!E64="Yes",(('Com-Ind Equations'!$B$46*'Chemical Info'!AD64*'Com-Ind Equations'!$B$48*'Com-Ind Equations'!$B$49*'Com-Ind Equations'!$B$51)/('Com-Ind Equations'!$B$55*'Com-Ind Equations'!$B$56))/'Chemical Info'!L64,(('Com-Ind Equations'!$B$46*'Chemical Info'!AD64*'Com-Ind Equations'!$B$48*'Com-Ind Equations'!$B$49*'Com-Ind Equations'!$B$50)/('Com-Ind Equations'!$B$55*'Com-Ind Equations'!$B$56))/'Chemical Info'!L64))</f>
        <v>4.7418335089567963E-4</v>
      </c>
      <c r="P63" s="90">
        <f>IF('Chemical Info'!L64="NA","NA", IF('Chemical Info'!E64="Yes",0,((('Com-Ind Equations'!$B$58*'Com-Ind Equations'!$B$59*'Com-Ind Equations'!$B$48*'Com-Ind Equations'!$B$52*'Com-Ind Equations'!$B$49*'Chemical Info'!AB64)/('Com-Ind Equations'!$B$55*'Com-Ind Equations'!$B$56))/('Chemical Info'!L64*'Chemical Info'!AF64))))</f>
        <v>0</v>
      </c>
      <c r="Q63" s="90">
        <f>IF('Chemical Info'!N64="NA","NA",IF('Com-Ind Calculations'!E63="NA",(('Com-Ind Equations'!$B$53*'Com-Ind Equations'!$B$49*'Com-Ind Equations'!$B$54*'Com-Ind Calculations'!C63)/('Com-Ind Equations'!$B$56))/('Chemical Info'!N64),IF('Chemical Info'!E64="Yes",(('Com-Ind Equations'!$B$53*'Com-Ind Equations'!$B$49*'Com-Ind Equations'!$B$54*'Com-Ind Calculations'!E63)/('Com-Ind Equations'!$B$56))/('Chemical Info'!N64),(('Com-Ind Equations'!$B$53*'Com-Ind Equations'!$B$49*'Com-Ind Equations'!$B$54*('Com-Ind Calculations'!C63+'Com-Ind Calculations'!E63))/('Com-Ind Equations'!$B$56))/('Chemical Info'!N64))))</f>
        <v>1.3614950287527668E-3</v>
      </c>
      <c r="R63" s="90">
        <f>IF('Chemical Info'!N64="NA","NA",IF('Com-Ind Calculations'!F63="NA",(('Com-Ind Equations'!$B$53*'Com-Ind Equations'!$B$49*'Com-Ind Equations'!$B$54*'Com-Ind Calculations'!C63)/('Com-Ind Equations'!$B$56))/('Chemical Info'!N64),IF('Chemical Info'!E64="Yes",(('Com-Ind Equations'!$B$53*'Com-Ind Equations'!$B$49*'Com-Ind Equations'!$B$54*'Com-Ind Calculations'!F63)/('Com-Ind Equations'!$B$56))/('Chemical Info'!N64),(('Com-Ind Equations'!$B$53*'Com-Ind Equations'!$B$49*'Com-Ind Equations'!$B$54*('Com-Ind Calculations'!C63+'Com-Ind Calculations'!F63))/('Com-Ind Equations'!$B$56))/('Chemical Info'!N64))))</f>
        <v>3.1805347931514991E-4</v>
      </c>
      <c r="S63" s="90">
        <f>IF(AND(O63="NA",P63="NA",Q63="NA"),"NA",IF(O63="NA",'Com-Ind Equations'!$B$45/'Com-Ind Calculations'!Q63,IF('Com-Ind Calculations'!Q63="NA",'Com-Ind Equations'!$B$45/('Com-Ind Calculations'!O63+'Com-Ind Calculations'!P63),'Com-Ind Equations'!$B$45/('Com-Ind Calculations'!O63+'Com-Ind Calculations'!P63+'Com-Ind Calculations'!Q63))))</f>
        <v>108.95154740467244</v>
      </c>
      <c r="T63" s="95">
        <f>IF(AND(O63="NA",P63="NA",R63="NA"),"NA",IF(O63="NA",'Com-Ind Equations'!$B$45/R63,IF(R63="NA",'Com-Ind Equations'!$B$45/(O63+P63),'Com-Ind Equations'!$B$45/(O63+P63+R63))))</f>
        <v>252.44976296643031</v>
      </c>
      <c r="U63" s="97">
        <f t="shared" si="11"/>
        <v>252.44976296643031</v>
      </c>
      <c r="V63" s="101">
        <f t="shared" si="12"/>
        <v>252.44976296643031</v>
      </c>
      <c r="W63" s="105">
        <f t="shared" si="13"/>
        <v>250</v>
      </c>
      <c r="X63" s="100" t="str">
        <f t="shared" si="14"/>
        <v>Noncancer</v>
      </c>
      <c r="Y63" s="70"/>
    </row>
    <row r="64" spans="1:25">
      <c r="A64" s="67" t="s">
        <v>371</v>
      </c>
      <c r="B64" s="566" t="s">
        <v>152</v>
      </c>
      <c r="C64" s="85">
        <f>1/(('Com-Ind Equations'!$B$123*3600)/(0.036*(1-'Com-Ind Equations'!$B$124)*(('Com-Ind Equations'!$B$125/'Com-Ind Equations'!$B$126)^3)*'Com-Ind Equations'!$B$127))</f>
        <v>1.4713536180231943E-9</v>
      </c>
      <c r="D64" s="90">
        <f>(('Com-Ind Equations'!$B$103^(10/3)*'Chemical Info'!AH65*'Chemical Info'!AN65*41+'Com-Ind Equations'!$B$106^(10/3)*'Chemical Info'!AJ65)/'Com-Ind Equations'!$B$108^2)/('Com-Ind Equations'!$B$110*'Chemical Info'!AL65*'Com-Ind Equations'!$B$113+'Com-Ind Equations'!$B$106+'Com-Ind Equations'!$B$103*'Chemical Info'!AN65*41)</f>
        <v>4.1844091561776819E-3</v>
      </c>
      <c r="E64" s="65">
        <f>IF(D64=0,"NA",1/(('Com-Ind Equations'!$B$74*(3.14*D64*'Com-Ind Equations'!$B$76)^(1/2)*0.0001)/(2*'Com-Ind Equations'!$B$77*D64)))</f>
        <v>3.7970442269434022E-4</v>
      </c>
      <c r="F64" s="65">
        <f>IF(D64=0,"NA",(1/('Com-Ind Equations'!$B$88*('Com-Ind Equations'!$B$89*(31500000))/('Com-Ind Equations'!$B$90*'Com-Ind Equations'!$B$91*1000000))))</f>
        <v>6.1914410640015851E-5</v>
      </c>
      <c r="G64" s="95">
        <f>IF('Chemical Info'!E65="Yes",('Chemical Info'!AP65/'Com-Ind Equations'!$B$139)*((('Chemical Info'!AL65*'Com-Ind Equations'!$B$141)*'Com-Ind Equations'!$B$139)+'Com-Ind Equations'!$B$142+('Chemical Info'!AN65*41)*'Com-Ind Equations'!$B$144),"NA")</f>
        <v>1850.4349653333331</v>
      </c>
      <c r="H64" s="112" t="str">
        <f>IF('Chemical Info'!H65="NA","NA",IF('Chemical Info'!E65="Yes",'Chemical Info'!H65*'Chemical Info'!AD65*'Com-Ind Equations'!$B$18*'Com-Ind Equations'!$B$22*(('Com-Ind Equations'!$B$24*'Com-Ind Equations'!$B$25)/'Com-Ind Equations'!$B$26),'Chemical Info'!H65*'Chemical Info'!AD65*'Com-Ind Equations'!$B$17*'Com-Ind Equations'!$B$22*('Com-Ind Equations'!$B$24*'Com-Ind Equations'!$B$25/'Com-Ind Equations'!$B$26)))</f>
        <v>NA</v>
      </c>
      <c r="I64" s="108" t="str">
        <f>IF('Chemical Info'!H65="NA","NA",IF('Chemical Info'!E65="Yes",0,('Chemical Info'!H65/'Chemical Info'!AF65)*'Com-Ind Equations'!$B$19*'Chemical Info'!AB65*'Com-Ind Equations'!$B$22*(('Com-Ind Equations'!$B$24*'Com-Ind Equations'!$B$29*'Com-Ind Equations'!$B$30)/'Com-Ind Equations'!$B$26)))</f>
        <v>NA</v>
      </c>
      <c r="J64" s="115" t="str">
        <f>IF('Chemical Info'!J65="NA","NA",IF(E64="NA",'Com-Ind Equations'!$B$20*1000*'Com-Ind Equations'!$B$24*'Com-Ind Equations'!$B$21*'Chemical Info'!J65*'Com-Ind Calculations'!C64,IF('Chemical Info'!E65="Yes",'Com-Ind Equations'!$B$20*1000*'Com-Ind Equations'!$B$24*'Com-Ind Equations'!$B$21*'Chemical Info'!J65*'Com-Ind Calculations'!E64,'Com-Ind Equations'!$B$20*1000*'Com-Ind Equations'!$B$24*'Com-Ind Equations'!$B$21*'Chemical Info'!J65*('Com-Ind Calculations'!C64+'Com-Ind Calculations'!E64))))</f>
        <v>NA</v>
      </c>
      <c r="K64" s="117" t="str">
        <f>IF('Chemical Info'!J65="NA","NA",IF(F64="NA",'Com-Ind Equations'!$B$20*1000*'Com-Ind Equations'!$B$24*'Com-Ind Equations'!$B$21*'Chemical Info'!J65*'Com-Ind Calculations'!C64,IF('Chemical Info'!E65="Yes",'Com-Ind Equations'!$B$20*1000*'Com-Ind Equations'!$B$24*'Com-Ind Equations'!$B$21*'Chemical Info'!J65*'Com-Ind Calculations'!F64,'Com-Ind Equations'!$B$20*1000*'Com-Ind Equations'!$B$24*'Com-Ind Equations'!$B$21*'Chemical Info'!J65*('Com-Ind Calculations'!C64+'Com-Ind Calculations'!F64))))</f>
        <v>NA</v>
      </c>
      <c r="L64" s="95" t="str">
        <f>IF(AND(H64="NA",I64="NA",J64="NA"),"NA",IF(H64="NA",'Com-Ind Equations'!$B$13*'Com-Ind Equations'!$B$14/J64,IF(J64="NA",'Com-Ind Equations'!$B$13*'Com-Ind Equations'!$B$14/(H64+I64),'Com-Ind Equations'!$B$13*'Com-Ind Equations'!$B$14/(H64+I64+J64))))</f>
        <v>NA</v>
      </c>
      <c r="M64" s="95" t="str">
        <f>IF(AND(H64="NA",I64="NA",K64="NA"),"NA",IF(H64="NA",'Com-Ind Equations'!$B$13*'Com-Ind Equations'!$B$14/K64,IF(K64="NA",'Com-Ind Equations'!$B$13*'Com-Ind Equations'!$B$14/(H64+I64),'Com-Ind Equations'!$B$13*'Com-Ind Equations'!$B$14/(H64+I64+K64))))</f>
        <v>NA</v>
      </c>
      <c r="N64" s="95" t="str">
        <f t="shared" si="10"/>
        <v>NA</v>
      </c>
      <c r="O64" s="94">
        <f>IF('Chemical Info'!L65="NA","NA",IF('Chemical Info'!E65="Yes",(('Com-Ind Equations'!$B$46*'Chemical Info'!AD65*'Com-Ind Equations'!$B$48*'Com-Ind Equations'!$B$49*'Com-Ind Equations'!$B$51)/('Com-Ind Equations'!$B$55*'Com-Ind Equations'!$B$56))/'Chemical Info'!L65,(('Com-Ind Equations'!$B$46*'Chemical Info'!AD65*'Com-Ind Equations'!$B$48*'Com-Ind Equations'!$B$49*'Com-Ind Equations'!$B$50)/('Com-Ind Equations'!$B$55*'Com-Ind Equations'!$B$56))/'Chemical Info'!L65))</f>
        <v>3.0821917808219177E-4</v>
      </c>
      <c r="P64" s="90">
        <f>IF('Chemical Info'!L65="NA","NA", IF('Chemical Info'!E65="Yes",0,((('Com-Ind Equations'!$B$58*'Com-Ind Equations'!$B$59*'Com-Ind Equations'!$B$48*'Com-Ind Equations'!$B$52*'Com-Ind Equations'!$B$49*'Chemical Info'!AB65)/('Com-Ind Equations'!$B$55*'Com-Ind Equations'!$B$56))/('Chemical Info'!L65*'Chemical Info'!AF65))))</f>
        <v>0</v>
      </c>
      <c r="Q64" s="90">
        <f>IF('Chemical Info'!N65="NA","NA",IF('Com-Ind Calculations'!E64="NA",(('Com-Ind Equations'!$B$53*'Com-Ind Equations'!$B$49*'Com-Ind Equations'!$B$54*'Com-Ind Calculations'!C64)/('Com-Ind Equations'!$B$56))/('Chemical Info'!N65),IF('Chemical Info'!E65="Yes",(('Com-Ind Equations'!$B$53*'Com-Ind Equations'!$B$49*'Com-Ind Equations'!$B$54*'Com-Ind Calculations'!E64)/('Com-Ind Equations'!$B$56))/('Chemical Info'!N65),(('Com-Ind Equations'!$B$53*'Com-Ind Equations'!$B$49*'Com-Ind Equations'!$B$54*('Com-Ind Calculations'!C64+'Com-Ind Calculations'!E64))/('Com-Ind Equations'!$B$56))/('Chemical Info'!N65))))</f>
        <v>3.901072835900756E-3</v>
      </c>
      <c r="R64" s="90">
        <f>IF('Chemical Info'!N65="NA","NA",IF('Com-Ind Calculations'!F64="NA",(('Com-Ind Equations'!$B$53*'Com-Ind Equations'!$B$49*'Com-Ind Equations'!$B$54*'Com-Ind Calculations'!C64)/('Com-Ind Equations'!$B$56))/('Chemical Info'!N65),IF('Chemical Info'!E65="Yes",(('Com-Ind Equations'!$B$53*'Com-Ind Equations'!$B$49*'Com-Ind Equations'!$B$54*'Com-Ind Calculations'!F64)/('Com-Ind Equations'!$B$56))/('Chemical Info'!N65),(('Com-Ind Equations'!$B$53*'Com-Ind Equations'!$B$49*'Com-Ind Equations'!$B$54*('Com-Ind Calculations'!C64+'Com-Ind Calculations'!F64))/('Com-Ind Equations'!$B$56))/('Chemical Info'!N65))))</f>
        <v>6.3610695863029981E-4</v>
      </c>
      <c r="S64" s="90">
        <f>IF(AND(O64="NA",P64="NA",Q64="NA"),"NA",IF(O64="NA",'Com-Ind Equations'!$B$45/'Com-Ind Calculations'!Q64,IF('Com-Ind Calculations'!Q64="NA",'Com-Ind Equations'!$B$45/('Com-Ind Calculations'!O64+'Com-Ind Calculations'!P64),'Com-Ind Equations'!$B$45/('Com-Ind Calculations'!O64+'Com-Ind Calculations'!P64+'Com-Ind Calculations'!Q64))))</f>
        <v>47.513928550363161</v>
      </c>
      <c r="T64" s="95">
        <f>IF(AND(O64="NA",P64="NA",R64="NA"),"NA",IF(O64="NA",'Com-Ind Equations'!$B$45/R64,IF(R64="NA",'Com-Ind Equations'!$B$45/(O64+P64),'Com-Ind Equations'!$B$45/(O64+P64+R64))))</f>
        <v>211.79123633733732</v>
      </c>
      <c r="U64" s="97">
        <f t="shared" si="11"/>
        <v>211.79123633733732</v>
      </c>
      <c r="V64" s="101">
        <f t="shared" si="12"/>
        <v>211.79123633733732</v>
      </c>
      <c r="W64" s="105">
        <f t="shared" si="13"/>
        <v>210</v>
      </c>
      <c r="X64" s="100" t="str">
        <f t="shared" si="14"/>
        <v>Noncancer</v>
      </c>
      <c r="Y64" s="70"/>
    </row>
    <row r="65" spans="1:25">
      <c r="A65" s="70" t="s">
        <v>372</v>
      </c>
      <c r="B65" s="566" t="s">
        <v>153</v>
      </c>
      <c r="C65" s="85">
        <f>1/(('Com-Ind Equations'!$B$123*3600)/(0.036*(1-'Com-Ind Equations'!$B$124)*(('Com-Ind Equations'!$B$125/'Com-Ind Equations'!$B$126)^3)*'Com-Ind Equations'!$B$127))</f>
        <v>1.4713536180231943E-9</v>
      </c>
      <c r="D65" s="90">
        <f>(('Com-Ind Equations'!$B$103^(10/3)*'Chemical Info'!AH66*'Chemical Info'!AN66*41+'Com-Ind Equations'!$B$106^(10/3)*'Chemical Info'!AJ66)/'Com-Ind Equations'!$B$108^2)/('Com-Ind Equations'!$B$110*'Chemical Info'!AL66*'Com-Ind Equations'!$B$113+'Com-Ind Equations'!$B$106+'Com-Ind Equations'!$B$103*'Chemical Info'!AN66*41)</f>
        <v>2.026128915978215E-3</v>
      </c>
      <c r="E65" s="65">
        <f>IF(D65=0,"NA",1/(('Com-Ind Equations'!$B$74*(3.14*D65*'Com-Ind Equations'!$B$76)^(1/2)*0.0001)/(2*'Com-Ind Equations'!$B$77*D65)))</f>
        <v>2.6421782985188612E-4</v>
      </c>
      <c r="F65" s="65">
        <f>IF(D65=0,"NA",(1/('Com-Ind Equations'!$B$88*('Com-Ind Equations'!$B$89*(31500000))/('Com-Ind Equations'!$B$90*'Com-Ind Equations'!$B$91*1000000))))</f>
        <v>6.1914410640015851E-5</v>
      </c>
      <c r="G65" s="95">
        <f>IF('Chemical Info'!E66="Yes",('Chemical Info'!AP66/'Com-Ind Equations'!$B$139)*((('Chemical Info'!AL66*'Com-Ind Equations'!$B$141)*'Com-Ind Equations'!$B$139)+'Com-Ind Equations'!$B$142+('Chemical Info'!AN66*41)*'Com-Ind Equations'!$B$144),"NA")</f>
        <v>1290.8896000000002</v>
      </c>
      <c r="H65" s="112" t="str">
        <f>IF('Chemical Info'!H66="NA","NA",IF('Chemical Info'!E66="Yes",'Chemical Info'!H66*'Chemical Info'!AD66*'Com-Ind Equations'!$B$18*'Com-Ind Equations'!$B$22*(('Com-Ind Equations'!$B$24*'Com-Ind Equations'!$B$25)/'Com-Ind Equations'!$B$26),'Chemical Info'!H66*'Chemical Info'!AD66*'Com-Ind Equations'!$B$17*'Com-Ind Equations'!$B$22*('Com-Ind Equations'!$B$24*'Com-Ind Equations'!$B$25/'Com-Ind Equations'!$B$26)))</f>
        <v>NA</v>
      </c>
      <c r="I65" s="108" t="str">
        <f>IF('Chemical Info'!H66="NA","NA",IF('Chemical Info'!E66="Yes",0,('Chemical Info'!H66/'Chemical Info'!AF66)*'Com-Ind Equations'!$B$19*'Chemical Info'!AB66*'Com-Ind Equations'!$B$22*(('Com-Ind Equations'!$B$24*'Com-Ind Equations'!$B$29*'Com-Ind Equations'!$B$30)/'Com-Ind Equations'!$B$26)))</f>
        <v>NA</v>
      </c>
      <c r="J65" s="115" t="str">
        <f>IF('Chemical Info'!J66="NA","NA",IF(E65="NA",'Com-Ind Equations'!$B$20*1000*'Com-Ind Equations'!$B$24*'Com-Ind Equations'!$B$21*'Chemical Info'!J66*'Com-Ind Calculations'!C65,IF('Chemical Info'!E66="Yes",'Com-Ind Equations'!$B$20*1000*'Com-Ind Equations'!$B$24*'Com-Ind Equations'!$B$21*'Chemical Info'!J66*'Com-Ind Calculations'!E65,'Com-Ind Equations'!$B$20*1000*'Com-Ind Equations'!$B$24*'Com-Ind Equations'!$B$21*'Chemical Info'!J66*('Com-Ind Calculations'!C65+'Com-Ind Calculations'!E65))))</f>
        <v>NA</v>
      </c>
      <c r="K65" s="117" t="str">
        <f>IF('Chemical Info'!J66="NA","NA",IF(F65="NA",'Com-Ind Equations'!$B$20*1000*'Com-Ind Equations'!$B$24*'Com-Ind Equations'!$B$21*'Chemical Info'!J66*'Com-Ind Calculations'!C65,IF('Chemical Info'!E66="Yes",'Com-Ind Equations'!$B$20*1000*'Com-Ind Equations'!$B$24*'Com-Ind Equations'!$B$21*'Chemical Info'!J66*'Com-Ind Calculations'!F65,'Com-Ind Equations'!$B$20*1000*'Com-Ind Equations'!$B$24*'Com-Ind Equations'!$B$21*'Chemical Info'!J66*('Com-Ind Calculations'!C65+'Com-Ind Calculations'!F65))))</f>
        <v>NA</v>
      </c>
      <c r="L65" s="95" t="str">
        <f>IF(AND(H65="NA",I65="NA",J65="NA"),"NA",IF(H65="NA",'Com-Ind Equations'!$B$13*'Com-Ind Equations'!$B$14/J65,IF(J65="NA",'Com-Ind Equations'!$B$13*'Com-Ind Equations'!$B$14/(H65+I65),'Com-Ind Equations'!$B$13*'Com-Ind Equations'!$B$14/(H65+I65+J65))))</f>
        <v>NA</v>
      </c>
      <c r="M65" s="95" t="str">
        <f>IF(AND(H65="NA",I65="NA",K65="NA"),"NA",IF(H65="NA",'Com-Ind Equations'!$B$13*'Com-Ind Equations'!$B$14/K65,IF(K65="NA",'Com-Ind Equations'!$B$13*'Com-Ind Equations'!$B$14/(H65+I65),'Com-Ind Equations'!$B$13*'Com-Ind Equations'!$B$14/(H65+I65+K65))))</f>
        <v>NA</v>
      </c>
      <c r="N65" s="95" t="str">
        <f t="shared" si="10"/>
        <v>NA</v>
      </c>
      <c r="O65" s="94">
        <f>IF('Chemical Info'!L66="NA","NA",IF('Chemical Info'!E66="Yes",(('Com-Ind Equations'!$B$46*'Chemical Info'!AD66*'Com-Ind Equations'!$B$48*'Com-Ind Equations'!$B$49*'Com-Ind Equations'!$B$51)/('Com-Ind Equations'!$B$55*'Com-Ind Equations'!$B$56))/'Chemical Info'!L66,(('Com-Ind Equations'!$B$46*'Chemical Info'!AD66*'Com-Ind Equations'!$B$48*'Com-Ind Equations'!$B$49*'Com-Ind Equations'!$B$50)/('Com-Ind Equations'!$B$55*'Com-Ind Equations'!$B$56))/'Chemical Info'!L66))</f>
        <v>6.8493150684931502E-5</v>
      </c>
      <c r="P65" s="90">
        <f>IF('Chemical Info'!L66="NA","NA", IF('Chemical Info'!E66="Yes",0,((('Com-Ind Equations'!$B$58*'Com-Ind Equations'!$B$59*'Com-Ind Equations'!$B$48*'Com-Ind Equations'!$B$52*'Com-Ind Equations'!$B$49*'Chemical Info'!AB66)/('Com-Ind Equations'!$B$55*'Com-Ind Equations'!$B$56))/('Chemical Info'!L66*'Chemical Info'!AF66))))</f>
        <v>0</v>
      </c>
      <c r="Q65" s="90" t="str">
        <f>IF('Chemical Info'!N66="NA","NA",IF('Com-Ind Calculations'!E65="NA",(('Com-Ind Equations'!$B$53*'Com-Ind Equations'!$B$49*'Com-Ind Equations'!$B$54*'Com-Ind Calculations'!C65)/('Com-Ind Equations'!$B$56))/('Chemical Info'!N66),IF('Chemical Info'!E66="Yes",(('Com-Ind Equations'!$B$53*'Com-Ind Equations'!$B$49*'Com-Ind Equations'!$B$54*'Com-Ind Calculations'!E65)/('Com-Ind Equations'!$B$56))/('Chemical Info'!N66),(('Com-Ind Equations'!$B$53*'Com-Ind Equations'!$B$49*'Com-Ind Equations'!$B$54*('Com-Ind Calculations'!C65+'Com-Ind Calculations'!E65))/('Com-Ind Equations'!$B$56))/('Chemical Info'!N66))))</f>
        <v>NA</v>
      </c>
      <c r="R65" s="90" t="str">
        <f>IF('Chemical Info'!N66="NA","NA",IF('Com-Ind Calculations'!F65="NA",(('Com-Ind Equations'!$B$53*'Com-Ind Equations'!$B$49*'Com-Ind Equations'!$B$54*'Com-Ind Calculations'!C65)/('Com-Ind Equations'!$B$56))/('Chemical Info'!N66),IF('Chemical Info'!E66="Yes",(('Com-Ind Equations'!$B$53*'Com-Ind Equations'!$B$49*'Com-Ind Equations'!$B$54*'Com-Ind Calculations'!F65)/('Com-Ind Equations'!$B$56))/('Chemical Info'!N66),(('Com-Ind Equations'!$B$53*'Com-Ind Equations'!$B$49*'Com-Ind Equations'!$B$54*('Com-Ind Calculations'!C65+'Com-Ind Calculations'!F65))/('Com-Ind Equations'!$B$56))/('Chemical Info'!N66))))</f>
        <v>NA</v>
      </c>
      <c r="S65" s="90">
        <f>IF(AND(O65="NA",P65="NA",Q65="NA"),"NA",IF(O65="NA",'Com-Ind Equations'!$B$45/'Com-Ind Calculations'!Q65,IF('Com-Ind Calculations'!Q65="NA",'Com-Ind Equations'!$B$45/('Com-Ind Calculations'!O65+'Com-Ind Calculations'!P65),'Com-Ind Equations'!$B$45/('Com-Ind Calculations'!O65+'Com-Ind Calculations'!P65+'Com-Ind Calculations'!Q65))))</f>
        <v>2920.0000000000005</v>
      </c>
      <c r="T65" s="95">
        <f>IF(AND(O65="NA",P65="NA",R65="NA"),"NA",IF(O65="NA",'Com-Ind Equations'!$B$45/R65,IF(R65="NA",'Com-Ind Equations'!$B$45/(O65+P65),'Com-Ind Equations'!$B$45/(O65+P65+R65))))</f>
        <v>2920.0000000000005</v>
      </c>
      <c r="U65" s="97">
        <f t="shared" si="11"/>
        <v>2920.0000000000005</v>
      </c>
      <c r="V65" s="101">
        <f t="shared" si="12"/>
        <v>1290.8896000000002</v>
      </c>
      <c r="W65" s="105">
        <f t="shared" si="13"/>
        <v>1300</v>
      </c>
      <c r="X65" s="100" t="str">
        <f t="shared" si="14"/>
        <v>Csat</v>
      </c>
      <c r="Y65" s="70"/>
    </row>
    <row r="66" spans="1:25">
      <c r="A66" s="67" t="s">
        <v>324</v>
      </c>
      <c r="B66" s="566" t="s">
        <v>27</v>
      </c>
      <c r="C66" s="85">
        <f>1/(('Com-Ind Equations'!$B$123*3600)/(0.036*(1-'Com-Ind Equations'!$B$124)*(('Com-Ind Equations'!$B$125/'Com-Ind Equations'!$B$126)^3)*'Com-Ind Equations'!$B$127))</f>
        <v>1.4713536180231943E-9</v>
      </c>
      <c r="D66" s="90">
        <f>(('Com-Ind Equations'!$B$103^(10/3)*'Chemical Info'!AH67*'Chemical Info'!AN67*41+'Com-Ind Equations'!$B$106^(10/3)*'Chemical Info'!AJ67)/'Com-Ind Equations'!$B$108^2)/('Com-Ind Equations'!$B$110*'Chemical Info'!AL67*'Com-Ind Equations'!$B$113+'Com-Ind Equations'!$B$106+'Com-Ind Equations'!$B$103*'Chemical Info'!AN67*41)</f>
        <v>2.6526472769937567E-3</v>
      </c>
      <c r="E66" s="65">
        <f>IF(D66=0,"NA",1/(('Com-Ind Equations'!$B$74*(3.14*D66*'Com-Ind Equations'!$B$76)^(1/2)*0.0001)/(2*'Com-Ind Equations'!$B$77*D66)))</f>
        <v>3.0232101475997415E-4</v>
      </c>
      <c r="F66" s="65">
        <f>IF(D66=0,"NA",(1/('Com-Ind Equations'!$B$88*('Com-Ind Equations'!$B$89*(31500000))/('Com-Ind Equations'!$B$90*'Com-Ind Equations'!$B$91*1000000))))</f>
        <v>6.1914410640015851E-5</v>
      </c>
      <c r="G66" s="95">
        <f>IF('Chemical Info'!E67="Yes",('Chemical Info'!AP67/'Com-Ind Equations'!$B$139)*((('Chemical Info'!AL67*'Com-Ind Equations'!$B$141)*'Com-Ind Equations'!$B$139)+'Com-Ind Equations'!$B$142+('Chemical Info'!AN67*41)*'Com-Ind Equations'!$B$144),"NA")</f>
        <v>3318.2933333333331</v>
      </c>
      <c r="H66" s="112">
        <f>IF('Chemical Info'!H67="NA","NA",IF('Chemical Info'!E67="Yes",'Chemical Info'!H67*'Chemical Info'!AD67*'Com-Ind Equations'!$B$18*'Com-Ind Equations'!$B$22*(('Com-Ind Equations'!$B$24*'Com-Ind Equations'!$B$25)/'Com-Ind Equations'!$B$26),'Chemical Info'!H67*'Chemical Info'!AD67*'Com-Ind Equations'!$B$17*'Com-Ind Equations'!$B$22*('Com-Ind Equations'!$B$24*'Com-Ind Equations'!$B$25/'Com-Ind Equations'!$B$26)))</f>
        <v>1.1249999999999999E-5</v>
      </c>
      <c r="I66" s="108">
        <f>IF('Chemical Info'!H67="NA","NA",IF('Chemical Info'!E67="Yes",0,('Chemical Info'!H67/'Chemical Info'!AF67)*'Com-Ind Equations'!$B$19*'Chemical Info'!AB67*'Com-Ind Equations'!$B$22*(('Com-Ind Equations'!$B$24*'Com-Ind Equations'!$B$29*'Com-Ind Equations'!$B$30)/'Com-Ind Equations'!$B$26)))</f>
        <v>0</v>
      </c>
      <c r="J66" s="115">
        <f>IF('Chemical Info'!J67="NA","NA",IF(E66="NA",'Com-Ind Equations'!$B$20*1000*'Com-Ind Equations'!$B$24*'Com-Ind Equations'!$B$21*'Chemical Info'!J67*'Com-Ind Calculations'!C66,IF('Chemical Info'!E67="Yes",'Com-Ind Equations'!$B$20*1000*'Com-Ind Equations'!$B$24*'Com-Ind Equations'!$B$21*'Chemical Info'!J67*'Com-Ind Calculations'!E66,'Com-Ind Equations'!$B$20*1000*'Com-Ind Equations'!$B$24*'Com-Ind Equations'!$B$21*'Chemical Info'!J67*('Com-Ind Calculations'!C66+'Com-Ind Calculations'!E66))))</f>
        <v>5.6685190267495151E-6</v>
      </c>
      <c r="K66" s="117">
        <f>IF('Chemical Info'!J67="NA","NA",IF(F66="NA",'Com-Ind Equations'!$B$20*1000*'Com-Ind Equations'!$B$24*'Com-Ind Equations'!$B$21*'Chemical Info'!J67*'Com-Ind Calculations'!C66,IF('Chemical Info'!E67="Yes",'Com-Ind Equations'!$B$20*1000*'Com-Ind Equations'!$B$24*'Com-Ind Equations'!$B$21*'Chemical Info'!J67*'Com-Ind Calculations'!F66,'Com-Ind Equations'!$B$20*1000*'Com-Ind Equations'!$B$24*'Com-Ind Equations'!$B$21*'Chemical Info'!J67*('Com-Ind Calculations'!C66+'Com-Ind Calculations'!F66))))</f>
        <v>1.1608951995002971E-6</v>
      </c>
      <c r="L66" s="95">
        <f>IF(AND(H66="NA",I66="NA",J66="NA"),"NA",IF(H66="NA",'Com-Ind Equations'!$B$13*'Com-Ind Equations'!$B$14/J66,IF(J66="NA",'Com-Ind Equations'!$B$13*'Com-Ind Equations'!$B$14/(H66+I66),'Com-Ind Equations'!$B$13*'Com-Ind Equations'!$B$14/(H66+I66+J66))))</f>
        <v>15101.794642665493</v>
      </c>
      <c r="M66" s="95">
        <f>IF(AND(H66="NA",I66="NA",K66="NA"),"NA",IF(H66="NA",'Com-Ind Equations'!$B$13*'Com-Ind Equations'!$B$14/K66,IF(K66="NA",'Com-Ind Equations'!$B$13*'Com-Ind Equations'!$B$14/(H66+I66),'Com-Ind Equations'!$B$13*'Com-Ind Equations'!$B$14/(H66+I66+K66))))</f>
        <v>20586.750262002639</v>
      </c>
      <c r="N66" s="95">
        <f t="shared" si="10"/>
        <v>20586.750262002639</v>
      </c>
      <c r="O66" s="94">
        <f>IF('Chemical Info'!L67="NA","NA",IF('Chemical Info'!E67="Yes",(('Com-Ind Equations'!$B$46*'Chemical Info'!AD67*'Com-Ind Equations'!$B$48*'Com-Ind Equations'!$B$49*'Com-Ind Equations'!$B$51)/('Com-Ind Equations'!$B$55*'Com-Ind Equations'!$B$56))/'Chemical Info'!L67,(('Com-Ind Equations'!$B$46*'Chemical Info'!AD67*'Com-Ind Equations'!$B$48*'Com-Ind Equations'!$B$49*'Com-Ind Equations'!$B$50)/('Com-Ind Equations'!$B$55*'Com-Ind Equations'!$B$56))/'Chemical Info'!L67))</f>
        <v>1.0273972602739725E-4</v>
      </c>
      <c r="P66" s="90">
        <f>IF('Chemical Info'!L67="NA","NA", IF('Chemical Info'!E67="Yes",0,((('Com-Ind Equations'!$B$58*'Com-Ind Equations'!$B$59*'Com-Ind Equations'!$B$48*'Com-Ind Equations'!$B$52*'Com-Ind Equations'!$B$49*'Chemical Info'!AB67)/('Com-Ind Equations'!$B$55*'Com-Ind Equations'!$B$56))/('Chemical Info'!L67*'Chemical Info'!AF67))))</f>
        <v>0</v>
      </c>
      <c r="Q66" s="90">
        <f>IF('Chemical Info'!N67="NA","NA",IF('Com-Ind Calculations'!E66="NA",(('Com-Ind Equations'!$B$53*'Com-Ind Equations'!$B$49*'Com-Ind Equations'!$B$54*'Com-Ind Calculations'!C66)/('Com-Ind Equations'!$B$56))/('Chemical Info'!N67),IF('Chemical Info'!E67="Yes",(('Com-Ind Equations'!$B$53*'Com-Ind Equations'!$B$49*'Com-Ind Equations'!$B$54*'Com-Ind Calculations'!E66)/('Com-Ind Equations'!$B$56))/('Chemical Info'!N67),(('Com-Ind Equations'!$B$53*'Com-Ind Equations'!$B$49*'Com-Ind Equations'!$B$54*('Com-Ind Calculations'!C66+'Com-Ind Calculations'!E66))/('Com-Ind Equations'!$B$56))/('Chemical Info'!N67))))</f>
        <v>1.0353459409588157E-4</v>
      </c>
      <c r="R66" s="90">
        <f>IF('Chemical Info'!N67="NA","NA",IF('Com-Ind Calculations'!F66="NA",(('Com-Ind Equations'!$B$53*'Com-Ind Equations'!$B$49*'Com-Ind Equations'!$B$54*'Com-Ind Calculations'!C66)/('Com-Ind Equations'!$B$56))/('Chemical Info'!N67),IF('Chemical Info'!E67="Yes",(('Com-Ind Equations'!$B$53*'Com-Ind Equations'!$B$49*'Com-Ind Equations'!$B$54*'Com-Ind Calculations'!F66)/('Com-Ind Equations'!$B$56))/('Chemical Info'!N67),(('Com-Ind Equations'!$B$53*'Com-Ind Equations'!$B$49*'Com-Ind Equations'!$B$54*('Com-Ind Calculations'!C66+'Com-Ind Calculations'!F66))/('Com-Ind Equations'!$B$56))/('Chemical Info'!N67))))</f>
        <v>2.1203565287676664E-5</v>
      </c>
      <c r="S66" s="90">
        <f>IF(AND(O66="NA",P66="NA",Q66="NA"),"NA",IF(O66="NA",'Com-Ind Equations'!$B$45/'Com-Ind Calculations'!Q66,IF('Com-Ind Calculations'!Q66="NA",'Com-Ind Equations'!$B$45/('Com-Ind Calculations'!O66+'Com-Ind Calculations'!P66),'Com-Ind Equations'!$B$45/('Com-Ind Calculations'!O66+'Com-Ind Calculations'!P66+'Com-Ind Calculations'!Q66))))</f>
        <v>969.58264063345848</v>
      </c>
      <c r="T66" s="95">
        <f>IF(AND(O66="NA",P66="NA",R66="NA"),"NA",IF(O66="NA",'Com-Ind Equations'!$B$45/R66,IF(R66="NA",'Com-Ind Equations'!$B$45/(O66+P66),'Com-Ind Equations'!$B$45/(O66+P66+R66))))</f>
        <v>1613.6411892724693</v>
      </c>
      <c r="U66" s="97">
        <f t="shared" si="11"/>
        <v>1613.6411892724693</v>
      </c>
      <c r="V66" s="101">
        <f t="shared" si="12"/>
        <v>1613.6411892724693</v>
      </c>
      <c r="W66" s="105">
        <f t="shared" si="13"/>
        <v>1600</v>
      </c>
      <c r="X66" s="100" t="str">
        <f t="shared" si="14"/>
        <v>Noncancer</v>
      </c>
      <c r="Y66" s="70"/>
    </row>
    <row r="67" spans="1:25">
      <c r="A67" s="70" t="s">
        <v>373</v>
      </c>
      <c r="B67" s="566" t="s">
        <v>123</v>
      </c>
      <c r="C67" s="85">
        <f>1/(('Com-Ind Equations'!$B$123*3600)/(0.036*(1-'Com-Ind Equations'!$B$124)*(('Com-Ind Equations'!$B$125/'Com-Ind Equations'!$B$126)^3)*'Com-Ind Equations'!$B$127))</f>
        <v>1.4713536180231943E-9</v>
      </c>
      <c r="D67" s="90">
        <f>(('Com-Ind Equations'!$B$103^(10/3)*'Chemical Info'!AH68*'Chemical Info'!AN68*41+'Com-Ind Equations'!$B$106^(10/3)*'Chemical Info'!AJ68)/'Com-Ind Equations'!$B$108^2)/('Com-Ind Equations'!$B$110*'Chemical Info'!AL68*'Com-Ind Equations'!$B$113+'Com-Ind Equations'!$B$106+'Com-Ind Equations'!$B$103*'Chemical Info'!AN68*41)</f>
        <v>8.8755181158528919E-4</v>
      </c>
      <c r="E67" s="65">
        <f>IF(D67=0,"NA",1/(('Com-Ind Equations'!$B$74*(3.14*D67*'Com-Ind Equations'!$B$76)^(1/2)*0.0001)/(2*'Com-Ind Equations'!$B$77*D67)))</f>
        <v>1.7487407940430084E-4</v>
      </c>
      <c r="F67" s="65">
        <f>IF(D67=0,"NA",(1/('Com-Ind Equations'!$B$88*('Com-Ind Equations'!$B$89*(31500000))/('Com-Ind Equations'!$B$90*'Com-Ind Equations'!$B$91*1000000))))</f>
        <v>6.1914410640015851E-5</v>
      </c>
      <c r="G67" s="95">
        <f>IF('Chemical Info'!E68="Yes",('Chemical Info'!AP68/'Com-Ind Equations'!$B$139)*((('Chemical Info'!AL68*'Com-Ind Equations'!$B$141)*'Com-Ind Equations'!$B$139)+'Com-Ind Equations'!$B$142+('Chemical Info'!AN68*41)*'Com-Ind Equations'!$B$144),"NA")</f>
        <v>1360.1907200000001</v>
      </c>
      <c r="H67" s="112">
        <f>IF('Chemical Info'!H68="NA","NA",IF('Chemical Info'!E68="Yes",'Chemical Info'!H68*'Chemical Info'!AD68*'Com-Ind Equations'!$B$18*'Com-Ind Equations'!$B$22*(('Com-Ind Equations'!$B$24*'Com-Ind Equations'!$B$25)/'Com-Ind Equations'!$B$26),'Chemical Info'!H68*'Chemical Info'!AD68*'Com-Ind Equations'!$B$17*'Com-Ind Equations'!$B$22*('Com-Ind Equations'!$B$24*'Com-Ind Equations'!$B$25/'Com-Ind Equations'!$B$26)))</f>
        <v>2.0812499999999998E-4</v>
      </c>
      <c r="I67" s="108">
        <f>IF('Chemical Info'!H68="NA","NA",IF('Chemical Info'!E68="Yes",0,('Chemical Info'!H68/'Chemical Info'!AF68)*'Com-Ind Equations'!$B$19*'Chemical Info'!AB68*'Com-Ind Equations'!$B$22*(('Com-Ind Equations'!$B$24*'Com-Ind Equations'!$B$29*'Com-Ind Equations'!$B$30)/'Com-Ind Equations'!$B$26)))</f>
        <v>0</v>
      </c>
      <c r="J67" s="115">
        <f>IF('Chemical Info'!J68="NA","NA",IF(E67="NA",'Com-Ind Equations'!$B$20*1000*'Com-Ind Equations'!$B$24*'Com-Ind Equations'!$B$21*'Chemical Info'!J68*'Com-Ind Calculations'!C67,IF('Chemical Info'!E68="Yes",'Com-Ind Equations'!$B$20*1000*'Com-Ind Equations'!$B$24*'Com-Ind Equations'!$B$21*'Chemical Info'!J68*'Com-Ind Calculations'!E67,'Com-Ind Equations'!$B$20*1000*'Com-Ind Equations'!$B$24*'Com-Ind Equations'!$B$21*'Chemical Info'!J68*('Com-Ind Calculations'!C67+'Com-Ind Calculations'!E67))))</f>
        <v>1.213188925867337E-3</v>
      </c>
      <c r="K67" s="117">
        <f>IF('Chemical Info'!J68="NA","NA",IF(F67="NA",'Com-Ind Equations'!$B$20*1000*'Com-Ind Equations'!$B$24*'Com-Ind Equations'!$B$21*'Chemical Info'!J68*'Com-Ind Calculations'!C67,IF('Chemical Info'!E68="Yes",'Com-Ind Equations'!$B$20*1000*'Com-Ind Equations'!$B$24*'Com-Ind Equations'!$B$21*'Chemical Info'!J68*'Com-Ind Calculations'!F67,'Com-Ind Equations'!$B$20*1000*'Com-Ind Equations'!$B$24*'Com-Ind Equations'!$B$21*'Chemical Info'!J68*('Com-Ind Calculations'!C67+'Com-Ind Calculations'!F67))))</f>
        <v>4.2953122381510998E-4</v>
      </c>
      <c r="L67" s="95">
        <f>IF(AND(H67="NA",I67="NA",J67="NA"),"NA",IF(H67="NA",'Com-Ind Equations'!$B$13*'Com-Ind Equations'!$B$14/J67,IF(J67="NA",'Com-Ind Equations'!$B$13*'Com-Ind Equations'!$B$14/(H67+I67),'Com-Ind Equations'!$B$13*'Com-Ind Equations'!$B$14/(H67+I67+J67))))</f>
        <v>179.76324255324852</v>
      </c>
      <c r="M67" s="95">
        <f>IF(AND(H67="NA",I67="NA",K67="NA"),"NA",IF(H67="NA",'Com-Ind Equations'!$B$13*'Com-Ind Equations'!$B$14/K67,IF(K67="NA",'Com-Ind Equations'!$B$13*'Com-Ind Equations'!$B$14/(H67+I67),'Com-Ind Equations'!$B$13*'Com-Ind Equations'!$B$14/(H67+I67+K67))))</f>
        <v>400.68612280036785</v>
      </c>
      <c r="N67" s="95">
        <f t="shared" si="10"/>
        <v>400.68612280036785</v>
      </c>
      <c r="O67" s="94">
        <f>IF('Chemical Info'!L68="NA","NA",IF('Chemical Info'!E68="Yes",(('Com-Ind Equations'!$B$46*'Chemical Info'!AD68*'Com-Ind Equations'!$B$48*'Com-Ind Equations'!$B$49*'Com-Ind Equations'!$B$51)/('Com-Ind Equations'!$B$55*'Com-Ind Equations'!$B$56))/'Chemical Info'!L68,(('Com-Ind Equations'!$B$46*'Chemical Info'!AD68*'Com-Ind Equations'!$B$48*'Com-Ind Equations'!$B$49*'Com-Ind Equations'!$B$50)/('Com-Ind Equations'!$B$55*'Com-Ind Equations'!$B$56))/'Chemical Info'!L68))</f>
        <v>3.4246575342465751E-5</v>
      </c>
      <c r="P67" s="90">
        <f>IF('Chemical Info'!L68="NA","NA", IF('Chemical Info'!E68="Yes",0,((('Com-Ind Equations'!$B$58*'Com-Ind Equations'!$B$59*'Com-Ind Equations'!$B$48*'Com-Ind Equations'!$B$52*'Com-Ind Equations'!$B$49*'Chemical Info'!AB68)/('Com-Ind Equations'!$B$55*'Com-Ind Equations'!$B$56))/('Chemical Info'!L68*'Chemical Info'!AF68))))</f>
        <v>0</v>
      </c>
      <c r="Q67" s="90">
        <f>IF('Chemical Info'!N68="NA","NA",IF('Com-Ind Calculations'!E67="NA",(('Com-Ind Equations'!$B$53*'Com-Ind Equations'!$B$49*'Com-Ind Equations'!$B$54*'Com-Ind Calculations'!C67)/('Com-Ind Equations'!$B$56))/('Chemical Info'!N68),IF('Chemical Info'!E68="Yes",(('Com-Ind Equations'!$B$53*'Com-Ind Equations'!$B$49*'Com-Ind Equations'!$B$54*'Com-Ind Calculations'!E67)/('Com-Ind Equations'!$B$56))/('Chemical Info'!N68),(('Com-Ind Equations'!$B$53*'Com-Ind Equations'!$B$49*'Com-Ind Equations'!$B$54*('Com-Ind Calculations'!C67+'Com-Ind Calculations'!E67))/('Com-Ind Equations'!$B$56))/('Chemical Info'!N68))))</f>
        <v>8.9832575036455902E-3</v>
      </c>
      <c r="R67" s="90">
        <f>IF('Chemical Info'!N68="NA","NA",IF('Com-Ind Calculations'!F67="NA",(('Com-Ind Equations'!$B$53*'Com-Ind Equations'!$B$49*'Com-Ind Equations'!$B$54*'Com-Ind Calculations'!C67)/('Com-Ind Equations'!$B$56))/('Chemical Info'!N68),IF('Chemical Info'!E68="Yes",(('Com-Ind Equations'!$B$53*'Com-Ind Equations'!$B$49*'Com-Ind Equations'!$B$54*'Com-Ind Calculations'!F67)/('Com-Ind Equations'!$B$56))/('Chemical Info'!N68),(('Com-Ind Equations'!$B$53*'Com-Ind Equations'!$B$49*'Com-Ind Equations'!$B$54*('Com-Ind Calculations'!C67+'Com-Ind Calculations'!F67))/('Com-Ind Equations'!$B$56))/('Chemical Info'!N68))))</f>
        <v>3.180534793151499E-3</v>
      </c>
      <c r="S67" s="90">
        <f>IF(AND(O67="NA",P67="NA",Q67="NA"),"NA",IF(O67="NA",'Com-Ind Equations'!$B$45/'Com-Ind Calculations'!Q67,IF('Com-Ind Calculations'!Q67="NA",'Com-Ind Equations'!$B$45/('Com-Ind Calculations'!O67+'Com-Ind Calculations'!P67),'Com-Ind Equations'!$B$45/('Com-Ind Calculations'!O67+'Com-Ind Calculations'!P67+'Com-Ind Calculations'!Q67))))</f>
        <v>22.179086169312161</v>
      </c>
      <c r="T67" s="95">
        <f>IF(AND(O67="NA",P67="NA",R67="NA"),"NA",IF(O67="NA",'Com-Ind Equations'!$B$45/R67,IF(R67="NA",'Com-Ind Equations'!$B$45/(O67+P67),'Com-Ind Equations'!$B$45/(O67+P67+R67))))</f>
        <v>62.212628815157785</v>
      </c>
      <c r="U67" s="97">
        <f t="shared" si="11"/>
        <v>62.212628815157785</v>
      </c>
      <c r="V67" s="101">
        <f t="shared" si="12"/>
        <v>62.212628815157785</v>
      </c>
      <c r="W67" s="105">
        <f t="shared" si="13"/>
        <v>62</v>
      </c>
      <c r="X67" s="100" t="str">
        <f t="shared" si="14"/>
        <v>Noncancer</v>
      </c>
      <c r="Y67" s="70"/>
    </row>
    <row r="68" spans="1:25">
      <c r="A68" s="70" t="s">
        <v>1183</v>
      </c>
      <c r="B68" s="566" t="s">
        <v>1184</v>
      </c>
      <c r="C68" s="85">
        <f>1/(('Com-Ind Equations'!$B$123*3600)/(0.036*(1-'Com-Ind Equations'!$B$124)*(('Com-Ind Equations'!$B$125/'Com-Ind Equations'!$B$126)^3)*'Com-Ind Equations'!$B$127))</f>
        <v>1.4713536180231943E-9</v>
      </c>
      <c r="D68" s="90">
        <f>(('Com-Ind Equations'!$B$103^(10/3)*'Chemical Info'!AH69*'Chemical Info'!AN69*41+'Com-Ind Equations'!$B$106^(10/3)*'Chemical Info'!AJ69)/'Com-Ind Equations'!$B$108^2)/('Com-Ind Equations'!$B$110*'Chemical Info'!AL69*'Com-Ind Equations'!$B$113+'Com-Ind Equations'!$B$106+'Com-Ind Equations'!$B$103*'Chemical Info'!AN69*41)</f>
        <v>2.7817316141068001E-4</v>
      </c>
      <c r="E68" s="65">
        <f>IF(D68=0,"NA",1/(('Com-Ind Equations'!$B$74*(3.14*D68*'Com-Ind Equations'!$B$76)^(1/2)*0.0001)/(2*'Com-Ind Equations'!$B$77*D68)))</f>
        <v>9.7900790149772117E-5</v>
      </c>
      <c r="F68" s="65">
        <f>IF(D68=0,"NA",(1/('Com-Ind Equations'!$B$88*('Com-Ind Equations'!$B$89*(31500000))/('Com-Ind Equations'!$B$90*'Com-Ind Equations'!$B$91*1000000))))</f>
        <v>6.1914410640015851E-5</v>
      </c>
      <c r="G68" s="95">
        <f>IF('Chemical Info'!E69="Yes",('Chemical Info'!AP69/'Com-Ind Equations'!$B$139)*((('Chemical Info'!AL69*'Com-Ind Equations'!$B$141)*'Com-Ind Equations'!$B$139)+'Com-Ind Equations'!$B$142+('Chemical Info'!AN69*41)*'Com-Ind Equations'!$B$144),"NA")</f>
        <v>1486.3465466666667</v>
      </c>
      <c r="H68" s="112" t="str">
        <f>IF('Chemical Info'!H69="NA","NA",IF('Chemical Info'!E69="Yes",'Chemical Info'!H69*'Chemical Info'!AD69*'Com-Ind Equations'!$B$18*'Com-Ind Equations'!$B$22*(('Com-Ind Equations'!$B$24*'Com-Ind Equations'!$B$25)/'Com-Ind Equations'!$B$26),'Chemical Info'!H69*'Chemical Info'!AD69*'Com-Ind Equations'!$B$17*'Com-Ind Equations'!$B$22*('Com-Ind Equations'!$B$24*'Com-Ind Equations'!$B$25/'Com-Ind Equations'!$B$26)))</f>
        <v>NA</v>
      </c>
      <c r="I68" s="108" t="str">
        <f>IF('Chemical Info'!H69="NA","NA",IF('Chemical Info'!E69="Yes",0,('Chemical Info'!H69/'Chemical Info'!AF69)*'Com-Ind Equations'!$B$19*'Chemical Info'!AB69*'Com-Ind Equations'!$B$22*(('Com-Ind Equations'!$B$24*'Com-Ind Equations'!$B$29*'Com-Ind Equations'!$B$30)/'Com-Ind Equations'!$B$26)))</f>
        <v>NA</v>
      </c>
      <c r="J68" s="115" t="str">
        <f>IF('Chemical Info'!J69="NA","NA",IF(E68="NA",'Com-Ind Equations'!$B$20*1000*'Com-Ind Equations'!$B$24*'Com-Ind Equations'!$B$21*'Chemical Info'!J69*'Com-Ind Calculations'!C68,IF('Chemical Info'!E69="Yes",'Com-Ind Equations'!$B$20*1000*'Com-Ind Equations'!$B$24*'Com-Ind Equations'!$B$21*'Chemical Info'!J69*'Com-Ind Calculations'!E68,'Com-Ind Equations'!$B$20*1000*'Com-Ind Equations'!$B$24*'Com-Ind Equations'!$B$21*'Chemical Info'!J69*('Com-Ind Calculations'!C68+'Com-Ind Calculations'!E68))))</f>
        <v>NA</v>
      </c>
      <c r="K68" s="117" t="str">
        <f>IF('Chemical Info'!J69="NA","NA",IF(F68="NA",'Com-Ind Equations'!$B$20*1000*'Com-Ind Equations'!$B$24*'Com-Ind Equations'!$B$21*'Chemical Info'!J69*'Com-Ind Calculations'!C68,IF('Chemical Info'!E69="Yes",'Com-Ind Equations'!$B$20*1000*'Com-Ind Equations'!$B$24*'Com-Ind Equations'!$B$21*'Chemical Info'!J69*'Com-Ind Calculations'!F68,'Com-Ind Equations'!$B$20*1000*'Com-Ind Equations'!$B$24*'Com-Ind Equations'!$B$21*'Chemical Info'!J69*('Com-Ind Calculations'!C68+'Com-Ind Calculations'!F68))))</f>
        <v>NA</v>
      </c>
      <c r="L68" s="95" t="str">
        <f>IF(AND(H68="NA",I68="NA",J68="NA"),"NA",IF(H68="NA",'Com-Ind Equations'!$B$13*'Com-Ind Equations'!$B$14/J68,IF(J68="NA",'Com-Ind Equations'!$B$13*'Com-Ind Equations'!$B$14/(H68+I68),'Com-Ind Equations'!$B$13*'Com-Ind Equations'!$B$14/(H68+I68+J68))))</f>
        <v>NA</v>
      </c>
      <c r="M68" s="95" t="str">
        <f>IF(AND(H68="NA",I68="NA",K68="NA"),"NA",IF(H68="NA",'Com-Ind Equations'!$B$13*'Com-Ind Equations'!$B$14/K68,IF(K68="NA",'Com-Ind Equations'!$B$13*'Com-Ind Equations'!$B$14/(H68+I68),'Com-Ind Equations'!$B$13*'Com-Ind Equations'!$B$14/(H68+I68+K68))))</f>
        <v>NA</v>
      </c>
      <c r="N68" s="95" t="str">
        <f t="shared" ref="N68" si="50">IF(AND(L68="NA",M68="NA"),"NA",MAX(L68,M68))</f>
        <v>NA</v>
      </c>
      <c r="O68" s="94">
        <f>IF('Chemical Info'!L69="NA","NA",IF('Chemical Info'!E69="Yes",(('Com-Ind Equations'!$B$46*'Chemical Info'!AD69*'Com-Ind Equations'!$B$48*'Com-Ind Equations'!$B$49*'Com-Ind Equations'!$B$51)/('Com-Ind Equations'!$B$55*'Com-Ind Equations'!$B$56))/'Chemical Info'!L69,(('Com-Ind Equations'!$B$46*'Chemical Info'!AD69*'Com-Ind Equations'!$B$48*'Com-Ind Equations'!$B$49*'Com-Ind Equations'!$B$50)/('Com-Ind Equations'!$B$55*'Com-Ind Equations'!$B$56))/'Chemical Info'!L69))</f>
        <v>3.0821917808219177E-5</v>
      </c>
      <c r="P68" s="90">
        <f>IF('Chemical Info'!L69="NA","NA", IF('Chemical Info'!E69="Yes",0,((('Com-Ind Equations'!$B$58*'Com-Ind Equations'!$B$59*'Com-Ind Equations'!$B$48*'Com-Ind Equations'!$B$52*'Com-Ind Equations'!$B$49*'Chemical Info'!AB69)/('Com-Ind Equations'!$B$55*'Com-Ind Equations'!$B$56))/('Chemical Info'!L69*'Chemical Info'!AF69))))</f>
        <v>0</v>
      </c>
      <c r="Q68" s="90" t="str">
        <f>IF('Chemical Info'!N69="NA","NA",IF('Com-Ind Calculations'!E68="NA",(('Com-Ind Equations'!$B$53*'Com-Ind Equations'!$B$49*'Com-Ind Equations'!$B$54*'Com-Ind Calculations'!C68)/('Com-Ind Equations'!$B$56))/('Chemical Info'!N69),IF('Chemical Info'!E69="Yes",(('Com-Ind Equations'!$B$53*'Com-Ind Equations'!$B$49*'Com-Ind Equations'!$B$54*'Com-Ind Calculations'!E68)/('Com-Ind Equations'!$B$56))/('Chemical Info'!N69),(('Com-Ind Equations'!$B$53*'Com-Ind Equations'!$B$49*'Com-Ind Equations'!$B$54*('Com-Ind Calculations'!C68+'Com-Ind Calculations'!E68))/('Com-Ind Equations'!$B$56))/('Chemical Info'!N69))))</f>
        <v>NA</v>
      </c>
      <c r="R68" s="90" t="str">
        <f>IF('Chemical Info'!N69="NA","NA",IF('Com-Ind Calculations'!F68="NA",(('Com-Ind Equations'!$B$53*'Com-Ind Equations'!$B$49*'Com-Ind Equations'!$B$54*'Com-Ind Calculations'!C68)/('Com-Ind Equations'!$B$56))/('Chemical Info'!N69),IF('Chemical Info'!E69="Yes",(('Com-Ind Equations'!$B$53*'Com-Ind Equations'!$B$49*'Com-Ind Equations'!$B$54*'Com-Ind Calculations'!F68)/('Com-Ind Equations'!$B$56))/('Chemical Info'!N69),(('Com-Ind Equations'!$B$53*'Com-Ind Equations'!$B$49*'Com-Ind Equations'!$B$54*('Com-Ind Calculations'!C68+'Com-Ind Calculations'!F68))/('Com-Ind Equations'!$B$56))/('Chemical Info'!N69))))</f>
        <v>NA</v>
      </c>
      <c r="S68" s="90">
        <f>IF(AND(O68="NA",P68="NA",Q68="NA"),"NA",IF(O68="NA",'Com-Ind Equations'!$B$45/'Com-Ind Calculations'!Q68,IF('Com-Ind Calculations'!Q68="NA",'Com-Ind Equations'!$B$45/('Com-Ind Calculations'!O68+'Com-Ind Calculations'!P68),'Com-Ind Equations'!$B$45/('Com-Ind Calculations'!O68+'Com-Ind Calculations'!P68+'Com-Ind Calculations'!Q68))))</f>
        <v>6488.8888888888896</v>
      </c>
      <c r="T68" s="95">
        <f>IF(AND(O68="NA",P68="NA",R68="NA"),"NA",IF(O68="NA",'Com-Ind Equations'!$B$45/R68,IF(R68="NA",'Com-Ind Equations'!$B$45/(O68+P68),'Com-Ind Equations'!$B$45/(O68+P68+R68))))</f>
        <v>6488.8888888888896</v>
      </c>
      <c r="U68" s="97">
        <f t="shared" ref="U68" si="51">IF(AND(S68="NA",T68="NA"),"NA",MAX(S68,T68))</f>
        <v>6488.8888888888896</v>
      </c>
      <c r="V68" s="101">
        <f t="shared" ref="V68" si="52">IF(AND(N68="NA",U68="NA",G68="NA"),"NA",MIN(N68,U68,G68))</f>
        <v>1486.3465466666667</v>
      </c>
      <c r="W68" s="105">
        <f t="shared" ref="W68" si="53">IF(V68&gt;100000,100000,IF(ISNUMBER(ROUND(V68*1000000,2-LEN(INT(V68*1000000)))/1000000),ROUND(V68*1000000,2-LEN(INT(V68*1000000)))/1000000,"NA"))</f>
        <v>1500</v>
      </c>
      <c r="X68" s="100" t="str">
        <f t="shared" ref="X68" si="54">IF(W68=100000,"Max Limit",IF(V68=G68,"Csat",IF(V68=N68,"Cancer",IF(V68=U68,"Noncancer",""))))</f>
        <v>Csat</v>
      </c>
      <c r="Y68" s="70"/>
    </row>
    <row r="69" spans="1:25">
      <c r="A69" s="67" t="s">
        <v>124</v>
      </c>
      <c r="B69" s="566" t="s">
        <v>125</v>
      </c>
      <c r="C69" s="85">
        <f>1/(('Com-Ind Equations'!$B$123*3600)/(0.036*(1-'Com-Ind Equations'!$B$124)*(('Com-Ind Equations'!$B$125/'Com-Ind Equations'!$B$126)^3)*'Com-Ind Equations'!$B$127))</f>
        <v>1.4713536180231943E-9</v>
      </c>
      <c r="D69" s="90">
        <f>(('Com-Ind Equations'!$B$103^(10/3)*'Chemical Info'!AH70*'Chemical Info'!AN70*41+'Com-Ind Equations'!$B$106^(10/3)*'Chemical Info'!AJ70)/'Com-Ind Equations'!$B$108^2)/('Com-Ind Equations'!$B$110*'Chemical Info'!AL70*'Com-Ind Equations'!$B$113+'Com-Ind Equations'!$B$106+'Com-Ind Equations'!$B$103*'Chemical Info'!AN70*41)</f>
        <v>3.9641824831938767E-4</v>
      </c>
      <c r="E69" s="65">
        <f>IF(D69=0,"NA",1/(('Com-Ind Equations'!$B$74*(3.14*D69*'Com-Ind Equations'!$B$76)^(1/2)*0.0001)/(2*'Com-Ind Equations'!$B$77*D69)))</f>
        <v>1.1687063478425249E-4</v>
      </c>
      <c r="F69" s="65">
        <f>IF(D69=0,"NA",(1/('Com-Ind Equations'!$B$88*('Com-Ind Equations'!$B$89*(31500000))/('Com-Ind Equations'!$B$90*'Com-Ind Equations'!$B$91*1000000))))</f>
        <v>6.1914410640015851E-5</v>
      </c>
      <c r="G69" s="95">
        <f>IF('Chemical Info'!E70="Yes",('Chemical Info'!AP70/'Com-Ind Equations'!$B$139)*((('Chemical Info'!AL70*'Com-Ind Equations'!$B$141)*'Com-Ind Equations'!$B$139)+'Com-Ind Equations'!$B$142+('Chemical Info'!AN70*41)*'Com-Ind Equations'!$B$144),"NA")</f>
        <v>479.43749706666671</v>
      </c>
      <c r="H69" s="112">
        <f>IF('Chemical Info'!H70="NA","NA",IF('Chemical Info'!E70="Yes",'Chemical Info'!H70*'Chemical Info'!AD70*'Com-Ind Equations'!$B$18*'Com-Ind Equations'!$B$22*(('Com-Ind Equations'!$B$24*'Com-Ind Equations'!$B$25)/'Com-Ind Equations'!$B$26),'Chemical Info'!H70*'Chemical Info'!AD70*'Com-Ind Equations'!$B$17*'Com-Ind Equations'!$B$22*('Com-Ind Equations'!$B$24*'Com-Ind Equations'!$B$25/'Com-Ind Equations'!$B$26)))</f>
        <v>6.1875E-5</v>
      </c>
      <c r="I69" s="108">
        <f>IF('Chemical Info'!H70="NA","NA",IF('Chemical Info'!E70="Yes",0,('Chemical Info'!H70/'Chemical Info'!AF70)*'Com-Ind Equations'!$B$19*'Chemical Info'!AB70*'Com-Ind Equations'!$B$22*(('Com-Ind Equations'!$B$24*'Com-Ind Equations'!$B$29*'Com-Ind Equations'!$B$30)/'Com-Ind Equations'!$B$26)))</f>
        <v>0</v>
      </c>
      <c r="J69" s="115">
        <f>IF('Chemical Info'!J70="NA","NA",IF(E69="NA",'Com-Ind Equations'!$B$20*1000*'Com-Ind Equations'!$B$24*'Com-Ind Equations'!$B$21*'Chemical Info'!J70*'Com-Ind Calculations'!C69,IF('Chemical Info'!E70="Yes",'Com-Ind Equations'!$B$20*1000*'Com-Ind Equations'!$B$24*'Com-Ind Equations'!$B$21*'Chemical Info'!J70*'Com-Ind Calculations'!E69,'Com-Ind Equations'!$B$20*1000*'Com-Ind Equations'!$B$24*'Com-Ind Equations'!$B$21*'Chemical Info'!J70*('Com-Ind Calculations'!C69+'Com-Ind Calculations'!E69))))</f>
        <v>5.4783110055118352E-4</v>
      </c>
      <c r="K69" s="117">
        <f>IF('Chemical Info'!J70="NA","NA",IF(F69="NA",'Com-Ind Equations'!$B$20*1000*'Com-Ind Equations'!$B$24*'Com-Ind Equations'!$B$21*'Chemical Info'!J70*'Com-Ind Calculations'!C69,IF('Chemical Info'!E70="Yes",'Com-Ind Equations'!$B$20*1000*'Com-Ind Equations'!$B$24*'Com-Ind Equations'!$B$21*'Chemical Info'!J70*'Com-Ind Calculations'!F69,'Com-Ind Equations'!$B$20*1000*'Com-Ind Equations'!$B$24*'Com-Ind Equations'!$B$21*'Chemical Info'!J70*('Com-Ind Calculations'!C69+'Com-Ind Calculations'!F69))))</f>
        <v>2.9022379987507431E-4</v>
      </c>
      <c r="L69" s="95">
        <f>IF(AND(H69="NA",I69="NA",J69="NA"),"NA",IF(H69="NA",'Com-Ind Equations'!$B$13*'Com-Ind Equations'!$B$14/J69,IF(J69="NA",'Com-Ind Equations'!$B$13*'Com-Ind Equations'!$B$14/(H69+I69),'Com-Ind Equations'!$B$13*'Com-Ind Equations'!$B$14/(H69+I69+J69))))</f>
        <v>419.05436040253517</v>
      </c>
      <c r="M69" s="95">
        <f>IF(AND(H69="NA",I69="NA",K69="NA"),"NA",IF(H69="NA",'Com-Ind Equations'!$B$13*'Com-Ind Equations'!$B$14/K69,IF(K69="NA",'Com-Ind Equations'!$B$13*'Com-Ind Equations'!$B$14/(H69+I69),'Com-Ind Equations'!$B$13*'Com-Ind Equations'!$B$14/(H69+I69+K69))))</f>
        <v>725.64859661734772</v>
      </c>
      <c r="N69" s="95">
        <f t="shared" si="10"/>
        <v>725.64859661734772</v>
      </c>
      <c r="O69" s="94">
        <f>IF('Chemical Info'!L70="NA","NA",IF('Chemical Info'!E70="Yes",(('Com-Ind Equations'!$B$46*'Chemical Info'!AD70*'Com-Ind Equations'!$B$48*'Com-Ind Equations'!$B$49*'Com-Ind Equations'!$B$51)/('Com-Ind Equations'!$B$55*'Com-Ind Equations'!$B$56))/'Chemical Info'!L70,(('Com-Ind Equations'!$B$46*'Chemical Info'!AD70*'Com-Ind Equations'!$B$48*'Com-Ind Equations'!$B$49*'Com-Ind Equations'!$B$50)/('Com-Ind Equations'!$B$55*'Com-Ind Equations'!$B$56))/'Chemical Info'!L70))</f>
        <v>5.6039850560398504E-5</v>
      </c>
      <c r="P69" s="90">
        <f>IF('Chemical Info'!L70="NA","NA", IF('Chemical Info'!E70="Yes",0,((('Com-Ind Equations'!$B$58*'Com-Ind Equations'!$B$59*'Com-Ind Equations'!$B$48*'Com-Ind Equations'!$B$52*'Com-Ind Equations'!$B$49*'Chemical Info'!AB70)/('Com-Ind Equations'!$B$55*'Com-Ind Equations'!$B$56))/('Chemical Info'!L70*'Chemical Info'!AF70))))</f>
        <v>0</v>
      </c>
      <c r="Q69" s="90">
        <f>IF('Chemical Info'!N70="NA","NA",IF('Com-Ind Calculations'!E69="NA",(('Com-Ind Equations'!$B$53*'Com-Ind Equations'!$B$49*'Com-Ind Equations'!$B$54*'Com-Ind Calculations'!C69)/('Com-Ind Equations'!$B$56))/('Chemical Info'!N70),IF('Chemical Info'!E70="Yes",(('Com-Ind Equations'!$B$53*'Com-Ind Equations'!$B$49*'Com-Ind Equations'!$B$54*'Com-Ind Calculations'!E69)/('Com-Ind Equations'!$B$56))/('Chemical Info'!N70),(('Com-Ind Equations'!$B$53*'Com-Ind Equations'!$B$49*'Com-Ind Equations'!$B$54*('Com-Ind Calculations'!C69+'Com-Ind Calculations'!E69))/('Com-Ind Equations'!$B$56))/('Chemical Info'!N70))))</f>
        <v>9.236351537217004E-5</v>
      </c>
      <c r="R69" s="90">
        <f>IF('Chemical Info'!N70="NA","NA",IF('Com-Ind Calculations'!F69="NA",(('Com-Ind Equations'!$B$53*'Com-Ind Equations'!$B$49*'Com-Ind Equations'!$B$54*'Com-Ind Calculations'!C69)/('Com-Ind Equations'!$B$56))/('Chemical Info'!N70),IF('Chemical Info'!E70="Yes",(('Com-Ind Equations'!$B$53*'Com-Ind Equations'!$B$49*'Com-Ind Equations'!$B$54*'Com-Ind Calculations'!F69)/('Com-Ind Equations'!$B$56))/('Chemical Info'!N70),(('Com-Ind Equations'!$B$53*'Com-Ind Equations'!$B$49*'Com-Ind Equations'!$B$54*('Com-Ind Calculations'!C69+'Com-Ind Calculations'!F69))/('Com-Ind Equations'!$B$56))/('Chemical Info'!N70))))</f>
        <v>4.8931304510023062E-5</v>
      </c>
      <c r="S69" s="90">
        <f>IF(AND(O69="NA",P69="NA",Q69="NA"),"NA",IF(O69="NA",'Com-Ind Equations'!$B$45/'Com-Ind Calculations'!Q69,IF('Com-Ind Calculations'!Q69="NA",'Com-Ind Equations'!$B$45/('Com-Ind Calculations'!O69+'Com-Ind Calculations'!P69),'Com-Ind Equations'!$B$45/('Com-Ind Calculations'!O69+'Com-Ind Calculations'!P69+'Com-Ind Calculations'!Q69))))</f>
        <v>1347.6783275311686</v>
      </c>
      <c r="T69" s="95">
        <f>IF(AND(O69="NA",P69="NA",R69="NA"),"NA",IF(O69="NA",'Com-Ind Equations'!$B$45/R69,IF(R69="NA",'Com-Ind Equations'!$B$45/(O69+P69),'Com-Ind Equations'!$B$45/(O69+P69+R69))))</f>
        <v>1905.2853125777917</v>
      </c>
      <c r="U69" s="97">
        <f t="shared" si="11"/>
        <v>1905.2853125777917</v>
      </c>
      <c r="V69" s="101">
        <f t="shared" si="12"/>
        <v>479.43749706666671</v>
      </c>
      <c r="W69" s="105">
        <f t="shared" si="13"/>
        <v>480</v>
      </c>
      <c r="X69" s="100" t="str">
        <f t="shared" si="14"/>
        <v>Csat</v>
      </c>
      <c r="Y69" s="70"/>
    </row>
    <row r="70" spans="1:25">
      <c r="A70" s="67" t="s">
        <v>1122</v>
      </c>
      <c r="B70" s="566" t="s">
        <v>1114</v>
      </c>
      <c r="C70" s="85">
        <f>1/(('Com-Ind Equations'!$B$123*3600)/(0.036*(1-'Com-Ind Equations'!$B$124)*(('Com-Ind Equations'!$B$125/'Com-Ind Equations'!$B$126)^3)*'Com-Ind Equations'!$B$127))</f>
        <v>1.4713536180231943E-9</v>
      </c>
      <c r="D70" s="90">
        <f>(('Com-Ind Equations'!$B$103^(10/3)*'Chemical Info'!AH71*'Chemical Info'!AN71*41+'Com-Ind Equations'!$B$106^(10/3)*'Chemical Info'!AJ71)/'Com-Ind Equations'!$B$108^2)/('Com-Ind Equations'!$B$110*'Chemical Info'!AL71*'Com-Ind Equations'!$B$113+'Com-Ind Equations'!$B$106+'Com-Ind Equations'!$B$103*'Chemical Info'!AN71*41)</f>
        <v>1.3043024782643962E-3</v>
      </c>
      <c r="E70" s="65">
        <f>IF(D70=0,"NA",1/(('Com-Ind Equations'!$B$74*(3.14*D70*'Com-Ind Equations'!$B$76)^(1/2)*0.0001)/(2*'Com-Ind Equations'!$B$77*D70)))</f>
        <v>2.11991156237243E-4</v>
      </c>
      <c r="F70" s="65">
        <f>IF(D70=0,"NA",(1/('Com-Ind Equations'!$B$88*('Com-Ind Equations'!$B$89*(31500000))/('Com-Ind Equations'!$B$90*'Com-Ind Equations'!$B$91*1000000))))</f>
        <v>6.1914410640015851E-5</v>
      </c>
      <c r="G70" s="95">
        <f>IF('Chemical Info'!E71="Yes",('Chemical Info'!AP71/'Com-Ind Equations'!$B$139)*((('Chemical Info'!AL71*'Com-Ind Equations'!$B$141)*'Com-Ind Equations'!$B$139)+'Com-Ind Equations'!$B$142+('Chemical Info'!AN71*41)*'Com-Ind Equations'!$B$144),"NA")</f>
        <v>10123.499039999999</v>
      </c>
      <c r="H70" s="112" t="str">
        <f>IF('Chemical Info'!H71="NA","NA",IF('Chemical Info'!E71="Yes",'Chemical Info'!H71*'Chemical Info'!AD71*'Com-Ind Equations'!$B$18*'Com-Ind Equations'!$B$22*(('Com-Ind Equations'!$B$24*'Com-Ind Equations'!$B$25)/'Com-Ind Equations'!$B$26),'Chemical Info'!H71*'Chemical Info'!AD71*'Com-Ind Equations'!$B$17*'Com-Ind Equations'!$B$22*('Com-Ind Equations'!$B$24*'Com-Ind Equations'!$B$25/'Com-Ind Equations'!$B$26)))</f>
        <v>NA</v>
      </c>
      <c r="I70" s="108" t="str">
        <f>IF('Chemical Info'!H71="NA","NA",IF('Chemical Info'!E71="Yes",0,('Chemical Info'!H71/'Chemical Info'!AF71)*'Com-Ind Equations'!$B$19*'Chemical Info'!AB71*'Com-Ind Equations'!$B$22*(('Com-Ind Equations'!$B$24*'Com-Ind Equations'!$B$29*'Com-Ind Equations'!$B$30)/'Com-Ind Equations'!$B$26)))</f>
        <v>NA</v>
      </c>
      <c r="J70" s="115" t="str">
        <f>IF('Chemical Info'!J71="NA","NA",IF(E70="NA",'Com-Ind Equations'!$B$20*1000*'Com-Ind Equations'!$B$24*'Com-Ind Equations'!$B$21*'Chemical Info'!J71*'Com-Ind Calculations'!C70,IF('Chemical Info'!E71="Yes",'Com-Ind Equations'!$B$20*1000*'Com-Ind Equations'!$B$24*'Com-Ind Equations'!$B$21*'Chemical Info'!J71*'Com-Ind Calculations'!E70,'Com-Ind Equations'!$B$20*1000*'Com-Ind Equations'!$B$24*'Com-Ind Equations'!$B$21*'Chemical Info'!J71*('Com-Ind Calculations'!C70+'Com-Ind Calculations'!E70))))</f>
        <v>NA</v>
      </c>
      <c r="K70" s="117" t="str">
        <f>IF('Chemical Info'!J71="NA","NA",IF(F70="NA",'Com-Ind Equations'!$B$20*1000*'Com-Ind Equations'!$B$24*'Com-Ind Equations'!$B$21*'Chemical Info'!J71*'Com-Ind Calculations'!C70,IF('Chemical Info'!E71="Yes",'Com-Ind Equations'!$B$20*1000*'Com-Ind Equations'!$B$24*'Com-Ind Equations'!$B$21*'Chemical Info'!J71*'Com-Ind Calculations'!F70,'Com-Ind Equations'!$B$20*1000*'Com-Ind Equations'!$B$24*'Com-Ind Equations'!$B$21*'Chemical Info'!J71*('Com-Ind Calculations'!C70+'Com-Ind Calculations'!F70))))</f>
        <v>NA</v>
      </c>
      <c r="L70" s="95" t="str">
        <f>IF(AND(H70="NA",I70="NA",J70="NA"),"NA",IF(H70="NA",'Com-Ind Equations'!$B$13*'Com-Ind Equations'!$B$14/J70,IF(J70="NA",'Com-Ind Equations'!$B$13*'Com-Ind Equations'!$B$14/(H70+I70),'Com-Ind Equations'!$B$13*'Com-Ind Equations'!$B$14/(H70+I70+J70))))</f>
        <v>NA</v>
      </c>
      <c r="M70" s="95" t="str">
        <f>IF(AND(H70="NA",I70="NA",K70="NA"),"NA",IF(H70="NA",'Com-Ind Equations'!$B$13*'Com-Ind Equations'!$B$14/K70,IF(K70="NA",'Com-Ind Equations'!$B$13*'Com-Ind Equations'!$B$14/(H70+I70),'Com-Ind Equations'!$B$13*'Com-Ind Equations'!$B$14/(H70+I70+K70))))</f>
        <v>NA</v>
      </c>
      <c r="N70" s="95" t="str">
        <f t="shared" ref="N70" si="55">IF(AND(L70="NA",M70="NA"),"NA",MAX(L70,M70))</f>
        <v>NA</v>
      </c>
      <c r="O70" s="94">
        <f>IF('Chemical Info'!L71="NA","NA",IF('Chemical Info'!E71="Yes",(('Com-Ind Equations'!$B$46*'Chemical Info'!AD71*'Com-Ind Equations'!$B$48*'Com-Ind Equations'!$B$49*'Com-Ind Equations'!$B$51)/('Com-Ind Equations'!$B$55*'Com-Ind Equations'!$B$56))/'Chemical Info'!L71,(('Com-Ind Equations'!$B$46*'Chemical Info'!AD71*'Com-Ind Equations'!$B$48*'Com-Ind Equations'!$B$49*'Com-Ind Equations'!$B$50)/('Com-Ind Equations'!$B$55*'Com-Ind Equations'!$B$56))/'Chemical Info'!L71))</f>
        <v>1.4677103718199607E-5</v>
      </c>
      <c r="P70" s="90">
        <f>IF('Chemical Info'!L71="NA","NA", IF('Chemical Info'!E71="Yes",0,((('Com-Ind Equations'!$B$58*'Com-Ind Equations'!$B$59*'Com-Ind Equations'!$B$48*'Com-Ind Equations'!$B$52*'Com-Ind Equations'!$B$49*'Chemical Info'!AB71)/('Com-Ind Equations'!$B$55*'Com-Ind Equations'!$B$56))/('Chemical Info'!L71*'Chemical Info'!AF71))))</f>
        <v>0</v>
      </c>
      <c r="Q70" s="90" t="str">
        <f>IF('Chemical Info'!N71="NA","NA",IF('Com-Ind Calculations'!E70="NA",(('Com-Ind Equations'!$B$53*'Com-Ind Equations'!$B$49*'Com-Ind Equations'!$B$54*'Com-Ind Calculations'!C70)/('Com-Ind Equations'!$B$56))/('Chemical Info'!N71),IF('Chemical Info'!E71="Yes",(('Com-Ind Equations'!$B$53*'Com-Ind Equations'!$B$49*'Com-Ind Equations'!$B$54*'Com-Ind Calculations'!E70)/('Com-Ind Equations'!$B$56))/('Chemical Info'!N71),(('Com-Ind Equations'!$B$53*'Com-Ind Equations'!$B$49*'Com-Ind Equations'!$B$54*('Com-Ind Calculations'!C70+'Com-Ind Calculations'!E70))/('Com-Ind Equations'!$B$56))/('Chemical Info'!N71))))</f>
        <v>NA</v>
      </c>
      <c r="R70" s="90" t="str">
        <f>IF('Chemical Info'!N71="NA","NA",IF('Com-Ind Calculations'!F70="NA",(('Com-Ind Equations'!$B$53*'Com-Ind Equations'!$B$49*'Com-Ind Equations'!$B$54*'Com-Ind Calculations'!C70)/('Com-Ind Equations'!$B$56))/('Chemical Info'!N71),IF('Chemical Info'!E71="Yes",(('Com-Ind Equations'!$B$53*'Com-Ind Equations'!$B$49*'Com-Ind Equations'!$B$54*'Com-Ind Calculations'!F70)/('Com-Ind Equations'!$B$56))/('Chemical Info'!N71),(('Com-Ind Equations'!$B$53*'Com-Ind Equations'!$B$49*'Com-Ind Equations'!$B$54*('Com-Ind Calculations'!C70+'Com-Ind Calculations'!F70))/('Com-Ind Equations'!$B$56))/('Chemical Info'!N71))))</f>
        <v>NA</v>
      </c>
      <c r="S70" s="90">
        <f>IF(AND(O70="NA",P70="NA",Q70="NA"),"NA",IF(O70="NA",'Com-Ind Equations'!$B$45/'Com-Ind Calculations'!Q70,IF('Com-Ind Calculations'!Q70="NA",'Com-Ind Equations'!$B$45/('Com-Ind Calculations'!O70+'Com-Ind Calculations'!P70),'Com-Ind Equations'!$B$45/('Com-Ind Calculations'!O70+'Com-Ind Calculations'!P70+'Com-Ind Calculations'!Q70))))</f>
        <v>13626.666666666668</v>
      </c>
      <c r="T70" s="95">
        <f>IF(AND(O70="NA",P70="NA",R70="NA"),"NA",IF(O70="NA",'Com-Ind Equations'!$B$45/R70,IF(R70="NA",'Com-Ind Equations'!$B$45/(O70+P70),'Com-Ind Equations'!$B$45/(O70+P70+R70))))</f>
        <v>13626.666666666668</v>
      </c>
      <c r="U70" s="97">
        <f t="shared" ref="U70" si="56">IF(AND(S70="NA",T70="NA"),"NA",MAX(S70,T70))</f>
        <v>13626.666666666668</v>
      </c>
      <c r="V70" s="101">
        <f t="shared" ref="V70" si="57">IF(AND(N70="NA",U70="NA",G70="NA"),"NA",MIN(N70,U70,G70))</f>
        <v>10123.499039999999</v>
      </c>
      <c r="W70" s="105">
        <f t="shared" ref="W70" si="58">IF(V70&gt;100000,100000,IF(ISNUMBER(ROUND(V70*1000000,2-LEN(INT(V70*1000000)))/1000000),ROUND(V70*1000000,2-LEN(INT(V70*1000000)))/1000000,"NA"))</f>
        <v>10000</v>
      </c>
      <c r="X70" s="100" t="str">
        <f t="shared" ref="X70" si="59">IF(W70=100000,"Max Limit",IF(V70=G70,"Csat",IF(V70=N70,"Cancer",IF(V70=U70,"Noncancer",""))))</f>
        <v>Csat</v>
      </c>
      <c r="Y70" s="70"/>
    </row>
    <row r="71" spans="1:25">
      <c r="A71" s="67" t="s">
        <v>1228</v>
      </c>
      <c r="B71" s="566" t="s">
        <v>1229</v>
      </c>
      <c r="C71" s="85">
        <f>1/(('Com-Ind Equations'!$B$123*3600)/(0.036*(1-'Com-Ind Equations'!$B$124)*(('Com-Ind Equations'!$B$125/'Com-Ind Equations'!$B$126)^3)*'Com-Ind Equations'!$B$127))</f>
        <v>1.4713536180231943E-9</v>
      </c>
      <c r="D71" s="90">
        <f>(('Com-Ind Equations'!$B$103^(10/3)*'Chemical Info'!AH72*'Chemical Info'!AN72*41+'Com-Ind Equations'!$B$106^(10/3)*'Chemical Info'!AJ72)/'Com-Ind Equations'!$B$108^2)/('Com-Ind Equations'!$B$110*'Chemical Info'!AL72*'Com-Ind Equations'!$B$113+'Com-Ind Equations'!$B$106+'Com-Ind Equations'!$B$103*'Chemical Info'!AN72*41)</f>
        <v>9.4590034898362971E-4</v>
      </c>
      <c r="E71" s="65">
        <f>IF(D71=0,"NA",1/(('Com-Ind Equations'!$B$74*(3.14*D71*'Com-Ind Equations'!$B$76)^(1/2)*0.0001)/(2*'Com-Ind Equations'!$B$77*D71)))</f>
        <v>1.8053078753660351E-4</v>
      </c>
      <c r="F71" s="65">
        <f>IF(D71=0,"NA",(1/('Com-Ind Equations'!$B$88*('Com-Ind Equations'!$B$89*(31500000))/('Com-Ind Equations'!$B$90*'Com-Ind Equations'!$B$91*1000000))))</f>
        <v>6.1914410640015851E-5</v>
      </c>
      <c r="G71" s="95">
        <f>IF('Chemical Info'!E72="Yes",('Chemical Info'!AP72/'Com-Ind Equations'!$B$139)*((('Chemical Info'!AL72*'Com-Ind Equations'!$B$141)*'Com-Ind Equations'!$B$139)+'Com-Ind Equations'!$B$142+('Chemical Info'!AN72*41)*'Com-Ind Equations'!$B$144),"NA")</f>
        <v>2867.6576</v>
      </c>
      <c r="H71" s="112" t="str">
        <f>IF('Chemical Info'!H72="NA","NA",IF('Chemical Info'!E72="Yes",'Chemical Info'!H72*'Chemical Info'!AD72*'Com-Ind Equations'!$B$18*'Com-Ind Equations'!$B$22*(('Com-Ind Equations'!$B$24*'Com-Ind Equations'!$B$25)/'Com-Ind Equations'!$B$26),'Chemical Info'!H72*'Chemical Info'!AD72*'Com-Ind Equations'!$B$17*'Com-Ind Equations'!$B$22*('Com-Ind Equations'!$B$24*'Com-Ind Equations'!$B$25/'Com-Ind Equations'!$B$26)))</f>
        <v>NA</v>
      </c>
      <c r="I71" s="108" t="str">
        <f>IF('Chemical Info'!H72="NA","NA",IF('Chemical Info'!E72="Yes",0,('Chemical Info'!H72/'Chemical Info'!AF72)*'Com-Ind Equations'!$B$19*'Chemical Info'!AB72*'Com-Ind Equations'!$B$22*(('Com-Ind Equations'!$B$24*'Com-Ind Equations'!$B$29*'Com-Ind Equations'!$B$30)/'Com-Ind Equations'!$B$26)))</f>
        <v>NA</v>
      </c>
      <c r="J71" s="115">
        <f>IF('Chemical Info'!J72="NA","NA",IF(E71="NA",'Com-Ind Equations'!$B$20*1000*'Com-Ind Equations'!$B$24*'Com-Ind Equations'!$B$21*'Chemical Info'!J72*'Com-Ind Calculations'!C71,IF('Chemical Info'!E72="Yes",'Com-Ind Equations'!$B$20*1000*'Com-Ind Equations'!$B$24*'Com-Ind Equations'!$B$21*'Chemical Info'!J72*'Com-Ind Calculations'!E71,'Com-Ind Equations'!$B$20*1000*'Com-Ind Equations'!$B$24*'Com-Ind Equations'!$B$21*'Chemical Info'!J72*('Com-Ind Calculations'!C71+'Com-Ind Calculations'!E71))))</f>
        <v>2.7079618130490525E-5</v>
      </c>
      <c r="K71" s="117">
        <f>IF('Chemical Info'!J72="NA","NA",IF(F71="NA",'Com-Ind Equations'!$B$20*1000*'Com-Ind Equations'!$B$24*'Com-Ind Equations'!$B$21*'Chemical Info'!J72*'Com-Ind Calculations'!C71,IF('Chemical Info'!E72="Yes",'Com-Ind Equations'!$B$20*1000*'Com-Ind Equations'!$B$24*'Com-Ind Equations'!$B$21*'Chemical Info'!J72*'Com-Ind Calculations'!F71,'Com-Ind Equations'!$B$20*1000*'Com-Ind Equations'!$B$24*'Com-Ind Equations'!$B$21*'Chemical Info'!J72*('Com-Ind Calculations'!C71+'Com-Ind Calculations'!F71))))</f>
        <v>9.2871615960023766E-6</v>
      </c>
      <c r="L71" s="95">
        <f>IF(AND(H71="NA",I71="NA",J71="NA"),"NA",IF(H71="NA",'Com-Ind Equations'!$B$13*'Com-Ind Equations'!$B$14/J71,IF(J71="NA",'Com-Ind Equations'!$B$13*'Com-Ind Equations'!$B$14/(H71+I71),'Com-Ind Equations'!$B$13*'Com-Ind Equations'!$B$14/(H71+I71+J71))))</f>
        <v>9435.1404354671322</v>
      </c>
      <c r="M71" s="95">
        <f>IF(AND(H71="NA",I71="NA",K71="NA"),"NA",IF(H71="NA",'Com-Ind Equations'!$B$13*'Com-Ind Equations'!$B$14/K71,IF(K71="NA",'Com-Ind Equations'!$B$13*'Com-Ind Equations'!$B$14/(H71+I71),'Com-Ind Equations'!$B$13*'Com-Ind Equations'!$B$14/(H71+I71+K71))))</f>
        <v>27511.096620734908</v>
      </c>
      <c r="N71" s="95">
        <f t="shared" ref="N71" si="60">IF(AND(L71="NA",M71="NA"),"NA",MAX(L71,M71))</f>
        <v>27511.096620734908</v>
      </c>
      <c r="O71" s="94">
        <f>IF('Chemical Info'!L72="NA","NA",IF('Chemical Info'!E72="Yes",(('Com-Ind Equations'!$B$46*'Chemical Info'!AD72*'Com-Ind Equations'!$B$48*'Com-Ind Equations'!$B$49*'Com-Ind Equations'!$B$51)/('Com-Ind Equations'!$B$55*'Com-Ind Equations'!$B$56))/'Chemical Info'!L72,(('Com-Ind Equations'!$B$46*'Chemical Info'!AD72*'Com-Ind Equations'!$B$48*'Com-Ind Equations'!$B$49*'Com-Ind Equations'!$B$50)/('Com-Ind Equations'!$B$55*'Com-Ind Equations'!$B$56))/'Chemical Info'!L72))</f>
        <v>6.1643835616438352E-7</v>
      </c>
      <c r="P71" s="90">
        <f>IF('Chemical Info'!L72="NA","NA", IF('Chemical Info'!E72="Yes",0,((('Com-Ind Equations'!$B$58*'Com-Ind Equations'!$B$59*'Com-Ind Equations'!$B$48*'Com-Ind Equations'!$B$52*'Com-Ind Equations'!$B$49*'Chemical Info'!AB72)/('Com-Ind Equations'!$B$55*'Com-Ind Equations'!$B$56))/('Chemical Info'!L72*'Chemical Info'!AF72))))</f>
        <v>0</v>
      </c>
      <c r="Q71" s="90">
        <f>IF('Chemical Info'!N72="NA","NA",IF('Com-Ind Calculations'!E71="NA",(('Com-Ind Equations'!$B$53*'Com-Ind Equations'!$B$49*'Com-Ind Equations'!$B$54*'Com-Ind Calculations'!C71)/('Com-Ind Equations'!$B$56))/('Chemical Info'!N72),IF('Chemical Info'!E72="Yes",(('Com-Ind Equations'!$B$53*'Com-Ind Equations'!$B$49*'Com-Ind Equations'!$B$54*'Com-Ind Calculations'!E71)/('Com-Ind Equations'!$B$56))/('Chemical Info'!N72),(('Com-Ind Equations'!$B$53*'Com-Ind Equations'!$B$49*'Com-Ind Equations'!$B$54*('Com-Ind Calculations'!C71+'Com-Ind Calculations'!E71))/('Com-Ind Equations'!$B$56))/('Chemical Info'!N72))))</f>
        <v>9.2738418255104545E-7</v>
      </c>
      <c r="R71" s="90">
        <f>IF('Chemical Info'!N72="NA","NA",IF('Com-Ind Calculations'!F71="NA",(('Com-Ind Equations'!$B$53*'Com-Ind Equations'!$B$49*'Com-Ind Equations'!$B$54*'Com-Ind Calculations'!C71)/('Com-Ind Equations'!$B$56))/('Chemical Info'!N72),IF('Chemical Info'!E72="Yes",(('Com-Ind Equations'!$B$53*'Com-Ind Equations'!$B$49*'Com-Ind Equations'!$B$54*'Com-Ind Calculations'!F71)/('Com-Ind Equations'!$B$56))/('Chemical Info'!N72),(('Com-Ind Equations'!$B$53*'Com-Ind Equations'!$B$49*'Com-Ind Equations'!$B$54*('Com-Ind Calculations'!C71+'Com-Ind Calculations'!F71))/('Com-Ind Equations'!$B$56))/('Chemical Info'!N72))))</f>
        <v>3.1805347931514992E-7</v>
      </c>
      <c r="S71" s="90">
        <f>IF(AND(O71="NA",P71="NA",Q71="NA"),"NA",IF(O71="NA",'Com-Ind Equations'!$B$45/'Com-Ind Calculations'!Q71,IF('Com-Ind Calculations'!Q71="NA",'Com-Ind Equations'!$B$45/('Com-Ind Calculations'!O71+'Com-Ind Calculations'!P71),'Com-Ind Equations'!$B$45/('Com-Ind Calculations'!O71+'Com-Ind Calculations'!P71+'Com-Ind Calculations'!Q71))))</f>
        <v>129548.56855919097</v>
      </c>
      <c r="T71" s="95">
        <f>IF(AND(O71="NA",P71="NA",R71="NA"),"NA",IF(O71="NA",'Com-Ind Equations'!$B$45/R71,IF(R71="NA",'Com-Ind Equations'!$B$45/(O71+P71),'Com-Ind Equations'!$B$45/(O71+P71+R71))))</f>
        <v>214020.06139237186</v>
      </c>
      <c r="U71" s="97">
        <f t="shared" ref="U71" si="61">IF(AND(S71="NA",T71="NA"),"NA",MAX(S71,T71))</f>
        <v>214020.06139237186</v>
      </c>
      <c r="V71" s="101">
        <f t="shared" ref="V71" si="62">IF(AND(N71="NA",U71="NA",G71="NA"),"NA",MIN(N71,U71,G71))</f>
        <v>2867.6576</v>
      </c>
      <c r="W71" s="105">
        <f t="shared" ref="W71" si="63">IF(V71&gt;100000,100000,IF(ISNUMBER(ROUND(V71*1000000,2-LEN(INT(V71*1000000)))/1000000),ROUND(V71*1000000,2-LEN(INT(V71*1000000)))/1000000,"NA"))</f>
        <v>2900</v>
      </c>
      <c r="X71" s="100" t="str">
        <f t="shared" ref="X71" si="64">IF(W71=100000,"Max Limit",IF(V71=G71,"Csat",IF(V71=N71,"Cancer",IF(V71=U71,"Noncancer",""))))</f>
        <v>Csat</v>
      </c>
      <c r="Y71" s="70"/>
    </row>
    <row r="72" spans="1:25">
      <c r="A72" s="67" t="s">
        <v>1167</v>
      </c>
      <c r="B72" s="566" t="s">
        <v>1168</v>
      </c>
      <c r="C72" s="85">
        <f>1/(('Com-Ind Equations'!$B$123*3600)/(0.036*(1-'Com-Ind Equations'!$B$124)*(('Com-Ind Equations'!$B$125/'Com-Ind Equations'!$B$126)^3)*'Com-Ind Equations'!$B$127))</f>
        <v>1.4713536180231943E-9</v>
      </c>
      <c r="D72" s="90">
        <f>(('Com-Ind Equations'!$B$103^(10/3)*'Chemical Info'!AH73*'Chemical Info'!AN73*41+'Com-Ind Equations'!$B$106^(10/3)*'Chemical Info'!AJ73)/'Com-Ind Equations'!$B$108^2)/('Com-Ind Equations'!$B$110*'Chemical Info'!AL73*'Com-Ind Equations'!$B$113+'Com-Ind Equations'!$B$106+'Com-Ind Equations'!$B$103*'Chemical Info'!AN73*41)</f>
        <v>3.5708096391766474E-5</v>
      </c>
      <c r="E72" s="65">
        <f>IF(D72=0,"NA",1/(('Com-Ind Equations'!$B$74*(3.14*D72*'Com-Ind Equations'!$B$76)^(1/2)*0.0001)/(2*'Com-Ind Equations'!$B$77*D72)))</f>
        <v>3.5076151166602715E-5</v>
      </c>
      <c r="F72" s="65">
        <f>IF(D72=0,"NA",(1/('Com-Ind Equations'!$B$88*('Com-Ind Equations'!$B$89*(31500000))/('Com-Ind Equations'!$B$90*'Com-Ind Equations'!$B$91*1000000))))</f>
        <v>6.1914410640015851E-5</v>
      </c>
      <c r="G72" s="95">
        <f>IF('Chemical Info'!E73="Yes",('Chemical Info'!AP73/'Com-Ind Equations'!$B$139)*((('Chemical Info'!AL73*'Com-Ind Equations'!$B$141)*'Com-Ind Equations'!$B$139)+'Com-Ind Equations'!$B$142+('Chemical Info'!AN73*41)*'Com-Ind Equations'!$B$144),"NA")</f>
        <v>10522.560181866667</v>
      </c>
      <c r="H72" s="112">
        <f>IF('Chemical Info'!H73="NA","NA",IF('Chemical Info'!E73="Yes",'Chemical Info'!H73*'Chemical Info'!AD73*'Com-Ind Equations'!$B$18*'Com-Ind Equations'!$B$22*(('Com-Ind Equations'!$B$24*'Com-Ind Equations'!$B$25)/'Com-Ind Equations'!$B$26),'Chemical Info'!H73*'Chemical Info'!AD73*'Com-Ind Equations'!$B$17*'Com-Ind Equations'!$B$22*('Com-Ind Equations'!$B$24*'Com-Ind Equations'!$B$25/'Com-Ind Equations'!$B$26)))</f>
        <v>5.5687500000000005E-5</v>
      </c>
      <c r="I72" s="108">
        <f>IF('Chemical Info'!H73="NA","NA",IF('Chemical Info'!E73="Yes",0,('Chemical Info'!H73/'Chemical Info'!AF73)*'Com-Ind Equations'!$B$19*'Chemical Info'!AB73*'Com-Ind Equations'!$B$22*(('Com-Ind Equations'!$B$24*'Com-Ind Equations'!$B$29*'Com-Ind Equations'!$B$30)/'Com-Ind Equations'!$B$26)))</f>
        <v>0</v>
      </c>
      <c r="J72" s="115">
        <f>IF('Chemical Info'!J73="NA","NA",IF(E72="NA",'Com-Ind Equations'!$B$20*1000*'Com-Ind Equations'!$B$24*'Com-Ind Equations'!$B$21*'Chemical Info'!J73*'Com-Ind Calculations'!C72,IF('Chemical Info'!E73="Yes",'Com-Ind Equations'!$B$20*1000*'Com-Ind Equations'!$B$24*'Com-Ind Equations'!$B$21*'Chemical Info'!J73*'Com-Ind Calculations'!E72,'Com-Ind Equations'!$B$20*1000*'Com-Ind Equations'!$B$24*'Com-Ind Equations'!$B$21*'Chemical Info'!J73*('Com-Ind Calculations'!C72+'Com-Ind Calculations'!E72))))</f>
        <v>7.8921340124856108E-5</v>
      </c>
      <c r="K72" s="117">
        <f>IF('Chemical Info'!J73="NA","NA",IF(F72="NA",'Com-Ind Equations'!$B$20*1000*'Com-Ind Equations'!$B$24*'Com-Ind Equations'!$B$21*'Chemical Info'!J73*'Com-Ind Calculations'!C72,IF('Chemical Info'!E73="Yes",'Com-Ind Equations'!$B$20*1000*'Com-Ind Equations'!$B$24*'Com-Ind Equations'!$B$21*'Chemical Info'!J73*'Com-Ind Calculations'!F72,'Com-Ind Equations'!$B$20*1000*'Com-Ind Equations'!$B$24*'Com-Ind Equations'!$B$21*'Chemical Info'!J73*('Com-Ind Calculations'!C72+'Com-Ind Calculations'!F72))))</f>
        <v>1.3930742394003566E-4</v>
      </c>
      <c r="L72" s="95">
        <f>IF(AND(H72="NA",I72="NA",J72="NA"),"NA",IF(H72="NA",'Com-Ind Equations'!$B$13*'Com-Ind Equations'!$B$14/J72,IF(J72="NA",'Com-Ind Equations'!$B$13*'Com-Ind Equations'!$B$14/(H72+I72),'Com-Ind Equations'!$B$13*'Com-Ind Equations'!$B$14/(H72+I72+J72))))</f>
        <v>1898.0922780629533</v>
      </c>
      <c r="M72" s="95">
        <f>IF(AND(H72="NA",I72="NA",K72="NA"),"NA",IF(H72="NA",'Com-Ind Equations'!$B$13*'Com-Ind Equations'!$B$14/K72,IF(K72="NA",'Com-Ind Equations'!$B$13*'Com-Ind Equations'!$B$14/(H72+I72),'Com-Ind Equations'!$B$13*'Com-Ind Equations'!$B$14/(H72+I72+K72))))</f>
        <v>1310.2905185294499</v>
      </c>
      <c r="N72" s="95">
        <f t="shared" ref="N72" si="65">IF(AND(L72="NA",M72="NA"),"NA",MAX(L72,M72))</f>
        <v>1898.0922780629533</v>
      </c>
      <c r="O72" s="94">
        <f>IF('Chemical Info'!L73="NA","NA",IF('Chemical Info'!E73="Yes",(('Com-Ind Equations'!$B$46*'Chemical Info'!AD73*'Com-Ind Equations'!$B$48*'Com-Ind Equations'!$B$49*'Com-Ind Equations'!$B$51)/('Com-Ind Equations'!$B$55*'Com-Ind Equations'!$B$56))/'Chemical Info'!L73,(('Com-Ind Equations'!$B$46*'Chemical Info'!AD73*'Com-Ind Equations'!$B$48*'Com-Ind Equations'!$B$49*'Com-Ind Equations'!$B$50)/('Com-Ind Equations'!$B$55*'Com-Ind Equations'!$B$56))/'Chemical Info'!L73))</f>
        <v>1.0273972602739725E-4</v>
      </c>
      <c r="P72" s="90">
        <f>IF('Chemical Info'!L73="NA","NA", IF('Chemical Info'!E73="Yes",0,((('Com-Ind Equations'!$B$58*'Com-Ind Equations'!$B$59*'Com-Ind Equations'!$B$48*'Com-Ind Equations'!$B$52*'Com-Ind Equations'!$B$49*'Chemical Info'!AB73)/('Com-Ind Equations'!$B$55*'Com-Ind Equations'!$B$56))/('Chemical Info'!L73*'Chemical Info'!AF73))))</f>
        <v>0</v>
      </c>
      <c r="Q72" s="90">
        <f>IF('Chemical Info'!N73="NA","NA",IF('Com-Ind Calculations'!E72="NA",(('Com-Ind Equations'!$B$53*'Com-Ind Equations'!$B$49*'Com-Ind Equations'!$B$54*'Com-Ind Calculations'!C72)/('Com-Ind Equations'!$B$56))/('Chemical Info'!N73),IF('Chemical Info'!E73="Yes",(('Com-Ind Equations'!$B$53*'Com-Ind Equations'!$B$49*'Com-Ind Equations'!$B$54*'Com-Ind Calculations'!E72)/('Com-Ind Equations'!$B$56))/('Chemical Info'!N73),(('Com-Ind Equations'!$B$53*'Com-Ind Equations'!$B$49*'Com-Ind Equations'!$B$54*('Com-Ind Calculations'!C72+'Com-Ind Calculations'!E72))/('Com-Ind Equations'!$B$56))/('Chemical Info'!N73))))</f>
        <v>7.2074283219046671E-3</v>
      </c>
      <c r="R72" s="90">
        <f>IF('Chemical Info'!N73="NA","NA",IF('Com-Ind Calculations'!F72="NA",(('Com-Ind Equations'!$B$53*'Com-Ind Equations'!$B$49*'Com-Ind Equations'!$B$54*'Com-Ind Calculations'!C72)/('Com-Ind Equations'!$B$56))/('Chemical Info'!N73),IF('Chemical Info'!E73="Yes",(('Com-Ind Equations'!$B$53*'Com-Ind Equations'!$B$49*'Com-Ind Equations'!$B$54*'Com-Ind Calculations'!F72)/('Com-Ind Equations'!$B$56))/('Chemical Info'!N73),(('Com-Ind Equations'!$B$53*'Com-Ind Equations'!$B$49*'Com-Ind Equations'!$B$54*('Com-Ind Calculations'!C72+'Com-Ind Calculations'!F72))/('Com-Ind Equations'!$B$56))/('Chemical Info'!N73))))</f>
        <v>1.2722139172605996E-2</v>
      </c>
      <c r="S72" s="90">
        <f>IF(AND(O72="NA",P72="NA",Q72="NA"),"NA",IF(O72="NA",'Com-Ind Equations'!$B$45/'Com-Ind Calculations'!Q72,IF('Com-Ind Calculations'!Q72="NA",'Com-Ind Equations'!$B$45/('Com-Ind Calculations'!O72+'Com-Ind Calculations'!P72),'Com-Ind Equations'!$B$45/('Com-Ind Calculations'!O72+'Com-Ind Calculations'!P72+'Com-Ind Calculations'!Q72))))</f>
        <v>27.359152168406986</v>
      </c>
      <c r="T72" s="95">
        <f>IF(AND(O72="NA",P72="NA",R72="NA"),"NA",IF(O72="NA",'Com-Ind Equations'!$B$45/R72,IF(R72="NA",'Com-Ind Equations'!$B$45/(O72+P72),'Com-Ind Equations'!$B$45/(O72+P72+R72))))</f>
        <v>15.594689164769566</v>
      </c>
      <c r="U72" s="97">
        <f t="shared" ref="U72" si="66">IF(AND(S72="NA",T72="NA"),"NA",MAX(S72,T72))</f>
        <v>27.359152168406986</v>
      </c>
      <c r="V72" s="101">
        <f t="shared" ref="V72" si="67">IF(AND(N72="NA",U72="NA",G72="NA"),"NA",MIN(N72,U72,G72))</f>
        <v>27.359152168406986</v>
      </c>
      <c r="W72" s="105">
        <f t="shared" ref="W72" si="68">IF(V72&gt;100000,100000,IF(ISNUMBER(ROUND(V72*1000000,2-LEN(INT(V72*1000000)))/1000000),ROUND(V72*1000000,2-LEN(INT(V72*1000000)))/1000000,"NA"))</f>
        <v>27</v>
      </c>
      <c r="X72" s="100" t="str">
        <f t="shared" ref="X72" si="69">IF(W72=100000,"Max Limit",IF(V72=G72,"Csat",IF(V72=N72,"Cancer",IF(V72=U72,"Noncancer",""))))</f>
        <v>Noncancer</v>
      </c>
      <c r="Y72" s="70"/>
    </row>
    <row r="73" spans="1:25">
      <c r="A73" s="67" t="s">
        <v>166</v>
      </c>
      <c r="B73" s="566" t="s">
        <v>167</v>
      </c>
      <c r="C73" s="85">
        <f>1/(('Com-Ind Equations'!$B$123*3600)/(0.036*(1-'Com-Ind Equations'!$B$124)*(('Com-Ind Equations'!$B$125/'Com-Ind Equations'!$B$126)^3)*'Com-Ind Equations'!$B$127))</f>
        <v>1.4713536180231943E-9</v>
      </c>
      <c r="D73" s="90">
        <f>(('Com-Ind Equations'!$B$103^(10/3)*'Chemical Info'!AH74*'Chemical Info'!AN74*41+'Com-Ind Equations'!$B$106^(10/3)*'Chemical Info'!AJ74)/'Com-Ind Equations'!$B$108^2)/('Com-Ind Equations'!$B$110*'Chemical Info'!AL74*'Com-Ind Equations'!$B$113+'Com-Ind Equations'!$B$106+'Com-Ind Equations'!$B$103*'Chemical Info'!AN74*41)</f>
        <v>1.8602880405295963E-3</v>
      </c>
      <c r="E73" s="65">
        <f>IF(D73=0,"NA",1/(('Com-Ind Equations'!$B$74*(3.14*D73*'Com-Ind Equations'!$B$76)^(1/2)*0.0001)/(2*'Com-Ind Equations'!$B$77*D73)))</f>
        <v>2.5317375377615844E-4</v>
      </c>
      <c r="F73" s="65">
        <f>IF(D73=0,"NA",(1/('Com-Ind Equations'!$B$88*('Com-Ind Equations'!$B$89*(31500000))/('Com-Ind Equations'!$B$90*'Com-Ind Equations'!$B$91*1000000))))</f>
        <v>6.1914410640015851E-5</v>
      </c>
      <c r="G73" s="95">
        <f>IF('Chemical Info'!E74="Yes",('Chemical Info'!AP74/'Com-Ind Equations'!$B$139)*((('Chemical Info'!AL74*'Com-Ind Equations'!$B$141)*'Com-Ind Equations'!$B$139)+'Com-Ind Equations'!$B$142+('Chemical Info'!AN74*41)*'Com-Ind Equations'!$B$144),"NA")</f>
        <v>6212.68</v>
      </c>
      <c r="H73" s="112" t="str">
        <f>IF('Chemical Info'!H74="NA","NA",IF('Chemical Info'!E74="Yes",'Chemical Info'!H74*'Chemical Info'!AD74*'Com-Ind Equations'!$B$18*'Com-Ind Equations'!$B$22*(('Com-Ind Equations'!$B$24*'Com-Ind Equations'!$B$25)/'Com-Ind Equations'!$B$26),'Chemical Info'!H74*'Chemical Info'!AD74*'Com-Ind Equations'!$B$17*'Com-Ind Equations'!$B$22*('Com-Ind Equations'!$B$24*'Com-Ind Equations'!$B$25/'Com-Ind Equations'!$B$26)))</f>
        <v>NA</v>
      </c>
      <c r="I73" s="108" t="str">
        <f>IF('Chemical Info'!H74="NA","NA",IF('Chemical Info'!E74="Yes",0,('Chemical Info'!H74/'Chemical Info'!AF74)*'Com-Ind Equations'!$B$19*'Chemical Info'!AB74*'Com-Ind Equations'!$B$22*(('Com-Ind Equations'!$B$24*'Com-Ind Equations'!$B$29*'Com-Ind Equations'!$B$30)/'Com-Ind Equations'!$B$26)))</f>
        <v>NA</v>
      </c>
      <c r="J73" s="115" t="str">
        <f>IF('Chemical Info'!J74="NA","NA",IF(E73="NA",'Com-Ind Equations'!$B$20*1000*'Com-Ind Equations'!$B$24*'Com-Ind Equations'!$B$21*'Chemical Info'!J74*'Com-Ind Calculations'!C73,IF('Chemical Info'!E74="Yes",'Com-Ind Equations'!$B$20*1000*'Com-Ind Equations'!$B$24*'Com-Ind Equations'!$B$21*'Chemical Info'!J74*'Com-Ind Calculations'!E73,'Com-Ind Equations'!$B$20*1000*'Com-Ind Equations'!$B$24*'Com-Ind Equations'!$B$21*'Chemical Info'!J74*('Com-Ind Calculations'!C73+'Com-Ind Calculations'!E73))))</f>
        <v>NA</v>
      </c>
      <c r="K73" s="117" t="str">
        <f>IF('Chemical Info'!J74="NA","NA",IF(F73="NA",'Com-Ind Equations'!$B$20*1000*'Com-Ind Equations'!$B$24*'Com-Ind Equations'!$B$21*'Chemical Info'!J74*'Com-Ind Calculations'!C73,IF('Chemical Info'!E74="Yes",'Com-Ind Equations'!$B$20*1000*'Com-Ind Equations'!$B$24*'Com-Ind Equations'!$B$21*'Chemical Info'!J74*'Com-Ind Calculations'!F73,'Com-Ind Equations'!$B$20*1000*'Com-Ind Equations'!$B$24*'Com-Ind Equations'!$B$21*'Chemical Info'!J74*('Com-Ind Calculations'!C73+'Com-Ind Calculations'!F73))))</f>
        <v>NA</v>
      </c>
      <c r="L73" s="95" t="str">
        <f>IF(AND(H73="NA",I73="NA",J73="NA"),"NA",IF(H73="NA",'Com-Ind Equations'!$B$13*'Com-Ind Equations'!$B$14/J73,IF(J73="NA",'Com-Ind Equations'!$B$13*'Com-Ind Equations'!$B$14/(H73+I73),'Com-Ind Equations'!$B$13*'Com-Ind Equations'!$B$14/(H73+I73+J73))))</f>
        <v>NA</v>
      </c>
      <c r="M73" s="95" t="str">
        <f>IF(AND(H73="NA",I73="NA",K73="NA"),"NA",IF(H73="NA",'Com-Ind Equations'!$B$13*'Com-Ind Equations'!$B$14/K73,IF(K73="NA",'Com-Ind Equations'!$B$13*'Com-Ind Equations'!$B$14/(H73+I73),'Com-Ind Equations'!$B$13*'Com-Ind Equations'!$B$14/(H73+I73+K73))))</f>
        <v>NA</v>
      </c>
      <c r="N73" s="95" t="str">
        <f t="shared" si="10"/>
        <v>NA</v>
      </c>
      <c r="O73" s="94">
        <f>IF('Chemical Info'!L74="NA","NA",IF('Chemical Info'!E74="Yes",(('Com-Ind Equations'!$B$46*'Chemical Info'!AD74*'Com-Ind Equations'!$B$48*'Com-Ind Equations'!$B$49*'Com-Ind Equations'!$B$51)/('Com-Ind Equations'!$B$55*'Com-Ind Equations'!$B$56))/'Chemical Info'!L74,(('Com-Ind Equations'!$B$46*'Chemical Info'!AD74*'Com-Ind Equations'!$B$48*'Com-Ind Equations'!$B$49*'Com-Ind Equations'!$B$50)/('Com-Ind Equations'!$B$55*'Com-Ind Equations'!$B$56))/'Chemical Info'!L74))</f>
        <v>6.1643835616438354E-4</v>
      </c>
      <c r="P73" s="90">
        <f>IF('Chemical Info'!L74="NA","NA", IF('Chemical Info'!E74="Yes",0,((('Com-Ind Equations'!$B$58*'Com-Ind Equations'!$B$59*'Com-Ind Equations'!$B$48*'Com-Ind Equations'!$B$52*'Com-Ind Equations'!$B$49*'Chemical Info'!AB74)/('Com-Ind Equations'!$B$55*'Com-Ind Equations'!$B$56))/('Chemical Info'!L74*'Chemical Info'!AF74))))</f>
        <v>0</v>
      </c>
      <c r="Q73" s="90" t="str">
        <f>IF('Chemical Info'!N74="NA","NA",IF('Com-Ind Calculations'!E73="NA",(('Com-Ind Equations'!$B$53*'Com-Ind Equations'!$B$49*'Com-Ind Equations'!$B$54*'Com-Ind Calculations'!C73)/('Com-Ind Equations'!$B$56))/('Chemical Info'!N74),IF('Chemical Info'!E74="Yes",(('Com-Ind Equations'!$B$53*'Com-Ind Equations'!$B$49*'Com-Ind Equations'!$B$54*'Com-Ind Calculations'!E73)/('Com-Ind Equations'!$B$56))/('Chemical Info'!N74),(('Com-Ind Equations'!$B$53*'Com-Ind Equations'!$B$49*'Com-Ind Equations'!$B$54*('Com-Ind Calculations'!C73+'Com-Ind Calculations'!E73))/('Com-Ind Equations'!$B$56))/('Chemical Info'!N74))))</f>
        <v>NA</v>
      </c>
      <c r="R73" s="90" t="str">
        <f>IF('Chemical Info'!N74="NA","NA",IF('Com-Ind Calculations'!F73="NA",(('Com-Ind Equations'!$B$53*'Com-Ind Equations'!$B$49*'Com-Ind Equations'!$B$54*'Com-Ind Calculations'!C73)/('Com-Ind Equations'!$B$56))/('Chemical Info'!N74),IF('Chemical Info'!E74="Yes",(('Com-Ind Equations'!$B$53*'Com-Ind Equations'!$B$49*'Com-Ind Equations'!$B$54*'Com-Ind Calculations'!F73)/('Com-Ind Equations'!$B$56))/('Chemical Info'!N74),(('Com-Ind Equations'!$B$53*'Com-Ind Equations'!$B$49*'Com-Ind Equations'!$B$54*('Com-Ind Calculations'!C73+'Com-Ind Calculations'!F73))/('Com-Ind Equations'!$B$56))/('Chemical Info'!N74))))</f>
        <v>NA</v>
      </c>
      <c r="S73" s="90">
        <f>IF(AND(O73="NA",P73="NA",Q73="NA"),"NA",IF(O73="NA",'Com-Ind Equations'!$B$45/'Com-Ind Calculations'!Q73,IF('Com-Ind Calculations'!Q73="NA",'Com-Ind Equations'!$B$45/('Com-Ind Calculations'!O73+'Com-Ind Calculations'!P73),'Com-Ind Equations'!$B$45/('Com-Ind Calculations'!O73+'Com-Ind Calculations'!P73+'Com-Ind Calculations'!Q73))))</f>
        <v>324.44444444444446</v>
      </c>
      <c r="T73" s="95">
        <f>IF(AND(O73="NA",P73="NA",R73="NA"),"NA",IF(O73="NA",'Com-Ind Equations'!$B$45/R73,IF(R73="NA",'Com-Ind Equations'!$B$45/(O73+P73),'Com-Ind Equations'!$B$45/(O73+P73+R73))))</f>
        <v>324.44444444444446</v>
      </c>
      <c r="U73" s="97">
        <f t="shared" si="11"/>
        <v>324.44444444444446</v>
      </c>
      <c r="V73" s="101">
        <f t="shared" si="12"/>
        <v>324.44444444444446</v>
      </c>
      <c r="W73" s="105">
        <f t="shared" si="13"/>
        <v>320</v>
      </c>
      <c r="X73" s="100" t="str">
        <f t="shared" si="14"/>
        <v>Noncancer</v>
      </c>
      <c r="Y73" s="70"/>
    </row>
    <row r="74" spans="1:25">
      <c r="A74" s="67" t="s">
        <v>63</v>
      </c>
      <c r="B74" s="566" t="s">
        <v>64</v>
      </c>
      <c r="C74" s="85">
        <f>1/(('Com-Ind Equations'!$B$123*3600)/(0.036*(1-'Com-Ind Equations'!$B$124)*(('Com-Ind Equations'!$B$125/'Com-Ind Equations'!$B$126)^3)*'Com-Ind Equations'!$B$127))</f>
        <v>1.4713536180231943E-9</v>
      </c>
      <c r="D74" s="90">
        <f>(('Com-Ind Equations'!$B$103^(10/3)*'Chemical Info'!AH75*'Chemical Info'!AN75*41+'Com-Ind Equations'!$B$106^(10/3)*'Chemical Info'!AJ75)/'Com-Ind Equations'!$B$108^2)/('Com-Ind Equations'!$B$110*'Chemical Info'!AL75*'Com-Ind Equations'!$B$113+'Com-Ind Equations'!$B$106+'Com-Ind Equations'!$B$103*'Chemical Info'!AN75*41)</f>
        <v>1.8703721226738607E-2</v>
      </c>
      <c r="E74" s="65">
        <f>IF(D74=0,"NA",1/(('Com-Ind Equations'!$B$74*(3.14*D74*'Com-Ind Equations'!$B$76)^(1/2)*0.0001)/(2*'Com-Ind Equations'!$B$77*D74)))</f>
        <v>8.0277269872797076E-4</v>
      </c>
      <c r="F74" s="65">
        <f>IF(D74=0,"NA",(1/('Com-Ind Equations'!$B$88*('Com-Ind Equations'!$B$89*(31500000))/('Com-Ind Equations'!$B$90*'Com-Ind Equations'!$B$91*1000000))))</f>
        <v>6.1914410640015851E-5</v>
      </c>
      <c r="G74" s="95">
        <f>IF('Chemical Info'!E75="Yes",('Chemical Info'!AP75/'Com-Ind Equations'!$B$139)*((('Chemical Info'!AL75*'Com-Ind Equations'!$B$141)*'Com-Ind Equations'!$B$139)+'Com-Ind Equations'!$B$142+('Chemical Info'!AN75*41)*'Com-Ind Equations'!$B$144),"NA")</f>
        <v>139.3175</v>
      </c>
      <c r="H74" s="112" t="str">
        <f>IF('Chemical Info'!H75="NA","NA",IF('Chemical Info'!E75="Yes",'Chemical Info'!H75*'Chemical Info'!AD75*'Com-Ind Equations'!$B$18*'Com-Ind Equations'!$B$22*(('Com-Ind Equations'!$B$24*'Com-Ind Equations'!$B$25)/'Com-Ind Equations'!$B$26),'Chemical Info'!H75*'Chemical Info'!AD75*'Com-Ind Equations'!$B$17*'Com-Ind Equations'!$B$22*('Com-Ind Equations'!$B$24*'Com-Ind Equations'!$B$25/'Com-Ind Equations'!$B$26)))</f>
        <v>NA</v>
      </c>
      <c r="I74" s="108" t="str">
        <f>IF('Chemical Info'!H75="NA","NA",IF('Chemical Info'!E75="Yes",0,('Chemical Info'!H75/'Chemical Info'!AF75)*'Com-Ind Equations'!$B$19*'Chemical Info'!AB75*'Com-Ind Equations'!$B$22*(('Com-Ind Equations'!$B$24*'Com-Ind Equations'!$B$29*'Com-Ind Equations'!$B$30)/'Com-Ind Equations'!$B$26)))</f>
        <v>NA</v>
      </c>
      <c r="J74" s="115" t="str">
        <f>IF('Chemical Info'!J75="NA","NA",IF(E74="NA",'Com-Ind Equations'!$B$20*1000*'Com-Ind Equations'!$B$24*'Com-Ind Equations'!$B$21*'Chemical Info'!J75*'Com-Ind Calculations'!C74,IF('Chemical Info'!E75="Yes",'Com-Ind Equations'!$B$20*1000*'Com-Ind Equations'!$B$24*'Com-Ind Equations'!$B$21*'Chemical Info'!J75*'Com-Ind Calculations'!E74,'Com-Ind Equations'!$B$20*1000*'Com-Ind Equations'!$B$24*'Com-Ind Equations'!$B$21*'Chemical Info'!J75*('Com-Ind Calculations'!C74+'Com-Ind Calculations'!E74))))</f>
        <v>NA</v>
      </c>
      <c r="K74" s="117" t="str">
        <f>IF('Chemical Info'!J75="NA","NA",IF(F74="NA",'Com-Ind Equations'!$B$20*1000*'Com-Ind Equations'!$B$24*'Com-Ind Equations'!$B$21*'Chemical Info'!J75*'Com-Ind Calculations'!C74,IF('Chemical Info'!E75="Yes",'Com-Ind Equations'!$B$20*1000*'Com-Ind Equations'!$B$24*'Com-Ind Equations'!$B$21*'Chemical Info'!J75*'Com-Ind Calculations'!F74,'Com-Ind Equations'!$B$20*1000*'Com-Ind Equations'!$B$24*'Com-Ind Equations'!$B$21*'Chemical Info'!J75*('Com-Ind Calculations'!C74+'Com-Ind Calculations'!F74))))</f>
        <v>NA</v>
      </c>
      <c r="L74" s="95" t="str">
        <f>IF(AND(H74="NA",I74="NA",J74="NA"),"NA",IF(H74="NA",'Com-Ind Equations'!$B$13*'Com-Ind Equations'!$B$14/J74,IF(J74="NA",'Com-Ind Equations'!$B$13*'Com-Ind Equations'!$B$14/(H74+I74),'Com-Ind Equations'!$B$13*'Com-Ind Equations'!$B$14/(H74+I74+J74))))</f>
        <v>NA</v>
      </c>
      <c r="M74" s="95" t="str">
        <f>IF(AND(H74="NA",I74="NA",K74="NA"),"NA",IF(H74="NA",'Com-Ind Equations'!$B$13*'Com-Ind Equations'!$B$14/K74,IF(K74="NA",'Com-Ind Equations'!$B$13*'Com-Ind Equations'!$B$14/(H74+I74),'Com-Ind Equations'!$B$13*'Com-Ind Equations'!$B$14/(H74+I74+K74))))</f>
        <v>NA</v>
      </c>
      <c r="N74" s="95" t="str">
        <f t="shared" si="10"/>
        <v>NA</v>
      </c>
      <c r="O74" s="94">
        <f>IF('Chemical Info'!L75="NA","NA",IF('Chemical Info'!E75="Yes",(('Com-Ind Equations'!$B$46*'Chemical Info'!AD75*'Com-Ind Equations'!$B$48*'Com-Ind Equations'!$B$49*'Com-Ind Equations'!$B$51)/('Com-Ind Equations'!$B$55*'Com-Ind Equations'!$B$56))/'Chemical Info'!L75,(('Com-Ind Equations'!$B$46*'Chemical Info'!AD75*'Com-Ind Equations'!$B$48*'Com-Ind Equations'!$B$49*'Com-Ind Equations'!$B$50)/('Com-Ind Equations'!$B$55*'Com-Ind Equations'!$B$56))/'Chemical Info'!L75))</f>
        <v>3.2444124008651766E-5</v>
      </c>
      <c r="P74" s="90">
        <f>IF('Chemical Info'!L75="NA","NA", IF('Chemical Info'!E75="Yes",0,((('Com-Ind Equations'!$B$58*'Com-Ind Equations'!$B$59*'Com-Ind Equations'!$B$48*'Com-Ind Equations'!$B$52*'Com-Ind Equations'!$B$49*'Chemical Info'!AB75)/('Com-Ind Equations'!$B$55*'Com-Ind Equations'!$B$56))/('Chemical Info'!L75*'Chemical Info'!AF75))))</f>
        <v>0</v>
      </c>
      <c r="Q74" s="90">
        <f>IF('Chemical Info'!N75="NA","NA",IF('Com-Ind Calculations'!E74="NA",(('Com-Ind Equations'!$B$53*'Com-Ind Equations'!$B$49*'Com-Ind Equations'!$B$54*'Com-Ind Calculations'!C74)/('Com-Ind Equations'!$B$56))/('Chemical Info'!N75),IF('Chemical Info'!E75="Yes",(('Com-Ind Equations'!$B$53*'Com-Ind Equations'!$B$49*'Com-Ind Equations'!$B$54*'Com-Ind Calculations'!E74)/('Com-Ind Equations'!$B$56))/('Chemical Info'!N75),(('Com-Ind Equations'!$B$53*'Com-Ind Equations'!$B$49*'Com-Ind Equations'!$B$54*('Com-Ind Calculations'!C74+'Com-Ind Calculations'!E74))/('Com-Ind Equations'!$B$56))/('Chemical Info'!N75))))</f>
        <v>2.3564756322738868E-4</v>
      </c>
      <c r="R74" s="90">
        <f>IF('Chemical Info'!N75="NA","NA",IF('Com-Ind Calculations'!F74="NA",(('Com-Ind Equations'!$B$53*'Com-Ind Equations'!$B$49*'Com-Ind Equations'!$B$54*'Com-Ind Calculations'!C74)/('Com-Ind Equations'!$B$56))/('Chemical Info'!N75),IF('Chemical Info'!E75="Yes",(('Com-Ind Equations'!$B$53*'Com-Ind Equations'!$B$49*'Com-Ind Equations'!$B$54*'Com-Ind Calculations'!F74)/('Com-Ind Equations'!$B$56))/('Chemical Info'!N75),(('Com-Ind Equations'!$B$53*'Com-Ind Equations'!$B$49*'Com-Ind Equations'!$B$54*('Com-Ind Calculations'!C74+'Com-Ind Calculations'!F74))/('Com-Ind Equations'!$B$56))/('Chemical Info'!N75))))</f>
        <v>1.8174484532294281E-5</v>
      </c>
      <c r="S74" s="90">
        <f>IF(AND(O74="NA",P74="NA",Q74="NA"),"NA",IF(O74="NA",'Com-Ind Equations'!$B$45/'Com-Ind Calculations'!Q74,IF('Com-Ind Calculations'!Q74="NA",'Com-Ind Equations'!$B$45/('Com-Ind Calculations'!O74+'Com-Ind Calculations'!P74),'Com-Ind Equations'!$B$45/('Com-Ind Calculations'!O74+'Com-Ind Calculations'!P74+'Com-Ind Calculations'!Q74))))</f>
        <v>746.01343317262445</v>
      </c>
      <c r="T74" s="95">
        <f>IF(AND(O74="NA",P74="NA",R74="NA"),"NA",IF(O74="NA",'Com-Ind Equations'!$B$45/R74,IF(R74="NA",'Com-Ind Equations'!$B$45/(O74+P74),'Com-Ind Equations'!$B$45/(O74+P74+R74))))</f>
        <v>3951.1161164814994</v>
      </c>
      <c r="U74" s="97">
        <f t="shared" si="11"/>
        <v>3951.1161164814994</v>
      </c>
      <c r="V74" s="101">
        <f t="shared" si="12"/>
        <v>139.3175</v>
      </c>
      <c r="W74" s="105">
        <f t="shared" si="13"/>
        <v>140</v>
      </c>
      <c r="X74" s="100" t="str">
        <f t="shared" si="14"/>
        <v>Csat</v>
      </c>
      <c r="Y74" s="70"/>
    </row>
    <row r="75" spans="1:25">
      <c r="A75" s="67" t="s">
        <v>1173</v>
      </c>
      <c r="B75" s="566" t="s">
        <v>1174</v>
      </c>
      <c r="C75" s="85">
        <f>1/(('Com-Ind Equations'!$B$123*3600)/(0.036*(1-'Com-Ind Equations'!$B$124)*(('Com-Ind Equations'!$B$125/'Com-Ind Equations'!$B$126)^3)*'Com-Ind Equations'!$B$127))</f>
        <v>1.4713536180231943E-9</v>
      </c>
      <c r="D75" s="90">
        <f>(('Com-Ind Equations'!$B$103^(10/3)*'Chemical Info'!AH76*'Chemical Info'!AN76*41+'Com-Ind Equations'!$B$106^(10/3)*'Chemical Info'!AJ76)/'Com-Ind Equations'!$B$108^2)/('Com-Ind Equations'!$B$110*'Chemical Info'!AL76*'Com-Ind Equations'!$B$113+'Com-Ind Equations'!$B$106+'Com-Ind Equations'!$B$103*'Chemical Info'!AN76*41)</f>
        <v>2.4163704790764365E-4</v>
      </c>
      <c r="E75" s="65">
        <f>IF(D75=0,"NA",1/(('Com-Ind Equations'!$B$74*(3.14*D75*'Com-Ind Equations'!$B$76)^(1/2)*0.0001)/(2*'Com-Ind Equations'!$B$77*D75)))</f>
        <v>9.1245266611187146E-5</v>
      </c>
      <c r="F75" s="65">
        <f>IF(D75=0,"NA",(1/('Com-Ind Equations'!$B$88*('Com-Ind Equations'!$B$89*(31500000))/('Com-Ind Equations'!$B$90*'Com-Ind Equations'!$B$91*1000000))))</f>
        <v>6.1914410640015851E-5</v>
      </c>
      <c r="G75" s="95">
        <f>IF('Chemical Info'!E76="Yes",('Chemical Info'!AP76/'Com-Ind Equations'!$B$139)*((('Chemical Info'!AL76*'Com-Ind Equations'!$B$141)*'Com-Ind Equations'!$B$139)+'Com-Ind Equations'!$B$142+('Chemical Info'!AN76*41)*'Com-Ind Equations'!$B$144),"NA")</f>
        <v>4570.8092479999996</v>
      </c>
      <c r="H75" s="112" t="str">
        <f>IF('Chemical Info'!H76="NA","NA",IF('Chemical Info'!E76="Yes",'Chemical Info'!H76*'Chemical Info'!AD76*'Com-Ind Equations'!$B$18*'Com-Ind Equations'!$B$22*(('Com-Ind Equations'!$B$24*'Com-Ind Equations'!$B$25)/'Com-Ind Equations'!$B$26),'Chemical Info'!H76*'Chemical Info'!AD76*'Com-Ind Equations'!$B$17*'Com-Ind Equations'!$B$22*('Com-Ind Equations'!$B$24*'Com-Ind Equations'!$B$25/'Com-Ind Equations'!$B$26)))</f>
        <v>NA</v>
      </c>
      <c r="I75" s="108" t="str">
        <f>IF('Chemical Info'!H76="NA","NA",IF('Chemical Info'!E76="Yes",0,('Chemical Info'!H76/'Chemical Info'!AF76)*'Com-Ind Equations'!$B$19*'Chemical Info'!AB76*'Com-Ind Equations'!$B$22*(('Com-Ind Equations'!$B$24*'Com-Ind Equations'!$B$29*'Com-Ind Equations'!$B$30)/'Com-Ind Equations'!$B$26)))</f>
        <v>NA</v>
      </c>
      <c r="J75" s="115" t="str">
        <f>IF('Chemical Info'!J76="NA","NA",IF(E75="NA",'Com-Ind Equations'!$B$20*1000*'Com-Ind Equations'!$B$24*'Com-Ind Equations'!$B$21*'Chemical Info'!J76*'Com-Ind Calculations'!C75,IF('Chemical Info'!E76="Yes",'Com-Ind Equations'!$B$20*1000*'Com-Ind Equations'!$B$24*'Com-Ind Equations'!$B$21*'Chemical Info'!J76*'Com-Ind Calculations'!E75,'Com-Ind Equations'!$B$20*1000*'Com-Ind Equations'!$B$24*'Com-Ind Equations'!$B$21*'Chemical Info'!J76*('Com-Ind Calculations'!C75+'Com-Ind Calculations'!E75))))</f>
        <v>NA</v>
      </c>
      <c r="K75" s="117" t="str">
        <f>IF('Chemical Info'!J76="NA","NA",IF(F75="NA",'Com-Ind Equations'!$B$20*1000*'Com-Ind Equations'!$B$24*'Com-Ind Equations'!$B$21*'Chemical Info'!J76*'Com-Ind Calculations'!C75,IF('Chemical Info'!E76="Yes",'Com-Ind Equations'!$B$20*1000*'Com-Ind Equations'!$B$24*'Com-Ind Equations'!$B$21*'Chemical Info'!J76*'Com-Ind Calculations'!F75,'Com-Ind Equations'!$B$20*1000*'Com-Ind Equations'!$B$24*'Com-Ind Equations'!$B$21*'Chemical Info'!J76*('Com-Ind Calculations'!C75+'Com-Ind Calculations'!F75))))</f>
        <v>NA</v>
      </c>
      <c r="L75" s="95" t="str">
        <f>IF(AND(H75="NA",I75="NA",J75="NA"),"NA",IF(H75="NA",'Com-Ind Equations'!$B$13*'Com-Ind Equations'!$B$14/J75,IF(J75="NA",'Com-Ind Equations'!$B$13*'Com-Ind Equations'!$B$14/(H75+I75),'Com-Ind Equations'!$B$13*'Com-Ind Equations'!$B$14/(H75+I75+J75))))</f>
        <v>NA</v>
      </c>
      <c r="M75" s="95" t="str">
        <f>IF(AND(H75="NA",I75="NA",K75="NA"),"NA",IF(H75="NA",'Com-Ind Equations'!$B$13*'Com-Ind Equations'!$B$14/K75,IF(K75="NA",'Com-Ind Equations'!$B$13*'Com-Ind Equations'!$B$14/(H75+I75),'Com-Ind Equations'!$B$13*'Com-Ind Equations'!$B$14/(H75+I75+K75))))</f>
        <v>NA</v>
      </c>
      <c r="N75" s="95" t="str">
        <f t="shared" ref="N75" si="70">IF(AND(L75="NA",M75="NA"),"NA",MAX(L75,M75))</f>
        <v>NA</v>
      </c>
      <c r="O75" s="94">
        <f>IF('Chemical Info'!L76="NA","NA",IF('Chemical Info'!E76="Yes",(('Com-Ind Equations'!$B$46*'Chemical Info'!AD76*'Com-Ind Equations'!$B$48*'Com-Ind Equations'!$B$49*'Com-Ind Equations'!$B$51)/('Com-Ind Equations'!$B$55*'Com-Ind Equations'!$B$56))/'Chemical Info'!L76,(('Com-Ind Equations'!$B$46*'Chemical Info'!AD76*'Com-Ind Equations'!$B$48*'Com-Ind Equations'!$B$49*'Com-Ind Equations'!$B$50)/('Com-Ind Equations'!$B$55*'Com-Ind Equations'!$B$56))/'Chemical Info'!L76))</f>
        <v>6.1643835616438346E-3</v>
      </c>
      <c r="P75" s="90">
        <f>IF('Chemical Info'!L76="NA","NA", IF('Chemical Info'!E76="Yes",0,((('Com-Ind Equations'!$B$58*'Com-Ind Equations'!$B$59*'Com-Ind Equations'!$B$48*'Com-Ind Equations'!$B$52*'Com-Ind Equations'!$B$49*'Chemical Info'!AB76)/('Com-Ind Equations'!$B$55*'Com-Ind Equations'!$B$56))/('Chemical Info'!L76*'Chemical Info'!AF76))))</f>
        <v>0</v>
      </c>
      <c r="Q75" s="90">
        <f>IF('Chemical Info'!N76="NA","NA",IF('Com-Ind Calculations'!E75="NA",(('Com-Ind Equations'!$B$53*'Com-Ind Equations'!$B$49*'Com-Ind Equations'!$B$54*'Com-Ind Calculations'!C75)/('Com-Ind Equations'!$B$56))/('Chemical Info'!N76),IF('Chemical Info'!E76="Yes",(('Com-Ind Equations'!$B$53*'Com-Ind Equations'!$B$49*'Com-Ind Equations'!$B$54*'Com-Ind Calculations'!E75)/('Com-Ind Equations'!$B$56))/('Chemical Info'!N76),(('Com-Ind Equations'!$B$53*'Com-Ind Equations'!$B$49*'Com-Ind Equations'!$B$54*('Com-Ind Calculations'!C75+'Com-Ind Calculations'!E75))/('Com-Ind Equations'!$B$56))/('Chemical Info'!N76))))</f>
        <v>6.249675795286792E-4</v>
      </c>
      <c r="R75" s="90">
        <f>IF('Chemical Info'!N76="NA","NA",IF('Com-Ind Calculations'!F75="NA",(('Com-Ind Equations'!$B$53*'Com-Ind Equations'!$B$49*'Com-Ind Equations'!$B$54*'Com-Ind Calculations'!C75)/('Com-Ind Equations'!$B$56))/('Chemical Info'!N76),IF('Chemical Info'!E76="Yes",(('Com-Ind Equations'!$B$53*'Com-Ind Equations'!$B$49*'Com-Ind Equations'!$B$54*'Com-Ind Calculations'!F75)/('Com-Ind Equations'!$B$56))/('Chemical Info'!N76),(('Com-Ind Equations'!$B$53*'Com-Ind Equations'!$B$49*'Com-Ind Equations'!$B$54*('Com-Ind Calculations'!C75+'Com-Ind Calculations'!F75))/('Com-Ind Equations'!$B$56))/('Chemical Info'!N76))))</f>
        <v>4.2407130575353326E-4</v>
      </c>
      <c r="S75" s="90">
        <f>IF(AND(O75="NA",P75="NA",Q75="NA"),"NA",IF(O75="NA",'Com-Ind Equations'!$B$45/'Com-Ind Calculations'!Q75,IF('Com-Ind Calculations'!Q75="NA",'Com-Ind Equations'!$B$45/('Com-Ind Calculations'!O75+'Com-Ind Calculations'!P75),'Com-Ind Equations'!$B$45/('Com-Ind Calculations'!O75+'Com-Ind Calculations'!P75+'Com-Ind Calculations'!Q75))))</f>
        <v>29.457896025902148</v>
      </c>
      <c r="T75" s="95">
        <f>IF(AND(O75="NA",P75="NA",R75="NA"),"NA",IF(O75="NA",'Com-Ind Equations'!$B$45/R75,IF(R75="NA",'Com-Ind Equations'!$B$45/(O75+P75),'Com-Ind Equations'!$B$45/(O75+P75+R75))))</f>
        <v>30.356131145360013</v>
      </c>
      <c r="U75" s="97">
        <f t="shared" ref="U75" si="71">IF(AND(S75="NA",T75="NA"),"NA",MAX(S75,T75))</f>
        <v>30.356131145360013</v>
      </c>
      <c r="V75" s="101">
        <f t="shared" ref="V75" si="72">IF(AND(N75="NA",U75="NA",G75="NA"),"NA",MIN(N75,U75,G75))</f>
        <v>30.356131145360013</v>
      </c>
      <c r="W75" s="105">
        <f t="shared" ref="W75" si="73">IF(V75&gt;100000,100000,IF(ISNUMBER(ROUND(V75*1000000,2-LEN(INT(V75*1000000)))/1000000),ROUND(V75*1000000,2-LEN(INT(V75*1000000)))/1000000,"NA"))</f>
        <v>30</v>
      </c>
      <c r="X75" s="100" t="str">
        <f t="shared" ref="X75" si="74">IF(W75=100000,"Max Limit",IF(V75=G75,"Csat",IF(V75=N75,"Cancer",IF(V75=U75,"Noncancer",""))))</f>
        <v>Noncancer</v>
      </c>
      <c r="Y75" s="70"/>
    </row>
    <row r="76" spans="1:25">
      <c r="A76" s="67" t="s">
        <v>325</v>
      </c>
      <c r="B76" s="566" t="s">
        <v>225</v>
      </c>
      <c r="C76" s="85">
        <f>1/(('Com-Ind Equations'!$B$123*3600)/(0.036*(1-'Com-Ind Equations'!$B$124)*(('Com-Ind Equations'!$B$125/'Com-Ind Equations'!$B$126)^3)*'Com-Ind Equations'!$B$127))</f>
        <v>1.4713536180231943E-9</v>
      </c>
      <c r="D76" s="90">
        <f>(('Com-Ind Equations'!$B$103^(10/3)*'Chemical Info'!AH77*'Chemical Info'!AN77*41+'Com-Ind Equations'!$B$106^(10/3)*'Chemical Info'!AJ77)/'Com-Ind Equations'!$B$108^2)/('Com-Ind Equations'!$B$110*'Chemical Info'!AL77*'Com-Ind Equations'!$B$113+'Com-Ind Equations'!$B$106+'Com-Ind Equations'!$B$103*'Chemical Info'!AN77*41)</f>
        <v>8.55739088031356E-5</v>
      </c>
      <c r="E76" s="65">
        <f>IF(D76=0,"NA",1/(('Com-Ind Equations'!$B$74*(3.14*D76*'Com-Ind Equations'!$B$76)^(1/2)*0.0001)/(2*'Com-Ind Equations'!$B$77*D76)))</f>
        <v>5.4299929886174161E-5</v>
      </c>
      <c r="F76" s="65">
        <f>IF(D76=0,"NA",(1/('Com-Ind Equations'!$B$88*('Com-Ind Equations'!$B$89*(31500000))/('Com-Ind Equations'!$B$90*'Com-Ind Equations'!$B$91*1000000))))</f>
        <v>6.1914410640015851E-5</v>
      </c>
      <c r="G76" s="95">
        <f>IF('Chemical Info'!E77="Yes",('Chemical Info'!AP77/'Com-Ind Equations'!$B$139)*((('Chemical Info'!AL77*'Com-Ind Equations'!$B$141)*'Com-Ind Equations'!$B$139)+'Com-Ind Equations'!$B$142+('Chemical Info'!AN77*41)*'Com-Ind Equations'!$B$144),"NA")</f>
        <v>28431.490850666662</v>
      </c>
      <c r="H76" s="112" t="str">
        <f>IF('Chemical Info'!H77="NA","NA",IF('Chemical Info'!E77="Yes",'Chemical Info'!H77*'Chemical Info'!AD77*'Com-Ind Equations'!$B$18*'Com-Ind Equations'!$B$22*(('Com-Ind Equations'!$B$24*'Com-Ind Equations'!$B$25)/'Com-Ind Equations'!$B$26),'Chemical Info'!H77*'Chemical Info'!AD77*'Com-Ind Equations'!$B$17*'Com-Ind Equations'!$B$22*('Com-Ind Equations'!$B$24*'Com-Ind Equations'!$B$25/'Com-Ind Equations'!$B$26)))</f>
        <v>NA</v>
      </c>
      <c r="I76" s="108" t="str">
        <f>IF('Chemical Info'!H77="NA","NA",IF('Chemical Info'!E77="Yes",0,('Chemical Info'!H77/'Chemical Info'!AF77)*'Com-Ind Equations'!$B$19*'Chemical Info'!AB77*'Com-Ind Equations'!$B$22*(('Com-Ind Equations'!$B$24*'Com-Ind Equations'!$B$29*'Com-Ind Equations'!$B$30)/'Com-Ind Equations'!$B$26)))</f>
        <v>NA</v>
      </c>
      <c r="J76" s="115" t="str">
        <f>IF('Chemical Info'!J77="NA","NA",IF(E76="NA",'Com-Ind Equations'!$B$20*1000*'Com-Ind Equations'!$B$24*'Com-Ind Equations'!$B$21*'Chemical Info'!J77*'Com-Ind Calculations'!C76,IF('Chemical Info'!E77="Yes",'Com-Ind Equations'!$B$20*1000*'Com-Ind Equations'!$B$24*'Com-Ind Equations'!$B$21*'Chemical Info'!J77*'Com-Ind Calculations'!E76,'Com-Ind Equations'!$B$20*1000*'Com-Ind Equations'!$B$24*'Com-Ind Equations'!$B$21*'Chemical Info'!J77*('Com-Ind Calculations'!C76+'Com-Ind Calculations'!E76))))</f>
        <v>NA</v>
      </c>
      <c r="K76" s="117" t="str">
        <f>IF('Chemical Info'!J77="NA","NA",IF(F76="NA",'Com-Ind Equations'!$B$20*1000*'Com-Ind Equations'!$B$24*'Com-Ind Equations'!$B$21*'Chemical Info'!J77*'Com-Ind Calculations'!C76,IF('Chemical Info'!E77="Yes",'Com-Ind Equations'!$B$20*1000*'Com-Ind Equations'!$B$24*'Com-Ind Equations'!$B$21*'Chemical Info'!J77*'Com-Ind Calculations'!F76,'Com-Ind Equations'!$B$20*1000*'Com-Ind Equations'!$B$24*'Com-Ind Equations'!$B$21*'Chemical Info'!J77*('Com-Ind Calculations'!C76+'Com-Ind Calculations'!F76))))</f>
        <v>NA</v>
      </c>
      <c r="L76" s="95" t="str">
        <f>IF(AND(H76="NA",I76="NA",J76="NA"),"NA",IF(H76="NA",'Com-Ind Equations'!$B$13*'Com-Ind Equations'!$B$14/J76,IF(J76="NA",'Com-Ind Equations'!$B$13*'Com-Ind Equations'!$B$14/(H76+I76),'Com-Ind Equations'!$B$13*'Com-Ind Equations'!$B$14/(H76+I76+J76))))</f>
        <v>NA</v>
      </c>
      <c r="M76" s="95" t="str">
        <f>IF(AND(H76="NA",I76="NA",K76="NA"),"NA",IF(H76="NA",'Com-Ind Equations'!$B$13*'Com-Ind Equations'!$B$14/K76,IF(K76="NA",'Com-Ind Equations'!$B$13*'Com-Ind Equations'!$B$14/(H76+I76),'Com-Ind Equations'!$B$13*'Com-Ind Equations'!$B$14/(H76+I76+K76))))</f>
        <v>NA</v>
      </c>
      <c r="N76" s="95" t="str">
        <f t="shared" si="10"/>
        <v>NA</v>
      </c>
      <c r="O76" s="94">
        <f>IF('Chemical Info'!L77="NA","NA",IF('Chemical Info'!E77="Yes",(('Com-Ind Equations'!$B$46*'Chemical Info'!AD77*'Com-Ind Equations'!$B$48*'Com-Ind Equations'!$B$49*'Com-Ind Equations'!$B$51)/('Com-Ind Equations'!$B$55*'Com-Ind Equations'!$B$56))/'Chemical Info'!L77,(('Com-Ind Equations'!$B$46*'Chemical Info'!AD77*'Com-Ind Equations'!$B$48*'Com-Ind Equations'!$B$49*'Com-Ind Equations'!$B$50)/('Com-Ind Equations'!$B$55*'Com-Ind Equations'!$B$56))/'Chemical Info'!L77))</f>
        <v>1.0273972602739725E-6</v>
      </c>
      <c r="P76" s="90">
        <f>IF('Chemical Info'!L77="NA","NA", IF('Chemical Info'!E77="Yes",0,((('Com-Ind Equations'!$B$58*'Com-Ind Equations'!$B$59*'Com-Ind Equations'!$B$48*'Com-Ind Equations'!$B$52*'Com-Ind Equations'!$B$49*'Chemical Info'!AB77)/('Com-Ind Equations'!$B$55*'Com-Ind Equations'!$B$56))/('Chemical Info'!L77*'Chemical Info'!AF77))))</f>
        <v>0</v>
      </c>
      <c r="Q76" s="90">
        <f>IF('Chemical Info'!N77="NA","NA",IF('Com-Ind Calculations'!E76="NA",(('Com-Ind Equations'!$B$53*'Com-Ind Equations'!$B$49*'Com-Ind Equations'!$B$54*'Com-Ind Calculations'!C76)/('Com-Ind Equations'!$B$56))/('Chemical Info'!N77),IF('Chemical Info'!E77="Yes",(('Com-Ind Equations'!$B$53*'Com-Ind Equations'!$B$49*'Com-Ind Equations'!$B$54*'Com-Ind Calculations'!E76)/('Com-Ind Equations'!$B$56))/('Chemical Info'!N77),(('Com-Ind Equations'!$B$53*'Com-Ind Equations'!$B$49*'Com-Ind Equations'!$B$54*('Com-Ind Calculations'!C76+'Com-Ind Calculations'!E76))/('Com-Ind Equations'!$B$56))/('Chemical Info'!N77))))</f>
        <v>2.2315039679249653E-6</v>
      </c>
      <c r="R76" s="90">
        <f>IF('Chemical Info'!N77="NA","NA",IF('Com-Ind Calculations'!F76="NA",(('Com-Ind Equations'!$B$53*'Com-Ind Equations'!$B$49*'Com-Ind Equations'!$B$54*'Com-Ind Calculations'!C76)/('Com-Ind Equations'!$B$56))/('Chemical Info'!N77),IF('Chemical Info'!E77="Yes",(('Com-Ind Equations'!$B$53*'Com-Ind Equations'!$B$49*'Com-Ind Equations'!$B$54*'Com-Ind Calculations'!F76)/('Com-Ind Equations'!$B$56))/('Chemical Info'!N77),(('Com-Ind Equations'!$B$53*'Com-Ind Equations'!$B$49*'Com-Ind Equations'!$B$54*('Com-Ind Calculations'!C76+'Com-Ind Calculations'!F76))/('Com-Ind Equations'!$B$56))/('Chemical Info'!N77))))</f>
        <v>2.5444278345211994E-6</v>
      </c>
      <c r="S76" s="90">
        <f>IF(AND(O76="NA",P76="NA",Q76="NA"),"NA",IF(O76="NA",'Com-Ind Equations'!$B$45/'Com-Ind Calculations'!Q76,IF('Com-Ind Calculations'!Q76="NA",'Com-Ind Equations'!$B$45/('Com-Ind Calculations'!O76+'Com-Ind Calculations'!P76),'Com-Ind Equations'!$B$45/('Com-Ind Calculations'!O76+'Com-Ind Calculations'!P76+'Com-Ind Calculations'!Q76))))</f>
        <v>61370.377926590889</v>
      </c>
      <c r="T76" s="95">
        <f>IF(AND(O76="NA",P76="NA",R76="NA"),"NA",IF(O76="NA",'Com-Ind Equations'!$B$45/R76,IF(R76="NA",'Com-Ind Equations'!$B$45/(O76+P76),'Com-Ind Equations'!$B$45/(O76+P76+R76))))</f>
        <v>55993.783203841092</v>
      </c>
      <c r="U76" s="97">
        <f t="shared" si="11"/>
        <v>61370.377926590889</v>
      </c>
      <c r="V76" s="101">
        <f t="shared" si="12"/>
        <v>28431.490850666662</v>
      </c>
      <c r="W76" s="105">
        <f t="shared" si="13"/>
        <v>28000</v>
      </c>
      <c r="X76" s="100" t="str">
        <f t="shared" si="14"/>
        <v>Csat</v>
      </c>
      <c r="Y76" s="70"/>
    </row>
    <row r="77" spans="1:25">
      <c r="A77" s="67" t="s">
        <v>1175</v>
      </c>
      <c r="B77" s="566" t="s">
        <v>1176</v>
      </c>
      <c r="C77" s="85">
        <f>1/(('Com-Ind Equations'!$B$123*3600)/(0.036*(1-'Com-Ind Equations'!$B$124)*(('Com-Ind Equations'!$B$125/'Com-Ind Equations'!$B$126)^3)*'Com-Ind Equations'!$B$127))</f>
        <v>1.4713536180231943E-9</v>
      </c>
      <c r="D77" s="90">
        <f>(('Com-Ind Equations'!$B$103^(10/3)*'Chemical Info'!AH78*'Chemical Info'!AN78*41+'Com-Ind Equations'!$B$106^(10/3)*'Chemical Info'!AJ78)/'Com-Ind Equations'!$B$108^2)/('Com-Ind Equations'!$B$110*'Chemical Info'!AL78*'Com-Ind Equations'!$B$113+'Com-Ind Equations'!$B$106+'Com-Ind Equations'!$B$103*'Chemical Info'!AN78*41)</f>
        <v>3.1763160143163509E-4</v>
      </c>
      <c r="E77" s="65">
        <f>IF(D77=0,"NA",1/(('Com-Ind Equations'!$B$74*(3.14*D77*'Com-Ind Equations'!$B$76)^(1/2)*0.0001)/(2*'Com-Ind Equations'!$B$77*D77)))</f>
        <v>1.0461415126209687E-4</v>
      </c>
      <c r="F77" s="65">
        <f>IF(D77=0,"NA",(1/('Com-Ind Equations'!$B$88*('Com-Ind Equations'!$B$89*(31500000))/('Com-Ind Equations'!$B$90*'Com-Ind Equations'!$B$91*1000000))))</f>
        <v>6.1914410640015851E-5</v>
      </c>
      <c r="G77" s="95">
        <f>IF('Chemical Info'!E78="Yes",('Chemical Info'!AP78/'Com-Ind Equations'!$B$139)*((('Chemical Info'!AL78*'Com-Ind Equations'!$B$141)*'Com-Ind Equations'!$B$139)+'Com-Ind Equations'!$B$142+('Chemical Info'!AN78*41)*'Com-Ind Equations'!$B$144),"NA")</f>
        <v>2359.2212</v>
      </c>
      <c r="H77" s="112" t="str">
        <f>IF('Chemical Info'!H78="NA","NA",IF('Chemical Info'!E78="Yes",'Chemical Info'!H78*'Chemical Info'!AD78*'Com-Ind Equations'!$B$18*'Com-Ind Equations'!$B$22*(('Com-Ind Equations'!$B$24*'Com-Ind Equations'!$B$25)/'Com-Ind Equations'!$B$26),'Chemical Info'!H78*'Chemical Info'!AD78*'Com-Ind Equations'!$B$17*'Com-Ind Equations'!$B$22*('Com-Ind Equations'!$B$24*'Com-Ind Equations'!$B$25/'Com-Ind Equations'!$B$26)))</f>
        <v>NA</v>
      </c>
      <c r="I77" s="108" t="str">
        <f>IF('Chemical Info'!H78="NA","NA",IF('Chemical Info'!E78="Yes",0,('Chemical Info'!H78/'Chemical Info'!AF78)*'Com-Ind Equations'!$B$19*'Chemical Info'!AB78*'Com-Ind Equations'!$B$22*(('Com-Ind Equations'!$B$24*'Com-Ind Equations'!$B$29*'Com-Ind Equations'!$B$30)/'Com-Ind Equations'!$B$26)))</f>
        <v>NA</v>
      </c>
      <c r="J77" s="115" t="str">
        <f>IF('Chemical Info'!J78="NA","NA",IF(E77="NA",'Com-Ind Equations'!$B$20*1000*'Com-Ind Equations'!$B$24*'Com-Ind Equations'!$B$21*'Chemical Info'!J78*'Com-Ind Calculations'!C77,IF('Chemical Info'!E78="Yes",'Com-Ind Equations'!$B$20*1000*'Com-Ind Equations'!$B$24*'Com-Ind Equations'!$B$21*'Chemical Info'!J78*'Com-Ind Calculations'!E77,'Com-Ind Equations'!$B$20*1000*'Com-Ind Equations'!$B$24*'Com-Ind Equations'!$B$21*'Chemical Info'!J78*('Com-Ind Calculations'!C77+'Com-Ind Calculations'!E77))))</f>
        <v>NA</v>
      </c>
      <c r="K77" s="117" t="str">
        <f>IF('Chemical Info'!J78="NA","NA",IF(F77="NA",'Com-Ind Equations'!$B$20*1000*'Com-Ind Equations'!$B$24*'Com-Ind Equations'!$B$21*'Chemical Info'!J78*'Com-Ind Calculations'!C77,IF('Chemical Info'!E78="Yes",'Com-Ind Equations'!$B$20*1000*'Com-Ind Equations'!$B$24*'Com-Ind Equations'!$B$21*'Chemical Info'!J78*'Com-Ind Calculations'!F77,'Com-Ind Equations'!$B$20*1000*'Com-Ind Equations'!$B$24*'Com-Ind Equations'!$B$21*'Chemical Info'!J78*('Com-Ind Calculations'!C77+'Com-Ind Calculations'!F77))))</f>
        <v>NA</v>
      </c>
      <c r="L77" s="95" t="str">
        <f>IF(AND(H77="NA",I77="NA",J77="NA"),"NA",IF(H77="NA",'Com-Ind Equations'!$B$13*'Com-Ind Equations'!$B$14/J77,IF(J77="NA",'Com-Ind Equations'!$B$13*'Com-Ind Equations'!$B$14/(H77+I77),'Com-Ind Equations'!$B$13*'Com-Ind Equations'!$B$14/(H77+I77+J77))))</f>
        <v>NA</v>
      </c>
      <c r="M77" s="95" t="str">
        <f>IF(AND(H77="NA",I77="NA",K77="NA"),"NA",IF(H77="NA",'Com-Ind Equations'!$B$13*'Com-Ind Equations'!$B$14/K77,IF(K77="NA",'Com-Ind Equations'!$B$13*'Com-Ind Equations'!$B$14/(H77+I77),'Com-Ind Equations'!$B$13*'Com-Ind Equations'!$B$14/(H77+I77+K77))))</f>
        <v>NA</v>
      </c>
      <c r="N77" s="95" t="str">
        <f t="shared" ref="N77" si="75">IF(AND(L77="NA",M77="NA"),"NA",MAX(L77,M77))</f>
        <v>NA</v>
      </c>
      <c r="O77" s="94">
        <f>IF('Chemical Info'!L78="NA","NA",IF('Chemical Info'!E78="Yes",(('Com-Ind Equations'!$B$46*'Chemical Info'!AD78*'Com-Ind Equations'!$B$48*'Com-Ind Equations'!$B$49*'Com-Ind Equations'!$B$51)/('Com-Ind Equations'!$B$55*'Com-Ind Equations'!$B$56))/'Chemical Info'!L78,(('Com-Ind Equations'!$B$46*'Chemical Info'!AD78*'Com-Ind Equations'!$B$48*'Com-Ind Equations'!$B$49*'Com-Ind Equations'!$B$50)/('Com-Ind Equations'!$B$55*'Com-Ind Equations'!$B$56))/'Chemical Info'!L78))</f>
        <v>4.4031311154598824E-7</v>
      </c>
      <c r="P77" s="90">
        <f>IF('Chemical Info'!L78="NA","NA", IF('Chemical Info'!E78="Yes",0,((('Com-Ind Equations'!$B$58*'Com-Ind Equations'!$B$59*'Com-Ind Equations'!$B$48*'Com-Ind Equations'!$B$52*'Com-Ind Equations'!$B$49*'Chemical Info'!AB78)/('Com-Ind Equations'!$B$55*'Com-Ind Equations'!$B$56))/('Chemical Info'!L78*'Chemical Info'!AF78))))</f>
        <v>0</v>
      </c>
      <c r="Q77" s="90">
        <f>IF('Chemical Info'!N78="NA","NA",IF('Com-Ind Calculations'!E77="NA",(('Com-Ind Equations'!$B$53*'Com-Ind Equations'!$B$49*'Com-Ind Equations'!$B$54*'Com-Ind Calculations'!C77)/('Com-Ind Equations'!$B$56))/('Chemical Info'!N78),IF('Chemical Info'!E78="Yes",(('Com-Ind Equations'!$B$53*'Com-Ind Equations'!$B$49*'Com-Ind Equations'!$B$54*'Com-Ind Calculations'!E77)/('Com-Ind Equations'!$B$56))/('Chemical Info'!N78),(('Com-Ind Equations'!$B$53*'Com-Ind Equations'!$B$49*'Com-Ind Equations'!$B$54*('Com-Ind Calculations'!C77+'Com-Ind Calculations'!E77))/('Com-Ind Equations'!$B$56))/('Chemical Info'!N78))))</f>
        <v>3.0708654969304363E-5</v>
      </c>
      <c r="R77" s="90">
        <f>IF('Chemical Info'!N78="NA","NA",IF('Com-Ind Calculations'!F77="NA",(('Com-Ind Equations'!$B$53*'Com-Ind Equations'!$B$49*'Com-Ind Equations'!$B$54*'Com-Ind Calculations'!C77)/('Com-Ind Equations'!$B$56))/('Chemical Info'!N78),IF('Chemical Info'!E78="Yes",(('Com-Ind Equations'!$B$53*'Com-Ind Equations'!$B$49*'Com-Ind Equations'!$B$54*'Com-Ind Calculations'!F77)/('Com-Ind Equations'!$B$56))/('Chemical Info'!N78),(('Com-Ind Equations'!$B$53*'Com-Ind Equations'!$B$49*'Com-Ind Equations'!$B$54*('Com-Ind Calculations'!C77+'Com-Ind Calculations'!F77))/('Com-Ind Equations'!$B$56))/('Chemical Info'!N78))))</f>
        <v>1.8174484532294281E-5</v>
      </c>
      <c r="S77" s="90">
        <f>IF(AND(O77="NA",P77="NA",Q77="NA"),"NA",IF(O77="NA",'Com-Ind Equations'!$B$45/'Com-Ind Calculations'!Q77,IF('Com-Ind Calculations'!Q77="NA",'Com-Ind Equations'!$B$45/('Com-Ind Calculations'!O77+'Com-Ind Calculations'!P77),'Com-Ind Equations'!$B$45/('Com-Ind Calculations'!O77+'Com-Ind Calculations'!P77+'Com-Ind Calculations'!Q77))))</f>
        <v>6420.7584495537512</v>
      </c>
      <c r="T77" s="95">
        <f>IF(AND(O77="NA",P77="NA",R77="NA"),"NA",IF(O77="NA",'Com-Ind Equations'!$B$45/R77,IF(R77="NA",'Com-Ind Equations'!$B$45/(O77+P77),'Com-Ind Equations'!$B$45/(O77+P77+R77))))</f>
        <v>10744.140432070773</v>
      </c>
      <c r="U77" s="97">
        <f t="shared" ref="U77" si="76">IF(AND(S77="NA",T77="NA"),"NA",MAX(S77,T77))</f>
        <v>10744.140432070773</v>
      </c>
      <c r="V77" s="101">
        <f t="shared" ref="V77" si="77">IF(AND(N77="NA",U77="NA",G77="NA"),"NA",MIN(N77,U77,G77))</f>
        <v>2359.2212</v>
      </c>
      <c r="W77" s="105">
        <f t="shared" ref="W77" si="78">IF(V77&gt;100000,100000,IF(ISNUMBER(ROUND(V77*1000000,2-LEN(INT(V77*1000000)))/1000000),ROUND(V77*1000000,2-LEN(INT(V77*1000000)))/1000000,"NA"))</f>
        <v>2400</v>
      </c>
      <c r="X77" s="100" t="str">
        <f t="shared" ref="X77" si="79">IF(W77=100000,"Max Limit",IF(V77=G77,"Csat",IF(V77=N77,"Cancer",IF(V77=U77,"Noncancer",""))))</f>
        <v>Csat</v>
      </c>
      <c r="Y77" s="70"/>
    </row>
    <row r="78" spans="1:25">
      <c r="A78" s="67" t="s">
        <v>918</v>
      </c>
      <c r="B78" s="566" t="s">
        <v>34</v>
      </c>
      <c r="C78" s="85">
        <f>1/(('Com-Ind Equations'!$B$123*3600)/(0.036*(1-'Com-Ind Equations'!$B$124)*(('Com-Ind Equations'!$B$125/'Com-Ind Equations'!$B$126)^3)*'Com-Ind Equations'!$B$127))</f>
        <v>1.4713536180231943E-9</v>
      </c>
      <c r="D78" s="90">
        <f>(('Com-Ind Equations'!$B$103^(10/3)*'Chemical Info'!AH79*'Chemical Info'!AN79*41+'Com-Ind Equations'!$B$106^(10/3)*'Chemical Info'!AJ79)/'Com-Ind Equations'!$B$108^2)/('Com-Ind Equations'!$B$110*'Chemical Info'!AL79*'Com-Ind Equations'!$B$113+'Com-Ind Equations'!$B$106+'Com-Ind Equations'!$B$103*'Chemical Info'!AN79*41)</f>
        <v>1.1392172887189942E-4</v>
      </c>
      <c r="E78" s="65">
        <f>IF(D78=0,"NA",1/(('Com-Ind Equations'!$B$74*(3.14*D78*'Com-Ind Equations'!$B$76)^(1/2)*0.0001)/(2*'Com-Ind Equations'!$B$77*D78)))</f>
        <v>6.2651556855871859E-5</v>
      </c>
      <c r="F78" s="65">
        <f>IF(D78=0,"NA",(1/('Com-Ind Equations'!$B$88*('Com-Ind Equations'!$B$89*(31500000))/('Com-Ind Equations'!$B$90*'Com-Ind Equations'!$B$91*1000000))))</f>
        <v>6.1914410640015851E-5</v>
      </c>
      <c r="G78" s="95">
        <f>IF('Chemical Info'!E79="Yes",('Chemical Info'!AP79/'Com-Ind Equations'!$B$139)*((('Chemical Info'!AL79*'Com-Ind Equations'!$B$141)*'Com-Ind Equations'!$B$139)+'Com-Ind Equations'!$B$142+('Chemical Info'!AN79*41)*'Com-Ind Equations'!$B$144),"NA")</f>
        <v>3356.4670399999995</v>
      </c>
      <c r="H78" s="112" t="str">
        <f>IF('Chemical Info'!H79="NA","NA",IF('Chemical Info'!E79="Yes",'Chemical Info'!H79*'Chemical Info'!AD79*'Com-Ind Equations'!$B$18*'Com-Ind Equations'!$B$22*(('Com-Ind Equations'!$B$24*'Com-Ind Equations'!$B$25)/'Com-Ind Equations'!$B$26),'Chemical Info'!H79*'Chemical Info'!AD79*'Com-Ind Equations'!$B$17*'Com-Ind Equations'!$B$22*('Com-Ind Equations'!$B$24*'Com-Ind Equations'!$B$25/'Com-Ind Equations'!$B$26)))</f>
        <v>NA</v>
      </c>
      <c r="I78" s="108" t="str">
        <f>IF('Chemical Info'!H79="NA","NA",IF('Chemical Info'!E79="Yes",0,('Chemical Info'!H79/'Chemical Info'!AF79)*'Com-Ind Equations'!$B$19*'Chemical Info'!AB79*'Com-Ind Equations'!$B$22*(('Com-Ind Equations'!$B$24*'Com-Ind Equations'!$B$29*'Com-Ind Equations'!$B$30)/'Com-Ind Equations'!$B$26)))</f>
        <v>NA</v>
      </c>
      <c r="J78" s="115" t="str">
        <f>IF('Chemical Info'!J79="NA","NA",IF(E78="NA",'Com-Ind Equations'!$B$20*1000*'Com-Ind Equations'!$B$24*'Com-Ind Equations'!$B$21*'Chemical Info'!J79*'Com-Ind Calculations'!C78,IF('Chemical Info'!E79="Yes",'Com-Ind Equations'!$B$20*1000*'Com-Ind Equations'!$B$24*'Com-Ind Equations'!$B$21*'Chemical Info'!J79*'Com-Ind Calculations'!E78,'Com-Ind Equations'!$B$20*1000*'Com-Ind Equations'!$B$24*'Com-Ind Equations'!$B$21*'Chemical Info'!J79*('Com-Ind Calculations'!C78+'Com-Ind Calculations'!E78))))</f>
        <v>NA</v>
      </c>
      <c r="K78" s="117" t="str">
        <f>IF('Chemical Info'!J79="NA","NA",IF(F78="NA",'Com-Ind Equations'!$B$20*1000*'Com-Ind Equations'!$B$24*'Com-Ind Equations'!$B$21*'Chemical Info'!J79*'Com-Ind Calculations'!C78,IF('Chemical Info'!E79="Yes",'Com-Ind Equations'!$B$20*1000*'Com-Ind Equations'!$B$24*'Com-Ind Equations'!$B$21*'Chemical Info'!J79*'Com-Ind Calculations'!F78,'Com-Ind Equations'!$B$20*1000*'Com-Ind Equations'!$B$24*'Com-Ind Equations'!$B$21*'Chemical Info'!J79*('Com-Ind Calculations'!C78+'Com-Ind Calculations'!F78))))</f>
        <v>NA</v>
      </c>
      <c r="L78" s="95" t="str">
        <f>IF(AND(H78="NA",I78="NA",J78="NA"),"NA",IF(H78="NA",'Com-Ind Equations'!$B$13*'Com-Ind Equations'!$B$14/J78,IF(J78="NA",'Com-Ind Equations'!$B$13*'Com-Ind Equations'!$B$14/(H78+I78),'Com-Ind Equations'!$B$13*'Com-Ind Equations'!$B$14/(H78+I78+J78))))</f>
        <v>NA</v>
      </c>
      <c r="M78" s="95" t="str">
        <f>IF(AND(H78="NA",I78="NA",K78="NA"),"NA",IF(H78="NA",'Com-Ind Equations'!$B$13*'Com-Ind Equations'!$B$14/K78,IF(K78="NA",'Com-Ind Equations'!$B$13*'Com-Ind Equations'!$B$14/(H78+I78),'Com-Ind Equations'!$B$13*'Com-Ind Equations'!$B$14/(H78+I78+K78))))</f>
        <v>NA</v>
      </c>
      <c r="N78" s="95" t="str">
        <f t="shared" si="10"/>
        <v>NA</v>
      </c>
      <c r="O78" s="94">
        <f>IF('Chemical Info'!L79="NA","NA",IF('Chemical Info'!E79="Yes",(('Com-Ind Equations'!$B$46*'Chemical Info'!AD79*'Com-Ind Equations'!$B$48*'Com-Ind Equations'!$B$49*'Com-Ind Equations'!$B$51)/('Com-Ind Equations'!$B$55*'Com-Ind Equations'!$B$56))/'Chemical Info'!L79,(('Com-Ind Equations'!$B$46*'Chemical Info'!AD79*'Com-Ind Equations'!$B$48*'Com-Ind Equations'!$B$49*'Com-Ind Equations'!$B$50)/('Com-Ind Equations'!$B$55*'Com-Ind Equations'!$B$56))/'Chemical Info'!L79))</f>
        <v>7.7054794520547943E-6</v>
      </c>
      <c r="P78" s="90">
        <f>IF('Chemical Info'!L79="NA","NA", IF('Chemical Info'!E79="Yes",0,((('Com-Ind Equations'!$B$58*'Com-Ind Equations'!$B$59*'Com-Ind Equations'!$B$48*'Com-Ind Equations'!$B$52*'Com-Ind Equations'!$B$49*'Chemical Info'!AB79)/('Com-Ind Equations'!$B$55*'Com-Ind Equations'!$B$56))/('Chemical Info'!L79*'Chemical Info'!AF79))))</f>
        <v>0</v>
      </c>
      <c r="Q78" s="90">
        <f>IF('Chemical Info'!N79="NA","NA",IF('Com-Ind Calculations'!E78="NA",(('Com-Ind Equations'!$B$53*'Com-Ind Equations'!$B$49*'Com-Ind Equations'!$B$54*'Com-Ind Calculations'!C78)/('Com-Ind Equations'!$B$56))/('Chemical Info'!N79),IF('Chemical Info'!E79="Yes",(('Com-Ind Equations'!$B$53*'Com-Ind Equations'!$B$49*'Com-Ind Equations'!$B$54*'Com-Ind Calculations'!E78)/('Com-Ind Equations'!$B$56))/('Chemical Info'!N79),(('Com-Ind Equations'!$B$53*'Com-Ind Equations'!$B$49*'Com-Ind Equations'!$B$54*('Com-Ind Calculations'!C78+'Com-Ind Calculations'!E78))/('Com-Ind Equations'!$B$56))/('Chemical Info'!N79))))</f>
        <v>4.2912025243747849E-6</v>
      </c>
      <c r="R78" s="90">
        <f>IF('Chemical Info'!N79="NA","NA",IF('Com-Ind Calculations'!F78="NA",(('Com-Ind Equations'!$B$53*'Com-Ind Equations'!$B$49*'Com-Ind Equations'!$B$54*'Com-Ind Calculations'!C78)/('Com-Ind Equations'!$B$56))/('Chemical Info'!N79),IF('Chemical Info'!E79="Yes",(('Com-Ind Equations'!$B$53*'Com-Ind Equations'!$B$49*'Com-Ind Equations'!$B$54*'Com-Ind Calculations'!F78)/('Com-Ind Equations'!$B$56))/('Chemical Info'!N79),(('Com-Ind Equations'!$B$53*'Com-Ind Equations'!$B$49*'Com-Ind Equations'!$B$54*('Com-Ind Calculations'!C78+'Com-Ind Calculations'!F78))/('Com-Ind Equations'!$B$56))/('Chemical Info'!N79))))</f>
        <v>4.2407130575353326E-6</v>
      </c>
      <c r="S78" s="90">
        <f>IF(AND(O78="NA",P78="NA",Q78="NA"),"NA",IF(O78="NA",'Com-Ind Equations'!$B$45/'Com-Ind Calculations'!Q78,IF('Com-Ind Calculations'!Q78="NA",'Com-Ind Equations'!$B$45/('Com-Ind Calculations'!O78+'Com-Ind Calculations'!P78),'Com-Ind Equations'!$B$45/('Com-Ind Calculations'!O78+'Com-Ind Calculations'!P78+'Com-Ind Calculations'!Q78))))</f>
        <v>16671.276307311389</v>
      </c>
      <c r="T78" s="95">
        <f>IF(AND(O78="NA",P78="NA",R78="NA"),"NA",IF(O78="NA",'Com-Ind Equations'!$B$45/R78,IF(R78="NA",'Com-Ind Equations'!$B$45/(O78+P78),'Com-Ind Equations'!$B$45/(O78+P78+R78))))</f>
        <v>16741.735899488027</v>
      </c>
      <c r="U78" s="97">
        <f t="shared" si="11"/>
        <v>16741.735899488027</v>
      </c>
      <c r="V78" s="101">
        <f t="shared" si="12"/>
        <v>3356.4670399999995</v>
      </c>
      <c r="W78" s="105">
        <f t="shared" si="13"/>
        <v>3400</v>
      </c>
      <c r="X78" s="100" t="str">
        <f t="shared" si="14"/>
        <v>Csat</v>
      </c>
      <c r="Y78" s="70"/>
    </row>
    <row r="79" spans="1:25">
      <c r="A79" s="67" t="s">
        <v>1110</v>
      </c>
      <c r="B79" s="566" t="s">
        <v>1111</v>
      </c>
      <c r="C79" s="85">
        <f>1/(('Com-Ind Equations'!$B$123*3600)/(0.036*(1-'Com-Ind Equations'!$B$124)*(('Com-Ind Equations'!$B$125/'Com-Ind Equations'!$B$126)^3)*'Com-Ind Equations'!$B$127))</f>
        <v>1.4713536180231943E-9</v>
      </c>
      <c r="D79" s="90">
        <f>(('Com-Ind Equations'!$B$103^(10/3)*'Chemical Info'!AH80*'Chemical Info'!AN80*41+'Com-Ind Equations'!$B$106^(10/3)*'Chemical Info'!AJ80)/'Com-Ind Equations'!$B$108^2)/('Com-Ind Equations'!$B$110*'Chemical Info'!AL80*'Com-Ind Equations'!$B$113+'Com-Ind Equations'!$B$106+'Com-Ind Equations'!$B$103*'Chemical Info'!AN80*41)</f>
        <v>5.3003202979548991E-4</v>
      </c>
      <c r="E79" s="65">
        <f>IF(D79=0,"NA",1/(('Com-Ind Equations'!$B$74*(3.14*D79*'Com-Ind Equations'!$B$76)^(1/2)*0.0001)/(2*'Com-Ind Equations'!$B$77*D79)))</f>
        <v>1.3513867026146404E-4</v>
      </c>
      <c r="F79" s="65">
        <f>IF(D79=0,"NA",(1/('Com-Ind Equations'!$B$88*('Com-Ind Equations'!$B$89*(31500000))/('Com-Ind Equations'!$B$90*'Com-Ind Equations'!$B$91*1000000))))</f>
        <v>6.1914410640015851E-5</v>
      </c>
      <c r="G79" s="95">
        <f>IF('Chemical Info'!E80="Yes",('Chemical Info'!AP80/'Com-Ind Equations'!$B$139)*((('Chemical Info'!AL80*'Com-Ind Equations'!$B$141)*'Com-Ind Equations'!$B$139)+'Com-Ind Equations'!$B$142+('Chemical Info'!AN80*41)*'Com-Ind Equations'!$B$144),"NA")</f>
        <v>8866.4778399999996</v>
      </c>
      <c r="H79" s="112">
        <f>IF('Chemical Info'!H80="NA","NA",IF('Chemical Info'!E80="Yes",'Chemical Info'!H80*'Chemical Info'!AD80*'Com-Ind Equations'!$B$18*'Com-Ind Equations'!$B$22*(('Com-Ind Equations'!$B$24*'Com-Ind Equations'!$B$25)/'Com-Ind Equations'!$B$26),'Chemical Info'!H80*'Chemical Info'!AD80*'Com-Ind Equations'!$B$17*'Com-Ind Equations'!$B$22*('Com-Ind Equations'!$B$24*'Com-Ind Equations'!$B$25/'Com-Ind Equations'!$B$26)))</f>
        <v>1.0125E-5</v>
      </c>
      <c r="I79" s="108">
        <f>IF('Chemical Info'!H80="NA","NA",IF('Chemical Info'!E80="Yes",0,('Chemical Info'!H80/'Chemical Info'!AF80)*'Com-Ind Equations'!$B$19*'Chemical Info'!AB80*'Com-Ind Equations'!$B$22*(('Com-Ind Equations'!$B$24*'Com-Ind Equations'!$B$29*'Com-Ind Equations'!$B$30)/'Com-Ind Equations'!$B$26)))</f>
        <v>0</v>
      </c>
      <c r="J79" s="115">
        <f>IF('Chemical Info'!J80="NA","NA",IF(E79="NA",'Com-Ind Equations'!$B$20*1000*'Com-Ind Equations'!$B$24*'Com-Ind Equations'!$B$21*'Chemical Info'!J80*'Com-Ind Calculations'!C79,IF('Chemical Info'!E80="Yes",'Com-Ind Equations'!$B$20*1000*'Com-Ind Equations'!$B$24*'Com-Ind Equations'!$B$21*'Chemical Info'!J80*'Com-Ind Calculations'!E79,'Com-Ind Equations'!$B$20*1000*'Com-Ind Equations'!$B$24*'Com-Ind Equations'!$B$21*'Chemical Info'!J80*('Com-Ind Calculations'!C79+'Com-Ind Calculations'!E79))))</f>
        <v>6.5880101752463713E-5</v>
      </c>
      <c r="K79" s="117">
        <f>IF('Chemical Info'!J80="NA","NA",IF(F79="NA",'Com-Ind Equations'!$B$20*1000*'Com-Ind Equations'!$B$24*'Com-Ind Equations'!$B$21*'Chemical Info'!J80*'Com-Ind Calculations'!C79,IF('Chemical Info'!E80="Yes",'Com-Ind Equations'!$B$20*1000*'Com-Ind Equations'!$B$24*'Com-Ind Equations'!$B$21*'Chemical Info'!J80*'Com-Ind Calculations'!F79,'Com-Ind Equations'!$B$20*1000*'Com-Ind Equations'!$B$24*'Com-Ind Equations'!$B$21*'Chemical Info'!J80*('Com-Ind Calculations'!C79+'Com-Ind Calculations'!F79))))</f>
        <v>3.0183275187007725E-5</v>
      </c>
      <c r="L79" s="95">
        <f>IF(AND(H79="NA",I79="NA",J79="NA"),"NA",IF(H79="NA",'Com-Ind Equations'!$B$13*'Com-Ind Equations'!$B$14/J79,IF(J79="NA",'Com-Ind Equations'!$B$13*'Com-Ind Equations'!$B$14/(H79+I79),'Com-Ind Equations'!$B$13*'Com-Ind Equations'!$B$14/(H79+I79+J79))))</f>
        <v>3361.616445592324</v>
      </c>
      <c r="M79" s="95">
        <f>IF(AND(H79="NA",I79="NA",K79="NA"),"NA",IF(H79="NA",'Com-Ind Equations'!$B$13*'Com-Ind Equations'!$B$14/K79,IF(K79="NA",'Com-Ind Equations'!$B$13*'Com-Ind Equations'!$B$14/(H79+I79),'Com-Ind Equations'!$B$13*'Com-Ind Equations'!$B$14/(H79+I79+K79))))</f>
        <v>6338.6487964226635</v>
      </c>
      <c r="N79" s="95">
        <f t="shared" ref="N79" si="80">IF(AND(L79="NA",M79="NA"),"NA",MAX(L79,M79))</f>
        <v>6338.6487964226635</v>
      </c>
      <c r="O79" s="94">
        <f>IF('Chemical Info'!L80="NA","NA",IF('Chemical Info'!E80="Yes",(('Com-Ind Equations'!$B$46*'Chemical Info'!AD80*'Com-Ind Equations'!$B$48*'Com-Ind Equations'!$B$49*'Com-Ind Equations'!$B$51)/('Com-Ind Equations'!$B$55*'Com-Ind Equations'!$B$56))/'Chemical Info'!L80,(('Com-Ind Equations'!$B$46*'Chemical Info'!AD80*'Com-Ind Equations'!$B$48*'Com-Ind Equations'!$B$49*'Com-Ind Equations'!$B$50)/('Com-Ind Equations'!$B$55*'Com-Ind Equations'!$B$56))/'Chemical Info'!L80))</f>
        <v>4.4031311154598819E-6</v>
      </c>
      <c r="P79" s="90">
        <f>IF('Chemical Info'!L80="NA","NA", IF('Chemical Info'!E80="Yes",0,((('Com-Ind Equations'!$B$58*'Com-Ind Equations'!$B$59*'Com-Ind Equations'!$B$48*'Com-Ind Equations'!$B$52*'Com-Ind Equations'!$B$49*'Chemical Info'!AB80)/('Com-Ind Equations'!$B$55*'Com-Ind Equations'!$B$56))/('Chemical Info'!L80*'Chemical Info'!AF80))))</f>
        <v>0</v>
      </c>
      <c r="Q79" s="90">
        <f>IF('Chemical Info'!N80="NA","NA",IF('Com-Ind Calculations'!E79="NA",(('Com-Ind Equations'!$B$53*'Com-Ind Equations'!$B$49*'Com-Ind Equations'!$B$54*'Com-Ind Calculations'!C79)/('Com-Ind Equations'!$B$56))/('Chemical Info'!N80),IF('Chemical Info'!E80="Yes",(('Com-Ind Equations'!$B$53*'Com-Ind Equations'!$B$49*'Com-Ind Equations'!$B$54*'Com-Ind Calculations'!E79)/('Com-Ind Equations'!$B$56))/('Chemical Info'!N80),(('Com-Ind Equations'!$B$53*'Com-Ind Equations'!$B$49*'Com-Ind Equations'!$B$54*('Com-Ind Calculations'!C79+'Com-Ind Calculations'!E79))/('Com-Ind Equations'!$B$56))/('Chemical Info'!N80))))</f>
        <v>9.2560733055797282E-6</v>
      </c>
      <c r="R79" s="90">
        <f>IF('Chemical Info'!N80="NA","NA",IF('Com-Ind Calculations'!F79="NA",(('Com-Ind Equations'!$B$53*'Com-Ind Equations'!$B$49*'Com-Ind Equations'!$B$54*'Com-Ind Calculations'!C79)/('Com-Ind Equations'!$B$56))/('Chemical Info'!N80),IF('Chemical Info'!E80="Yes",(('Com-Ind Equations'!$B$53*'Com-Ind Equations'!$B$49*'Com-Ind Equations'!$B$54*'Com-Ind Calculations'!F79)/('Com-Ind Equations'!$B$56))/('Chemical Info'!N80),(('Com-Ind Equations'!$B$53*'Com-Ind Equations'!$B$49*'Com-Ind Equations'!$B$54*('Com-Ind Calculations'!C79+'Com-Ind Calculations'!F79))/('Com-Ind Equations'!$B$56))/('Chemical Info'!N80))))</f>
        <v>4.2407130575353326E-6</v>
      </c>
      <c r="S79" s="90">
        <f>IF(AND(O79="NA",P79="NA",Q79="NA"),"NA",IF(O79="NA",'Com-Ind Equations'!$B$45/'Com-Ind Calculations'!Q79,IF('Com-Ind Calculations'!Q79="NA",'Com-Ind Equations'!$B$45/('Com-Ind Calculations'!O79+'Com-Ind Calculations'!P79),'Com-Ind Equations'!$B$45/('Com-Ind Calculations'!O79+'Com-Ind Calculations'!P79+'Com-Ind Calculations'!Q79))))</f>
        <v>14642.141213725088</v>
      </c>
      <c r="T79" s="95">
        <f>IF(AND(O79="NA",P79="NA",R79="NA"),"NA",IF(O79="NA",'Com-Ind Equations'!$B$45/R79,IF(R79="NA",'Com-Ind Equations'!$B$45/(O79+P79),'Com-Ind Equations'!$B$45/(O79+P79+R79))))</f>
        <v>23137.853482462444</v>
      </c>
      <c r="U79" s="97">
        <f t="shared" ref="U79" si="81">IF(AND(S79="NA",T79="NA"),"NA",MAX(S79,T79))</f>
        <v>23137.853482462444</v>
      </c>
      <c r="V79" s="101">
        <f t="shared" ref="V79" si="82">IF(AND(N79="NA",U79="NA",G79="NA"),"NA",MIN(N79,U79,G79))</f>
        <v>6338.6487964226635</v>
      </c>
      <c r="W79" s="105">
        <f t="shared" ref="W79" si="83">IF(V79&gt;100000,100000,IF(ISNUMBER(ROUND(V79*1000000,2-LEN(INT(V79*1000000)))/1000000),ROUND(V79*1000000,2-LEN(INT(V79*1000000)))/1000000,"NA"))</f>
        <v>6300</v>
      </c>
      <c r="X79" s="100" t="str">
        <f t="shared" ref="X79" si="84">IF(W79=100000,"Max Limit",IF(V79=G79,"Csat",IF(V79=N79,"Cancer",IF(V79=U79,"Noncancer",""))))</f>
        <v>Cancer</v>
      </c>
      <c r="Y79" s="70"/>
    </row>
    <row r="80" spans="1:25" ht="12">
      <c r="A80" s="121" t="s">
        <v>429</v>
      </c>
      <c r="B80" s="566" t="s">
        <v>36</v>
      </c>
      <c r="C80" s="85">
        <f>1/(('Com-Ind Equations'!$B$123*3600)/(0.036*(1-'Com-Ind Equations'!$B$124)*(('Com-Ind Equations'!$B$125/'Com-Ind Equations'!$B$126)^3)*'Com-Ind Equations'!$B$127))</f>
        <v>1.4713536180231943E-9</v>
      </c>
      <c r="D80" s="90">
        <f>(('Com-Ind Equations'!$B$103^(10/3)*'Chemical Info'!AH81*'Chemical Info'!AN81*41+'Com-Ind Equations'!$B$106^(10/3)*'Chemical Info'!AJ81)/'Com-Ind Equations'!$B$108^2)/('Com-Ind Equations'!$B$110*'Chemical Info'!AL81*'Com-Ind Equations'!$B$113+'Com-Ind Equations'!$B$106+'Com-Ind Equations'!$B$103*'Chemical Info'!AN81*41)</f>
        <v>5.9290391255332935E-6</v>
      </c>
      <c r="E80" s="65">
        <f>IF(D80=0,"NA",1/(('Com-Ind Equations'!$B$74*(3.14*D80*'Com-Ind Equations'!$B$76)^(1/2)*0.0001)/(2*'Com-Ind Equations'!$B$77*D80)))</f>
        <v>1.4292912729301234E-5</v>
      </c>
      <c r="F80" s="65">
        <f>IF(D80=0,"NA",(1/('Com-Ind Equations'!$B$88*('Com-Ind Equations'!$B$89*(31500000))/('Com-Ind Equations'!$B$90*'Com-Ind Equations'!$B$91*1000000))))</f>
        <v>6.1914410640015851E-5</v>
      </c>
      <c r="G80" s="120"/>
      <c r="H80" s="112" t="str">
        <f>IF('Chemical Info'!H81="NA","NA",IF('Chemical Info'!E81="Yes",'Chemical Info'!H81*'Chemical Info'!AD81*'Com-Ind Equations'!$B$18*'Com-Ind Equations'!$B$22*(('Com-Ind Equations'!$B$24*'Com-Ind Equations'!$B$25)/'Com-Ind Equations'!$B$26),'Chemical Info'!H81*'Chemical Info'!AD81*'Com-Ind Equations'!$B$17*'Com-Ind Equations'!$B$22*('Com-Ind Equations'!$B$24*'Com-Ind Equations'!$B$25/'Com-Ind Equations'!$B$26)))</f>
        <v>NA</v>
      </c>
      <c r="I80" s="108" t="str">
        <f>IF('Chemical Info'!H81="NA","NA",IF('Chemical Info'!E81="Yes",0,('Chemical Info'!H81/'Chemical Info'!AF81)*'Com-Ind Equations'!$B$19*'Chemical Info'!AB81*'Com-Ind Equations'!$B$22*(('Com-Ind Equations'!$B$24*'Com-Ind Equations'!$B$29*'Com-Ind Equations'!$B$30)/'Com-Ind Equations'!$B$26)))</f>
        <v>NA</v>
      </c>
      <c r="J80" s="115">
        <f>IF('Chemical Info'!J81="NA","NA",IF(E80="NA",'Com-Ind Equations'!$B$20*1000*'Com-Ind Equations'!$B$24*'Com-Ind Equations'!$B$21*'Chemical Info'!J81*'Com-Ind Calculations'!C80,IF('Chemical Info'!E81="Yes",'Com-Ind Equations'!$B$20*1000*'Com-Ind Equations'!$B$24*'Com-Ind Equations'!$B$21*'Chemical Info'!J81*'Com-Ind Calculations'!E80,'Com-Ind Equations'!$B$20*1000*'Com-Ind Equations'!$B$24*'Com-Ind Equations'!$B$21*'Chemical Info'!J81*('Com-Ind Calculations'!C80+'Com-Ind Calculations'!E80))))</f>
        <v>9.1117318649295361E-4</v>
      </c>
      <c r="K80" s="117">
        <f>IF('Chemical Info'!J81="NA","NA",IF(F80="NA",'Com-Ind Equations'!$B$20*1000*'Com-Ind Equations'!$B$24*'Com-Ind Equations'!$B$21*'Chemical Info'!J81*'Com-Ind Calculations'!C80,IF('Chemical Info'!E81="Yes",'Com-Ind Equations'!$B$20*1000*'Com-Ind Equations'!$B$24*'Com-Ind Equations'!$B$21*'Chemical Info'!J81*'Com-Ind Calculations'!F80,'Com-Ind Equations'!$B$20*1000*'Com-Ind Equations'!$B$24*'Com-Ind Equations'!$B$21*'Chemical Info'!J81*('Com-Ind Calculations'!C80+'Com-Ind Calculations'!F80))))</f>
        <v>3.9470436783010108E-3</v>
      </c>
      <c r="L80" s="95">
        <f>IF(AND(H80="NA",I80="NA",J80="NA"),"NA",IF(H80="NA",'Com-Ind Equations'!$B$13*'Com-Ind Equations'!$B$14/J80,IF(J80="NA",'Com-Ind Equations'!$B$13*'Com-Ind Equations'!$B$14/(H80+I80),'Com-Ind Equations'!$B$13*'Com-Ind Equations'!$B$14/(H80+I80+J80))))</f>
        <v>280.40772466472913</v>
      </c>
      <c r="M80" s="95">
        <f>IF(AND(H80="NA",I80="NA",K80="NA"),"NA",IF(H80="NA",'Com-Ind Equations'!$B$13*'Com-Ind Equations'!$B$14/K80,IF(K80="NA",'Com-Ind Equations'!$B$13*'Com-Ind Equations'!$B$14/(H80+I80),'Com-Ind Equations'!$B$13*'Com-Ind Equations'!$B$14/(H80+I80+K80))))</f>
        <v>64.731992048788015</v>
      </c>
      <c r="N80" s="95">
        <f t="shared" si="10"/>
        <v>280.40772466472913</v>
      </c>
      <c r="O80" s="94">
        <f>IF('Chemical Info'!L81="NA","NA",IF('Chemical Info'!E81="Yes",(('Com-Ind Equations'!$B$46*'Chemical Info'!AD81*'Com-Ind Equations'!$B$48*'Com-Ind Equations'!$B$49*'Com-Ind Equations'!$B$51)/('Com-Ind Equations'!$B$55*'Com-Ind Equations'!$B$56))/'Chemical Info'!L81,(('Com-Ind Equations'!$B$46*'Chemical Info'!AD81*'Com-Ind Equations'!$B$48*'Com-Ind Equations'!$B$49*'Com-Ind Equations'!$B$50)/('Com-Ind Equations'!$B$55*'Com-Ind Equations'!$B$56))/'Chemical Info'!L81))</f>
        <v>3.8527397260273972E-5</v>
      </c>
      <c r="P80" s="90">
        <f>IF('Chemical Info'!L81="NA","NA", IF('Chemical Info'!E81="Yes",0,((('Com-Ind Equations'!$B$58*'Com-Ind Equations'!$B$59*'Com-Ind Equations'!$B$48*'Com-Ind Equations'!$B$52*'Com-Ind Equations'!$B$49*'Chemical Info'!AB81)/('Com-Ind Equations'!$B$55*'Com-Ind Equations'!$B$56))/('Chemical Info'!L81*'Chemical Info'!AF81))))</f>
        <v>0</v>
      </c>
      <c r="Q80" s="90">
        <f>IF('Chemical Info'!N81="NA","NA",IF('Com-Ind Calculations'!E80="NA",(('Com-Ind Equations'!$B$53*'Com-Ind Equations'!$B$49*'Com-Ind Equations'!$B$54*'Com-Ind Calculations'!C80)/('Com-Ind Equations'!$B$56))/('Chemical Info'!N81),IF('Chemical Info'!E81="Yes",(('Com-Ind Equations'!$B$53*'Com-Ind Equations'!$B$49*'Com-Ind Equations'!$B$54*'Com-Ind Calculations'!E80)/('Com-Ind Equations'!$B$56))/('Chemical Info'!N81),(('Com-Ind Equations'!$B$53*'Com-Ind Equations'!$B$49*'Com-Ind Equations'!$B$54*('Com-Ind Calculations'!C80+'Com-Ind Calculations'!E80))/('Com-Ind Equations'!$B$56))/('Chemical Info'!N81))))</f>
        <v>3.2632220843153504E-4</v>
      </c>
      <c r="R80" s="90">
        <f>IF('Chemical Info'!N81="NA","NA",IF('Com-Ind Calculations'!F80="NA",(('Com-Ind Equations'!$B$53*'Com-Ind Equations'!$B$49*'Com-Ind Equations'!$B$54*'Com-Ind Calculations'!C80)/('Com-Ind Equations'!$B$56))/('Chemical Info'!N81),IF('Chemical Info'!E81="Yes",(('Com-Ind Equations'!$B$53*'Com-Ind Equations'!$B$49*'Com-Ind Equations'!$B$54*'Com-Ind Calculations'!F80)/('Com-Ind Equations'!$B$56))/('Chemical Info'!N81),(('Com-Ind Equations'!$B$53*'Com-Ind Equations'!$B$49*'Com-Ind Equations'!$B$54*('Com-Ind Calculations'!C80+'Com-Ind Calculations'!F80))/('Com-Ind Equations'!$B$56))/('Chemical Info'!N81))))</f>
        <v>1.4135710191784442E-3</v>
      </c>
      <c r="S80" s="90">
        <f>IF(AND(O80="NA",P80="NA",Q80="NA"),"NA",IF(O80="NA",'Com-Ind Equations'!$B$45/'Com-Ind Calculations'!Q80,IF('Com-Ind Calculations'!Q80="NA",'Com-Ind Equations'!$B$45/('Com-Ind Calculations'!O80+'Com-Ind Calculations'!P80),'Com-Ind Equations'!$B$45/('Com-Ind Calculations'!O80+'Com-Ind Calculations'!P80+'Com-Ind Calculations'!Q80))))</f>
        <v>548.17107345030661</v>
      </c>
      <c r="T80" s="95">
        <f>IF(AND(O80="NA",P80="NA",R80="NA"),"NA",IF(O80="NA",'Com-Ind Equations'!$B$45/R80,IF(R80="NA",'Com-Ind Equations'!$B$45/(O80+P80),'Com-Ind Equations'!$B$45/(O80+P80+R80))))</f>
        <v>137.73171138806242</v>
      </c>
      <c r="U80" s="97">
        <f t="shared" si="11"/>
        <v>548.17107345030661</v>
      </c>
      <c r="V80" s="101">
        <f t="shared" si="12"/>
        <v>280.40772466472913</v>
      </c>
      <c r="W80" s="105">
        <f t="shared" si="13"/>
        <v>280</v>
      </c>
      <c r="X80" s="100" t="str">
        <f t="shared" ref="X80:X98" si="85">IF(W80=100000,"Max Limit",IF(V80=G80,"Csat",IF(V80=N80,"Cancer",IF(V80=U80,"Noncancer",""))))</f>
        <v>Cancer</v>
      </c>
      <c r="Y80" s="70"/>
    </row>
    <row r="81" spans="1:26">
      <c r="A81" s="67" t="s">
        <v>442</v>
      </c>
      <c r="B81" s="566" t="s">
        <v>443</v>
      </c>
      <c r="C81" s="85">
        <f>1/(('Com-Ind Equations'!$B$123*3600)/(0.036*(1-'Com-Ind Equations'!$B$124)*(('Com-Ind Equations'!$B$125/'Com-Ind Equations'!$B$126)^3)*'Com-Ind Equations'!$B$127))</f>
        <v>1.4713536180231943E-9</v>
      </c>
      <c r="D81" s="90">
        <f>(('Com-Ind Equations'!$B$103^(10/3)*'Chemical Info'!AH82*'Chemical Info'!AN82*41+'Com-Ind Equations'!$B$106^(10/3)*'Chemical Info'!AJ82)/'Com-Ind Equations'!$B$108^2)/('Com-Ind Equations'!$B$110*'Chemical Info'!AL82*'Com-Ind Equations'!$B$113+'Com-Ind Equations'!$B$106+'Com-Ind Equations'!$B$103*'Chemical Info'!AN82*41)</f>
        <v>2.6025798364613228E-4</v>
      </c>
      <c r="E81" s="65">
        <f>IF(D81=0,"NA",1/(('Com-Ind Equations'!$B$74*(3.14*D81*'Com-Ind Equations'!$B$76)^(1/2)*0.0001)/(2*'Com-Ind Equations'!$B$77*D81)))</f>
        <v>9.4695777511466099E-5</v>
      </c>
      <c r="F81" s="65">
        <f>IF(D81=0,"NA",(1/('Com-Ind Equations'!$B$88*('Com-Ind Equations'!$B$89*(31500000))/('Com-Ind Equations'!$B$90*'Com-Ind Equations'!$B$91*1000000))))</f>
        <v>6.1914410640015851E-5</v>
      </c>
      <c r="G81" s="95">
        <f>IF('Chemical Info'!E82="Yes",('Chemical Info'!AP82/'Com-Ind Equations'!$B$139)*((('Chemical Info'!AL82*'Com-Ind Equations'!$B$141)*'Com-Ind Equations'!$B$139)+'Com-Ind Equations'!$B$142+('Chemical Info'!AN82*41)*'Com-Ind Equations'!$B$144),"NA")</f>
        <v>264.07771200000008</v>
      </c>
      <c r="H81" s="112" t="str">
        <f>IF('Chemical Info'!H82="NA","NA",IF('Chemical Info'!E82="Yes",'Chemical Info'!H82*'Chemical Info'!AD82*'Com-Ind Equations'!$B$18*'Com-Ind Equations'!$B$22*(('Com-Ind Equations'!$B$24*'Com-Ind Equations'!$B$25)/'Com-Ind Equations'!$B$26),'Chemical Info'!H82*'Chemical Info'!AD82*'Com-Ind Equations'!$B$17*'Com-Ind Equations'!$B$22*('Com-Ind Equations'!$B$24*'Com-Ind Equations'!$B$25/'Com-Ind Equations'!$B$26)))</f>
        <v>NA</v>
      </c>
      <c r="I81" s="108" t="str">
        <f>IF('Chemical Info'!H82="NA","NA",IF('Chemical Info'!E82="Yes",0,('Chemical Info'!H82/'Chemical Info'!AF82)*'Com-Ind Equations'!$B$19*'Chemical Info'!AB82*'Com-Ind Equations'!$B$22*(('Com-Ind Equations'!$B$24*'Com-Ind Equations'!$B$29*'Com-Ind Equations'!$B$30)/'Com-Ind Equations'!$B$26)))</f>
        <v>NA</v>
      </c>
      <c r="J81" s="115" t="str">
        <f>IF('Chemical Info'!J82="NA","NA",IF(E81="NA",'Com-Ind Equations'!$B$20*1000*'Com-Ind Equations'!$B$24*'Com-Ind Equations'!$B$21*'Chemical Info'!J82*'Com-Ind Calculations'!C81,IF('Chemical Info'!E82="Yes",'Com-Ind Equations'!$B$20*1000*'Com-Ind Equations'!$B$24*'Com-Ind Equations'!$B$21*'Chemical Info'!J82*'Com-Ind Calculations'!E81,'Com-Ind Equations'!$B$20*1000*'Com-Ind Equations'!$B$24*'Com-Ind Equations'!$B$21*'Chemical Info'!J82*('Com-Ind Calculations'!C81+'Com-Ind Calculations'!E81))))</f>
        <v>NA</v>
      </c>
      <c r="K81" s="117" t="str">
        <f>IF('Chemical Info'!J82="NA","NA",IF(F81="NA",'Com-Ind Equations'!$B$20*1000*'Com-Ind Equations'!$B$24*'Com-Ind Equations'!$B$21*'Chemical Info'!J82*'Com-Ind Calculations'!C81,IF('Chemical Info'!E82="Yes",'Com-Ind Equations'!$B$20*1000*'Com-Ind Equations'!$B$24*'Com-Ind Equations'!$B$21*'Chemical Info'!J82*'Com-Ind Calculations'!F81,'Com-Ind Equations'!$B$20*1000*'Com-Ind Equations'!$B$24*'Com-Ind Equations'!$B$21*'Chemical Info'!J82*('Com-Ind Calculations'!C81+'Com-Ind Calculations'!F81))))</f>
        <v>NA</v>
      </c>
      <c r="L81" s="95" t="str">
        <f>IF(AND(H81="NA",I81="NA",J81="NA"),"NA",IF(H81="NA",'Com-Ind Equations'!$B$13*'Com-Ind Equations'!$B$14/J81,IF(J81="NA",'Com-Ind Equations'!$B$13*'Com-Ind Equations'!$B$14/(H81+I81),'Com-Ind Equations'!$B$13*'Com-Ind Equations'!$B$14/(H81+I81+J81))))</f>
        <v>NA</v>
      </c>
      <c r="M81" s="95" t="str">
        <f>IF(AND(H81="NA",I81="NA",K81="NA"),"NA",IF(H81="NA",'Com-Ind Equations'!$B$13*'Com-Ind Equations'!$B$14/K81,IF(K81="NA",'Com-Ind Equations'!$B$13*'Com-Ind Equations'!$B$14/(H81+I81),'Com-Ind Equations'!$B$13*'Com-Ind Equations'!$B$14/(H81+I81+K81))))</f>
        <v>NA</v>
      </c>
      <c r="N81" s="95"/>
      <c r="O81" s="94">
        <f>IF('Chemical Info'!L82="NA","NA",IF('Chemical Info'!E82="Yes",(('Com-Ind Equations'!$B$46*'Chemical Info'!AD82*'Com-Ind Equations'!$B$48*'Com-Ind Equations'!$B$49*'Com-Ind Equations'!$B$51)/('Com-Ind Equations'!$B$55*'Com-Ind Equations'!$B$56))/'Chemical Info'!L82,(('Com-Ind Equations'!$B$46*'Chemical Info'!AD82*'Com-Ind Equations'!$B$48*'Com-Ind Equations'!$B$49*'Com-Ind Equations'!$B$50)/('Com-Ind Equations'!$B$55*'Com-Ind Equations'!$B$56))/'Chemical Info'!L82))</f>
        <v>6.1643835616438346E-6</v>
      </c>
      <c r="P81" s="90">
        <f>IF('Chemical Info'!L82="NA","NA", IF('Chemical Info'!E82="Yes",0,((('Com-Ind Equations'!$B$58*'Com-Ind Equations'!$B$59*'Com-Ind Equations'!$B$48*'Com-Ind Equations'!$B$52*'Com-Ind Equations'!$B$49*'Chemical Info'!AB82)/('Com-Ind Equations'!$B$55*'Com-Ind Equations'!$B$56))/('Chemical Info'!L82*'Chemical Info'!AF82))))</f>
        <v>0</v>
      </c>
      <c r="Q81" s="90">
        <f>IF('Chemical Info'!N82="NA","NA",IF('Com-Ind Calculations'!E81="NA",(('Com-Ind Equations'!$B$53*'Com-Ind Equations'!$B$49*'Com-Ind Equations'!$B$54*'Com-Ind Calculations'!C81)/('Com-Ind Equations'!$B$56))/('Chemical Info'!N82),IF('Chemical Info'!E82="Yes",(('Com-Ind Equations'!$B$53*'Com-Ind Equations'!$B$49*'Com-Ind Equations'!$B$54*'Com-Ind Calculations'!E81)/('Com-Ind Equations'!$B$56))/('Chemical Info'!N82),(('Com-Ind Equations'!$B$53*'Com-Ind Equations'!$B$49*'Com-Ind Equations'!$B$54*('Com-Ind Calculations'!C81+'Com-Ind Calculations'!E81))/('Com-Ind Equations'!$B$56))/('Chemical Info'!N82))))</f>
        <v>1.9458036474958788E-5</v>
      </c>
      <c r="R81" s="90">
        <f>IF('Chemical Info'!N82="NA","NA",IF('Com-Ind Calculations'!F81="NA",(('Com-Ind Equations'!$B$53*'Com-Ind Equations'!$B$49*'Com-Ind Equations'!$B$54*'Com-Ind Calculations'!C81)/('Com-Ind Equations'!$B$56))/('Chemical Info'!N82),IF('Chemical Info'!E82="Yes",(('Com-Ind Equations'!$B$53*'Com-Ind Equations'!$B$49*'Com-Ind Equations'!$B$54*'Com-Ind Calculations'!F81)/('Com-Ind Equations'!$B$56))/('Chemical Info'!N82),(('Com-Ind Equations'!$B$53*'Com-Ind Equations'!$B$49*'Com-Ind Equations'!$B$54*('Com-Ind Calculations'!C81+'Com-Ind Calculations'!F81))/('Com-Ind Equations'!$B$56))/('Chemical Info'!N82))))</f>
        <v>1.2722139172605997E-5</v>
      </c>
      <c r="S81" s="90">
        <f>IF(AND(O81="NA",P81="NA",Q81="NA"),"NA",IF(O81="NA",'Com-Ind Equations'!$B$45/'Com-Ind Calculations'!Q81,IF('Com-Ind Calculations'!Q81="NA",'Com-Ind Equations'!$B$45/('Com-Ind Calculations'!O81+'Com-Ind Calculations'!P81),'Com-Ind Equations'!$B$45/('Com-Ind Calculations'!O81+'Com-Ind Calculations'!P81+'Com-Ind Calculations'!Q81))))</f>
        <v>7805.6639347217097</v>
      </c>
      <c r="T81" s="95">
        <f>IF(AND(O81="NA",P81="NA",R81="NA"),"NA",IF(O81="NA",'Com-Ind Equations'!$B$45/R81,IF(R81="NA",'Com-Ind Equations'!$B$45/(O81+P81),'Com-Ind Equations'!$B$45/(O81+P81+R81))))</f>
        <v>10589.561816866866</v>
      </c>
      <c r="U81" s="97">
        <f t="shared" si="11"/>
        <v>10589.561816866866</v>
      </c>
      <c r="V81" s="101">
        <f t="shared" si="12"/>
        <v>264.07771200000008</v>
      </c>
      <c r="W81" s="105">
        <f t="shared" si="13"/>
        <v>260</v>
      </c>
      <c r="X81" s="100" t="str">
        <f t="shared" si="85"/>
        <v>Csat</v>
      </c>
      <c r="Y81" s="70"/>
    </row>
    <row r="82" spans="1:26">
      <c r="A82" s="67" t="s">
        <v>47</v>
      </c>
      <c r="B82" s="566" t="s">
        <v>48</v>
      </c>
      <c r="C82" s="85">
        <f>1/(('Com-Ind Equations'!$B$123*3600)/(0.036*(1-'Com-Ind Equations'!$B$124)*(('Com-Ind Equations'!$B$125/'Com-Ind Equations'!$B$126)^3)*'Com-Ind Equations'!$B$127))</f>
        <v>1.4713536180231943E-9</v>
      </c>
      <c r="D82" s="90">
        <f>(('Com-Ind Equations'!$B$103^(10/3)*'Chemical Info'!AH83*'Chemical Info'!AN83*41+'Com-Ind Equations'!$B$106^(10/3)*'Chemical Info'!AJ83)/'Com-Ind Equations'!$B$108^2)/('Com-Ind Equations'!$B$110*'Chemical Info'!AL83*'Com-Ind Equations'!$B$113+'Com-Ind Equations'!$B$106+'Com-Ind Equations'!$B$103*'Chemical Info'!AN83*41)</f>
        <v>1.4572579837444113E-4</v>
      </c>
      <c r="E82" s="65">
        <f>IF(D82=0,"NA",1/(('Com-Ind Equations'!$B$74*(3.14*D82*'Com-Ind Equations'!$B$76)^(1/2)*0.0001)/(2*'Com-Ind Equations'!$B$77*D82)))</f>
        <v>7.0859291478378577E-5</v>
      </c>
      <c r="F82" s="65">
        <f>IF(D82=0,"NA",(1/('Com-Ind Equations'!$B$88*('Com-Ind Equations'!$B$89*(31500000))/('Com-Ind Equations'!$B$90*'Com-Ind Equations'!$B$91*1000000))))</f>
        <v>6.1914410640015851E-5</v>
      </c>
      <c r="G82" s="95">
        <f>IF('Chemical Info'!E83="Yes",('Chemical Info'!AP83/'Com-Ind Equations'!$B$139)*((('Chemical Info'!AL83*'Com-Ind Equations'!$B$141)*'Com-Ind Equations'!$B$139)+'Com-Ind Equations'!$B$142+('Chemical Info'!AN83*41)*'Com-Ind Equations'!$B$144),"NA")</f>
        <v>867.27046666666672</v>
      </c>
      <c r="H82" s="112" t="str">
        <f>IF('Chemical Info'!H83="NA","NA",IF('Chemical Info'!E83="Yes",'Chemical Info'!H83*'Chemical Info'!AD83*'Com-Ind Equations'!$B$18*'Com-Ind Equations'!$B$22*(('Com-Ind Equations'!$B$24*'Com-Ind Equations'!$B$25)/'Com-Ind Equations'!$B$26),'Chemical Info'!H83*'Chemical Info'!AD83*'Com-Ind Equations'!$B$17*'Com-Ind Equations'!$B$22*('Com-Ind Equations'!$B$24*'Com-Ind Equations'!$B$25/'Com-Ind Equations'!$B$26)))</f>
        <v>NA</v>
      </c>
      <c r="I82" s="108" t="str">
        <f>IF('Chemical Info'!H83="NA","NA",IF('Chemical Info'!E83="Yes",0,('Chemical Info'!H83/'Chemical Info'!AF83)*'Com-Ind Equations'!$B$19*'Chemical Info'!AB83*'Com-Ind Equations'!$B$22*(('Com-Ind Equations'!$B$24*'Com-Ind Equations'!$B$29*'Com-Ind Equations'!$B$30)/'Com-Ind Equations'!$B$26)))</f>
        <v>NA</v>
      </c>
      <c r="J82" s="115" t="str">
        <f>IF('Chemical Info'!J83="NA","NA",IF(E82="NA",'Com-Ind Equations'!$B$20*1000*'Com-Ind Equations'!$B$24*'Com-Ind Equations'!$B$21*'Chemical Info'!J83*'Com-Ind Calculations'!C82,IF('Chemical Info'!E83="Yes",'Com-Ind Equations'!$B$20*1000*'Com-Ind Equations'!$B$24*'Com-Ind Equations'!$B$21*'Chemical Info'!J83*'Com-Ind Calculations'!E82,'Com-Ind Equations'!$B$20*1000*'Com-Ind Equations'!$B$24*'Com-Ind Equations'!$B$21*'Chemical Info'!J83*('Com-Ind Calculations'!C82+'Com-Ind Calculations'!E82))))</f>
        <v>NA</v>
      </c>
      <c r="K82" s="117" t="str">
        <f>IF('Chemical Info'!J83="NA","NA",IF(F82="NA",'Com-Ind Equations'!$B$20*1000*'Com-Ind Equations'!$B$24*'Com-Ind Equations'!$B$21*'Chemical Info'!J83*'Com-Ind Calculations'!C82,IF('Chemical Info'!E83="Yes",'Com-Ind Equations'!$B$20*1000*'Com-Ind Equations'!$B$24*'Com-Ind Equations'!$B$21*'Chemical Info'!J83*'Com-Ind Calculations'!F82,'Com-Ind Equations'!$B$20*1000*'Com-Ind Equations'!$B$24*'Com-Ind Equations'!$B$21*'Chemical Info'!J83*('Com-Ind Calculations'!C82+'Com-Ind Calculations'!F82))))</f>
        <v>NA</v>
      </c>
      <c r="L82" s="95" t="str">
        <f>IF(AND(H82="NA",I82="NA",J82="NA"),"NA",IF(H82="NA",'Com-Ind Equations'!$B$13*'Com-Ind Equations'!$B$14/J82,IF(J82="NA",'Com-Ind Equations'!$B$13*'Com-Ind Equations'!$B$14/(H82+I82),'Com-Ind Equations'!$B$13*'Com-Ind Equations'!$B$14/(H82+I82+J82))))</f>
        <v>NA</v>
      </c>
      <c r="M82" s="95" t="str">
        <f>IF(AND(H82="NA",I82="NA",K82="NA"),"NA",IF(H82="NA",'Com-Ind Equations'!$B$13*'Com-Ind Equations'!$B$14/K82,IF(K82="NA",'Com-Ind Equations'!$B$13*'Com-Ind Equations'!$B$14/(H82+I82),'Com-Ind Equations'!$B$13*'Com-Ind Equations'!$B$14/(H82+I82+K82))))</f>
        <v>NA</v>
      </c>
      <c r="N82" s="95" t="str">
        <f t="shared" si="10"/>
        <v>NA</v>
      </c>
      <c r="O82" s="94">
        <f>IF('Chemical Info'!L83="NA","NA",IF('Chemical Info'!E83="Yes",(('Com-Ind Equations'!$B$46*'Chemical Info'!AD83*'Com-Ind Equations'!$B$48*'Com-Ind Equations'!$B$49*'Com-Ind Equations'!$B$51)/('Com-Ind Equations'!$B$55*'Com-Ind Equations'!$B$56))/'Chemical Info'!L83,(('Com-Ind Equations'!$B$46*'Chemical Info'!AD83*'Com-Ind Equations'!$B$48*'Com-Ind Equations'!$B$49*'Com-Ind Equations'!$B$50)/('Com-Ind Equations'!$B$55*'Com-Ind Equations'!$B$56))/'Chemical Info'!L83))</f>
        <v>3.0821917808219173E-6</v>
      </c>
      <c r="P82" s="90">
        <f>IF('Chemical Info'!L83="NA","NA", IF('Chemical Info'!E83="Yes",0,((('Com-Ind Equations'!$B$58*'Com-Ind Equations'!$B$59*'Com-Ind Equations'!$B$48*'Com-Ind Equations'!$B$52*'Com-Ind Equations'!$B$49*'Chemical Info'!AB83)/('Com-Ind Equations'!$B$55*'Com-Ind Equations'!$B$56))/('Chemical Info'!L83*'Chemical Info'!AF83))))</f>
        <v>0</v>
      </c>
      <c r="Q82" s="90">
        <f>IF('Chemical Info'!N83="NA","NA",IF('Com-Ind Calculations'!E82="NA",(('Com-Ind Equations'!$B$53*'Com-Ind Equations'!$B$49*'Com-Ind Equations'!$B$54*'Com-Ind Calculations'!C82)/('Com-Ind Equations'!$B$56))/('Chemical Info'!N83),IF('Chemical Info'!E83="Yes",(('Com-Ind Equations'!$B$53*'Com-Ind Equations'!$B$49*'Com-Ind Equations'!$B$54*'Com-Ind Calculations'!E82)/('Com-Ind Equations'!$B$56))/('Chemical Info'!N83),(('Com-Ind Equations'!$B$53*'Com-Ind Equations'!$B$49*'Com-Ind Equations'!$B$54*('Com-Ind Calculations'!C82+'Com-Ind Calculations'!E82))/('Com-Ind Equations'!$B$56))/('Chemical Info'!N83))))</f>
        <v>1.7129562807021414E-5</v>
      </c>
      <c r="R82" s="90">
        <f>IF('Chemical Info'!N83="NA","NA",IF('Com-Ind Calculations'!F82="NA",(('Com-Ind Equations'!$B$53*'Com-Ind Equations'!$B$49*'Com-Ind Equations'!$B$54*'Com-Ind Calculations'!C82)/('Com-Ind Equations'!$B$56))/('Chemical Info'!N83),IF('Chemical Info'!E83="Yes",(('Com-Ind Equations'!$B$53*'Com-Ind Equations'!$B$49*'Com-Ind Equations'!$B$54*'Com-Ind Calculations'!F82)/('Com-Ind Equations'!$B$56))/('Chemical Info'!N83),(('Com-Ind Equations'!$B$53*'Com-Ind Equations'!$B$49*'Com-Ind Equations'!$B$54*('Com-Ind Calculations'!C82+'Com-Ind Calculations'!F82))/('Com-Ind Equations'!$B$56))/('Chemical Info'!N83))))</f>
        <v>1.4967222556007056E-5</v>
      </c>
      <c r="S82" s="90">
        <f>IF(AND(O82="NA",P82="NA",Q82="NA"),"NA",IF(O82="NA",'Com-Ind Equations'!$B$45/'Com-Ind Calculations'!Q82,IF('Com-Ind Calculations'!Q82="NA",'Com-Ind Equations'!$B$45/('Com-Ind Calculations'!O82+'Com-Ind Calculations'!P82),'Com-Ind Equations'!$B$45/('Com-Ind Calculations'!O82+'Com-Ind Calculations'!P82+'Com-Ind Calculations'!Q82))))</f>
        <v>9895.2319617166268</v>
      </c>
      <c r="T82" s="95">
        <f>IF(AND(O82="NA",P82="NA",R82="NA"),"NA",IF(O82="NA",'Com-Ind Equations'!$B$45/R82,IF(R82="NA",'Com-Ind Equations'!$B$45/(O82+P82),'Com-Ind Equations'!$B$45/(O82+P82+R82))))</f>
        <v>11080.691942004429</v>
      </c>
      <c r="U82" s="97">
        <f t="shared" si="11"/>
        <v>11080.691942004429</v>
      </c>
      <c r="V82" s="101">
        <f t="shared" si="12"/>
        <v>867.27046666666672</v>
      </c>
      <c r="W82" s="105">
        <f t="shared" si="13"/>
        <v>870</v>
      </c>
      <c r="X82" s="100" t="str">
        <f t="shared" si="85"/>
        <v>Csat</v>
      </c>
      <c r="Y82" s="70"/>
    </row>
    <row r="83" spans="1:26">
      <c r="A83" s="72" t="s">
        <v>374</v>
      </c>
      <c r="B83" s="566" t="s">
        <v>49</v>
      </c>
      <c r="C83" s="85">
        <f>1/(('Com-Ind Equations'!$B$123*3600)/(0.036*(1-'Com-Ind Equations'!$B$124)*(('Com-Ind Equations'!$B$125/'Com-Ind Equations'!$B$126)^3)*'Com-Ind Equations'!$B$127))</f>
        <v>1.4713536180231943E-9</v>
      </c>
      <c r="D83" s="90">
        <f>(('Com-Ind Equations'!$B$103^(10/3)*'Chemical Info'!AH84*'Chemical Info'!AN84*41+'Com-Ind Equations'!$B$106^(10/3)*'Chemical Info'!AJ84)/'Com-Ind Equations'!$B$108^2)/('Com-Ind Equations'!$B$110*'Chemical Info'!AL84*'Com-Ind Equations'!$B$113+'Com-Ind Equations'!$B$106+'Com-Ind Equations'!$B$103*'Chemical Info'!AN84*41)</f>
        <v>3.9524435731009709E-4</v>
      </c>
      <c r="E83" s="65">
        <f>IF(D83=0,"NA",1/(('Com-Ind Equations'!$B$74*(3.14*D83*'Com-Ind Equations'!$B$76)^(1/2)*0.0001)/(2*'Com-Ind Equations'!$B$77*D83)))</f>
        <v>1.1669746527903214E-4</v>
      </c>
      <c r="F83" s="65">
        <f>IF(D83=0,"NA",(1/('Com-Ind Equations'!$B$88*('Com-Ind Equations'!$B$89*(31500000))/('Com-Ind Equations'!$B$90*'Com-Ind Equations'!$B$91*1000000))))</f>
        <v>6.1914410640015851E-5</v>
      </c>
      <c r="G83" s="95">
        <f>IF('Chemical Info'!E84="Yes",('Chemical Info'!AP84/'Com-Ind Equations'!$B$139)*((('Chemical Info'!AL84*'Com-Ind Equations'!$B$141)*'Com-Ind Equations'!$B$139)+'Com-Ind Equations'!$B$142+('Chemical Info'!AN84*41)*'Com-Ind Equations'!$B$144),"NA")</f>
        <v>679.78526666666676</v>
      </c>
      <c r="H83" s="112">
        <f>IF('Chemical Info'!H84="NA","NA",IF('Chemical Info'!E84="Yes",'Chemical Info'!H84*'Chemical Info'!AD84*'Com-Ind Equations'!$B$18*'Com-Ind Equations'!$B$22*(('Com-Ind Equations'!$B$24*'Com-Ind Equations'!$B$25)/'Com-Ind Equations'!$B$26),'Chemical Info'!H84*'Chemical Info'!AD84*'Com-Ind Equations'!$B$17*'Com-Ind Equations'!$B$22*('Com-Ind Equations'!$B$24*'Com-Ind Equations'!$B$25/'Com-Ind Equations'!$B$26)))</f>
        <v>1.4624999999999998E-4</v>
      </c>
      <c r="I83" s="108">
        <f>IF('Chemical Info'!H84="NA","NA",IF('Chemical Info'!E84="Yes",0,('Chemical Info'!H84/'Chemical Info'!AF84)*'Com-Ind Equations'!$B$19*'Chemical Info'!AB84*'Com-Ind Equations'!$B$22*(('Com-Ind Equations'!$B$24*'Com-Ind Equations'!$B$29*'Com-Ind Equations'!$B$30)/'Com-Ind Equations'!$B$26)))</f>
        <v>0</v>
      </c>
      <c r="J83" s="115" t="str">
        <f>IF('Chemical Info'!J84="NA","NA",IF(E83="NA",'Com-Ind Equations'!$B$20*1000*'Com-Ind Equations'!$B$24*'Com-Ind Equations'!$B$21*'Chemical Info'!J84*'Com-Ind Calculations'!C83,IF('Chemical Info'!E84="Yes",'Com-Ind Equations'!$B$20*1000*'Com-Ind Equations'!$B$24*'Com-Ind Equations'!$B$21*'Chemical Info'!J84*'Com-Ind Calculations'!E83,'Com-Ind Equations'!$B$20*1000*'Com-Ind Equations'!$B$24*'Com-Ind Equations'!$B$21*'Chemical Info'!J84*('Com-Ind Calculations'!C83+'Com-Ind Calculations'!E83))))</f>
        <v>NA</v>
      </c>
      <c r="K83" s="117" t="str">
        <f>IF('Chemical Info'!J84="NA","NA",IF(F83="NA",'Com-Ind Equations'!$B$20*1000*'Com-Ind Equations'!$B$24*'Com-Ind Equations'!$B$21*'Chemical Info'!J84*'Com-Ind Calculations'!C83,IF('Chemical Info'!E84="Yes",'Com-Ind Equations'!$B$20*1000*'Com-Ind Equations'!$B$24*'Com-Ind Equations'!$B$21*'Chemical Info'!J84*'Com-Ind Calculations'!F83,'Com-Ind Equations'!$B$20*1000*'Com-Ind Equations'!$B$24*'Com-Ind Equations'!$B$21*'Chemical Info'!J84*('Com-Ind Calculations'!C83+'Com-Ind Calculations'!F83))))</f>
        <v>NA</v>
      </c>
      <c r="L83" s="95">
        <f>IF(AND(H83="NA",I83="NA",J83="NA"),"NA",IF(H83="NA",'Com-Ind Equations'!$B$13*'Com-Ind Equations'!$B$14/J83,IF(J83="NA",'Com-Ind Equations'!$B$13*'Com-Ind Equations'!$B$14/(H83+I83),'Com-Ind Equations'!$B$13*'Com-Ind Equations'!$B$14/(H83+I83+J83))))</f>
        <v>1747.0085470085473</v>
      </c>
      <c r="M83" s="95">
        <f>IF(AND(H83="NA",I83="NA",K83="NA"),"NA",IF(H83="NA",'Com-Ind Equations'!$B$13*'Com-Ind Equations'!$B$14/K83,IF(K83="NA",'Com-Ind Equations'!$B$13*'Com-Ind Equations'!$B$14/(H83+I83),'Com-Ind Equations'!$B$13*'Com-Ind Equations'!$B$14/(H83+I83+K83))))</f>
        <v>1747.0085470085473</v>
      </c>
      <c r="N83" s="95">
        <f t="shared" si="10"/>
        <v>1747.0085470085473</v>
      </c>
      <c r="O83" s="94">
        <f>IF('Chemical Info'!L84="NA","NA",IF('Chemical Info'!E84="Yes",(('Com-Ind Equations'!$B$46*'Chemical Info'!AD84*'Com-Ind Equations'!$B$48*'Com-Ind Equations'!$B$49*'Com-Ind Equations'!$B$51)/('Com-Ind Equations'!$B$55*'Com-Ind Equations'!$B$56))/'Chemical Info'!L84,(('Com-Ind Equations'!$B$46*'Chemical Info'!AD84*'Com-Ind Equations'!$B$48*'Com-Ind Equations'!$B$49*'Com-Ind Equations'!$B$50)/('Com-Ind Equations'!$B$55*'Com-Ind Equations'!$B$56))/'Chemical Info'!L84))</f>
        <v>2.0547945205479453E-5</v>
      </c>
      <c r="P83" s="90">
        <f>IF('Chemical Info'!L84="NA","NA", IF('Chemical Info'!E84="Yes",0,((('Com-Ind Equations'!$B$58*'Com-Ind Equations'!$B$59*'Com-Ind Equations'!$B$48*'Com-Ind Equations'!$B$52*'Com-Ind Equations'!$B$49*'Chemical Info'!AB84)/('Com-Ind Equations'!$B$55*'Com-Ind Equations'!$B$56))/('Chemical Info'!L84*'Chemical Info'!AF84))))</f>
        <v>0</v>
      </c>
      <c r="Q83" s="90" t="str">
        <f>IF('Chemical Info'!N84="NA","NA",IF('Com-Ind Calculations'!E83="NA",(('Com-Ind Equations'!$B$53*'Com-Ind Equations'!$B$49*'Com-Ind Equations'!$B$54*'Com-Ind Calculations'!C83)/('Com-Ind Equations'!$B$56))/('Chemical Info'!N84),IF('Chemical Info'!E84="Yes",(('Com-Ind Equations'!$B$53*'Com-Ind Equations'!$B$49*'Com-Ind Equations'!$B$54*'Com-Ind Calculations'!E83)/('Com-Ind Equations'!$B$56))/('Chemical Info'!N84),(('Com-Ind Equations'!$B$53*'Com-Ind Equations'!$B$49*'Com-Ind Equations'!$B$54*('Com-Ind Calculations'!C83+'Com-Ind Calculations'!E83))/('Com-Ind Equations'!$B$56))/('Chemical Info'!N84))))</f>
        <v>NA</v>
      </c>
      <c r="R83" s="90" t="str">
        <f>IF('Chemical Info'!N84="NA","NA",IF('Com-Ind Calculations'!F83="NA",(('Com-Ind Equations'!$B$53*'Com-Ind Equations'!$B$49*'Com-Ind Equations'!$B$54*'Com-Ind Calculations'!C83)/('Com-Ind Equations'!$B$56))/('Chemical Info'!N84),IF('Chemical Info'!E84="Yes",(('Com-Ind Equations'!$B$53*'Com-Ind Equations'!$B$49*'Com-Ind Equations'!$B$54*'Com-Ind Calculations'!F83)/('Com-Ind Equations'!$B$56))/('Chemical Info'!N84),(('Com-Ind Equations'!$B$53*'Com-Ind Equations'!$B$49*'Com-Ind Equations'!$B$54*('Com-Ind Calculations'!C83+'Com-Ind Calculations'!F83))/('Com-Ind Equations'!$B$56))/('Chemical Info'!N84))))</f>
        <v>NA</v>
      </c>
      <c r="S83" s="90">
        <f>IF(AND(O83="NA",P83="NA",Q83="NA"),"NA",IF(O83="NA",'Com-Ind Equations'!$B$45/'Com-Ind Calculations'!Q83,IF('Com-Ind Calculations'!Q83="NA",'Com-Ind Equations'!$B$45/('Com-Ind Calculations'!O83+'Com-Ind Calculations'!P83),'Com-Ind Equations'!$B$45/('Com-Ind Calculations'!O83+'Com-Ind Calculations'!P83+'Com-Ind Calculations'!Q83))))</f>
        <v>9733.3333333333339</v>
      </c>
      <c r="T83" s="95">
        <f>IF(AND(O83="NA",P83="NA",R83="NA"),"NA",IF(O83="NA",'Com-Ind Equations'!$B$45/R83,IF(R83="NA",'Com-Ind Equations'!$B$45/(O83+P83),'Com-Ind Equations'!$B$45/(O83+P83+R83))))</f>
        <v>9733.3333333333339</v>
      </c>
      <c r="U83" s="97">
        <f t="shared" si="11"/>
        <v>9733.3333333333339</v>
      </c>
      <c r="V83" s="101">
        <f t="shared" si="12"/>
        <v>679.78526666666676</v>
      </c>
      <c r="W83" s="105">
        <f t="shared" si="13"/>
        <v>680</v>
      </c>
      <c r="X83" s="100" t="str">
        <f t="shared" si="85"/>
        <v>Csat</v>
      </c>
      <c r="Y83" s="70"/>
    </row>
    <row r="84" spans="1:26">
      <c r="A84" s="72" t="s">
        <v>375</v>
      </c>
      <c r="B84" s="566" t="s">
        <v>183</v>
      </c>
      <c r="C84" s="85">
        <f>1/(('Com-Ind Equations'!$B$123*3600)/(0.036*(1-'Com-Ind Equations'!$B$124)*(('Com-Ind Equations'!$B$125/'Com-Ind Equations'!$B$126)^3)*'Com-Ind Equations'!$B$127))</f>
        <v>1.4713536180231943E-9</v>
      </c>
      <c r="D84" s="90">
        <f>(('Com-Ind Equations'!$B$103^(10/3)*'Chemical Info'!AH85*'Chemical Info'!AN85*41+'Com-Ind Equations'!$B$106^(10/3)*'Chemical Info'!AJ85)/'Com-Ind Equations'!$B$108^2)/('Com-Ind Equations'!$B$110*'Chemical Info'!AL85*'Com-Ind Equations'!$B$113+'Com-Ind Equations'!$B$106+'Com-Ind Equations'!$B$103*'Chemical Info'!AN85*41)</f>
        <v>5.5739696567968558E-5</v>
      </c>
      <c r="E84" s="65">
        <f>IF(D84=0,"NA",1/(('Com-Ind Equations'!$B$74*(3.14*D84*'Com-Ind Equations'!$B$76)^(1/2)*0.0001)/(2*'Com-Ind Equations'!$B$77*D84)))</f>
        <v>4.3823885876468546E-5</v>
      </c>
      <c r="F84" s="65">
        <f>IF(D84=0,"NA",(1/('Com-Ind Equations'!$B$88*('Com-Ind Equations'!$B$89*(31500000))/('Com-Ind Equations'!$B$90*'Com-Ind Equations'!$B$91*1000000))))</f>
        <v>6.1914410640015851E-5</v>
      </c>
      <c r="G84" s="95">
        <f>IF('Chemical Info'!E85="Yes",('Chemical Info'!AP85/'Com-Ind Equations'!$B$139)*((('Chemical Info'!AL85*'Com-Ind Equations'!$B$141)*'Com-Ind Equations'!$B$139)+'Com-Ind Equations'!$B$142+('Chemical Info'!AN85*41)*'Com-Ind Equations'!$B$144),"NA")</f>
        <v>1903.0300285333331</v>
      </c>
      <c r="H84" s="112">
        <f>IF('Chemical Info'!H85="NA","NA",IF('Chemical Info'!E85="Yes",'Chemical Info'!H85*'Chemical Info'!AD85*'Com-Ind Equations'!$B$18*'Com-Ind Equations'!$B$22*(('Com-Ind Equations'!$B$24*'Com-Ind Equations'!$B$25)/'Com-Ind Equations'!$B$26),'Chemical Info'!H85*'Chemical Info'!AD85*'Com-Ind Equations'!$B$17*'Com-Ind Equations'!$B$22*('Com-Ind Equations'!$B$24*'Com-Ind Equations'!$B$25/'Com-Ind Equations'!$B$26)))</f>
        <v>1.1250000000000001E-3</v>
      </c>
      <c r="I84" s="108">
        <f>IF('Chemical Info'!H85="NA","NA",IF('Chemical Info'!E85="Yes",0,('Chemical Info'!H85/'Chemical Info'!AF85)*'Com-Ind Equations'!$B$19*'Chemical Info'!AB85*'Com-Ind Equations'!$B$22*(('Com-Ind Equations'!$B$24*'Com-Ind Equations'!$B$29*'Com-Ind Equations'!$B$30)/'Com-Ind Equations'!$B$26)))</f>
        <v>0</v>
      </c>
      <c r="J84" s="115" t="str">
        <f>IF('Chemical Info'!J85="NA","NA",IF(E84="NA",'Com-Ind Equations'!$B$20*1000*'Com-Ind Equations'!$B$24*'Com-Ind Equations'!$B$21*'Chemical Info'!J85*'Com-Ind Calculations'!C84,IF('Chemical Info'!E85="Yes",'Com-Ind Equations'!$B$20*1000*'Com-Ind Equations'!$B$24*'Com-Ind Equations'!$B$21*'Chemical Info'!J85*'Com-Ind Calculations'!E84,'Com-Ind Equations'!$B$20*1000*'Com-Ind Equations'!$B$24*'Com-Ind Equations'!$B$21*'Chemical Info'!J85*('Com-Ind Calculations'!C84+'Com-Ind Calculations'!E84))))</f>
        <v>NA</v>
      </c>
      <c r="K84" s="117" t="str">
        <f>IF('Chemical Info'!J85="NA","NA",IF(F84="NA",'Com-Ind Equations'!$B$20*1000*'Com-Ind Equations'!$B$24*'Com-Ind Equations'!$B$21*'Chemical Info'!J85*'Com-Ind Calculations'!C84,IF('Chemical Info'!E85="Yes",'Com-Ind Equations'!$B$20*1000*'Com-Ind Equations'!$B$24*'Com-Ind Equations'!$B$21*'Chemical Info'!J85*'Com-Ind Calculations'!F84,'Com-Ind Equations'!$B$20*1000*'Com-Ind Equations'!$B$24*'Com-Ind Equations'!$B$21*'Chemical Info'!J85*('Com-Ind Calculations'!C84+'Com-Ind Calculations'!F84))))</f>
        <v>NA</v>
      </c>
      <c r="L84" s="95">
        <f>IF(AND(H84="NA",I84="NA",J84="NA"),"NA",IF(H84="NA",'Com-Ind Equations'!$B$13*'Com-Ind Equations'!$B$14/J84,IF(J84="NA",'Com-Ind Equations'!$B$13*'Com-Ind Equations'!$B$14/(H84+I84),'Com-Ind Equations'!$B$13*'Com-Ind Equations'!$B$14/(H84+I84+J84))))</f>
        <v>227.11111111111109</v>
      </c>
      <c r="M84" s="95">
        <f>IF(AND(H84="NA",I84="NA",K84="NA"),"NA",IF(H84="NA",'Com-Ind Equations'!$B$13*'Com-Ind Equations'!$B$14/K84,IF(K84="NA",'Com-Ind Equations'!$B$13*'Com-Ind Equations'!$B$14/(H84+I84),'Com-Ind Equations'!$B$13*'Com-Ind Equations'!$B$14/(H84+I84+K84))))</f>
        <v>227.11111111111109</v>
      </c>
      <c r="N84" s="95">
        <f t="shared" si="10"/>
        <v>227.11111111111109</v>
      </c>
      <c r="O84" s="94">
        <f>IF('Chemical Info'!L85="NA","NA",IF('Chemical Info'!E85="Yes",(('Com-Ind Equations'!$B$46*'Chemical Info'!AD85*'Com-Ind Equations'!$B$48*'Com-Ind Equations'!$B$49*'Com-Ind Equations'!$B$51)/('Com-Ind Equations'!$B$55*'Com-Ind Equations'!$B$56))/'Chemical Info'!L85,(('Com-Ind Equations'!$B$46*'Chemical Info'!AD85*'Com-Ind Equations'!$B$48*'Com-Ind Equations'!$B$49*'Com-Ind Equations'!$B$50)/('Com-Ind Equations'!$B$55*'Com-Ind Equations'!$B$56))/'Chemical Info'!L85))</f>
        <v>3.0821917808219177E-5</v>
      </c>
      <c r="P84" s="90">
        <f>IF('Chemical Info'!L85="NA","NA", IF('Chemical Info'!E85="Yes",0,((('Com-Ind Equations'!$B$58*'Com-Ind Equations'!$B$59*'Com-Ind Equations'!$B$48*'Com-Ind Equations'!$B$52*'Com-Ind Equations'!$B$49*'Chemical Info'!AB85)/('Com-Ind Equations'!$B$55*'Com-Ind Equations'!$B$56))/('Chemical Info'!L85*'Chemical Info'!AF85))))</f>
        <v>0</v>
      </c>
      <c r="Q84" s="90" t="str">
        <f>IF('Chemical Info'!N85="NA","NA",IF('Com-Ind Calculations'!E84="NA",(('Com-Ind Equations'!$B$53*'Com-Ind Equations'!$B$49*'Com-Ind Equations'!$B$54*'Com-Ind Calculations'!C84)/('Com-Ind Equations'!$B$56))/('Chemical Info'!N85),IF('Chemical Info'!E85="Yes",(('Com-Ind Equations'!$B$53*'Com-Ind Equations'!$B$49*'Com-Ind Equations'!$B$54*'Com-Ind Calculations'!E84)/('Com-Ind Equations'!$B$56))/('Chemical Info'!N85),(('Com-Ind Equations'!$B$53*'Com-Ind Equations'!$B$49*'Com-Ind Equations'!$B$54*('Com-Ind Calculations'!C84+'Com-Ind Calculations'!E84))/('Com-Ind Equations'!$B$56))/('Chemical Info'!N85))))</f>
        <v>NA</v>
      </c>
      <c r="R84" s="90" t="str">
        <f>IF('Chemical Info'!N85="NA","NA",IF('Com-Ind Calculations'!F84="NA",(('Com-Ind Equations'!$B$53*'Com-Ind Equations'!$B$49*'Com-Ind Equations'!$B$54*'Com-Ind Calculations'!C84)/('Com-Ind Equations'!$B$56))/('Chemical Info'!N85),IF('Chemical Info'!E85="Yes",(('Com-Ind Equations'!$B$53*'Com-Ind Equations'!$B$49*'Com-Ind Equations'!$B$54*'Com-Ind Calculations'!F84)/('Com-Ind Equations'!$B$56))/('Chemical Info'!N85),(('Com-Ind Equations'!$B$53*'Com-Ind Equations'!$B$49*'Com-Ind Equations'!$B$54*('Com-Ind Calculations'!C84+'Com-Ind Calculations'!F84))/('Com-Ind Equations'!$B$56))/('Chemical Info'!N85))))</f>
        <v>NA</v>
      </c>
      <c r="S84" s="90">
        <f>IF(AND(O84="NA",P84="NA",Q84="NA"),"NA",IF(O84="NA",'Com-Ind Equations'!$B$45/'Com-Ind Calculations'!Q84,IF('Com-Ind Calculations'!Q84="NA",'Com-Ind Equations'!$B$45/('Com-Ind Calculations'!O84+'Com-Ind Calculations'!P84),'Com-Ind Equations'!$B$45/('Com-Ind Calculations'!O84+'Com-Ind Calculations'!P84+'Com-Ind Calculations'!Q84))))</f>
        <v>6488.8888888888896</v>
      </c>
      <c r="T84" s="95">
        <f>IF(AND(O84="NA",P84="NA",R84="NA"),"NA",IF(O84="NA",'Com-Ind Equations'!$B$45/R84,IF(R84="NA",'Com-Ind Equations'!$B$45/(O84+P84),'Com-Ind Equations'!$B$45/(O84+P84+R84))))</f>
        <v>6488.8888888888896</v>
      </c>
      <c r="U84" s="97">
        <f t="shared" si="11"/>
        <v>6488.8888888888896</v>
      </c>
      <c r="V84" s="101">
        <f t="shared" si="12"/>
        <v>227.11111111111109</v>
      </c>
      <c r="W84" s="105">
        <f t="shared" si="13"/>
        <v>230</v>
      </c>
      <c r="X84" s="100" t="str">
        <f t="shared" si="85"/>
        <v>Cancer</v>
      </c>
      <c r="Y84" s="70"/>
    </row>
    <row r="85" spans="1:26">
      <c r="A85" s="67" t="s">
        <v>490</v>
      </c>
      <c r="B85" s="566" t="s">
        <v>100</v>
      </c>
      <c r="C85" s="85">
        <f>1/(('Com-Ind Equations'!$B$123*3600)/(0.036*(1-'Com-Ind Equations'!$B$124)*(('Com-Ind Equations'!$B$125/'Com-Ind Equations'!$B$126)^3)*'Com-Ind Equations'!$B$127))</f>
        <v>1.4713536180231943E-9</v>
      </c>
      <c r="D85" s="90">
        <f>(('Com-Ind Equations'!$B$103^(10/3)*'Chemical Info'!AH86*'Chemical Info'!AN86*41+'Com-Ind Equations'!$B$106^(10/3)*'Chemical Info'!AJ86)/'Com-Ind Equations'!$B$108^2)/('Com-Ind Equations'!$B$110*'Chemical Info'!AL86*'Com-Ind Equations'!$B$113+'Com-Ind Equations'!$B$106+'Com-Ind Equations'!$B$103*'Chemical Info'!AN86*41)</f>
        <v>2.3127021826671677E-3</v>
      </c>
      <c r="E85" s="65">
        <f>IF(D85=0,"NA",1/(('Com-Ind Equations'!$B$74*(3.14*D85*'Com-Ind Equations'!$B$76)^(1/2)*0.0001)/(2*'Com-Ind Equations'!$B$77*D85)))</f>
        <v>2.8228541447517967E-4</v>
      </c>
      <c r="F85" s="65">
        <f>IF(D85=0,"NA",(1/('Com-Ind Equations'!$B$88*('Com-Ind Equations'!$B$89*(31500000))/('Com-Ind Equations'!$B$90*'Com-Ind Equations'!$B$91*1000000))))</f>
        <v>6.1914410640015851E-5</v>
      </c>
      <c r="G85" s="95">
        <f>IF('Chemical Info'!E86="Yes",('Chemical Info'!AP86/'Com-Ind Equations'!$B$139)*((('Chemical Info'!AL86*'Com-Ind Equations'!$B$141)*'Com-Ind Equations'!$B$139)+'Com-Ind Equations'!$B$142+('Chemical Info'!AN86*41)*'Com-Ind Equations'!$B$144),"NA")</f>
        <v>165.85142399999998</v>
      </c>
      <c r="H85" s="112">
        <f>IF('Chemical Info'!H86="NA","NA",IF('Chemical Info'!E86="Yes",'Chemical Info'!H86*'Chemical Info'!AD86*'Com-Ind Equations'!$B$18*'Com-Ind Equations'!$B$22*(('Com-Ind Equations'!$B$24*'Com-Ind Equations'!$B$25)/'Com-Ind Equations'!$B$26),'Chemical Info'!H86*'Chemical Info'!AD86*'Com-Ind Equations'!$B$17*'Com-Ind Equations'!$B$22*('Com-Ind Equations'!$B$24*'Com-Ind Equations'!$B$25/'Com-Ind Equations'!$B$26)))</f>
        <v>1.4006249999999997E-4</v>
      </c>
      <c r="I85" s="108">
        <f>IF('Chemical Info'!H86="NA","NA",IF('Chemical Info'!E86="Yes",0,('Chemical Info'!H86/'Chemical Info'!AF86)*'Com-Ind Equations'!$B$19*'Chemical Info'!AB86*'Com-Ind Equations'!$B$22*(('Com-Ind Equations'!$B$24*'Com-Ind Equations'!$B$29*'Com-Ind Equations'!$B$30)/'Com-Ind Equations'!$B$26)))</f>
        <v>0</v>
      </c>
      <c r="J85" s="115">
        <f>IF('Chemical Info'!J86="NA","NA",IF(E85="NA",'Com-Ind Equations'!$B$20*1000*'Com-Ind Equations'!$B$24*'Com-Ind Equations'!$B$21*'Chemical Info'!J86*'Com-Ind Calculations'!C85,IF('Chemical Info'!E86="Yes",'Com-Ind Equations'!$B$20*1000*'Com-Ind Equations'!$B$24*'Com-Ind Equations'!$B$21*'Chemical Info'!J86*'Com-Ind Calculations'!E85,'Com-Ind Equations'!$B$20*1000*'Com-Ind Equations'!$B$24*'Com-Ind Equations'!$B$21*'Chemical Info'!J86*('Com-Ind Calculations'!C85+'Com-Ind Calculations'!E85))))</f>
        <v>1.5878554564228856E-3</v>
      </c>
      <c r="K85" s="117">
        <f>IF('Chemical Info'!J86="NA","NA",IF(F85="NA",'Com-Ind Equations'!$B$20*1000*'Com-Ind Equations'!$B$24*'Com-Ind Equations'!$B$21*'Chemical Info'!J86*'Com-Ind Calculations'!C85,IF('Chemical Info'!E86="Yes",'Com-Ind Equations'!$B$20*1000*'Com-Ind Equations'!$B$24*'Com-Ind Equations'!$B$21*'Chemical Info'!J86*'Com-Ind Calculations'!F85,'Com-Ind Equations'!$B$20*1000*'Com-Ind Equations'!$B$24*'Com-Ind Equations'!$B$21*'Chemical Info'!J86*('Com-Ind Calculations'!C85+'Com-Ind Calculations'!F85))))</f>
        <v>3.4826855985008913E-4</v>
      </c>
      <c r="L85" s="95">
        <f>IF(AND(H85="NA",I85="NA",J85="NA"),"NA",IF(H85="NA",'Com-Ind Equations'!$B$13*'Com-Ind Equations'!$B$14/J85,IF(J85="NA",'Com-Ind Equations'!$B$13*'Com-Ind Equations'!$B$14/(H85+I85),'Com-Ind Equations'!$B$13*'Com-Ind Equations'!$B$14/(H85+I85+J85))))</f>
        <v>147.8658168058702</v>
      </c>
      <c r="M85" s="95">
        <f>IF(AND(H85="NA",I85="NA",K85="NA"),"NA",IF(H85="NA",'Com-Ind Equations'!$B$13*'Com-Ind Equations'!$B$14/K85,IF(K85="NA",'Com-Ind Equations'!$B$13*'Com-Ind Equations'!$B$14/(H85+I85),'Com-Ind Equations'!$B$13*'Com-Ind Equations'!$B$14/(H85+I85+K85))))</f>
        <v>523.21062698415085</v>
      </c>
      <c r="N85" s="95">
        <f t="shared" si="10"/>
        <v>523.21062698415085</v>
      </c>
      <c r="O85" s="94">
        <f>IF('Chemical Info'!L86="NA","NA",IF('Chemical Info'!E86="Yes",(('Com-Ind Equations'!$B$46*'Chemical Info'!AD86*'Com-Ind Equations'!$B$48*'Com-Ind Equations'!$B$49*'Com-Ind Equations'!$B$51)/('Com-Ind Equations'!$B$55*'Com-Ind Equations'!$B$56))/'Chemical Info'!L86,(('Com-Ind Equations'!$B$46*'Chemical Info'!AD86*'Com-Ind Equations'!$B$48*'Com-Ind Equations'!$B$49*'Com-Ind Equations'!$B$50)/('Com-Ind Equations'!$B$55*'Com-Ind Equations'!$B$56))/'Chemical Info'!L86))</f>
        <v>2.3709167544783981E-4</v>
      </c>
      <c r="P85" s="90">
        <f>IF('Chemical Info'!L86="NA","NA", IF('Chemical Info'!E86="Yes",0,((('Com-Ind Equations'!$B$58*'Com-Ind Equations'!$B$59*'Com-Ind Equations'!$B$48*'Com-Ind Equations'!$B$52*'Com-Ind Equations'!$B$49*'Chemical Info'!AB86)/('Com-Ind Equations'!$B$55*'Com-Ind Equations'!$B$56))/('Chemical Info'!L86*'Chemical Info'!AF86))))</f>
        <v>0</v>
      </c>
      <c r="Q85" s="90">
        <f>IF('Chemical Info'!N86="NA","NA",IF('Com-Ind Calculations'!E85="NA",(('Com-Ind Equations'!$B$53*'Com-Ind Equations'!$B$49*'Com-Ind Equations'!$B$54*'Com-Ind Calculations'!C85)/('Com-Ind Equations'!$B$56))/('Chemical Info'!N86),IF('Chemical Info'!E86="Yes",(('Com-Ind Equations'!$B$53*'Com-Ind Equations'!$B$49*'Com-Ind Equations'!$B$54*'Com-Ind Calculations'!E85)/('Com-Ind Equations'!$B$56))/('Chemical Info'!N86),(('Com-Ind Equations'!$B$53*'Com-Ind Equations'!$B$49*'Com-Ind Equations'!$B$54*('Com-Ind Calculations'!C85+'Com-Ind Calculations'!E85))/('Com-Ind Equations'!$B$56))/('Chemical Info'!N86))))</f>
        <v>3.8669234859613653E-3</v>
      </c>
      <c r="R85" s="90">
        <f>IF('Chemical Info'!N86="NA","NA",IF('Com-Ind Calculations'!F85="NA",(('Com-Ind Equations'!$B$53*'Com-Ind Equations'!$B$49*'Com-Ind Equations'!$B$54*'Com-Ind Calculations'!C85)/('Com-Ind Equations'!$B$56))/('Chemical Info'!N86),IF('Chemical Info'!E86="Yes",(('Com-Ind Equations'!$B$53*'Com-Ind Equations'!$B$49*'Com-Ind Equations'!$B$54*'Com-Ind Calculations'!F85)/('Com-Ind Equations'!$B$56))/('Chemical Info'!N86),(('Com-Ind Equations'!$B$53*'Com-Ind Equations'!$B$49*'Com-Ind Equations'!$B$54*('Com-Ind Calculations'!C85+'Com-Ind Calculations'!F85))/('Com-Ind Equations'!$B$56))/('Chemical Info'!N86))))</f>
        <v>8.4814261150706653E-4</v>
      </c>
      <c r="S85" s="90">
        <f>IF(AND(O85="NA",P85="NA",Q85="NA"),"NA",IF(O85="NA",'Com-Ind Equations'!$B$45/'Com-Ind Calculations'!Q85,IF('Com-Ind Calculations'!Q85="NA",'Com-Ind Equations'!$B$45/('Com-Ind Calculations'!O85+'Com-Ind Calculations'!P85),'Com-Ind Equations'!$B$45/('Com-Ind Calculations'!O85+'Com-Ind Calculations'!P85+'Com-Ind Calculations'!Q85))))</f>
        <v>48.732763436313803</v>
      </c>
      <c r="T85" s="95">
        <f>IF(AND(O85="NA",P85="NA",R85="NA"),"NA",IF(O85="NA",'Com-Ind Equations'!$B$45/R85,IF(R85="NA",'Com-Ind Equations'!$B$45/(O85+P85),'Com-Ind Equations'!$B$45/(O85+P85+R85))))</f>
        <v>184.29200256949716</v>
      </c>
      <c r="U85" s="97">
        <f t="shared" si="11"/>
        <v>184.29200256949716</v>
      </c>
      <c r="V85" s="101">
        <f t="shared" si="12"/>
        <v>165.85142399999998</v>
      </c>
      <c r="W85" s="105">
        <f t="shared" si="13"/>
        <v>170</v>
      </c>
      <c r="X85" s="100" t="str">
        <f t="shared" si="85"/>
        <v>Csat</v>
      </c>
      <c r="Y85" s="70"/>
    </row>
    <row r="86" spans="1:26">
      <c r="A86" s="67" t="s">
        <v>101</v>
      </c>
      <c r="B86" s="566" t="s">
        <v>102</v>
      </c>
      <c r="C86" s="85">
        <f>1/(('Com-Ind Equations'!$B$123*3600)/(0.036*(1-'Com-Ind Equations'!$B$124)*(('Com-Ind Equations'!$B$125/'Com-Ind Equations'!$B$126)^3)*'Com-Ind Equations'!$B$127))</f>
        <v>1.4713536180231943E-9</v>
      </c>
      <c r="D86" s="90">
        <f>(('Com-Ind Equations'!$B$103^(10/3)*'Chemical Info'!AH87*'Chemical Info'!AN87*41+'Com-Ind Equations'!$B$106^(10/3)*'Chemical Info'!AJ87)/'Com-Ind Equations'!$B$108^2)/('Com-Ind Equations'!$B$110*'Chemical Info'!AL87*'Com-Ind Equations'!$B$113+'Com-Ind Equations'!$B$106+'Com-Ind Equations'!$B$103*'Chemical Info'!AN87*41)</f>
        <v>6.9290063018889443E-4</v>
      </c>
      <c r="E86" s="65">
        <f>IF(D86=0,"NA",1/(('Com-Ind Equations'!$B$74*(3.14*D86*'Com-Ind Equations'!$B$76)^(1/2)*0.0001)/(2*'Com-Ind Equations'!$B$77*D86)))</f>
        <v>1.5451265745856181E-4</v>
      </c>
      <c r="F86" s="65">
        <f>IF(D86=0,"NA",(1/('Com-Ind Equations'!$B$88*('Com-Ind Equations'!$B$89*(31500000))/('Com-Ind Equations'!$B$90*'Com-Ind Equations'!$B$91*1000000))))</f>
        <v>6.1914410640015851E-5</v>
      </c>
      <c r="G86" s="95">
        <f>IF('Chemical Info'!E87="Yes",('Chemical Info'!AP87/'Com-Ind Equations'!$B$139)*((('Chemical Info'!AL87*'Com-Ind Equations'!$B$141)*'Com-Ind Equations'!$B$139)+'Com-Ind Equations'!$B$142+('Chemical Info'!AN87*41)*'Com-Ind Equations'!$B$144),"NA")</f>
        <v>817.51873813333339</v>
      </c>
      <c r="H86" s="112" t="str">
        <f>IF('Chemical Info'!H87="NA","NA",IF('Chemical Info'!E87="Yes",'Chemical Info'!H87*'Chemical Info'!AD87*'Com-Ind Equations'!$B$18*'Com-Ind Equations'!$B$22*(('Com-Ind Equations'!$B$24*'Com-Ind Equations'!$B$25)/'Com-Ind Equations'!$B$26),'Chemical Info'!H87*'Chemical Info'!AD87*'Com-Ind Equations'!$B$17*'Com-Ind Equations'!$B$22*('Com-Ind Equations'!$B$24*'Com-Ind Equations'!$B$25/'Com-Ind Equations'!$B$26)))</f>
        <v>NA</v>
      </c>
      <c r="I86" s="108" t="str">
        <f>IF('Chemical Info'!H87="NA","NA",IF('Chemical Info'!E87="Yes",0,('Chemical Info'!H87/'Chemical Info'!AF87)*'Com-Ind Equations'!$B$19*'Chemical Info'!AB87*'Com-Ind Equations'!$B$22*(('Com-Ind Equations'!$B$24*'Com-Ind Equations'!$B$29*'Com-Ind Equations'!$B$30)/'Com-Ind Equations'!$B$26)))</f>
        <v>NA</v>
      </c>
      <c r="J86" s="115" t="str">
        <f>IF('Chemical Info'!J87="NA","NA",IF(E86="NA",'Com-Ind Equations'!$B$20*1000*'Com-Ind Equations'!$B$24*'Com-Ind Equations'!$B$21*'Chemical Info'!J87*'Com-Ind Calculations'!C86,IF('Chemical Info'!E87="Yes",'Com-Ind Equations'!$B$20*1000*'Com-Ind Equations'!$B$24*'Com-Ind Equations'!$B$21*'Chemical Info'!J87*'Com-Ind Calculations'!E86,'Com-Ind Equations'!$B$20*1000*'Com-Ind Equations'!$B$24*'Com-Ind Equations'!$B$21*'Chemical Info'!J87*('Com-Ind Calculations'!C86+'Com-Ind Calculations'!E86))))</f>
        <v>NA</v>
      </c>
      <c r="K86" s="117" t="str">
        <f>IF('Chemical Info'!J87="NA","NA",IF(F86="NA",'Com-Ind Equations'!$B$20*1000*'Com-Ind Equations'!$B$24*'Com-Ind Equations'!$B$21*'Chemical Info'!J87*'Com-Ind Calculations'!C86,IF('Chemical Info'!E87="Yes",'Com-Ind Equations'!$B$20*1000*'Com-Ind Equations'!$B$24*'Com-Ind Equations'!$B$21*'Chemical Info'!J87*'Com-Ind Calculations'!F86,'Com-Ind Equations'!$B$20*1000*'Com-Ind Equations'!$B$24*'Com-Ind Equations'!$B$21*'Chemical Info'!J87*('Com-Ind Calculations'!C86+'Com-Ind Calculations'!F86))))</f>
        <v>NA</v>
      </c>
      <c r="L86" s="95" t="str">
        <f>IF(AND(H86="NA",I86="NA",J86="NA"),"NA",IF(H86="NA",'Com-Ind Equations'!$B$13*'Com-Ind Equations'!$B$14/J86,IF(J86="NA",'Com-Ind Equations'!$B$13*'Com-Ind Equations'!$B$14/(H86+I86),'Com-Ind Equations'!$B$13*'Com-Ind Equations'!$B$14/(H86+I86+J86))))</f>
        <v>NA</v>
      </c>
      <c r="M86" s="95" t="str">
        <f>IF(AND(H86="NA",I86="NA",K86="NA"),"NA",IF(H86="NA",'Com-Ind Equations'!$B$13*'Com-Ind Equations'!$B$14/K86,IF(K86="NA",'Com-Ind Equations'!$B$13*'Com-Ind Equations'!$B$14/(H86+I86),'Com-Ind Equations'!$B$13*'Com-Ind Equations'!$B$14/(H86+I86+K86))))</f>
        <v>NA</v>
      </c>
      <c r="N86" s="95" t="str">
        <f t="shared" si="10"/>
        <v>NA</v>
      </c>
      <c r="O86" s="94">
        <f>IF('Chemical Info'!L87="NA","NA",IF('Chemical Info'!E87="Yes",(('Com-Ind Equations'!$B$46*'Chemical Info'!AD87*'Com-Ind Equations'!$B$48*'Com-Ind Equations'!$B$49*'Com-Ind Equations'!$B$51)/('Com-Ind Equations'!$B$55*'Com-Ind Equations'!$B$56))/'Chemical Info'!L87,(('Com-Ind Equations'!$B$46*'Chemical Info'!AD87*'Com-Ind Equations'!$B$48*'Com-Ind Equations'!$B$49*'Com-Ind Equations'!$B$50)/('Com-Ind Equations'!$B$55*'Com-Ind Equations'!$B$56))/'Chemical Info'!L87))</f>
        <v>1.1207970112079701E-5</v>
      </c>
      <c r="P86" s="90">
        <f>IF('Chemical Info'!L87="NA","NA", IF('Chemical Info'!E87="Yes",0,((('Com-Ind Equations'!$B$58*'Com-Ind Equations'!$B$59*'Com-Ind Equations'!$B$48*'Com-Ind Equations'!$B$52*'Com-Ind Equations'!$B$49*'Chemical Info'!AB87)/('Com-Ind Equations'!$B$55*'Com-Ind Equations'!$B$56))/('Chemical Info'!L87*'Chemical Info'!AF87))))</f>
        <v>0</v>
      </c>
      <c r="Q86" s="90">
        <f>IF('Chemical Info'!N87="NA","NA",IF('Com-Ind Calculations'!E86="NA",(('Com-Ind Equations'!$B$53*'Com-Ind Equations'!$B$49*'Com-Ind Equations'!$B$54*'Com-Ind Calculations'!C86)/('Com-Ind Equations'!$B$56))/('Chemical Info'!N87),IF('Chemical Info'!E87="Yes",(('Com-Ind Equations'!$B$53*'Com-Ind Equations'!$B$49*'Com-Ind Equations'!$B$54*'Com-Ind Calculations'!E86)/('Com-Ind Equations'!$B$56))/('Chemical Info'!N87),(('Com-Ind Equations'!$B$53*'Com-Ind Equations'!$B$49*'Com-Ind Equations'!$B$54*('Com-Ind Calculations'!C86+'Com-Ind Calculations'!E86))/('Com-Ind Equations'!$B$56))/('Chemical Info'!N87))))</f>
        <v>7.9372940475288598E-6</v>
      </c>
      <c r="R86" s="90">
        <f>IF('Chemical Info'!N87="NA","NA",IF('Com-Ind Calculations'!F86="NA",(('Com-Ind Equations'!$B$53*'Com-Ind Equations'!$B$49*'Com-Ind Equations'!$B$54*'Com-Ind Calculations'!C86)/('Com-Ind Equations'!$B$56))/('Chemical Info'!N87),IF('Chemical Info'!E87="Yes",(('Com-Ind Equations'!$B$53*'Com-Ind Equations'!$B$49*'Com-Ind Equations'!$B$54*'Com-Ind Calculations'!F86)/('Com-Ind Equations'!$B$56))/('Chemical Info'!N87),(('Com-Ind Equations'!$B$53*'Com-Ind Equations'!$B$49*'Com-Ind Equations'!$B$54*('Com-Ind Calculations'!C86+'Com-Ind Calculations'!F86))/('Com-Ind Equations'!$B$56))/('Chemical Info'!N87))))</f>
        <v>3.1805347931514992E-6</v>
      </c>
      <c r="S86" s="90">
        <f>IF(AND(O86="NA",P86="NA",Q86="NA"),"NA",IF(O86="NA",'Com-Ind Equations'!$B$45/'Com-Ind Calculations'!Q86,IF('Com-Ind Calculations'!Q86="NA",'Com-Ind Equations'!$B$45/('Com-Ind Calculations'!O86+'Com-Ind Calculations'!P86),'Com-Ind Equations'!$B$45/('Com-Ind Calculations'!O86+'Com-Ind Calculations'!P86+'Com-Ind Calculations'!Q86))))</f>
        <v>10446.447661032907</v>
      </c>
      <c r="T86" s="95">
        <f>IF(AND(O86="NA",P86="NA",R86="NA"),"NA",IF(O86="NA",'Com-Ind Equations'!$B$45/R86,IF(R86="NA",'Com-Ind Equations'!$B$45/(O86+P86),'Com-Ind Equations'!$B$45/(O86+P86+R86))))</f>
        <v>13899.984836317943</v>
      </c>
      <c r="U86" s="97">
        <f t="shared" si="11"/>
        <v>13899.984836317943</v>
      </c>
      <c r="V86" s="101">
        <f t="shared" si="12"/>
        <v>817.51873813333339</v>
      </c>
      <c r="W86" s="105">
        <f t="shared" si="13"/>
        <v>820</v>
      </c>
      <c r="X86" s="100" t="str">
        <f t="shared" si="85"/>
        <v>Csat</v>
      </c>
      <c r="Y86" s="70"/>
      <c r="Z86" s="9"/>
    </row>
    <row r="87" spans="1:26">
      <c r="A87" s="70" t="s">
        <v>376</v>
      </c>
      <c r="B87" s="566" t="s">
        <v>103</v>
      </c>
      <c r="C87" s="85">
        <f>1/(('Com-Ind Equations'!$B$123*3600)/(0.036*(1-'Com-Ind Equations'!$B$124)*(('Com-Ind Equations'!$B$125/'Com-Ind Equations'!$B$126)^3)*'Com-Ind Equations'!$B$127))</f>
        <v>1.4713536180231943E-9</v>
      </c>
      <c r="D87" s="90">
        <f>(('Com-Ind Equations'!$B$103^(10/3)*'Chemical Info'!AH88*'Chemical Info'!AN88*41+'Com-Ind Equations'!$B$106^(10/3)*'Chemical Info'!AJ88)/'Com-Ind Equations'!$B$108^2)/('Com-Ind Equations'!$B$110*'Chemical Info'!AL88*'Com-Ind Equations'!$B$113+'Com-Ind Equations'!$B$106+'Com-Ind Equations'!$B$103*'Chemical Info'!AN88*41)</f>
        <v>1.4218881847313364E-5</v>
      </c>
      <c r="E87" s="65">
        <f>IF(D87=0,"NA",1/(('Com-Ind Equations'!$B$74*(3.14*D87*'Com-Ind Equations'!$B$76)^(1/2)*0.0001)/(2*'Com-Ind Equations'!$B$77*D87)))</f>
        <v>2.2134071400348228E-5</v>
      </c>
      <c r="F87" s="65">
        <f>IF(D87=0,"NA",(1/('Com-Ind Equations'!$B$88*('Com-Ind Equations'!$B$89*(31500000))/('Com-Ind Equations'!$B$90*'Com-Ind Equations'!$B$91*1000000))))</f>
        <v>6.1914410640015851E-5</v>
      </c>
      <c r="G87" s="95">
        <f>IF('Chemical Info'!E88="Yes",('Chemical Info'!AP88/'Com-Ind Equations'!$B$139)*((('Chemical Info'!AL88*'Com-Ind Equations'!$B$141)*'Com-Ind Equations'!$B$139)+'Com-Ind Equations'!$B$142+('Chemical Info'!AN88*41)*'Com-Ind Equations'!$B$144),"NA")</f>
        <v>404.09651893333336</v>
      </c>
      <c r="H87" s="112">
        <f>IF('Chemical Info'!H88="NA","NA",IF('Chemical Info'!E88="Yes",'Chemical Info'!H88*'Chemical Info'!AD88*'Com-Ind Equations'!$B$18*'Com-Ind Equations'!$B$22*(('Com-Ind Equations'!$B$24*'Com-Ind Equations'!$B$25)/'Com-Ind Equations'!$B$26),'Chemical Info'!H88*'Chemical Info'!AD88*'Com-Ind Equations'!$B$17*'Com-Ind Equations'!$B$22*('Com-Ind Equations'!$B$24*'Com-Ind Equations'!$B$25/'Com-Ind Equations'!$B$26)))</f>
        <v>1.6312499999999999E-4</v>
      </c>
      <c r="I87" s="108">
        <f>IF('Chemical Info'!H88="NA","NA",IF('Chemical Info'!E88="Yes",0,('Chemical Info'!H88/'Chemical Info'!AF88)*'Com-Ind Equations'!$B$19*'Chemical Info'!AB88*'Com-Ind Equations'!$B$22*(('Com-Ind Equations'!$B$24*'Com-Ind Equations'!$B$29*'Com-Ind Equations'!$B$30)/'Com-Ind Equations'!$B$26)))</f>
        <v>0</v>
      </c>
      <c r="J87" s="115" t="str">
        <f>IF('Chemical Info'!J88="NA","NA",IF(E87="NA",'Com-Ind Equations'!$B$20*1000*'Com-Ind Equations'!$B$24*'Com-Ind Equations'!$B$21*'Chemical Info'!J88*'Com-Ind Calculations'!C87,IF('Chemical Info'!E88="Yes",'Com-Ind Equations'!$B$20*1000*'Com-Ind Equations'!$B$24*'Com-Ind Equations'!$B$21*'Chemical Info'!J88*'Com-Ind Calculations'!E87,'Com-Ind Equations'!$B$20*1000*'Com-Ind Equations'!$B$24*'Com-Ind Equations'!$B$21*'Chemical Info'!J88*('Com-Ind Calculations'!C87+'Com-Ind Calculations'!E87))))</f>
        <v>NA</v>
      </c>
      <c r="K87" s="117" t="str">
        <f>IF('Chemical Info'!J88="NA","NA",IF(F87="NA",'Com-Ind Equations'!$B$20*1000*'Com-Ind Equations'!$B$24*'Com-Ind Equations'!$B$21*'Chemical Info'!J88*'Com-Ind Calculations'!C87,IF('Chemical Info'!E88="Yes",'Com-Ind Equations'!$B$20*1000*'Com-Ind Equations'!$B$24*'Com-Ind Equations'!$B$21*'Chemical Info'!J88*'Com-Ind Calculations'!F87,'Com-Ind Equations'!$B$20*1000*'Com-Ind Equations'!$B$24*'Com-Ind Equations'!$B$21*'Chemical Info'!J88*('Com-Ind Calculations'!C87+'Com-Ind Calculations'!F87))))</f>
        <v>NA</v>
      </c>
      <c r="L87" s="95">
        <f>IF(AND(H87="NA",I87="NA",J87="NA"),"NA",IF(H87="NA",'Com-Ind Equations'!$B$13*'Com-Ind Equations'!$B$14/J87,IF(J87="NA",'Com-Ind Equations'!$B$13*'Com-Ind Equations'!$B$14/(H87+I87),'Com-Ind Equations'!$B$13*'Com-Ind Equations'!$B$14/(H87+I87+J87))))</f>
        <v>1566.2835249042146</v>
      </c>
      <c r="M87" s="95">
        <f>IF(AND(H87="NA",I87="NA",K87="NA"),"NA",IF(H87="NA",'Com-Ind Equations'!$B$13*'Com-Ind Equations'!$B$14/K87,IF(K87="NA",'Com-Ind Equations'!$B$13*'Com-Ind Equations'!$B$14/(H87+I87),'Com-Ind Equations'!$B$13*'Com-Ind Equations'!$B$14/(H87+I87+K87))))</f>
        <v>1566.2835249042146</v>
      </c>
      <c r="N87" s="95">
        <f t="shared" si="10"/>
        <v>1566.2835249042146</v>
      </c>
      <c r="O87" s="94">
        <f>IF('Chemical Info'!L88="NA","NA",IF('Chemical Info'!E88="Yes",(('Com-Ind Equations'!$B$46*'Chemical Info'!AD88*'Com-Ind Equations'!$B$48*'Com-Ind Equations'!$B$49*'Com-Ind Equations'!$B$51)/('Com-Ind Equations'!$B$55*'Com-Ind Equations'!$B$56))/'Chemical Info'!L88,(('Com-Ind Equations'!$B$46*'Chemical Info'!AD88*'Com-Ind Equations'!$B$48*'Com-Ind Equations'!$B$49*'Com-Ind Equations'!$B$50)/('Com-Ind Equations'!$B$55*'Com-Ind Equations'!$B$56))/'Chemical Info'!L88))</f>
        <v>2.9354207436399215E-5</v>
      </c>
      <c r="P87" s="90">
        <f>IF('Chemical Info'!L88="NA","NA", IF('Chemical Info'!E88="Yes",0,((('Com-Ind Equations'!$B$58*'Com-Ind Equations'!$B$59*'Com-Ind Equations'!$B$48*'Com-Ind Equations'!$B$52*'Com-Ind Equations'!$B$49*'Chemical Info'!AB88)/('Com-Ind Equations'!$B$55*'Com-Ind Equations'!$B$56))/('Chemical Info'!L88*'Chemical Info'!AF88))))</f>
        <v>0</v>
      </c>
      <c r="Q87" s="90">
        <f>IF('Chemical Info'!N88="NA","NA",IF('Com-Ind Calculations'!E87="NA",(('Com-Ind Equations'!$B$53*'Com-Ind Equations'!$B$49*'Com-Ind Equations'!$B$54*'Com-Ind Calculations'!C87)/('Com-Ind Equations'!$B$56))/('Chemical Info'!N88),IF('Chemical Info'!E88="Yes",(('Com-Ind Equations'!$B$53*'Com-Ind Equations'!$B$49*'Com-Ind Equations'!$B$54*'Com-Ind Calculations'!E87)/('Com-Ind Equations'!$B$56))/('Chemical Info'!N88),(('Com-Ind Equations'!$B$53*'Com-Ind Equations'!$B$49*'Com-Ind Equations'!$B$54*('Com-Ind Calculations'!C87+'Com-Ind Calculations'!E87))/('Com-Ind Equations'!$B$56))/('Chemical Info'!N88))))</f>
        <v>2.2740484315426262E-3</v>
      </c>
      <c r="R87" s="90">
        <f>IF('Chemical Info'!N88="NA","NA",IF('Com-Ind Calculations'!F87="NA",(('Com-Ind Equations'!$B$53*'Com-Ind Equations'!$B$49*'Com-Ind Equations'!$B$54*'Com-Ind Calculations'!C87)/('Com-Ind Equations'!$B$56))/('Chemical Info'!N88),IF('Chemical Info'!E88="Yes",(('Com-Ind Equations'!$B$53*'Com-Ind Equations'!$B$49*'Com-Ind Equations'!$B$54*'Com-Ind Calculations'!F87)/('Com-Ind Equations'!$B$56))/('Chemical Info'!N88),(('Com-Ind Equations'!$B$53*'Com-Ind Equations'!$B$49*'Com-Ind Equations'!$B$54*('Com-Ind Calculations'!C87+'Com-Ind Calculations'!F87))/('Com-Ind Equations'!$B$56))/('Chemical Info'!N88))))</f>
        <v>6.3610695863029979E-3</v>
      </c>
      <c r="S87" s="90">
        <f>IF(AND(O87="NA",P87="NA",Q87="NA"),"NA",IF(O87="NA",'Com-Ind Equations'!$B$45/'Com-Ind Calculations'!Q87,IF('Com-Ind Calculations'!Q87="NA",'Com-Ind Equations'!$B$45/('Com-Ind Calculations'!O87+'Com-Ind Calculations'!P87),'Com-Ind Equations'!$B$45/('Com-Ind Calculations'!O87+'Com-Ind Calculations'!P87+'Com-Ind Calculations'!Q87))))</f>
        <v>86.828067579469845</v>
      </c>
      <c r="T87" s="95">
        <f>IF(AND(O87="NA",P87="NA",R87="NA"),"NA",IF(O87="NA",'Com-Ind Equations'!$B$45/R87,IF(R87="NA",'Com-Ind Equations'!$B$45/(O87+P87),'Com-Ind Equations'!$B$45/(O87+P87+R87))))</f>
        <v>31.296828888866028</v>
      </c>
      <c r="U87" s="97">
        <f t="shared" si="11"/>
        <v>86.828067579469845</v>
      </c>
      <c r="V87" s="101">
        <f t="shared" si="12"/>
        <v>86.828067579469845</v>
      </c>
      <c r="W87" s="105">
        <f t="shared" si="13"/>
        <v>87</v>
      </c>
      <c r="X87" s="100" t="str">
        <f t="shared" si="85"/>
        <v>Noncancer</v>
      </c>
      <c r="Y87" s="70"/>
    </row>
    <row r="88" spans="1:26">
      <c r="A88" s="70" t="s">
        <v>377</v>
      </c>
      <c r="B88" s="566" t="s">
        <v>85</v>
      </c>
      <c r="C88" s="85">
        <f>1/(('Com-Ind Equations'!$B$123*3600)/(0.036*(1-'Com-Ind Equations'!$B$124)*(('Com-Ind Equations'!$B$125/'Com-Ind Equations'!$B$126)^3)*'Com-Ind Equations'!$B$127))</f>
        <v>1.4713536180231943E-9</v>
      </c>
      <c r="D88" s="90">
        <f>(('Com-Ind Equations'!$B$103^(10/3)*'Chemical Info'!AH89*'Chemical Info'!AN89*41+'Com-Ind Equations'!$B$106^(10/3)*'Chemical Info'!AJ89)/'Com-Ind Equations'!$B$108^2)/('Com-Ind Equations'!$B$110*'Chemical Info'!AL89*'Com-Ind Equations'!$B$113+'Com-Ind Equations'!$B$106+'Com-Ind Equations'!$B$103*'Chemical Info'!AN89*41)</f>
        <v>4.6949203869057115E-3</v>
      </c>
      <c r="E88" s="65">
        <f>IF(D88=0,"NA",1/(('Com-Ind Equations'!$B$74*(3.14*D88*'Com-Ind Equations'!$B$76)^(1/2)*0.0001)/(2*'Com-Ind Equations'!$B$77*D88)))</f>
        <v>4.0220058686225982E-4</v>
      </c>
      <c r="F88" s="65">
        <f>IF(D88=0,"NA",(1/('Com-Ind Equations'!$B$88*('Com-Ind Equations'!$B$89*(31500000))/('Com-Ind Equations'!$B$90*'Com-Ind Equations'!$B$91*1000000))))</f>
        <v>6.1914410640015851E-5</v>
      </c>
      <c r="G88" s="95">
        <f>IF('Chemical Info'!E89="Yes",('Chemical Info'!AP89/'Com-Ind Equations'!$B$139)*((('Chemical Info'!AL89*'Com-Ind Equations'!$B$141)*'Com-Ind Equations'!$B$139)+'Com-Ind Equations'!$B$142+('Chemical Info'!AN89*41)*'Com-Ind Equations'!$B$144),"NA")</f>
        <v>638.52076000000011</v>
      </c>
      <c r="H88" s="112" t="str">
        <f>IF('Chemical Info'!H89="NA","NA",IF('Chemical Info'!E89="Yes",'Chemical Info'!H89*'Chemical Info'!AD89*'Com-Ind Equations'!$B$18*'Com-Ind Equations'!$B$22*(('Com-Ind Equations'!$B$24*'Com-Ind Equations'!$B$25)/'Com-Ind Equations'!$B$26),'Chemical Info'!H89*'Chemical Info'!AD89*'Com-Ind Equations'!$B$17*'Com-Ind Equations'!$B$22*('Com-Ind Equations'!$B$24*'Com-Ind Equations'!$B$25/'Com-Ind Equations'!$B$26)))</f>
        <v>NA</v>
      </c>
      <c r="I88" s="108" t="str">
        <f>IF('Chemical Info'!H89="NA","NA",IF('Chemical Info'!E89="Yes",0,('Chemical Info'!H89/'Chemical Info'!AF89)*'Com-Ind Equations'!$B$19*'Chemical Info'!AB89*'Com-Ind Equations'!$B$22*(('Com-Ind Equations'!$B$24*'Com-Ind Equations'!$B$29*'Com-Ind Equations'!$B$30)/'Com-Ind Equations'!$B$26)))</f>
        <v>NA</v>
      </c>
      <c r="J88" s="115" t="str">
        <f>IF('Chemical Info'!J89="NA","NA",IF(E88="NA",'Com-Ind Equations'!$B$20*1000*'Com-Ind Equations'!$B$24*'Com-Ind Equations'!$B$21*'Chemical Info'!J89*'Com-Ind Calculations'!C88,IF('Chemical Info'!E89="Yes",'Com-Ind Equations'!$B$20*1000*'Com-Ind Equations'!$B$24*'Com-Ind Equations'!$B$21*'Chemical Info'!J89*'Com-Ind Calculations'!E88,'Com-Ind Equations'!$B$20*1000*'Com-Ind Equations'!$B$24*'Com-Ind Equations'!$B$21*'Chemical Info'!J89*('Com-Ind Calculations'!C88+'Com-Ind Calculations'!E88))))</f>
        <v>NA</v>
      </c>
      <c r="K88" s="117" t="str">
        <f>IF('Chemical Info'!J89="NA","NA",IF(F88="NA",'Com-Ind Equations'!$B$20*1000*'Com-Ind Equations'!$B$24*'Com-Ind Equations'!$B$21*'Chemical Info'!J89*'Com-Ind Calculations'!C88,IF('Chemical Info'!E89="Yes",'Com-Ind Equations'!$B$20*1000*'Com-Ind Equations'!$B$24*'Com-Ind Equations'!$B$21*'Chemical Info'!J89*'Com-Ind Calculations'!F88,'Com-Ind Equations'!$B$20*1000*'Com-Ind Equations'!$B$24*'Com-Ind Equations'!$B$21*'Chemical Info'!J89*('Com-Ind Calculations'!C88+'Com-Ind Calculations'!F88))))</f>
        <v>NA</v>
      </c>
      <c r="L88" s="95" t="str">
        <f>IF(AND(H88="NA",I88="NA",J88="NA"),"NA",IF(H88="NA",'Com-Ind Equations'!$B$13*'Com-Ind Equations'!$B$14/J88,IF(J88="NA",'Com-Ind Equations'!$B$13*'Com-Ind Equations'!$B$14/(H88+I88),'Com-Ind Equations'!$B$13*'Com-Ind Equations'!$B$14/(H88+I88+J88))))</f>
        <v>NA</v>
      </c>
      <c r="M88" s="95" t="str">
        <f>IF(AND(H88="NA",I88="NA",K88="NA"),"NA",IF(H88="NA",'Com-Ind Equations'!$B$13*'Com-Ind Equations'!$B$14/K88,IF(K88="NA",'Com-Ind Equations'!$B$13*'Com-Ind Equations'!$B$14/(H88+I88),'Com-Ind Equations'!$B$13*'Com-Ind Equations'!$B$14/(H88+I88+K88))))</f>
        <v>NA</v>
      </c>
      <c r="N88" s="95" t="str">
        <f t="shared" si="10"/>
        <v>NA</v>
      </c>
      <c r="O88" s="94">
        <f>IF('Chemical Info'!L89="NA","NA",IF('Chemical Info'!E89="Yes",(('Com-Ind Equations'!$B$46*'Chemical Info'!AD89*'Com-Ind Equations'!$B$48*'Com-Ind Equations'!$B$49*'Com-Ind Equations'!$B$51)/('Com-Ind Equations'!$B$55*'Com-Ind Equations'!$B$56))/'Chemical Info'!L89,(('Com-Ind Equations'!$B$46*'Chemical Info'!AD89*'Com-Ind Equations'!$B$48*'Com-Ind Equations'!$B$49*'Com-Ind Equations'!$B$50)/('Com-Ind Equations'!$B$55*'Com-Ind Equations'!$B$56))/'Chemical Info'!L89))</f>
        <v>6.1643835616438352E-7</v>
      </c>
      <c r="P88" s="90">
        <f>IF('Chemical Info'!L89="NA","NA", IF('Chemical Info'!E89="Yes",0,((('Com-Ind Equations'!$B$58*'Com-Ind Equations'!$B$59*'Com-Ind Equations'!$B$48*'Com-Ind Equations'!$B$52*'Com-Ind Equations'!$B$49*'Chemical Info'!AB89)/('Com-Ind Equations'!$B$55*'Com-Ind Equations'!$B$56))/('Chemical Info'!L89*'Chemical Info'!AF89))))</f>
        <v>0</v>
      </c>
      <c r="Q88" s="90">
        <f>IF('Chemical Info'!N89="NA","NA",IF('Com-Ind Calculations'!E88="NA",(('Com-Ind Equations'!$B$53*'Com-Ind Equations'!$B$49*'Com-Ind Equations'!$B$54*'Com-Ind Calculations'!C88)/('Com-Ind Equations'!$B$56))/('Chemical Info'!N89),IF('Chemical Info'!E89="Yes",(('Com-Ind Equations'!$B$53*'Com-Ind Equations'!$B$49*'Com-Ind Equations'!$B$54*'Com-Ind Calculations'!E88)/('Com-Ind Equations'!$B$56))/('Chemical Info'!N89),(('Com-Ind Equations'!$B$53*'Com-Ind Equations'!$B$49*'Com-Ind Equations'!$B$54*('Com-Ind Calculations'!C88+'Com-Ind Calculations'!E88))/('Com-Ind Equations'!$B$56))/('Chemical Info'!N89))))</f>
        <v>1.6528791240914783E-5</v>
      </c>
      <c r="R88" s="90">
        <f>IF('Chemical Info'!N89="NA","NA",IF('Com-Ind Calculations'!F88="NA",(('Com-Ind Equations'!$B$53*'Com-Ind Equations'!$B$49*'Com-Ind Equations'!$B$54*'Com-Ind Calculations'!C88)/('Com-Ind Equations'!$B$56))/('Chemical Info'!N89),IF('Chemical Info'!E89="Yes",(('Com-Ind Equations'!$B$53*'Com-Ind Equations'!$B$49*'Com-Ind Equations'!$B$54*'Com-Ind Calculations'!F88)/('Com-Ind Equations'!$B$56))/('Chemical Info'!N89),(('Com-Ind Equations'!$B$53*'Com-Ind Equations'!$B$49*'Com-Ind Equations'!$B$54*('Com-Ind Calculations'!C88+'Com-Ind Calculations'!F88))/('Com-Ind Equations'!$B$56))/('Chemical Info'!N89))))</f>
        <v>2.5444278345211994E-6</v>
      </c>
      <c r="S88" s="90">
        <f>IF(AND(O88="NA",P88="NA",Q88="NA"),"NA",IF(O88="NA",'Com-Ind Equations'!$B$45/'Com-Ind Calculations'!Q88,IF('Com-Ind Calculations'!Q88="NA",'Com-Ind Equations'!$B$45/('Com-Ind Calculations'!O88+'Com-Ind Calculations'!P88),'Com-Ind Equations'!$B$45/('Com-Ind Calculations'!O88+'Com-Ind Calculations'!P88+'Com-Ind Calculations'!Q88))))</f>
        <v>11665.052303182436</v>
      </c>
      <c r="T88" s="95">
        <f>IF(AND(O88="NA",P88="NA",R88="NA"),"NA",IF(O88="NA",'Com-Ind Equations'!$B$45/R88,IF(R88="NA",'Com-Ind Equations'!$B$45/(O88+P88),'Com-Ind Equations'!$B$45/(O88+P88+R88))))</f>
        <v>63273.795198720691</v>
      </c>
      <c r="U88" s="97">
        <f t="shared" si="11"/>
        <v>63273.795198720691</v>
      </c>
      <c r="V88" s="101">
        <f t="shared" si="12"/>
        <v>638.52076000000011</v>
      </c>
      <c r="W88" s="105">
        <f t="shared" si="13"/>
        <v>640</v>
      </c>
      <c r="X88" s="100" t="str">
        <f t="shared" si="85"/>
        <v>Csat</v>
      </c>
      <c r="Y88" s="70"/>
      <c r="Z88" s="9"/>
    </row>
    <row r="89" spans="1:26">
      <c r="A89" s="70" t="s">
        <v>378</v>
      </c>
      <c r="B89" s="566" t="s">
        <v>86</v>
      </c>
      <c r="C89" s="85">
        <f>1/(('Com-Ind Equations'!$B$123*3600)/(0.036*(1-'Com-Ind Equations'!$B$124)*(('Com-Ind Equations'!$B$125/'Com-Ind Equations'!$B$126)^3)*'Com-Ind Equations'!$B$127))</f>
        <v>1.4713536180231943E-9</v>
      </c>
      <c r="D89" s="90">
        <f>(('Com-Ind Equations'!$B$103^(10/3)*'Chemical Info'!AH90*'Chemical Info'!AN90*41+'Com-Ind Equations'!$B$106^(10/3)*'Chemical Info'!AJ90)/'Com-Ind Equations'!$B$108^2)/('Com-Ind Equations'!$B$110*'Chemical Info'!AL90*'Com-Ind Equations'!$B$113+'Com-Ind Equations'!$B$106+'Com-Ind Equations'!$B$103*'Chemical Info'!AN90*41)</f>
        <v>2.4431353251093006E-4</v>
      </c>
      <c r="E89" s="65">
        <f>IF(D89=0,"NA",1/(('Com-Ind Equations'!$B$74*(3.14*D89*'Com-Ind Equations'!$B$76)^(1/2)*0.0001)/(2*'Com-Ind Equations'!$B$77*D89)))</f>
        <v>9.1749212526765818E-5</v>
      </c>
      <c r="F89" s="65">
        <f>IF(D89=0,"NA",(1/('Com-Ind Equations'!$B$88*('Com-Ind Equations'!$B$89*(31500000))/('Com-Ind Equations'!$B$90*'Com-Ind Equations'!$B$91*1000000))))</f>
        <v>6.1914410640015851E-5</v>
      </c>
      <c r="G89" s="95">
        <f>IF('Chemical Info'!E90="Yes",('Chemical Info'!AP90/'Com-Ind Equations'!$B$139)*((('Chemical Info'!AL90*'Com-Ind Equations'!$B$141)*'Com-Ind Equations'!$B$139)+'Com-Ind Equations'!$B$142+('Chemical Info'!AN90*41)*'Com-Ind Equations'!$B$144),"NA")</f>
        <v>2159.6241312000002</v>
      </c>
      <c r="H89" s="112">
        <f>IF('Chemical Info'!H90="NA","NA",IF('Chemical Info'!E90="Yes",'Chemical Info'!H90*'Chemical Info'!AD90*'Com-Ind Equations'!$B$18*'Com-Ind Equations'!$B$22*(('Com-Ind Equations'!$B$24*'Com-Ind Equations'!$B$25)/'Com-Ind Equations'!$B$26),'Chemical Info'!H90*'Chemical Info'!AD90*'Com-Ind Equations'!$B$17*'Com-Ind Equations'!$B$22*('Com-Ind Equations'!$B$24*'Com-Ind Equations'!$B$25/'Com-Ind Equations'!$B$26)))</f>
        <v>3.20625E-4</v>
      </c>
      <c r="I89" s="108">
        <f>IF('Chemical Info'!H90="NA","NA",IF('Chemical Info'!E90="Yes",0,('Chemical Info'!H90/'Chemical Info'!AF90)*'Com-Ind Equations'!$B$19*'Chemical Info'!AB90*'Com-Ind Equations'!$B$22*(('Com-Ind Equations'!$B$24*'Com-Ind Equations'!$B$29*'Com-Ind Equations'!$B$30)/'Com-Ind Equations'!$B$26)))</f>
        <v>0</v>
      </c>
      <c r="J89" s="115" t="str">
        <f>IF('Chemical Info'!J90="NA","NA",IF(E89="NA",'Com-Ind Equations'!$B$20*1000*'Com-Ind Equations'!$B$24*'Com-Ind Equations'!$B$21*'Chemical Info'!J90*'Com-Ind Calculations'!C89,IF('Chemical Info'!E90="Yes",'Com-Ind Equations'!$B$20*1000*'Com-Ind Equations'!$B$24*'Com-Ind Equations'!$B$21*'Chemical Info'!J90*'Com-Ind Calculations'!E89,'Com-Ind Equations'!$B$20*1000*'Com-Ind Equations'!$B$24*'Com-Ind Equations'!$B$21*'Chemical Info'!J90*('Com-Ind Calculations'!C89+'Com-Ind Calculations'!E89))))</f>
        <v>NA</v>
      </c>
      <c r="K89" s="117" t="str">
        <f>IF('Chemical Info'!J90="NA","NA",IF(F89="NA",'Com-Ind Equations'!$B$20*1000*'Com-Ind Equations'!$B$24*'Com-Ind Equations'!$B$21*'Chemical Info'!J90*'Com-Ind Calculations'!C89,IF('Chemical Info'!E90="Yes",'Com-Ind Equations'!$B$20*1000*'Com-Ind Equations'!$B$24*'Com-Ind Equations'!$B$21*'Chemical Info'!J90*'Com-Ind Calculations'!F89,'Com-Ind Equations'!$B$20*1000*'Com-Ind Equations'!$B$24*'Com-Ind Equations'!$B$21*'Chemical Info'!J90*('Com-Ind Calculations'!C89+'Com-Ind Calculations'!F89))))</f>
        <v>NA</v>
      </c>
      <c r="L89" s="95">
        <f>IF(AND(H89="NA",I89="NA",J89="NA"),"NA",IF(H89="NA",'Com-Ind Equations'!$B$13*'Com-Ind Equations'!$B$14/J89,IF(J89="NA",'Com-Ind Equations'!$B$13*'Com-Ind Equations'!$B$14/(H89+I89),'Com-Ind Equations'!$B$13*'Com-Ind Equations'!$B$14/(H89+I89+J89))))</f>
        <v>796.88109161793375</v>
      </c>
      <c r="M89" s="95">
        <f>IF(AND(H89="NA",I89="NA",K89="NA"),"NA",IF(H89="NA",'Com-Ind Equations'!$B$13*'Com-Ind Equations'!$B$14/K89,IF(K89="NA",'Com-Ind Equations'!$B$13*'Com-Ind Equations'!$B$14/(H89+I89),'Com-Ind Equations'!$B$13*'Com-Ind Equations'!$B$14/(H89+I89+K89))))</f>
        <v>796.88109161793375</v>
      </c>
      <c r="N89" s="95">
        <f t="shared" si="10"/>
        <v>796.88109161793375</v>
      </c>
      <c r="O89" s="94">
        <f>IF('Chemical Info'!L90="NA","NA",IF('Chemical Info'!E90="Yes",(('Com-Ind Equations'!$B$46*'Chemical Info'!AD90*'Com-Ind Equations'!$B$48*'Com-Ind Equations'!$B$49*'Com-Ind Equations'!$B$51)/('Com-Ind Equations'!$B$55*'Com-Ind Equations'!$B$56))/'Chemical Info'!L90,(('Com-Ind Equations'!$B$46*'Chemical Info'!AD90*'Com-Ind Equations'!$B$48*'Com-Ind Equations'!$B$49*'Com-Ind Equations'!$B$50)/('Com-Ind Equations'!$B$55*'Com-Ind Equations'!$B$56))/'Chemical Info'!L90))</f>
        <v>1.5410958904109589E-4</v>
      </c>
      <c r="P89" s="90">
        <f>IF('Chemical Info'!L90="NA","NA", IF('Chemical Info'!E90="Yes",0,((('Com-Ind Equations'!$B$58*'Com-Ind Equations'!$B$59*'Com-Ind Equations'!$B$48*'Com-Ind Equations'!$B$52*'Com-Ind Equations'!$B$49*'Chemical Info'!AB90)/('Com-Ind Equations'!$B$55*'Com-Ind Equations'!$B$56))/('Chemical Info'!L90*'Chemical Info'!AF90))))</f>
        <v>0</v>
      </c>
      <c r="Q89" s="90">
        <f>IF('Chemical Info'!N90="NA","NA",IF('Com-Ind Calculations'!E89="NA",(('Com-Ind Equations'!$B$53*'Com-Ind Equations'!$B$49*'Com-Ind Equations'!$B$54*'Com-Ind Calculations'!C89)/('Com-Ind Equations'!$B$56))/('Chemical Info'!N90),IF('Chemical Info'!E90="Yes",(('Com-Ind Equations'!$B$53*'Com-Ind Equations'!$B$49*'Com-Ind Equations'!$B$54*'Com-Ind Calculations'!E89)/('Com-Ind Equations'!$B$56))/('Chemical Info'!N90),(('Com-Ind Equations'!$B$53*'Com-Ind Equations'!$B$49*'Com-Ind Equations'!$B$54*('Com-Ind Calculations'!C89+'Com-Ind Calculations'!E89))/('Com-Ind Equations'!$B$56))/('Chemical Info'!N90))))</f>
        <v>9.4262889582293646E-2</v>
      </c>
      <c r="R89" s="90">
        <f>IF('Chemical Info'!N90="NA","NA",IF('Com-Ind Calculations'!F89="NA",(('Com-Ind Equations'!$B$53*'Com-Ind Equations'!$B$49*'Com-Ind Equations'!$B$54*'Com-Ind Calculations'!C89)/('Com-Ind Equations'!$B$56))/('Chemical Info'!N90),IF('Chemical Info'!E90="Yes",(('Com-Ind Equations'!$B$53*'Com-Ind Equations'!$B$49*'Com-Ind Equations'!$B$54*'Com-Ind Calculations'!F89)/('Com-Ind Equations'!$B$56))/('Chemical Info'!N90),(('Com-Ind Equations'!$B$53*'Com-Ind Equations'!$B$49*'Com-Ind Equations'!$B$54*('Com-Ind Calculations'!C89+'Com-Ind Calculations'!F89))/('Com-Ind Equations'!$B$56))/('Chemical Info'!N90))))</f>
        <v>6.3610695863029976E-2</v>
      </c>
      <c r="S89" s="90">
        <f>IF(AND(O89="NA",P89="NA",Q89="NA"),"NA",IF(O89="NA",'Com-Ind Equations'!$B$45/'Com-Ind Calculations'!Q89,IF('Com-Ind Calculations'!Q89="NA",'Com-Ind Equations'!$B$45/('Com-Ind Calculations'!O89+'Com-Ind Calculations'!P89),'Com-Ind Equations'!$B$45/('Com-Ind Calculations'!O89+'Com-Ind Calculations'!P89+'Com-Ind Calculations'!Q89))))</f>
        <v>2.118262619605904</v>
      </c>
      <c r="T89" s="95">
        <f>IF(AND(O89="NA",P89="NA",R89="NA"),"NA",IF(O89="NA",'Com-Ind Equations'!$B$45/R89,IF(R89="NA",'Com-Ind Equations'!$B$45/(O89+P89),'Com-Ind Equations'!$B$45/(O89+P89+R89))))</f>
        <v>3.1365264675719957</v>
      </c>
      <c r="U89" s="97">
        <f t="shared" si="11"/>
        <v>3.1365264675719957</v>
      </c>
      <c r="V89" s="101">
        <f t="shared" si="12"/>
        <v>3.1365264675719957</v>
      </c>
      <c r="W89" s="105">
        <f t="shared" si="13"/>
        <v>3.1</v>
      </c>
      <c r="X89" s="100" t="str">
        <f t="shared" si="85"/>
        <v>Noncancer</v>
      </c>
      <c r="Y89" s="70"/>
    </row>
    <row r="90" spans="1:26">
      <c r="A90" s="67" t="s">
        <v>87</v>
      </c>
      <c r="B90" s="566" t="s">
        <v>88</v>
      </c>
      <c r="C90" s="85">
        <f>1/(('Com-Ind Equations'!$B$123*3600)/(0.036*(1-'Com-Ind Equations'!$B$124)*(('Com-Ind Equations'!$B$125/'Com-Ind Equations'!$B$126)^3)*'Com-Ind Equations'!$B$127))</f>
        <v>1.4713536180231943E-9</v>
      </c>
      <c r="D90" s="90">
        <f>(('Com-Ind Equations'!$B$103^(10/3)*'Chemical Info'!AH91*'Chemical Info'!AN91*41+'Com-Ind Equations'!$B$106^(10/3)*'Chemical Info'!AJ91)/'Com-Ind Equations'!$B$108^2)/('Com-Ind Equations'!$B$110*'Chemical Info'!AL91*'Com-Ind Equations'!$B$113+'Com-Ind Equations'!$B$106+'Com-Ind Equations'!$B$103*'Chemical Info'!AN91*41)</f>
        <v>2.6127227593918064E-3</v>
      </c>
      <c r="E90" s="65">
        <f>IF(D90=0,"NA",1/(('Com-Ind Equations'!$B$74*(3.14*D90*'Com-Ind Equations'!$B$76)^(1/2)*0.0001)/(2*'Com-Ind Equations'!$B$77*D90)))</f>
        <v>3.0003729959527541E-4</v>
      </c>
      <c r="F90" s="65">
        <f>IF(D90=0,"NA",(1/('Com-Ind Equations'!$B$88*('Com-Ind Equations'!$B$89*(31500000))/('Com-Ind Equations'!$B$90*'Com-Ind Equations'!$B$91*1000000))))</f>
        <v>6.1914410640015851E-5</v>
      </c>
      <c r="G90" s="95">
        <f>IF('Chemical Info'!E91="Yes",('Chemical Info'!AP91/'Com-Ind Equations'!$B$139)*((('Chemical Info'!AL91*'Com-Ind Equations'!$B$141)*'Com-Ind Equations'!$B$139)+'Com-Ind Equations'!$B$142+('Chemical Info'!AN91*41)*'Com-Ind Equations'!$B$144),"NA")</f>
        <v>690.66922666666676</v>
      </c>
      <c r="H90" s="112">
        <f>IF('Chemical Info'!H91="NA","NA",IF('Chemical Info'!E91="Yes",'Chemical Info'!H91*'Chemical Info'!AD91*'Com-Ind Equations'!$B$18*'Com-Ind Equations'!$B$22*(('Com-Ind Equations'!$B$24*'Com-Ind Equations'!$B$25)/'Com-Ind Equations'!$B$26),'Chemical Info'!H91*'Chemical Info'!AD91*'Com-Ind Equations'!$B$17*'Com-Ind Equations'!$B$22*('Com-Ind Equations'!$B$24*'Com-Ind Equations'!$B$25/'Com-Ind Equations'!$B$26)))</f>
        <v>2.8125000000000003E-4</v>
      </c>
      <c r="I90" s="108">
        <f>IF('Chemical Info'!H91="NA","NA",IF('Chemical Info'!E91="Yes",0,('Chemical Info'!H91/'Chemical Info'!AF91)*'Com-Ind Equations'!$B$19*'Chemical Info'!AB91*'Com-Ind Equations'!$B$22*(('Com-Ind Equations'!$B$24*'Com-Ind Equations'!$B$29*'Com-Ind Equations'!$B$30)/'Com-Ind Equations'!$B$26)))</f>
        <v>0</v>
      </c>
      <c r="J90" s="115">
        <f>IF('Chemical Info'!J91="NA","NA",IF(E90="NA",'Com-Ind Equations'!$B$20*1000*'Com-Ind Equations'!$B$24*'Com-Ind Equations'!$B$21*'Chemical Info'!J91*'Com-Ind Calculations'!C90,IF('Chemical Info'!E91="Yes",'Com-Ind Equations'!$B$20*1000*'Com-Ind Equations'!$B$24*'Com-Ind Equations'!$B$21*'Chemical Info'!J91*'Com-Ind Calculations'!E90,'Com-Ind Equations'!$B$20*1000*'Com-Ind Equations'!$B$24*'Com-Ind Equations'!$B$21*'Chemical Info'!J91*('Com-Ind Calculations'!C90+'Com-Ind Calculations'!E90))))</f>
        <v>2.3065367406386794E-3</v>
      </c>
      <c r="K90" s="117">
        <f>IF('Chemical Info'!J91="NA","NA",IF(F90="NA",'Com-Ind Equations'!$B$20*1000*'Com-Ind Equations'!$B$24*'Com-Ind Equations'!$B$21*'Chemical Info'!J91*'Com-Ind Calculations'!C90,IF('Chemical Info'!E91="Yes",'Com-Ind Equations'!$B$20*1000*'Com-Ind Equations'!$B$24*'Com-Ind Equations'!$B$21*'Chemical Info'!J91*'Com-Ind Calculations'!F90,'Com-Ind Equations'!$B$20*1000*'Com-Ind Equations'!$B$24*'Com-Ind Equations'!$B$21*'Chemical Info'!J91*('Com-Ind Calculations'!C90+'Com-Ind Calculations'!F90))))</f>
        <v>4.7596703179512181E-4</v>
      </c>
      <c r="L90" s="95">
        <f>IF(AND(H90="NA",I90="NA",J90="NA"),"NA",IF(H90="NA",'Com-Ind Equations'!$B$13*'Com-Ind Equations'!$B$14/J90,IF(J90="NA",'Com-Ind Equations'!$B$13*'Com-Ind Equations'!$B$14/(H90+I90),'Com-Ind Equations'!$B$13*'Com-Ind Equations'!$B$14/(H90+I90+J90))))</f>
        <v>98.733019992575294</v>
      </c>
      <c r="M90" s="95">
        <f>IF(AND(H90="NA",I90="NA",K90="NA"),"NA",IF(H90="NA",'Com-Ind Equations'!$B$13*'Com-Ind Equations'!$B$14/K90,IF(K90="NA",'Com-Ind Equations'!$B$13*'Com-Ind Equations'!$B$14/(H90+I90),'Com-Ind Equations'!$B$13*'Com-Ind Equations'!$B$14/(H90+I90+K90))))</f>
        <v>337.41977434698003</v>
      </c>
      <c r="N90" s="95">
        <f t="shared" si="10"/>
        <v>337.41977434698003</v>
      </c>
      <c r="O90" s="94">
        <f>IF('Chemical Info'!L91="NA","NA",IF('Chemical Info'!E91="Yes",(('Com-Ind Equations'!$B$46*'Chemical Info'!AD91*'Com-Ind Equations'!$B$48*'Com-Ind Equations'!$B$49*'Com-Ind Equations'!$B$51)/('Com-Ind Equations'!$B$55*'Com-Ind Equations'!$B$56))/'Chemical Info'!L91,(('Com-Ind Equations'!$B$46*'Chemical Info'!AD91*'Com-Ind Equations'!$B$48*'Com-Ind Equations'!$B$49*'Com-Ind Equations'!$B$50)/('Com-Ind Equations'!$B$55*'Com-Ind Equations'!$B$56))/'Chemical Info'!L91))</f>
        <v>3.6261079774375497E-3</v>
      </c>
      <c r="P90" s="90">
        <f>IF('Chemical Info'!L91="NA","NA", IF('Chemical Info'!E91="Yes",0,((('Com-Ind Equations'!$B$58*'Com-Ind Equations'!$B$59*'Com-Ind Equations'!$B$48*'Com-Ind Equations'!$B$52*'Com-Ind Equations'!$B$49*'Chemical Info'!AB91)/('Com-Ind Equations'!$B$55*'Com-Ind Equations'!$B$56))/('Chemical Info'!L91*'Chemical Info'!AF91))))</f>
        <v>0</v>
      </c>
      <c r="Q90" s="90">
        <f>IF('Chemical Info'!N91="NA","NA",IF('Com-Ind Calculations'!E90="NA",(('Com-Ind Equations'!$B$53*'Com-Ind Equations'!$B$49*'Com-Ind Equations'!$B$54*'Com-Ind Calculations'!C90)/('Com-Ind Equations'!$B$56))/('Chemical Info'!N91),IF('Chemical Info'!E91="Yes",(('Com-Ind Equations'!$B$53*'Com-Ind Equations'!$B$49*'Com-Ind Equations'!$B$54*'Com-Ind Calculations'!E90)/('Com-Ind Equations'!$B$56))/('Chemical Info'!N91),(('Com-Ind Equations'!$B$53*'Com-Ind Equations'!$B$49*'Com-Ind Equations'!$B$54*('Com-Ind Calculations'!C90+'Com-Ind Calculations'!E90))/('Com-Ind Equations'!$B$56))/('Chemical Info'!N91))))</f>
        <v>3.0825749958418708E-2</v>
      </c>
      <c r="R90" s="90">
        <f>IF('Chemical Info'!N91="NA","NA",IF('Com-Ind Calculations'!F90="NA",(('Com-Ind Equations'!$B$53*'Com-Ind Equations'!$B$49*'Com-Ind Equations'!$B$54*'Com-Ind Calculations'!C90)/('Com-Ind Equations'!$B$56))/('Chemical Info'!N91),IF('Chemical Info'!E91="Yes",(('Com-Ind Equations'!$B$53*'Com-Ind Equations'!$B$49*'Com-Ind Equations'!$B$54*'Com-Ind Calculations'!F90)/('Com-Ind Equations'!$B$56))/('Chemical Info'!N91),(('Com-Ind Equations'!$B$53*'Com-Ind Equations'!$B$49*'Com-Ind Equations'!$B$54*('Com-Ind Calculations'!C90+'Com-Ind Calculations'!F90))/('Com-Ind Equations'!$B$56))/('Chemical Info'!N91))))</f>
        <v>6.3610695863029979E-3</v>
      </c>
      <c r="S90" s="90">
        <f>IF(AND(O90="NA",P90="NA",Q90="NA"),"NA",IF(O90="NA",'Com-Ind Equations'!$B$45/'Com-Ind Calculations'!Q90,IF('Com-Ind Calculations'!Q90="NA",'Com-Ind Equations'!$B$45/('Com-Ind Calculations'!O90+'Com-Ind Calculations'!P90),'Com-Ind Equations'!$B$45/('Com-Ind Calculations'!O90+'Com-Ind Calculations'!P90+'Com-Ind Calculations'!Q90))))</f>
        <v>5.805202156945132</v>
      </c>
      <c r="T90" s="95">
        <f>IF(AND(O90="NA",P90="NA",R90="NA"),"NA",IF(O90="NA",'Com-Ind Equations'!$B$45/R90,IF(R90="NA",'Com-Ind Equations'!$B$45/(O90+P90),'Com-Ind Equations'!$B$45/(O90+P90+R90))))</f>
        <v>20.025677797711349</v>
      </c>
      <c r="U90" s="97">
        <f t="shared" si="11"/>
        <v>20.025677797711349</v>
      </c>
      <c r="V90" s="101">
        <f t="shared" si="12"/>
        <v>20.025677797711349</v>
      </c>
      <c r="W90" s="105">
        <f t="shared" si="13"/>
        <v>20</v>
      </c>
      <c r="X90" s="100" t="str">
        <f t="shared" si="85"/>
        <v>Noncancer</v>
      </c>
      <c r="Y90" s="70"/>
      <c r="Z90" s="9"/>
    </row>
    <row r="91" spans="1:26">
      <c r="A91" s="67" t="s">
        <v>127</v>
      </c>
      <c r="B91" s="566" t="s">
        <v>128</v>
      </c>
      <c r="C91" s="85">
        <f>1/(('Com-Ind Equations'!$B$123*3600)/(0.036*(1-'Com-Ind Equations'!$B$124)*(('Com-Ind Equations'!$B$125/'Com-Ind Equations'!$B$126)^3)*'Com-Ind Equations'!$B$127))</f>
        <v>1.4713536180231943E-9</v>
      </c>
      <c r="D91" s="90">
        <f>(('Com-Ind Equations'!$B$103^(10/3)*'Chemical Info'!AH92*'Chemical Info'!AN92*41+'Com-Ind Equations'!$B$106^(10/3)*'Chemical Info'!AJ92)/'Com-Ind Equations'!$B$108^2)/('Com-Ind Equations'!$B$110*'Chemical Info'!AL92*'Com-Ind Equations'!$B$113+'Com-Ind Equations'!$B$106+'Com-Ind Equations'!$B$103*'Chemical Info'!AN92*41)</f>
        <v>1.1950851247309834E-2</v>
      </c>
      <c r="E91" s="65">
        <f>IF(D91=0,"NA",1/(('Com-Ind Equations'!$B$74*(3.14*D91*'Com-Ind Equations'!$B$76)^(1/2)*0.0001)/(2*'Com-Ind Equations'!$B$77*D91)))</f>
        <v>6.4169403793749987E-4</v>
      </c>
      <c r="F91" s="65">
        <f>IF(D91=0,"NA",(1/('Com-Ind Equations'!$B$88*('Com-Ind Equations'!$B$89*(31500000))/('Com-Ind Equations'!$B$90*'Com-Ind Equations'!$B$91*1000000))))</f>
        <v>6.1914410640015851E-5</v>
      </c>
      <c r="G91" s="95">
        <f>IF('Chemical Info'!E92="Yes",('Chemical Info'!AP92/'Com-Ind Equations'!$B$139)*((('Chemical Info'!AL92*'Com-Ind Equations'!$B$141)*'Com-Ind Equations'!$B$139)+'Com-Ind Equations'!$B$142+('Chemical Info'!AN92*41)*'Com-Ind Equations'!$B$144),"NA")</f>
        <v>1216.2846666666669</v>
      </c>
      <c r="H91" s="112" t="str">
        <f>IF('Chemical Info'!H92="NA","NA",IF('Chemical Info'!E92="Yes",'Chemical Info'!H92*'Chemical Info'!AD92*'Com-Ind Equations'!$B$18*'Com-Ind Equations'!$B$22*(('Com-Ind Equations'!$B$24*'Com-Ind Equations'!$B$25)/'Com-Ind Equations'!$B$26),'Chemical Info'!H92*'Chemical Info'!AD92*'Com-Ind Equations'!$B$17*'Com-Ind Equations'!$B$22*('Com-Ind Equations'!$B$24*'Com-Ind Equations'!$B$25/'Com-Ind Equations'!$B$26)))</f>
        <v>NA</v>
      </c>
      <c r="I91" s="108" t="str">
        <f>IF('Chemical Info'!H92="NA","NA",IF('Chemical Info'!E92="Yes",0,('Chemical Info'!H92/'Chemical Info'!AF92)*'Com-Ind Equations'!$B$19*'Chemical Info'!AB92*'Com-Ind Equations'!$B$22*(('Com-Ind Equations'!$B$24*'Com-Ind Equations'!$B$29*'Com-Ind Equations'!$B$30)/'Com-Ind Equations'!$B$26)))</f>
        <v>NA</v>
      </c>
      <c r="J91" s="115" t="str">
        <f>IF('Chemical Info'!J92="NA","NA",IF(E91="NA",'Com-Ind Equations'!$B$20*1000*'Com-Ind Equations'!$B$24*'Com-Ind Equations'!$B$21*'Chemical Info'!J92*'Com-Ind Calculations'!C91,IF('Chemical Info'!E92="Yes",'Com-Ind Equations'!$B$20*1000*'Com-Ind Equations'!$B$24*'Com-Ind Equations'!$B$21*'Chemical Info'!J92*'Com-Ind Calculations'!E91,'Com-Ind Equations'!$B$20*1000*'Com-Ind Equations'!$B$24*'Com-Ind Equations'!$B$21*'Chemical Info'!J92*('Com-Ind Calculations'!C91+'Com-Ind Calculations'!E91))))</f>
        <v>NA</v>
      </c>
      <c r="K91" s="117" t="str">
        <f>IF('Chemical Info'!J92="NA","NA",IF(F91="NA",'Com-Ind Equations'!$B$20*1000*'Com-Ind Equations'!$B$24*'Com-Ind Equations'!$B$21*'Chemical Info'!J92*'Com-Ind Calculations'!C91,IF('Chemical Info'!E92="Yes",'Com-Ind Equations'!$B$20*1000*'Com-Ind Equations'!$B$24*'Com-Ind Equations'!$B$21*'Chemical Info'!J92*'Com-Ind Calculations'!F91,'Com-Ind Equations'!$B$20*1000*'Com-Ind Equations'!$B$24*'Com-Ind Equations'!$B$21*'Chemical Info'!J92*('Com-Ind Calculations'!C91+'Com-Ind Calculations'!F91))))</f>
        <v>NA</v>
      </c>
      <c r="L91" s="95" t="str">
        <f>IF(AND(H91="NA",I91="NA",J91="NA"),"NA",IF(H91="NA",'Com-Ind Equations'!$B$13*'Com-Ind Equations'!$B$14/J91,IF(J91="NA",'Com-Ind Equations'!$B$13*'Com-Ind Equations'!$B$14/(H91+I91),'Com-Ind Equations'!$B$13*'Com-Ind Equations'!$B$14/(H91+I91+J91))))</f>
        <v>NA</v>
      </c>
      <c r="M91" s="95" t="str">
        <f>IF(AND(H91="NA",I91="NA",K91="NA"),"NA",IF(H91="NA",'Com-Ind Equations'!$B$13*'Com-Ind Equations'!$B$14/K91,IF(K91="NA",'Com-Ind Equations'!$B$13*'Com-Ind Equations'!$B$14/(H91+I91),'Com-Ind Equations'!$B$13*'Com-Ind Equations'!$B$14/(H91+I91+K91))))</f>
        <v>NA</v>
      </c>
      <c r="N91" s="95" t="str">
        <f t="shared" si="10"/>
        <v>NA</v>
      </c>
      <c r="O91" s="94">
        <f>IF('Chemical Info'!L92="NA","NA",IF('Chemical Info'!E92="Yes",(('Com-Ind Equations'!$B$46*'Chemical Info'!AD92*'Com-Ind Equations'!$B$48*'Com-Ind Equations'!$B$49*'Com-Ind Equations'!$B$51)/('Com-Ind Equations'!$B$55*'Com-Ind Equations'!$B$56))/'Chemical Info'!L92,(('Com-Ind Equations'!$B$46*'Chemical Info'!AD92*'Com-Ind Equations'!$B$48*'Com-Ind Equations'!$B$49*'Com-Ind Equations'!$B$50)/('Com-Ind Equations'!$B$55*'Com-Ind Equations'!$B$56))/'Chemical Info'!L92))</f>
        <v>2.054794520547945E-6</v>
      </c>
      <c r="P91" s="90">
        <f>IF('Chemical Info'!L92="NA","NA", IF('Chemical Info'!E92="Yes",0,((('Com-Ind Equations'!$B$58*'Com-Ind Equations'!$B$59*'Com-Ind Equations'!$B$48*'Com-Ind Equations'!$B$52*'Com-Ind Equations'!$B$49*'Chemical Info'!AB92)/('Com-Ind Equations'!$B$55*'Com-Ind Equations'!$B$56))/('Chemical Info'!L92*'Chemical Info'!AF92))))</f>
        <v>0</v>
      </c>
      <c r="Q91" s="90">
        <f>IF('Chemical Info'!N92="NA","NA",IF('Com-Ind Calculations'!E91="NA",(('Com-Ind Equations'!$B$53*'Com-Ind Equations'!$B$49*'Com-Ind Equations'!$B$54*'Com-Ind Calculations'!C91)/('Com-Ind Equations'!$B$56))/('Chemical Info'!N92),IF('Chemical Info'!E92="Yes",(('Com-Ind Equations'!$B$53*'Com-Ind Equations'!$B$49*'Com-Ind Equations'!$B$54*'Com-Ind Calculations'!E91)/('Com-Ind Equations'!$B$56))/('Chemical Info'!N92),(('Com-Ind Equations'!$B$53*'Com-Ind Equations'!$B$49*'Com-Ind Equations'!$B$54*('Com-Ind Calculations'!C91+'Com-Ind Calculations'!E91))/('Com-Ind Equations'!$B$56))/('Chemical Info'!N92))))</f>
        <v>1.3185493930222602E-4</v>
      </c>
      <c r="R91" s="90">
        <f>IF('Chemical Info'!N92="NA","NA",IF('Com-Ind Calculations'!F91="NA",(('Com-Ind Equations'!$B$53*'Com-Ind Equations'!$B$49*'Com-Ind Equations'!$B$54*'Com-Ind Calculations'!C91)/('Com-Ind Equations'!$B$56))/('Chemical Info'!N92),IF('Chemical Info'!E92="Yes",(('Com-Ind Equations'!$B$53*'Com-Ind Equations'!$B$49*'Com-Ind Equations'!$B$54*'Com-Ind Calculations'!F91)/('Com-Ind Equations'!$B$56))/('Chemical Info'!N92),(('Com-Ind Equations'!$B$53*'Com-Ind Equations'!$B$49*'Com-Ind Equations'!$B$54*('Com-Ind Calculations'!C91+'Com-Ind Calculations'!F91))/('Com-Ind Equations'!$B$56))/('Chemical Info'!N92))))</f>
        <v>1.2722139172605997E-5</v>
      </c>
      <c r="S91" s="90">
        <f>IF(AND(O91="NA",P91="NA",Q91="NA"),"NA",IF(O91="NA",'Com-Ind Equations'!$B$45/'Com-Ind Calculations'!Q91,IF('Com-Ind Calculations'!Q91="NA",'Com-Ind Equations'!$B$45/('Com-Ind Calculations'!O91+'Com-Ind Calculations'!P91),'Com-Ind Equations'!$B$45/('Com-Ind Calculations'!O91+'Com-Ind Calculations'!P91+'Com-Ind Calculations'!Q91))))</f>
        <v>1493.5434063717489</v>
      </c>
      <c r="T91" s="95">
        <f>IF(AND(O91="NA",P91="NA",R91="NA"),"NA",IF(O91="NA",'Com-Ind Equations'!$B$45/R91,IF(R91="NA",'Com-Ind Equations'!$B$45/(O91+P91),'Com-Ind Equations'!$B$45/(O91+P91+R91))))</f>
        <v>13534.607663067387</v>
      </c>
      <c r="U91" s="97">
        <f t="shared" si="11"/>
        <v>13534.607663067387</v>
      </c>
      <c r="V91" s="101">
        <f t="shared" si="12"/>
        <v>1216.2846666666669</v>
      </c>
      <c r="W91" s="105">
        <f t="shared" si="13"/>
        <v>1200</v>
      </c>
      <c r="X91" s="100" t="str">
        <f t="shared" si="85"/>
        <v>Csat</v>
      </c>
      <c r="Y91" s="70"/>
    </row>
    <row r="92" spans="1:26" ht="20">
      <c r="A92" s="147" t="s">
        <v>491</v>
      </c>
      <c r="B92" s="566" t="s">
        <v>175</v>
      </c>
      <c r="C92" s="85">
        <f>1/(('Com-Ind Equations'!$B$123*3600)/(0.036*(1-'Com-Ind Equations'!$B$124)*(('Com-Ind Equations'!$B$125/'Com-Ind Equations'!$B$126)^3)*'Com-Ind Equations'!$B$127))</f>
        <v>1.4713536180231943E-9</v>
      </c>
      <c r="D92" s="90">
        <f>(('Com-Ind Equations'!$B$103^(10/3)*'Chemical Info'!AH93*'Chemical Info'!AN93*41+'Com-Ind Equations'!$B$106^(10/3)*'Chemical Info'!AJ93)/'Com-Ind Equations'!$B$108^2)/('Com-Ind Equations'!$B$110*'Chemical Info'!AL93*'Com-Ind Equations'!$B$113+'Com-Ind Equations'!$B$106+'Com-Ind Equations'!$B$103*'Chemical Info'!AN93*41)</f>
        <v>7.7616975333384018E-3</v>
      </c>
      <c r="E92" s="65">
        <f>IF(D92=0,"NA",1/(('Com-Ind Equations'!$B$74*(3.14*D92*'Com-Ind Equations'!$B$76)^(1/2)*0.0001)/(2*'Com-Ind Equations'!$B$77*D92)))</f>
        <v>5.1713858309220841E-4</v>
      </c>
      <c r="F92" s="65">
        <f>IF(D92=0,"NA",(1/('Com-Ind Equations'!$B$88*('Com-Ind Equations'!$B$89*(31500000))/('Com-Ind Equations'!$B$90*'Com-Ind Equations'!$B$91*1000000))))</f>
        <v>6.1914410640015851E-5</v>
      </c>
      <c r="G92" s="95">
        <f>IF('Chemical Info'!E93="Yes",('Chemical Info'!AP93/'Com-Ind Equations'!$B$139)*((('Chemical Info'!AL93*'Com-Ind Equations'!$B$141)*'Com-Ind Equations'!$B$139)+'Com-Ind Equations'!$B$142+('Chemical Info'!AN93*41)*'Com-Ind Equations'!$B$144),"NA")</f>
        <v>902.09706666666682</v>
      </c>
      <c r="H92" s="112" t="str">
        <f>IF('Chemical Info'!H93="NA","NA",IF('Chemical Info'!E93="Yes",'Chemical Info'!H93*'Chemical Info'!AD93*'Com-Ind Equations'!$B$18*'Com-Ind Equations'!$B$22*(('Com-Ind Equations'!$B$24*'Com-Ind Equations'!$B$25)/'Com-Ind Equations'!$B$26),'Chemical Info'!H93*'Chemical Info'!AD93*'Com-Ind Equations'!$B$17*'Com-Ind Equations'!$B$22*('Com-Ind Equations'!$B$24*'Com-Ind Equations'!$B$25/'Com-Ind Equations'!$B$26)))</f>
        <v>NA</v>
      </c>
      <c r="I92" s="108" t="str">
        <f>IF('Chemical Info'!H93="NA","NA",IF('Chemical Info'!E93="Yes",0,('Chemical Info'!H93/'Chemical Info'!AF93)*'Com-Ind Equations'!$B$19*'Chemical Info'!AB93*'Com-Ind Equations'!$B$22*(('Com-Ind Equations'!$B$24*'Com-Ind Equations'!$B$29*'Com-Ind Equations'!$B$30)/'Com-Ind Equations'!$B$26)))</f>
        <v>NA</v>
      </c>
      <c r="J92" s="115" t="str">
        <f>IF('Chemical Info'!J93="NA","NA",IF(E92="NA",'Com-Ind Equations'!$B$20*1000*'Com-Ind Equations'!$B$24*'Com-Ind Equations'!$B$21*'Chemical Info'!J93*'Com-Ind Calculations'!C92,IF('Chemical Info'!E93="Yes",'Com-Ind Equations'!$B$20*1000*'Com-Ind Equations'!$B$24*'Com-Ind Equations'!$B$21*'Chemical Info'!J93*'Com-Ind Calculations'!E92,'Com-Ind Equations'!$B$20*1000*'Com-Ind Equations'!$B$24*'Com-Ind Equations'!$B$21*'Chemical Info'!J93*('Com-Ind Calculations'!C92+'Com-Ind Calculations'!E92))))</f>
        <v>NA</v>
      </c>
      <c r="K92" s="117" t="str">
        <f>IF('Chemical Info'!J93="NA","NA",IF(F92="NA",'Com-Ind Equations'!$B$20*1000*'Com-Ind Equations'!$B$24*'Com-Ind Equations'!$B$21*'Chemical Info'!J93*'Com-Ind Calculations'!C92,IF('Chemical Info'!E93="Yes",'Com-Ind Equations'!$B$20*1000*'Com-Ind Equations'!$B$24*'Com-Ind Equations'!$B$21*'Chemical Info'!J93*'Com-Ind Calculations'!F92,'Com-Ind Equations'!$B$20*1000*'Com-Ind Equations'!$B$24*'Com-Ind Equations'!$B$21*'Chemical Info'!J93*('Com-Ind Calculations'!C92+'Com-Ind Calculations'!F92))))</f>
        <v>NA</v>
      </c>
      <c r="L92" s="95" t="str">
        <f>IF(AND(H92="NA",I92="NA",J92="NA"),"NA",IF(H92="NA",'Com-Ind Equations'!$B$13*'Com-Ind Equations'!$B$14/J92,IF(J92="NA",'Com-Ind Equations'!$B$13*'Com-Ind Equations'!$B$14/(H92+I92),'Com-Ind Equations'!$B$13*'Com-Ind Equations'!$B$14/(H92+I92+J92))))</f>
        <v>NA</v>
      </c>
      <c r="M92" s="95" t="str">
        <f>IF(AND(H92="NA",I92="NA",K92="NA"),"NA",IF(H92="NA",'Com-Ind Equations'!$B$13*'Com-Ind Equations'!$B$14/K92,IF(K92="NA",'Com-Ind Equations'!$B$13*'Com-Ind Equations'!$B$14/(H92+I92),'Com-Ind Equations'!$B$13*'Com-Ind Equations'!$B$14/(H92+I92+K92))))</f>
        <v>NA</v>
      </c>
      <c r="N92" s="95" t="str">
        <f t="shared" si="10"/>
        <v>NA</v>
      </c>
      <c r="O92" s="94">
        <f>IF('Chemical Info'!L93="NA","NA",IF('Chemical Info'!E93="Yes",(('Com-Ind Equations'!$B$46*'Chemical Info'!AD93*'Com-Ind Equations'!$B$48*'Com-Ind Equations'!$B$49*'Com-Ind Equations'!$B$51)/('Com-Ind Equations'!$B$55*'Com-Ind Equations'!$B$56))/'Chemical Info'!L93,(('Com-Ind Equations'!$B$46*'Chemical Info'!AD93*'Com-Ind Equations'!$B$48*'Com-Ind Equations'!$B$49*'Com-Ind Equations'!$B$50)/('Com-Ind Equations'!$B$55*'Com-Ind Equations'!$B$56))/'Chemical Info'!L93))</f>
        <v>2.0547945205479452E-8</v>
      </c>
      <c r="P92" s="90">
        <f>IF('Chemical Info'!L93="NA","NA", IF('Chemical Info'!E93="Yes",0,((('Com-Ind Equations'!$B$58*'Com-Ind Equations'!$B$59*'Com-Ind Equations'!$B$48*'Com-Ind Equations'!$B$52*'Com-Ind Equations'!$B$49*'Chemical Info'!AB93)/('Com-Ind Equations'!$B$55*'Com-Ind Equations'!$B$56))/('Chemical Info'!L93*'Chemical Info'!AF93))))</f>
        <v>0</v>
      </c>
      <c r="Q92" s="90">
        <f>IF('Chemical Info'!N93="NA","NA",IF('Com-Ind Calculations'!E92="NA",(('Com-Ind Equations'!$B$53*'Com-Ind Equations'!$B$49*'Com-Ind Equations'!$B$54*'Com-Ind Calculations'!C92)/('Com-Ind Equations'!$B$56))/('Chemical Info'!N93),IF('Chemical Info'!E93="Yes",(('Com-Ind Equations'!$B$53*'Com-Ind Equations'!$B$49*'Com-Ind Equations'!$B$54*'Com-Ind Calculations'!E92)/('Com-Ind Equations'!$B$56))/('Chemical Info'!N93),(('Com-Ind Equations'!$B$53*'Com-Ind Equations'!$B$49*'Com-Ind Equations'!$B$54*('Com-Ind Calculations'!C92+'Com-Ind Calculations'!E92))/('Com-Ind Equations'!$B$56))/('Chemical Info'!N93))))</f>
        <v>2.1252270538035959E-5</v>
      </c>
      <c r="R92" s="90">
        <f>IF('Chemical Info'!N93="NA","NA",IF('Com-Ind Calculations'!F92="NA",(('Com-Ind Equations'!$B$53*'Com-Ind Equations'!$B$49*'Com-Ind Equations'!$B$54*'Com-Ind Calculations'!C92)/('Com-Ind Equations'!$B$56))/('Chemical Info'!N93),IF('Chemical Info'!E93="Yes",(('Com-Ind Equations'!$B$53*'Com-Ind Equations'!$B$49*'Com-Ind Equations'!$B$54*'Com-Ind Calculations'!F92)/('Com-Ind Equations'!$B$56))/('Chemical Info'!N93),(('Com-Ind Equations'!$B$53*'Com-Ind Equations'!$B$49*'Com-Ind Equations'!$B$54*('Com-Ind Calculations'!C92+'Com-Ind Calculations'!F92))/('Com-Ind Equations'!$B$56))/('Chemical Info'!N93))))</f>
        <v>2.5444278345211994E-6</v>
      </c>
      <c r="S92" s="90">
        <f>IF(AND(O92="NA",P92="NA",Q92="NA"),"NA",IF(O92="NA",'Com-Ind Equations'!$B$45/'Com-Ind Calculations'!Q92,IF('Com-Ind Calculations'!Q92="NA",'Com-Ind Equations'!$B$45/('Com-Ind Calculations'!O92+'Com-Ind Calculations'!P92),'Com-Ind Equations'!$B$45/('Com-Ind Calculations'!O92+'Com-Ind Calculations'!P92+'Com-Ind Calculations'!Q92))))</f>
        <v>9401.6690904197058</v>
      </c>
      <c r="T92" s="95">
        <f>IF(AND(O92="NA",P92="NA",R92="NA"),"NA",IF(O92="NA",'Com-Ind Equations'!$B$45/R92,IF(R92="NA",'Com-Ind Equations'!$B$45/(O92+P92),'Com-Ind Equations'!$B$45/(O92+P92+R92))))</f>
        <v>77973.445823847826</v>
      </c>
      <c r="U92" s="97">
        <f t="shared" si="11"/>
        <v>77973.445823847826</v>
      </c>
      <c r="V92" s="101">
        <f t="shared" si="12"/>
        <v>902.09706666666682</v>
      </c>
      <c r="W92" s="105">
        <f t="shared" si="13"/>
        <v>900</v>
      </c>
      <c r="X92" s="100" t="str">
        <f t="shared" si="85"/>
        <v>Csat</v>
      </c>
      <c r="Y92" s="70"/>
      <c r="Z92" s="9"/>
    </row>
    <row r="93" spans="1:26">
      <c r="A93" s="147" t="s">
        <v>1123</v>
      </c>
      <c r="B93" s="566" t="s">
        <v>1124</v>
      </c>
      <c r="C93" s="85">
        <f>1/(('Com-Ind Equations'!$B$123*3600)/(0.036*(1-'Com-Ind Equations'!$B$124)*(('Com-Ind Equations'!$B$125/'Com-Ind Equations'!$B$126)^3)*'Com-Ind Equations'!$B$127))</f>
        <v>1.4713536180231943E-9</v>
      </c>
      <c r="D93" s="90">
        <f>(('Com-Ind Equations'!$B$103^(10/3)*'Chemical Info'!AH94*'Chemical Info'!AN94*41+'Com-Ind Equations'!$B$106^(10/3)*'Chemical Info'!AJ94)/'Com-Ind Equations'!$B$108^2)/('Com-Ind Equations'!$B$110*'Chemical Info'!AL94*'Com-Ind Equations'!$B$113+'Com-Ind Equations'!$B$106+'Com-Ind Equations'!$B$103*'Chemical Info'!AN94*41)</f>
        <v>5.1596158312577835E-5</v>
      </c>
      <c r="E93" s="65">
        <f>IF(D93=0,"NA",1/(('Com-Ind Equations'!$B$74*(3.14*D93*'Com-Ind Equations'!$B$76)^(1/2)*0.0001)/(2*'Com-Ind Equations'!$B$77*D93)))</f>
        <v>4.2163559474014117E-5</v>
      </c>
      <c r="F93" s="65">
        <f>IF(D93=0,"NA",(1/('Com-Ind Equations'!$B$88*('Com-Ind Equations'!$B$89*(31500000))/('Com-Ind Equations'!$B$90*'Com-Ind Equations'!$B$91*1000000))))</f>
        <v>6.1914410640015851E-5</v>
      </c>
      <c r="G93" s="95">
        <f>IF('Chemical Info'!E94="Yes",('Chemical Info'!AP94/'Com-Ind Equations'!$B$139)*((('Chemical Info'!AL94*'Com-Ind Equations'!$B$141)*'Com-Ind Equations'!$B$139)+'Com-Ind Equations'!$B$142+('Chemical Info'!AN94*41)*'Com-Ind Equations'!$B$144),"NA")</f>
        <v>1395.4939133333332</v>
      </c>
      <c r="H93" s="112">
        <f>IF('Chemical Info'!H94="NA","NA",IF('Chemical Info'!E94="Yes",'Chemical Info'!H94*'Chemical Info'!AD94*'Com-Ind Equations'!$B$18*'Com-Ind Equations'!$B$22*(('Com-Ind Equations'!$B$24*'Com-Ind Equations'!$B$25)/'Com-Ind Equations'!$B$26),'Chemical Info'!H94*'Chemical Info'!AD94*'Com-Ind Equations'!$B$17*'Com-Ind Equations'!$B$22*('Com-Ind Equations'!$B$24*'Com-Ind Equations'!$B$25/'Com-Ind Equations'!$B$26)))</f>
        <v>0.16874999999999998</v>
      </c>
      <c r="I93" s="108">
        <f>IF('Chemical Info'!H94="NA","NA",IF('Chemical Info'!E94="Yes",0,('Chemical Info'!H94/'Chemical Info'!AF94)*'Com-Ind Equations'!$B$19*'Chemical Info'!AB94*'Com-Ind Equations'!$B$22*(('Com-Ind Equations'!$B$24*'Com-Ind Equations'!$B$29*'Com-Ind Equations'!$B$30)/'Com-Ind Equations'!$B$26)))</f>
        <v>0</v>
      </c>
      <c r="J93" s="115" t="str">
        <f>IF('Chemical Info'!J94="NA","NA",IF(E93="NA",'Com-Ind Equations'!$B$20*1000*'Com-Ind Equations'!$B$24*'Com-Ind Equations'!$B$21*'Chemical Info'!J94*'Com-Ind Calculations'!C93,IF('Chemical Info'!E94="Yes",'Com-Ind Equations'!$B$20*1000*'Com-Ind Equations'!$B$24*'Com-Ind Equations'!$B$21*'Chemical Info'!J94*'Com-Ind Calculations'!E93,'Com-Ind Equations'!$B$20*1000*'Com-Ind Equations'!$B$24*'Com-Ind Equations'!$B$21*'Chemical Info'!J94*('Com-Ind Calculations'!C93+'Com-Ind Calculations'!E93))))</f>
        <v>NA</v>
      </c>
      <c r="K93" s="117" t="str">
        <f>IF('Chemical Info'!J94="NA","NA",IF(F93="NA",'Com-Ind Equations'!$B$20*1000*'Com-Ind Equations'!$B$24*'Com-Ind Equations'!$B$21*'Chemical Info'!J94*'Com-Ind Calculations'!C93,IF('Chemical Info'!E94="Yes",'Com-Ind Equations'!$B$20*1000*'Com-Ind Equations'!$B$24*'Com-Ind Equations'!$B$21*'Chemical Info'!J94*'Com-Ind Calculations'!F93,'Com-Ind Equations'!$B$20*1000*'Com-Ind Equations'!$B$24*'Com-Ind Equations'!$B$21*'Chemical Info'!J94*('Com-Ind Calculations'!C93+'Com-Ind Calculations'!F93))))</f>
        <v>NA</v>
      </c>
      <c r="L93" s="95">
        <f>IF(AND(H93="NA",I93="NA",J93="NA"),"NA",IF(H93="NA",'Com-Ind Equations'!$B$13*'Com-Ind Equations'!$B$14/J93,IF(J93="NA",'Com-Ind Equations'!$B$13*'Com-Ind Equations'!$B$14/(H93+I93),'Com-Ind Equations'!$B$13*'Com-Ind Equations'!$B$14/(H93+I93+J93))))</f>
        <v>1.5140740740740743</v>
      </c>
      <c r="M93" s="95">
        <f>IF(AND(H93="NA",I93="NA",K93="NA"),"NA",IF(H93="NA",'Com-Ind Equations'!$B$13*'Com-Ind Equations'!$B$14/K93,IF(K93="NA",'Com-Ind Equations'!$B$13*'Com-Ind Equations'!$B$14/(H93+I93),'Com-Ind Equations'!$B$13*'Com-Ind Equations'!$B$14/(H93+I93+K93))))</f>
        <v>1.5140740740740743</v>
      </c>
      <c r="N93" s="95">
        <f t="shared" ref="N93" si="86">IF(AND(L93="NA",M93="NA"),"NA",MAX(L93,M93))</f>
        <v>1.5140740740740743</v>
      </c>
      <c r="O93" s="94">
        <f>IF('Chemical Info'!L94="NA","NA",IF('Chemical Info'!E94="Yes",(('Com-Ind Equations'!$B$46*'Chemical Info'!AD94*'Com-Ind Equations'!$B$48*'Com-Ind Equations'!$B$49*'Com-Ind Equations'!$B$51)/('Com-Ind Equations'!$B$55*'Com-Ind Equations'!$B$56))/'Chemical Info'!L94,(('Com-Ind Equations'!$B$46*'Chemical Info'!AD94*'Com-Ind Equations'!$B$48*'Com-Ind Equations'!$B$49*'Com-Ind Equations'!$B$50)/('Com-Ind Equations'!$B$55*'Com-Ind Equations'!$B$56))/'Chemical Info'!L94))</f>
        <v>2.3709167544783981E-4</v>
      </c>
      <c r="P93" s="90">
        <f>IF('Chemical Info'!L94="NA","NA", IF('Chemical Info'!E94="Yes",0,((('Com-Ind Equations'!$B$58*'Com-Ind Equations'!$B$59*'Com-Ind Equations'!$B$48*'Com-Ind Equations'!$B$52*'Com-Ind Equations'!$B$49*'Chemical Info'!AB94)/('Com-Ind Equations'!$B$55*'Com-Ind Equations'!$B$56))/('Chemical Info'!L94*'Chemical Info'!AF94))))</f>
        <v>0</v>
      </c>
      <c r="Q93" s="90">
        <f>IF('Chemical Info'!N94="NA","NA",IF('Com-Ind Calculations'!E93="NA",(('Com-Ind Equations'!$B$53*'Com-Ind Equations'!$B$49*'Com-Ind Equations'!$B$54*'Com-Ind Calculations'!C93)/('Com-Ind Equations'!$B$56))/('Chemical Info'!N94),IF('Chemical Info'!E94="Yes",(('Com-Ind Equations'!$B$53*'Com-Ind Equations'!$B$49*'Com-Ind Equations'!$B$54*'Com-Ind Calculations'!E93)/('Com-Ind Equations'!$B$56))/('Chemical Info'!N94),(('Com-Ind Equations'!$B$53*'Com-Ind Equations'!$B$49*'Com-Ind Equations'!$B$54*('Com-Ind Calculations'!C93+'Com-Ind Calculations'!E93))/('Com-Ind Equations'!$B$56))/('Chemical Info'!N94))))</f>
        <v>2.8879150324667209E-2</v>
      </c>
      <c r="R93" s="90">
        <f>IF('Chemical Info'!N94="NA","NA",IF('Com-Ind Calculations'!F93="NA",(('Com-Ind Equations'!$B$53*'Com-Ind Equations'!$B$49*'Com-Ind Equations'!$B$54*'Com-Ind Calculations'!C93)/('Com-Ind Equations'!$B$56))/('Chemical Info'!N94),IF('Chemical Info'!E94="Yes",(('Com-Ind Equations'!$B$53*'Com-Ind Equations'!$B$49*'Com-Ind Equations'!$B$54*'Com-Ind Calculations'!F93)/('Com-Ind Equations'!$B$56))/('Chemical Info'!N94),(('Com-Ind Equations'!$B$53*'Com-Ind Equations'!$B$49*'Com-Ind Equations'!$B$54*('Com-Ind Calculations'!C93+'Com-Ind Calculations'!F93))/('Com-Ind Equations'!$B$56))/('Chemical Info'!N94))))</f>
        <v>4.2407130575353329E-2</v>
      </c>
      <c r="S93" s="90">
        <f>IF(AND(O93="NA",P93="NA",Q93="NA"),"NA",IF(O93="NA",'Com-Ind Equations'!$B$45/'Com-Ind Calculations'!Q93,IF('Com-Ind Calculations'!Q93="NA",'Com-Ind Equations'!$B$45/('Com-Ind Calculations'!O93+'Com-Ind Calculations'!P93),'Com-Ind Equations'!$B$45/('Com-Ind Calculations'!O93+'Com-Ind Calculations'!P93+'Com-Ind Calculations'!Q93))))</f>
        <v>6.8690183300169627</v>
      </c>
      <c r="T93" s="95">
        <f>IF(AND(O93="NA",P93="NA",R93="NA"),"NA",IF(O93="NA",'Com-Ind Equations'!$B$45/R93,IF(R93="NA",'Com-Ind Equations'!$B$45/(O93+P93),'Com-Ind Equations'!$B$45/(O93+P93+R93))))</f>
        <v>4.6899671149763451</v>
      </c>
      <c r="U93" s="97">
        <f t="shared" ref="U93" si="87">IF(AND(S93="NA",T93="NA"),"NA",MAX(S93,T93))</f>
        <v>6.8690183300169627</v>
      </c>
      <c r="V93" s="101">
        <f t="shared" ref="V93" si="88">IF(AND(N93="NA",U93="NA",G93="NA"),"NA",MIN(N93,U93,G93))</f>
        <v>1.5140740740740743</v>
      </c>
      <c r="W93" s="105">
        <f t="shared" ref="W93" si="89">IF(V93&gt;100000,100000,IF(ISNUMBER(ROUND(V93*1000000,2-LEN(INT(V93*1000000)))/1000000),ROUND(V93*1000000,2-LEN(INT(V93*1000000)))/1000000,"NA"))</f>
        <v>1.5</v>
      </c>
      <c r="X93" s="100" t="str">
        <f t="shared" ref="X93" si="90">IF(W93=100000,"Max Limit",IF(V93=G93,"Csat",IF(V93=N93,"Cancer",IF(V93=U93,"Noncancer",""))))</f>
        <v>Cancer</v>
      </c>
      <c r="Y93" s="70"/>
      <c r="Z93" s="9"/>
    </row>
    <row r="94" spans="1:26">
      <c r="A94" s="147" t="s">
        <v>1125</v>
      </c>
      <c r="B94" s="566" t="s">
        <v>1126</v>
      </c>
      <c r="C94" s="85">
        <f>1/(('Com-Ind Equations'!$B$123*3600)/(0.036*(1-'Com-Ind Equations'!$B$124)*(('Com-Ind Equations'!$B$125/'Com-Ind Equations'!$B$126)^3)*'Com-Ind Equations'!$B$127))</f>
        <v>1.4713536180231943E-9</v>
      </c>
      <c r="D94" s="90">
        <f>(('Com-Ind Equations'!$B$103^(10/3)*'Chemical Info'!AH95*'Chemical Info'!AN95*41+'Com-Ind Equations'!$B$106^(10/3)*'Chemical Info'!AJ95)/'Com-Ind Equations'!$B$108^2)/('Com-Ind Equations'!$B$110*'Chemical Info'!AL95*'Com-Ind Equations'!$B$113+'Com-Ind Equations'!$B$106+'Com-Ind Equations'!$B$103*'Chemical Info'!AN95*41)</f>
        <v>1.4294133476944841E-4</v>
      </c>
      <c r="E94" s="65">
        <f>IF(D94=0,"NA",1/(('Com-Ind Equations'!$B$74*(3.14*D94*'Com-Ind Equations'!$B$76)^(1/2)*0.0001)/(2*'Com-Ind Equations'!$B$77*D94)))</f>
        <v>7.0179052500638487E-5</v>
      </c>
      <c r="F94" s="65">
        <f>IF(D94=0,"NA",(1/('Com-Ind Equations'!$B$88*('Com-Ind Equations'!$B$89*(31500000))/('Com-Ind Equations'!$B$90*'Com-Ind Equations'!$B$91*1000000))))</f>
        <v>6.1914410640015851E-5</v>
      </c>
      <c r="G94" s="95">
        <f>IF('Chemical Info'!E95="Yes",('Chemical Info'!AP95/'Com-Ind Equations'!$B$139)*((('Chemical Info'!AL95*'Com-Ind Equations'!$B$141)*'Com-Ind Equations'!$B$139)+'Com-Ind Equations'!$B$142+('Chemical Info'!AN95*41)*'Com-Ind Equations'!$B$144),"NA")</f>
        <v>292.8865937066667</v>
      </c>
      <c r="H94" s="112" t="str">
        <f>IF('Chemical Info'!H95="NA","NA",IF('Chemical Info'!E95="Yes",'Chemical Info'!H95*'Chemical Info'!AD95*'Com-Ind Equations'!$B$18*'Com-Ind Equations'!$B$22*(('Com-Ind Equations'!$B$24*'Com-Ind Equations'!$B$25)/'Com-Ind Equations'!$B$26),'Chemical Info'!H95*'Chemical Info'!AD95*'Com-Ind Equations'!$B$17*'Com-Ind Equations'!$B$22*('Com-Ind Equations'!$B$24*'Com-Ind Equations'!$B$25/'Com-Ind Equations'!$B$26)))</f>
        <v>NA</v>
      </c>
      <c r="I94" s="108" t="str">
        <f>IF('Chemical Info'!H95="NA","NA",IF('Chemical Info'!E95="Yes",0,('Chemical Info'!H95/'Chemical Info'!AF95)*'Com-Ind Equations'!$B$19*'Chemical Info'!AB95*'Com-Ind Equations'!$B$22*(('Com-Ind Equations'!$B$24*'Com-Ind Equations'!$B$29*'Com-Ind Equations'!$B$30)/'Com-Ind Equations'!$B$26)))</f>
        <v>NA</v>
      </c>
      <c r="J94" s="115" t="str">
        <f>IF('Chemical Info'!J95="NA","NA",IF(E94="NA",'Com-Ind Equations'!$B$20*1000*'Com-Ind Equations'!$B$24*'Com-Ind Equations'!$B$21*'Chemical Info'!J95*'Com-Ind Calculations'!C94,IF('Chemical Info'!E95="Yes",'Com-Ind Equations'!$B$20*1000*'Com-Ind Equations'!$B$24*'Com-Ind Equations'!$B$21*'Chemical Info'!J95*'Com-Ind Calculations'!E94,'Com-Ind Equations'!$B$20*1000*'Com-Ind Equations'!$B$24*'Com-Ind Equations'!$B$21*'Chemical Info'!J95*('Com-Ind Calculations'!C94+'Com-Ind Calculations'!E94))))</f>
        <v>NA</v>
      </c>
      <c r="K94" s="117" t="str">
        <f>IF('Chemical Info'!J95="NA","NA",IF(F94="NA",'Com-Ind Equations'!$B$20*1000*'Com-Ind Equations'!$B$24*'Com-Ind Equations'!$B$21*'Chemical Info'!J95*'Com-Ind Calculations'!C94,IF('Chemical Info'!E95="Yes",'Com-Ind Equations'!$B$20*1000*'Com-Ind Equations'!$B$24*'Com-Ind Equations'!$B$21*'Chemical Info'!J95*'Com-Ind Calculations'!F94,'Com-Ind Equations'!$B$20*1000*'Com-Ind Equations'!$B$24*'Com-Ind Equations'!$B$21*'Chemical Info'!J95*('Com-Ind Calculations'!C94+'Com-Ind Calculations'!F94))))</f>
        <v>NA</v>
      </c>
      <c r="L94" s="95" t="str">
        <f>IF(AND(H94="NA",I94="NA",J94="NA"),"NA",IF(H94="NA",'Com-Ind Equations'!$B$13*'Com-Ind Equations'!$B$14/J94,IF(J94="NA",'Com-Ind Equations'!$B$13*'Com-Ind Equations'!$B$14/(H94+I94),'Com-Ind Equations'!$B$13*'Com-Ind Equations'!$B$14/(H94+I94+J94))))</f>
        <v>NA</v>
      </c>
      <c r="M94" s="95" t="str">
        <f>IF(AND(H94="NA",I94="NA",K94="NA"),"NA",IF(H94="NA",'Com-Ind Equations'!$B$13*'Com-Ind Equations'!$B$14/K94,IF(K94="NA",'Com-Ind Equations'!$B$13*'Com-Ind Equations'!$B$14/(H94+I94),'Com-Ind Equations'!$B$13*'Com-Ind Equations'!$B$14/(H94+I94+K94))))</f>
        <v>NA</v>
      </c>
      <c r="N94" s="95" t="str">
        <f t="shared" ref="N94" si="91">IF(AND(L94="NA",M94="NA"),"NA",MAX(L94,M94))</f>
        <v>NA</v>
      </c>
      <c r="O94" s="94">
        <f>IF('Chemical Info'!L95="NA","NA",IF('Chemical Info'!E95="Yes",(('Com-Ind Equations'!$B$46*'Chemical Info'!AD95*'Com-Ind Equations'!$B$48*'Com-Ind Equations'!$B$49*'Com-Ind Equations'!$B$51)/('Com-Ind Equations'!$B$55*'Com-Ind Equations'!$B$56))/'Chemical Info'!L95,(('Com-Ind Equations'!$B$46*'Chemical Info'!AD95*'Com-Ind Equations'!$B$48*'Com-Ind Equations'!$B$49*'Com-Ind Equations'!$B$50)/('Com-Ind Equations'!$B$55*'Com-Ind Equations'!$B$56))/'Chemical Info'!L95))</f>
        <v>5.1369863013698626E-5</v>
      </c>
      <c r="P94" s="90">
        <f>IF('Chemical Info'!L95="NA","NA", IF('Chemical Info'!E95="Yes",0,((('Com-Ind Equations'!$B$58*'Com-Ind Equations'!$B$59*'Com-Ind Equations'!$B$48*'Com-Ind Equations'!$B$52*'Com-Ind Equations'!$B$49*'Chemical Info'!AB95)/('Com-Ind Equations'!$B$55*'Com-Ind Equations'!$B$56))/('Chemical Info'!L95*'Chemical Info'!AF95))))</f>
        <v>0</v>
      </c>
      <c r="Q94" s="90">
        <f>IF('Chemical Info'!N95="NA","NA",IF('Com-Ind Calculations'!E94="NA",(('Com-Ind Equations'!$B$53*'Com-Ind Equations'!$B$49*'Com-Ind Equations'!$B$54*'Com-Ind Calculations'!C94)/('Com-Ind Equations'!$B$56))/('Chemical Info'!N95),IF('Chemical Info'!E95="Yes",(('Com-Ind Equations'!$B$53*'Com-Ind Equations'!$B$49*'Com-Ind Equations'!$B$54*'Com-Ind Calculations'!E94)/('Com-Ind Equations'!$B$56))/('Chemical Info'!N95),(('Com-Ind Equations'!$B$53*'Com-Ind Equations'!$B$49*'Com-Ind Equations'!$B$54*('Com-Ind Calculations'!C94+'Com-Ind Calculations'!E94))/('Com-Ind Equations'!$B$56))/('Chemical Info'!N95))))</f>
        <v>2.4033922089259754E-4</v>
      </c>
      <c r="R94" s="90">
        <f>IF('Chemical Info'!N95="NA","NA",IF('Com-Ind Calculations'!F94="NA",(('Com-Ind Equations'!$B$53*'Com-Ind Equations'!$B$49*'Com-Ind Equations'!$B$54*'Com-Ind Calculations'!C94)/('Com-Ind Equations'!$B$56))/('Chemical Info'!N95),IF('Chemical Info'!E95="Yes",(('Com-Ind Equations'!$B$53*'Com-Ind Equations'!$B$49*'Com-Ind Equations'!$B$54*'Com-Ind Calculations'!F94)/('Com-Ind Equations'!$B$56))/('Chemical Info'!N95),(('Com-Ind Equations'!$B$53*'Com-Ind Equations'!$B$49*'Com-Ind Equations'!$B$54*('Com-Ind Calculations'!C94+'Com-Ind Calculations'!F94))/('Com-Ind Equations'!$B$56))/('Chemical Info'!N95))))</f>
        <v>2.1203565287676663E-4</v>
      </c>
      <c r="S94" s="90">
        <f>IF(AND(O94="NA",P94="NA",Q94="NA"),"NA",IF(O94="NA",'Com-Ind Equations'!$B$45/'Com-Ind Calculations'!Q94,IF('Com-Ind Calculations'!Q94="NA",'Com-Ind Equations'!$B$45/('Com-Ind Calculations'!O94+'Com-Ind Calculations'!P94),'Com-Ind Equations'!$B$45/('Com-Ind Calculations'!O94+'Com-Ind Calculations'!P94+'Com-Ind Calculations'!Q94))))</f>
        <v>685.61457641903507</v>
      </c>
      <c r="T94" s="95">
        <f>IF(AND(O94="NA",P94="NA",R94="NA"),"NA",IF(O94="NA",'Com-Ind Equations'!$B$45/R94,IF(R94="NA",'Com-Ind Equations'!$B$45/(O94+P94),'Com-Ind Equations'!$B$45/(O94+P94+R94))))</f>
        <v>759.28554238464835</v>
      </c>
      <c r="U94" s="97">
        <f t="shared" ref="U94" si="92">IF(AND(S94="NA",T94="NA"),"NA",MAX(S94,T94))</f>
        <v>759.28554238464835</v>
      </c>
      <c r="V94" s="101">
        <f t="shared" ref="V94" si="93">IF(AND(N94="NA",U94="NA",G94="NA"),"NA",MIN(N94,U94,G94))</f>
        <v>292.8865937066667</v>
      </c>
      <c r="W94" s="105">
        <f t="shared" ref="W94" si="94">IF(V94&gt;100000,100000,IF(ISNUMBER(ROUND(V94*1000000,2-LEN(INT(V94*1000000)))/1000000),ROUND(V94*1000000,2-LEN(INT(V94*1000000)))/1000000,"NA"))</f>
        <v>290</v>
      </c>
      <c r="X94" s="100" t="str">
        <f t="shared" ref="X94" si="95">IF(W94=100000,"Max Limit",IF(V94=G94,"Csat",IF(V94=N94,"Cancer",IF(V94=U94,"Noncancer",""))))</f>
        <v>Csat</v>
      </c>
      <c r="Y94" s="70"/>
      <c r="Z94" s="9"/>
    </row>
    <row r="95" spans="1:26">
      <c r="A95" s="70" t="s">
        <v>380</v>
      </c>
      <c r="B95" s="566" t="s">
        <v>209</v>
      </c>
      <c r="C95" s="85">
        <f>1/(('Com-Ind Equations'!$B$123*3600)/(0.036*(1-'Com-Ind Equations'!$B$124)*(('Com-Ind Equations'!$B$125/'Com-Ind Equations'!$B$126)^3)*'Com-Ind Equations'!$B$127))</f>
        <v>1.4713536180231943E-9</v>
      </c>
      <c r="D95" s="90">
        <f>(('Com-Ind Equations'!$B$103^(10/3)*'Chemical Info'!AH96*'Chemical Info'!AN96*41+'Com-Ind Equations'!$B$106^(10/3)*'Chemical Info'!AJ96)/'Com-Ind Equations'!$B$108^2)/('Com-Ind Equations'!$B$110*'Chemical Info'!AL96*'Com-Ind Equations'!$B$113+'Com-Ind Equations'!$B$106+'Com-Ind Equations'!$B$103*'Chemical Info'!AN96*41)</f>
        <v>2.0326890962785459E-4</v>
      </c>
      <c r="E95" s="65">
        <f>IF(D95=0,"NA",1/(('Com-Ind Equations'!$B$74*(3.14*D95*'Com-Ind Equations'!$B$76)^(1/2)*0.0001)/(2*'Com-Ind Equations'!$B$77*D95)))</f>
        <v>8.3688168328105024E-5</v>
      </c>
      <c r="F95" s="65">
        <f>IF(D95=0,"NA",(1/('Com-Ind Equations'!$B$88*('Com-Ind Equations'!$B$89*(31500000))/('Com-Ind Equations'!$B$90*'Com-Ind Equations'!$B$91*1000000))))</f>
        <v>6.1914410640015851E-5</v>
      </c>
      <c r="G95" s="95">
        <f>IF('Chemical Info'!E96="Yes",('Chemical Info'!AP96/'Com-Ind Equations'!$B$139)*((('Chemical Info'!AL96*'Com-Ind Equations'!$B$141)*'Com-Ind Equations'!$B$139)+'Com-Ind Equations'!$B$142+('Chemical Info'!AN96*41)*'Com-Ind Equations'!$B$144),"NA")</f>
        <v>218.4778384</v>
      </c>
      <c r="H95" s="112" t="str">
        <f>IF('Chemical Info'!H96="NA","NA",IF('Chemical Info'!E96="Yes",'Chemical Info'!H96*'Chemical Info'!AD96*'Com-Ind Equations'!$B$18*'Com-Ind Equations'!$B$22*(('Com-Ind Equations'!$B$24*'Com-Ind Equations'!$B$25)/'Com-Ind Equations'!$B$26),'Chemical Info'!H96*'Chemical Info'!AD96*'Com-Ind Equations'!$B$17*'Com-Ind Equations'!$B$22*('Com-Ind Equations'!$B$24*'Com-Ind Equations'!$B$25/'Com-Ind Equations'!$B$26)))</f>
        <v>NA</v>
      </c>
      <c r="I95" s="108" t="str">
        <f>IF('Chemical Info'!H96="NA","NA",IF('Chemical Info'!E96="Yes",0,('Chemical Info'!H96/'Chemical Info'!AF96)*'Com-Ind Equations'!$B$19*'Chemical Info'!AB96*'Com-Ind Equations'!$B$22*(('Com-Ind Equations'!$B$24*'Com-Ind Equations'!$B$29*'Com-Ind Equations'!$B$30)/'Com-Ind Equations'!$B$26)))</f>
        <v>NA</v>
      </c>
      <c r="J95" s="115" t="str">
        <f>IF('Chemical Info'!J96="NA","NA",IF(E95="NA",'Com-Ind Equations'!$B$20*1000*'Com-Ind Equations'!$B$24*'Com-Ind Equations'!$B$21*'Chemical Info'!J96*'Com-Ind Calculations'!C95,IF('Chemical Info'!E96="Yes",'Com-Ind Equations'!$B$20*1000*'Com-Ind Equations'!$B$24*'Com-Ind Equations'!$B$21*'Chemical Info'!J96*'Com-Ind Calculations'!E95,'Com-Ind Equations'!$B$20*1000*'Com-Ind Equations'!$B$24*'Com-Ind Equations'!$B$21*'Chemical Info'!J96*('Com-Ind Calculations'!C95+'Com-Ind Calculations'!E95))))</f>
        <v>NA</v>
      </c>
      <c r="K95" s="117" t="str">
        <f>IF('Chemical Info'!J96="NA","NA",IF(F95="NA",'Com-Ind Equations'!$B$20*1000*'Com-Ind Equations'!$B$24*'Com-Ind Equations'!$B$21*'Chemical Info'!J96*'Com-Ind Calculations'!C95,IF('Chemical Info'!E96="Yes",'Com-Ind Equations'!$B$20*1000*'Com-Ind Equations'!$B$24*'Com-Ind Equations'!$B$21*'Chemical Info'!J96*'Com-Ind Calculations'!F95,'Com-Ind Equations'!$B$20*1000*'Com-Ind Equations'!$B$24*'Com-Ind Equations'!$B$21*'Chemical Info'!J96*('Com-Ind Calculations'!C95+'Com-Ind Calculations'!F95))))</f>
        <v>NA</v>
      </c>
      <c r="L95" s="95" t="str">
        <f>IF(AND(H95="NA",I95="NA",J95="NA"),"NA",IF(H95="NA",'Com-Ind Equations'!$B$13*'Com-Ind Equations'!$B$14/J95,IF(J95="NA",'Com-Ind Equations'!$B$13*'Com-Ind Equations'!$B$14/(H95+I95),'Com-Ind Equations'!$B$13*'Com-Ind Equations'!$B$14/(H95+I95+J95))))</f>
        <v>NA</v>
      </c>
      <c r="M95" s="95" t="str">
        <f>IF(AND(H95="NA",I95="NA",K95="NA"),"NA",IF(H95="NA",'Com-Ind Equations'!$B$13*'Com-Ind Equations'!$B$14/K95,IF(K95="NA",'Com-Ind Equations'!$B$13*'Com-Ind Equations'!$B$14/(H95+I95),'Com-Ind Equations'!$B$13*'Com-Ind Equations'!$B$14/(H95+I95+K95))))</f>
        <v>NA</v>
      </c>
      <c r="N95" s="95" t="str">
        <f t="shared" si="10"/>
        <v>NA</v>
      </c>
      <c r="O95" s="94">
        <f>IF('Chemical Info'!L96="NA","NA",IF('Chemical Info'!E96="Yes",(('Com-Ind Equations'!$B$46*'Chemical Info'!AD96*'Com-Ind Equations'!$B$48*'Com-Ind Equations'!$B$49*'Com-Ind Equations'!$B$51)/('Com-Ind Equations'!$B$55*'Com-Ind Equations'!$B$56))/'Chemical Info'!L96,(('Com-Ind Equations'!$B$46*'Chemical Info'!AD96*'Com-Ind Equations'!$B$48*'Com-Ind Equations'!$B$49*'Com-Ind Equations'!$B$50)/('Com-Ind Equations'!$B$55*'Com-Ind Equations'!$B$56))/'Chemical Info'!L96))</f>
        <v>5.1369863013698626E-5</v>
      </c>
      <c r="P95" s="90">
        <f>IF('Chemical Info'!L96="NA","NA", IF('Chemical Info'!E96="Yes",0,((('Com-Ind Equations'!$B$58*'Com-Ind Equations'!$B$59*'Com-Ind Equations'!$B$48*'Com-Ind Equations'!$B$52*'Com-Ind Equations'!$B$49*'Chemical Info'!AB96)/('Com-Ind Equations'!$B$55*'Com-Ind Equations'!$B$56))/('Chemical Info'!L96*'Chemical Info'!AF96))))</f>
        <v>0</v>
      </c>
      <c r="Q95" s="90">
        <f>IF('Chemical Info'!N96="NA","NA",IF('Com-Ind Calculations'!E95="NA",(('Com-Ind Equations'!$B$53*'Com-Ind Equations'!$B$49*'Com-Ind Equations'!$B$54*'Com-Ind Calculations'!C95)/('Com-Ind Equations'!$B$56))/('Chemical Info'!N96),IF('Chemical Info'!E96="Yes",(('Com-Ind Equations'!$B$53*'Com-Ind Equations'!$B$49*'Com-Ind Equations'!$B$54*'Com-Ind Calculations'!E95)/('Com-Ind Equations'!$B$56))/('Chemical Info'!N96),(('Com-Ind Equations'!$B$53*'Com-Ind Equations'!$B$49*'Com-Ind Equations'!$B$54*('Com-Ind Calculations'!C95+'Com-Ind Calculations'!E95))/('Com-Ind Equations'!$B$56))/('Chemical Info'!N96))))</f>
        <v>2.8660331619214052E-4</v>
      </c>
      <c r="R95" s="90">
        <f>IF('Chemical Info'!N96="NA","NA",IF('Com-Ind Calculations'!F95="NA",(('Com-Ind Equations'!$B$53*'Com-Ind Equations'!$B$49*'Com-Ind Equations'!$B$54*'Com-Ind Calculations'!C95)/('Com-Ind Equations'!$B$56))/('Chemical Info'!N96),IF('Chemical Info'!E96="Yes",(('Com-Ind Equations'!$B$53*'Com-Ind Equations'!$B$49*'Com-Ind Equations'!$B$54*'Com-Ind Calculations'!F95)/('Com-Ind Equations'!$B$56))/('Chemical Info'!N96),(('Com-Ind Equations'!$B$53*'Com-Ind Equations'!$B$49*'Com-Ind Equations'!$B$54*('Com-Ind Calculations'!C95+'Com-Ind Calculations'!F95))/('Com-Ind Equations'!$B$56))/('Chemical Info'!N96))))</f>
        <v>2.1203565287676663E-4</v>
      </c>
      <c r="S95" s="90">
        <f>IF(AND(O95="NA",P95="NA",Q95="NA"),"NA",IF(O95="NA",'Com-Ind Equations'!$B$45/'Com-Ind Calculations'!Q95,IF('Com-Ind Calculations'!Q95="NA",'Com-Ind Equations'!$B$45/('Com-Ind Calculations'!O95+'Com-Ind Calculations'!P95),'Com-Ind Equations'!$B$45/('Com-Ind Calculations'!O95+'Com-Ind Calculations'!P95+'Com-Ind Calculations'!Q95))))</f>
        <v>591.76293358530688</v>
      </c>
      <c r="T95" s="95">
        <f>IF(AND(O95="NA",P95="NA",R95="NA"),"NA",IF(O95="NA",'Com-Ind Equations'!$B$45/R95,IF(R95="NA",'Com-Ind Equations'!$B$45/(O95+P95),'Com-Ind Equations'!$B$45/(O95+P95+R95))))</f>
        <v>759.28554238464835</v>
      </c>
      <c r="U95" s="97">
        <f t="shared" si="11"/>
        <v>759.28554238464835</v>
      </c>
      <c r="V95" s="101">
        <f t="shared" si="12"/>
        <v>218.4778384</v>
      </c>
      <c r="W95" s="105">
        <f t="shared" si="13"/>
        <v>220</v>
      </c>
      <c r="X95" s="100" t="str">
        <f t="shared" si="85"/>
        <v>Csat</v>
      </c>
      <c r="Y95" s="70"/>
    </row>
    <row r="96" spans="1:26">
      <c r="A96" s="70" t="s">
        <v>381</v>
      </c>
      <c r="B96" s="566" t="s">
        <v>210</v>
      </c>
      <c r="C96" s="85">
        <f>1/(('Com-Ind Equations'!$B$123*3600)/(0.036*(1-'Com-Ind Equations'!$B$124)*(('Com-Ind Equations'!$B$125/'Com-Ind Equations'!$B$126)^3)*'Com-Ind Equations'!$B$127))</f>
        <v>1.4713536180231943E-9</v>
      </c>
      <c r="D96" s="90">
        <f>(('Com-Ind Equations'!$B$103^(10/3)*'Chemical Info'!AH97*'Chemical Info'!AN97*41+'Com-Ind Equations'!$B$106^(10/3)*'Chemical Info'!AJ97)/'Com-Ind Equations'!$B$108^2)/('Com-Ind Equations'!$B$110*'Chemical Info'!AL97*'Com-Ind Equations'!$B$113+'Com-Ind Equations'!$B$106+'Com-Ind Equations'!$B$103*'Chemical Info'!AN97*41)</f>
        <v>2.9128714792472416E-4</v>
      </c>
      <c r="E96" s="65">
        <f>IF(D96=0,"NA",1/(('Com-Ind Equations'!$B$74*(3.14*D96*'Com-Ind Equations'!$B$76)^(1/2)*0.0001)/(2*'Com-Ind Equations'!$B$77*D96)))</f>
        <v>1.0018189571621688E-4</v>
      </c>
      <c r="F96" s="65">
        <f>IF(D96=0,"NA",(1/('Com-Ind Equations'!$B$88*('Com-Ind Equations'!$B$89*(31500000))/('Com-Ind Equations'!$B$90*'Com-Ind Equations'!$B$91*1000000))))</f>
        <v>6.1914410640015851E-5</v>
      </c>
      <c r="G96" s="95">
        <f>IF('Chemical Info'!E97="Yes",('Chemical Info'!AP97/'Com-Ind Equations'!$B$139)*((('Chemical Info'!AL97*'Com-Ind Equations'!$B$141)*'Com-Ind Equations'!$B$139)+'Com-Ind Equations'!$B$142+('Chemical Info'!AN97*41)*'Com-Ind Equations'!$B$144),"NA")</f>
        <v>182.18249114666668</v>
      </c>
      <c r="H96" s="112" t="str">
        <f>IF('Chemical Info'!H97="NA","NA",IF('Chemical Info'!E97="Yes",'Chemical Info'!H97*'Chemical Info'!AD97*'Com-Ind Equations'!$B$18*'Com-Ind Equations'!$B$22*(('Com-Ind Equations'!$B$24*'Com-Ind Equations'!$B$25)/'Com-Ind Equations'!$B$26),'Chemical Info'!H97*'Chemical Info'!AD97*'Com-Ind Equations'!$B$17*'Com-Ind Equations'!$B$22*('Com-Ind Equations'!$B$24*'Com-Ind Equations'!$B$25/'Com-Ind Equations'!$B$26)))</f>
        <v>NA</v>
      </c>
      <c r="I96" s="108" t="str">
        <f>IF('Chemical Info'!H97="NA","NA",IF('Chemical Info'!E97="Yes",0,('Chemical Info'!H97/'Chemical Info'!AF97)*'Com-Ind Equations'!$B$19*'Chemical Info'!AB97*'Com-Ind Equations'!$B$22*(('Com-Ind Equations'!$B$24*'Com-Ind Equations'!$B$29*'Com-Ind Equations'!$B$30)/'Com-Ind Equations'!$B$26)))</f>
        <v>NA</v>
      </c>
      <c r="J96" s="115" t="str">
        <f>IF('Chemical Info'!J97="NA","NA",IF(E96="NA",'Com-Ind Equations'!$B$20*1000*'Com-Ind Equations'!$B$24*'Com-Ind Equations'!$B$21*'Chemical Info'!J97*'Com-Ind Calculations'!C96,IF('Chemical Info'!E97="Yes",'Com-Ind Equations'!$B$20*1000*'Com-Ind Equations'!$B$24*'Com-Ind Equations'!$B$21*'Chemical Info'!J97*'Com-Ind Calculations'!E96,'Com-Ind Equations'!$B$20*1000*'Com-Ind Equations'!$B$24*'Com-Ind Equations'!$B$21*'Chemical Info'!J97*('Com-Ind Calculations'!C96+'Com-Ind Calculations'!E96))))</f>
        <v>NA</v>
      </c>
      <c r="K96" s="117" t="str">
        <f>IF('Chemical Info'!J97="NA","NA",IF(F96="NA",'Com-Ind Equations'!$B$20*1000*'Com-Ind Equations'!$B$24*'Com-Ind Equations'!$B$21*'Chemical Info'!J97*'Com-Ind Calculations'!C96,IF('Chemical Info'!E97="Yes",'Com-Ind Equations'!$B$20*1000*'Com-Ind Equations'!$B$24*'Com-Ind Equations'!$B$21*'Chemical Info'!J97*'Com-Ind Calculations'!F96,'Com-Ind Equations'!$B$20*1000*'Com-Ind Equations'!$B$24*'Com-Ind Equations'!$B$21*'Chemical Info'!J97*('Com-Ind Calculations'!C96+'Com-Ind Calculations'!F96))))</f>
        <v>NA</v>
      </c>
      <c r="L96" s="95" t="str">
        <f>IF(AND(H96="NA",I96="NA",J96="NA"),"NA",IF(H96="NA",'Com-Ind Equations'!$B$13*'Com-Ind Equations'!$B$14/J96,IF(J96="NA",'Com-Ind Equations'!$B$13*'Com-Ind Equations'!$B$14/(H96+I96),'Com-Ind Equations'!$B$13*'Com-Ind Equations'!$B$14/(H96+I96+J96))))</f>
        <v>NA</v>
      </c>
      <c r="M96" s="95" t="str">
        <f>IF(AND(H96="NA",I96="NA",K96="NA"),"NA",IF(H96="NA",'Com-Ind Equations'!$B$13*'Com-Ind Equations'!$B$14/K96,IF(K96="NA",'Com-Ind Equations'!$B$13*'Com-Ind Equations'!$B$14/(H96+I96),'Com-Ind Equations'!$B$13*'Com-Ind Equations'!$B$14/(H96+I96+K96))))</f>
        <v>NA</v>
      </c>
      <c r="N96" s="95" t="str">
        <f t="shared" si="10"/>
        <v>NA</v>
      </c>
      <c r="O96" s="94">
        <f>IF('Chemical Info'!L97="NA","NA",IF('Chemical Info'!E97="Yes",(('Com-Ind Equations'!$B$46*'Chemical Info'!AD97*'Com-Ind Equations'!$B$48*'Com-Ind Equations'!$B$49*'Com-Ind Equations'!$B$51)/('Com-Ind Equations'!$B$55*'Com-Ind Equations'!$B$56))/'Chemical Info'!L97,(('Com-Ind Equations'!$B$46*'Chemical Info'!AD97*'Com-Ind Equations'!$B$48*'Com-Ind Equations'!$B$49*'Com-Ind Equations'!$B$50)/('Com-Ind Equations'!$B$55*'Com-Ind Equations'!$B$56))/'Chemical Info'!L97))</f>
        <v>5.1369863013698626E-5</v>
      </c>
      <c r="P96" s="90">
        <f>IF('Chemical Info'!L97="NA","NA", IF('Chemical Info'!E97="Yes",0,((('Com-Ind Equations'!$B$58*'Com-Ind Equations'!$B$59*'Com-Ind Equations'!$B$48*'Com-Ind Equations'!$B$52*'Com-Ind Equations'!$B$49*'Chemical Info'!AB97)/('Com-Ind Equations'!$B$55*'Com-Ind Equations'!$B$56))/('Chemical Info'!L97*'Chemical Info'!AF97))))</f>
        <v>0</v>
      </c>
      <c r="Q96" s="90">
        <f>IF('Chemical Info'!N97="NA","NA",IF('Com-Ind Calculations'!E96="NA",(('Com-Ind Equations'!$B$53*'Com-Ind Equations'!$B$49*'Com-Ind Equations'!$B$54*'Com-Ind Calculations'!C96)/('Com-Ind Equations'!$B$56))/('Chemical Info'!N97),IF('Chemical Info'!E97="Yes",(('Com-Ind Equations'!$B$53*'Com-Ind Equations'!$B$49*'Com-Ind Equations'!$B$54*'Com-Ind Calculations'!E96)/('Com-Ind Equations'!$B$56))/('Chemical Info'!N97),(('Com-Ind Equations'!$B$53*'Com-Ind Equations'!$B$49*'Com-Ind Equations'!$B$54*('Com-Ind Calculations'!C96+'Com-Ind Calculations'!E96))/('Com-Ind Equations'!$B$56))/('Chemical Info'!N97))))</f>
        <v>3.430886839596468E-4</v>
      </c>
      <c r="R96" s="90">
        <f>IF('Chemical Info'!N97="NA","NA",IF('Com-Ind Calculations'!F96="NA",(('Com-Ind Equations'!$B$53*'Com-Ind Equations'!$B$49*'Com-Ind Equations'!$B$54*'Com-Ind Calculations'!C96)/('Com-Ind Equations'!$B$56))/('Chemical Info'!N97),IF('Chemical Info'!E97="Yes",(('Com-Ind Equations'!$B$53*'Com-Ind Equations'!$B$49*'Com-Ind Equations'!$B$54*'Com-Ind Calculations'!F96)/('Com-Ind Equations'!$B$56))/('Chemical Info'!N97),(('Com-Ind Equations'!$B$53*'Com-Ind Equations'!$B$49*'Com-Ind Equations'!$B$54*('Com-Ind Calculations'!C96+'Com-Ind Calculations'!F96))/('Com-Ind Equations'!$B$56))/('Chemical Info'!N97))))</f>
        <v>2.1203565287676663E-4</v>
      </c>
      <c r="S96" s="90">
        <f>IF(AND(O96="NA",P96="NA",Q96="NA"),"NA",IF(O96="NA",'Com-Ind Equations'!$B$45/'Com-Ind Calculations'!Q96,IF('Com-Ind Calculations'!Q96="NA",'Com-Ind Equations'!$B$45/('Com-Ind Calculations'!O96+'Com-Ind Calculations'!P96),'Com-Ind Equations'!$B$45/('Com-Ind Calculations'!O96+'Com-Ind Calculations'!P96+'Com-Ind Calculations'!Q96))))</f>
        <v>507.02412594323761</v>
      </c>
      <c r="T96" s="95">
        <f>IF(AND(O96="NA",P96="NA",R96="NA"),"NA",IF(O96="NA",'Com-Ind Equations'!$B$45/R96,IF(R96="NA",'Com-Ind Equations'!$B$45/(O96+P96),'Com-Ind Equations'!$B$45/(O96+P96+R96))))</f>
        <v>759.28554238464835</v>
      </c>
      <c r="U96" s="97">
        <f t="shared" si="11"/>
        <v>759.28554238464835</v>
      </c>
      <c r="V96" s="101">
        <f t="shared" si="12"/>
        <v>182.18249114666668</v>
      </c>
      <c r="W96" s="105">
        <f t="shared" si="13"/>
        <v>180</v>
      </c>
      <c r="X96" s="100" t="str">
        <f t="shared" si="85"/>
        <v>Csat</v>
      </c>
      <c r="Y96" s="70"/>
    </row>
    <row r="97" spans="1:26" s="2" customFormat="1">
      <c r="A97" s="67" t="s">
        <v>211</v>
      </c>
      <c r="B97" s="566" t="s">
        <v>212</v>
      </c>
      <c r="C97" s="85">
        <f>1/(('Com-Ind Equations'!$B$123*3600)/(0.036*(1-'Com-Ind Equations'!$B$124)*(('Com-Ind Equations'!$B$125/'Com-Ind Equations'!$B$126)^3)*'Com-Ind Equations'!$B$127))</f>
        <v>1.4713536180231943E-9</v>
      </c>
      <c r="D97" s="90">
        <f>(('Com-Ind Equations'!$B$103^(10/3)*'Chemical Info'!AH98*'Chemical Info'!AN98*41+'Com-Ind Equations'!$B$106^(10/3)*'Chemical Info'!AJ98)/'Com-Ind Equations'!$B$108^2)/('Com-Ind Equations'!$B$110*'Chemical Info'!AL98*'Com-Ind Equations'!$B$113+'Com-Ind Equations'!$B$106+'Com-Ind Equations'!$B$103*'Chemical Info'!AN98*41)</f>
        <v>1.4007310825539181E-2</v>
      </c>
      <c r="E97" s="65">
        <f>IF(D97=0,"NA",1/(('Com-Ind Equations'!$B$74*(3.14*D97*'Com-Ind Equations'!$B$76)^(1/2)*0.0001)/(2*'Com-Ind Equations'!$B$77*D97)))</f>
        <v>6.9471386536280259E-4</v>
      </c>
      <c r="F97" s="65">
        <f>IF(D97=0,"NA",(1/('Com-Ind Equations'!$B$88*('Com-Ind Equations'!$B$89*(31500000))/('Com-Ind Equations'!$B$90*'Com-Ind Equations'!$B$91*1000000))))</f>
        <v>6.1914410640015851E-5</v>
      </c>
      <c r="G97" s="95">
        <f>IF('Chemical Info'!E98="Yes",('Chemical Info'!AP98/'Com-Ind Equations'!$B$139)*((('Chemical Info'!AL98*'Com-Ind Equations'!$B$141)*'Com-Ind Equations'!$B$139)+'Com-Ind Equations'!$B$142+('Chemical Info'!AN98*41)*'Com-Ind Equations'!$B$144),"NA")</f>
        <v>3899.6554666666671</v>
      </c>
      <c r="H97" s="112">
        <f>IF('Chemical Info'!H98="NA","NA",IF('Chemical Info'!E98="Yes",'Chemical Info'!H98*'Chemical Info'!AD98*'Com-Ind Equations'!$B$18*'Com-Ind Equations'!$B$22*(('Com-Ind Equations'!$B$24*'Com-Ind Equations'!$B$25)/'Com-Ind Equations'!$B$26),'Chemical Info'!H98*'Chemical Info'!AD98*'Com-Ind Equations'!$B$17*'Com-Ind Equations'!$B$22*('Com-Ind Equations'!$B$24*'Com-Ind Equations'!$B$25/'Com-Ind Equations'!$B$26)))</f>
        <v>4.0499999999999989E-3</v>
      </c>
      <c r="I97" s="108">
        <f>IF('Chemical Info'!H98="NA","NA",IF('Chemical Info'!E98="Yes",0,('Chemical Info'!H98/'Chemical Info'!AF98)*'Com-Ind Equations'!$B$19*'Chemical Info'!AB98*'Com-Ind Equations'!$B$22*(('Com-Ind Equations'!$B$24*'Com-Ind Equations'!$B$29*'Com-Ind Equations'!$B$30)/'Com-Ind Equations'!$B$26)))</f>
        <v>0</v>
      </c>
      <c r="J97" s="115">
        <f>IF('Chemical Info'!J98="NA","NA",IF(E97="NA",'Com-Ind Equations'!$B$20*1000*'Com-Ind Equations'!$B$24*'Com-Ind Equations'!$B$21*'Chemical Info'!J98*'Com-Ind Calculations'!C97,IF('Chemical Info'!E98="Yes",'Com-Ind Equations'!$B$20*1000*'Com-Ind Equations'!$B$24*'Com-Ind Equations'!$B$21*'Chemical Info'!J98*'Com-Ind Calculations'!E97,'Com-Ind Equations'!$B$20*1000*'Com-Ind Equations'!$B$24*'Com-Ind Equations'!$B$21*'Chemical Info'!J98*('Com-Ind Calculations'!C97+'Com-Ind Calculations'!E97))))</f>
        <v>5.7313893892431212E-3</v>
      </c>
      <c r="K97" s="117">
        <f>IF('Chemical Info'!J98="NA","NA",IF(F97="NA",'Com-Ind Equations'!$B$20*1000*'Com-Ind Equations'!$B$24*'Com-Ind Equations'!$B$21*'Chemical Info'!J98*'Com-Ind Calculations'!C97,IF('Chemical Info'!E98="Yes",'Com-Ind Equations'!$B$20*1000*'Com-Ind Equations'!$B$24*'Com-Ind Equations'!$B$21*'Chemical Info'!J98*'Com-Ind Calculations'!F97,'Com-Ind Equations'!$B$20*1000*'Com-Ind Equations'!$B$24*'Com-Ind Equations'!$B$21*'Chemical Info'!J98*('Com-Ind Calculations'!C97+'Com-Ind Calculations'!F97))))</f>
        <v>5.1079388778013071E-4</v>
      </c>
      <c r="L97" s="95">
        <f>IF(AND(H97="NA",I97="NA",J97="NA"),"NA",IF(H97="NA",'Com-Ind Equations'!$B$13*'Com-Ind Equations'!$B$14/J97,IF(J97="NA",'Com-Ind Equations'!$B$13*'Com-Ind Equations'!$B$14/(H97+I97),'Com-Ind Equations'!$B$13*'Com-Ind Equations'!$B$14/(H97+I97+J97))))</f>
        <v>26.121033508898115</v>
      </c>
      <c r="M97" s="95">
        <f>IF(AND(H97="NA",I97="NA",K97="NA"),"NA",IF(H97="NA",'Com-Ind Equations'!$B$13*'Com-Ind Equations'!$B$14/K97,IF(K97="NA",'Com-Ind Equations'!$B$13*'Com-Ind Equations'!$B$14/(H97+I97),'Com-Ind Equations'!$B$13*'Com-Ind Equations'!$B$14/(H97+I97+K97))))</f>
        <v>56.02094860821682</v>
      </c>
      <c r="N97" s="95">
        <f t="shared" si="10"/>
        <v>56.02094860821682</v>
      </c>
      <c r="O97" s="94">
        <f>IF('Chemical Info'!L98="NA","NA",IF('Chemical Info'!E98="Yes",(('Com-Ind Equations'!$B$46*'Chemical Info'!AD98*'Com-Ind Equations'!$B$48*'Com-Ind Equations'!$B$49*'Com-Ind Equations'!$B$51)/('Com-Ind Equations'!$B$55*'Com-Ind Equations'!$B$56))/'Chemical Info'!L98,(('Com-Ind Equations'!$B$46*'Chemical Info'!AD98*'Com-Ind Equations'!$B$48*'Com-Ind Equations'!$B$49*'Com-Ind Equations'!$B$50)/('Com-Ind Equations'!$B$55*'Com-Ind Equations'!$B$56))/'Chemical Info'!L98))</f>
        <v>2.0547945205479451E-4</v>
      </c>
      <c r="P97" s="90">
        <f>IF('Chemical Info'!L98="NA","NA", IF('Chemical Info'!E98="Yes",0,((('Com-Ind Equations'!$B$58*'Com-Ind Equations'!$B$59*'Com-Ind Equations'!$B$48*'Com-Ind Equations'!$B$52*'Com-Ind Equations'!$B$49*'Chemical Info'!AB98)/('Com-Ind Equations'!$B$55*'Com-Ind Equations'!$B$56))/('Chemical Info'!L98*'Chemical Info'!AF98))))</f>
        <v>0</v>
      </c>
      <c r="Q97" s="90">
        <f>IF('Chemical Info'!N98="NA","NA",IF('Com-Ind Calculations'!E97="NA",(('Com-Ind Equations'!$B$53*'Com-Ind Equations'!$B$49*'Com-Ind Equations'!$B$54*'Com-Ind Calculations'!C97)/('Com-Ind Equations'!$B$56))/('Chemical Info'!N98),IF('Chemical Info'!E98="Yes",(('Com-Ind Equations'!$B$53*'Com-Ind Equations'!$B$49*'Com-Ind Equations'!$B$54*'Com-Ind Calculations'!E97)/('Com-Ind Equations'!$B$56))/('Chemical Info'!N98),(('Com-Ind Equations'!$B$53*'Com-Ind Equations'!$B$49*'Com-Ind Equations'!$B$54*('Com-Ind Calculations'!C97+'Com-Ind Calculations'!E97))/('Com-Ind Equations'!$B$56))/('Chemical Info'!N98))))</f>
        <v>2.8549884877923392E-3</v>
      </c>
      <c r="R97" s="90">
        <f>IF('Chemical Info'!N98="NA","NA",IF('Com-Ind Calculations'!F97="NA",(('Com-Ind Equations'!$B$53*'Com-Ind Equations'!$B$49*'Com-Ind Equations'!$B$54*'Com-Ind Calculations'!C97)/('Com-Ind Equations'!$B$56))/('Chemical Info'!N98),IF('Chemical Info'!E98="Yes",(('Com-Ind Equations'!$B$53*'Com-Ind Equations'!$B$49*'Com-Ind Equations'!$B$54*'Com-Ind Calculations'!F97)/('Com-Ind Equations'!$B$56))/('Chemical Info'!N98),(('Com-Ind Equations'!$B$53*'Com-Ind Equations'!$B$49*'Com-Ind Equations'!$B$54*('Com-Ind Calculations'!C97+'Com-Ind Calculations'!F97))/('Com-Ind Equations'!$B$56))/('Chemical Info'!N98))))</f>
        <v>2.5444278345211993E-4</v>
      </c>
      <c r="S97" s="90">
        <f>IF(AND(O97="NA",P97="NA",Q97="NA"),"NA",IF(O97="NA",'Com-Ind Equations'!$B$45/'Com-Ind Calculations'!Q97,IF('Com-Ind Calculations'!Q97="NA",'Com-Ind Equations'!$B$45/('Com-Ind Calculations'!O97+'Com-Ind Calculations'!P97),'Com-Ind Equations'!$B$45/('Com-Ind Calculations'!O97+'Com-Ind Calculations'!P97+'Com-Ind Calculations'!Q97))))</f>
        <v>65.349483781878718</v>
      </c>
      <c r="T97" s="95">
        <f>IF(AND(O97="NA",P97="NA",R97="NA"),"NA",IF(O97="NA",'Com-Ind Equations'!$B$45/R97,IF(R97="NA",'Com-Ind Equations'!$B$45/(O97+P97),'Com-Ind Equations'!$B$45/(O97+P97+R97))))</f>
        <v>434.85612253463933</v>
      </c>
      <c r="U97" s="97">
        <f t="shared" si="11"/>
        <v>434.85612253463933</v>
      </c>
      <c r="V97" s="101">
        <f t="shared" si="12"/>
        <v>56.02094860821682</v>
      </c>
      <c r="W97" s="105">
        <f t="shared" si="13"/>
        <v>56</v>
      </c>
      <c r="X97" s="100" t="str">
        <f t="shared" si="85"/>
        <v>Cancer</v>
      </c>
      <c r="Y97" s="70"/>
    </row>
    <row r="98" spans="1:26">
      <c r="A98" s="67" t="s">
        <v>115</v>
      </c>
      <c r="B98" s="566" t="s">
        <v>203</v>
      </c>
      <c r="C98" s="85">
        <f>1/(('Com-Ind Equations'!$B$123*3600)/(0.036*(1-'Com-Ind Equations'!$B$124)*(('Com-Ind Equations'!$B$125/'Com-Ind Equations'!$B$126)^3)*'Com-Ind Equations'!$B$127))</f>
        <v>1.4713536180231943E-9</v>
      </c>
      <c r="D98" s="90">
        <f>(('Com-Ind Equations'!$B$103^(10/3)*'Chemical Info'!AH99*'Chemical Info'!AN99*41+'Com-Ind Equations'!$B$106^(10/3)*'Chemical Info'!AJ99)/'Com-Ind Equations'!$B$108^2)/('Com-Ind Equations'!$B$110*'Chemical Info'!AL99*'Com-Ind Equations'!$B$113+'Com-Ind Equations'!$B$106+'Com-Ind Equations'!$B$103*'Chemical Info'!AN99*41)</f>
        <v>4.7837481042360225E-4</v>
      </c>
      <c r="E98" s="65">
        <f>IF(D98=0,"NA",1/(('Com-Ind Equations'!$B$74*(3.14*D98*'Com-Ind Equations'!$B$76)^(1/2)*0.0001)/(2*'Com-Ind Equations'!$B$77*D98)))</f>
        <v>1.2838454178723023E-4</v>
      </c>
      <c r="F98" s="65">
        <f>IF(D98=0,"NA",(1/('Com-Ind Equations'!$B$88*('Com-Ind Equations'!$B$89*(31500000))/('Com-Ind Equations'!$B$90*'Com-Ind Equations'!$B$91*1000000))))</f>
        <v>6.1914410640015851E-5</v>
      </c>
      <c r="G98" s="95">
        <f>IF('Chemical Info'!E99="Yes",('Chemical Info'!AP99/'Com-Ind Equations'!$B$139)*((('Chemical Info'!AL99*'Com-Ind Equations'!$B$141)*'Com-Ind Equations'!$B$139)+'Com-Ind Equations'!$B$142+('Chemical Info'!AN99*41)*'Com-Ind Equations'!$B$144),"NA")</f>
        <v>259.50300960000004</v>
      </c>
      <c r="H98" s="112" t="str">
        <f>IF('Chemical Info'!H99="NA","NA",IF('Chemical Info'!E99="Yes",'Chemical Info'!H99*'Chemical Info'!AD99*'Com-Ind Equations'!$B$18*'Com-Ind Equations'!$B$22*(('Com-Ind Equations'!$B$24*'Com-Ind Equations'!$B$25)/'Com-Ind Equations'!$B$26),'Chemical Info'!H99*'Chemical Info'!AD99*'Com-Ind Equations'!$B$17*'Com-Ind Equations'!$B$22*('Com-Ind Equations'!$B$24*'Com-Ind Equations'!$B$25/'Com-Ind Equations'!$B$26)))</f>
        <v>NA</v>
      </c>
      <c r="I98" s="108" t="str">
        <f>IF('Chemical Info'!H99="NA","NA",IF('Chemical Info'!E99="Yes",0,('Chemical Info'!H99/'Chemical Info'!AF99)*'Com-Ind Equations'!$B$19*'Chemical Info'!AB99*'Com-Ind Equations'!$B$22*(('Com-Ind Equations'!$B$24*'Com-Ind Equations'!$B$29*'Com-Ind Equations'!$B$30)/'Com-Ind Equations'!$B$26)))</f>
        <v>NA</v>
      </c>
      <c r="J98" s="115" t="str">
        <f>IF('Chemical Info'!J99="NA","NA",IF(E98="NA",'Com-Ind Equations'!$B$20*1000*'Com-Ind Equations'!$B$24*'Com-Ind Equations'!$B$21*'Chemical Info'!J99*'Com-Ind Calculations'!C98,IF('Chemical Info'!E99="Yes",'Com-Ind Equations'!$B$20*1000*'Com-Ind Equations'!$B$24*'Com-Ind Equations'!$B$21*'Chemical Info'!J99*'Com-Ind Calculations'!E98,'Com-Ind Equations'!$B$20*1000*'Com-Ind Equations'!$B$24*'Com-Ind Equations'!$B$21*'Chemical Info'!J99*('Com-Ind Calculations'!C98+'Com-Ind Calculations'!E98))))</f>
        <v>NA</v>
      </c>
      <c r="K98" s="117" t="str">
        <f>IF('Chemical Info'!J99="NA","NA",IF(F98="NA",'Com-Ind Equations'!$B$20*1000*'Com-Ind Equations'!$B$24*'Com-Ind Equations'!$B$21*'Chemical Info'!J99*'Com-Ind Calculations'!C98,IF('Chemical Info'!E99="Yes",'Com-Ind Equations'!$B$20*1000*'Com-Ind Equations'!$B$24*'Com-Ind Equations'!$B$21*'Chemical Info'!J99*'Com-Ind Calculations'!F98,'Com-Ind Equations'!$B$20*1000*'Com-Ind Equations'!$B$24*'Com-Ind Equations'!$B$21*'Chemical Info'!J99*('Com-Ind Calculations'!C98+'Com-Ind Calculations'!F98))))</f>
        <v>NA</v>
      </c>
      <c r="L98" s="95" t="str">
        <f>IF(AND(H98="NA",I98="NA",J98="NA"),"NA",IF(H98="NA",'Com-Ind Equations'!$B$13*'Com-Ind Equations'!$B$14/J98,IF(J98="NA",'Com-Ind Equations'!$B$13*'Com-Ind Equations'!$B$14/(H98+I98),'Com-Ind Equations'!$B$13*'Com-Ind Equations'!$B$14/(H98+I98+J98))))</f>
        <v>NA</v>
      </c>
      <c r="M98" s="95" t="str">
        <f>IF(AND(H98="NA",I98="NA",K98="NA"),"NA",IF(H98="NA",'Com-Ind Equations'!$B$13*'Com-Ind Equations'!$B$14/K98,IF(K98="NA",'Com-Ind Equations'!$B$13*'Com-Ind Equations'!$B$14/(H98+I98),'Com-Ind Equations'!$B$13*'Com-Ind Equations'!$B$14/(H98+I98+K98))))</f>
        <v>NA</v>
      </c>
      <c r="N98" s="95" t="str">
        <f t="shared" si="10"/>
        <v>NA</v>
      </c>
      <c r="O98" s="94">
        <f>IF('Chemical Info'!L99="NA","NA",IF('Chemical Info'!E99="Yes",(('Com-Ind Equations'!$B$46*'Chemical Info'!AD99*'Com-Ind Equations'!$B$48*'Com-Ind Equations'!$B$49*'Com-Ind Equations'!$B$51)/('Com-Ind Equations'!$B$55*'Com-Ind Equations'!$B$56))/'Chemical Info'!L99,(('Com-Ind Equations'!$B$46*'Chemical Info'!AD99*'Com-Ind Equations'!$B$48*'Com-Ind Equations'!$B$49*'Com-Ind Equations'!$B$50)/('Com-Ind Equations'!$B$55*'Com-Ind Equations'!$B$56))/'Chemical Info'!L99))</f>
        <v>3.8527397260273972E-6</v>
      </c>
      <c r="P98" s="90">
        <f>IF('Chemical Info'!L99="NA","NA", IF('Chemical Info'!E99="Yes",0,((('Com-Ind Equations'!$B$58*'Com-Ind Equations'!$B$59*'Com-Ind Equations'!$B$48*'Com-Ind Equations'!$B$52*'Com-Ind Equations'!$B$49*'Chemical Info'!AB99)/('Com-Ind Equations'!$B$55*'Com-Ind Equations'!$B$56))/('Chemical Info'!L99*'Chemical Info'!AF99))))</f>
        <v>0</v>
      </c>
      <c r="Q98" s="90">
        <f>IF('Chemical Info'!N99="NA","NA",IF('Com-Ind Calculations'!E98="NA",(('Com-Ind Equations'!$B$53*'Com-Ind Equations'!$B$49*'Com-Ind Equations'!$B$54*'Com-Ind Calculations'!C98)/('Com-Ind Equations'!$B$56))/('Chemical Info'!N99),IF('Chemical Info'!E99="Yes",(('Com-Ind Equations'!$B$53*'Com-Ind Equations'!$B$49*'Com-Ind Equations'!$B$54*'Com-Ind Calculations'!E98)/('Com-Ind Equations'!$B$56))/('Chemical Info'!N99),(('Com-Ind Equations'!$B$53*'Com-Ind Equations'!$B$49*'Com-Ind Equations'!$B$54*('Com-Ind Calculations'!C98+'Com-Ind Calculations'!E98))/('Com-Ind Equations'!$B$56))/('Chemical Info'!N99))))</f>
        <v>2.6380385298745937E-4</v>
      </c>
      <c r="R98" s="90">
        <f>IF('Chemical Info'!N99="NA","NA",IF('Com-Ind Calculations'!F98="NA",(('Com-Ind Equations'!$B$53*'Com-Ind Equations'!$B$49*'Com-Ind Equations'!$B$54*'Com-Ind Calculations'!C98)/('Com-Ind Equations'!$B$56))/('Chemical Info'!N99),IF('Chemical Info'!E99="Yes",(('Com-Ind Equations'!$B$53*'Com-Ind Equations'!$B$49*'Com-Ind Equations'!$B$54*'Com-Ind Calculations'!F98)/('Com-Ind Equations'!$B$56))/('Chemical Info'!N99),(('Com-Ind Equations'!$B$53*'Com-Ind Equations'!$B$49*'Com-Ind Equations'!$B$54*('Com-Ind Calculations'!C98+'Com-Ind Calculations'!F98))/('Com-Ind Equations'!$B$56))/('Chemical Info'!N99))))</f>
        <v>1.2722139172605996E-4</v>
      </c>
      <c r="S98" s="90">
        <f>IF(AND(O98="NA",P98="NA",Q98="NA"),"NA",IF(O98="NA",'Com-Ind Equations'!$B$45/'Com-Ind Calculations'!Q98,IF('Com-Ind Calculations'!Q98="NA",'Com-Ind Equations'!$B$45/('Com-Ind Calculations'!O98+'Com-Ind Calculations'!P98),'Com-Ind Equations'!$B$45/('Com-Ind Calculations'!O98+'Com-Ind Calculations'!P98+'Com-Ind Calculations'!Q98))))</f>
        <v>747.2261302156312</v>
      </c>
      <c r="T98" s="95">
        <f>IF(AND(O98="NA",P98="NA",R98="NA"),"NA",IF(O98="NA",'Com-Ind Equations'!$B$45/R98,IF(R98="NA",'Com-Ind Equations'!$B$45/(O98+P98),'Com-Ind Equations'!$B$45/(O98+P98+R98))))</f>
        <v>1525.8540932854301</v>
      </c>
      <c r="U98" s="97">
        <f t="shared" si="11"/>
        <v>1525.8540932854301</v>
      </c>
      <c r="V98" s="101">
        <f t="shared" si="12"/>
        <v>259.50300960000004</v>
      </c>
      <c r="W98" s="105">
        <f t="shared" si="13"/>
        <v>260</v>
      </c>
      <c r="X98" s="100" t="str">
        <f t="shared" si="85"/>
        <v>Csat</v>
      </c>
      <c r="Y98" s="70"/>
    </row>
    <row r="99" spans="1:26" ht="10.5">
      <c r="A99" s="568" t="s">
        <v>379</v>
      </c>
      <c r="B99" s="594"/>
      <c r="C99" s="397"/>
      <c r="D99" s="397"/>
      <c r="E99" s="396"/>
      <c r="F99" s="396"/>
      <c r="G99" s="397"/>
      <c r="H99" s="386"/>
      <c r="I99" s="397"/>
      <c r="J99" s="397"/>
      <c r="K99" s="397"/>
      <c r="L99" s="397"/>
      <c r="M99" s="397"/>
      <c r="N99" s="397"/>
      <c r="O99" s="397"/>
      <c r="P99" s="397"/>
      <c r="Q99" s="397"/>
      <c r="R99" s="397"/>
      <c r="S99" s="397"/>
      <c r="T99" s="397"/>
      <c r="U99" s="397"/>
      <c r="V99" s="398"/>
      <c r="W99" s="399"/>
      <c r="X99" s="400"/>
      <c r="Y99" s="401"/>
      <c r="Z99" s="5"/>
    </row>
    <row r="100" spans="1:26" s="2" customFormat="1" ht="10.5">
      <c r="A100" s="67" t="s">
        <v>1127</v>
      </c>
      <c r="B100" s="291" t="s">
        <v>1128</v>
      </c>
      <c r="C100" s="85">
        <f>1/(('Com-Ind Equations'!$B$123*3600)/(0.036*(1-'Com-Ind Equations'!$B$124)*(('Com-Ind Equations'!$B$125/'Com-Ind Equations'!$B$126)^3)*'Com-Ind Equations'!$B$127))</f>
        <v>1.4713536180231943E-9</v>
      </c>
      <c r="D100" s="90">
        <f>(('Com-Ind Equations'!$B$103^(10/3)*'Chemical Info'!AH101*'Chemical Info'!AN101*41+'Com-Ind Equations'!$B$106^(10/3)*'Chemical Info'!AJ101)/'Com-Ind Equations'!$B$108^2)/('Com-Ind Equations'!$B$110*'Chemical Info'!AL101*'Com-Ind Equations'!$B$113+'Com-Ind Equations'!$B$106+'Com-Ind Equations'!$B$103*'Chemical Info'!AN101*41)</f>
        <v>7.936390710971069E-7</v>
      </c>
      <c r="E100" s="65">
        <f>IF(D100=0,"NA",1/(('Com-Ind Equations'!$B$74*(3.14*D100*'Com-Ind Equations'!$B$76)^(1/2)*0.0001)/(2*'Com-Ind Equations'!$B$77*D100)))</f>
        <v>5.2292584144947471E-6</v>
      </c>
      <c r="F100" s="65">
        <f>IF(D100=0,"NA",(1/('Com-Ind Equations'!$B$88*('Com-Ind Equations'!$B$89*(31500000))/('Com-Ind Equations'!$B$90*'Com-Ind Equations'!$B$91*1000000))))</f>
        <v>6.1914410640015851E-5</v>
      </c>
      <c r="G100" s="95" t="str">
        <f>IF('Chemical Info'!E101="Yes",('Chemical Info'!AP101/'Com-Ind Equations'!$B$139)*((('Chemical Info'!AL101*'Com-Ind Equations'!$B$141)*'Com-Ind Equations'!$B$139)+'Com-Ind Equations'!$B$142+('Chemical Info'!AN101*41)*'Com-Ind Equations'!$B$144),"NA")</f>
        <v>NA</v>
      </c>
      <c r="H100" s="112">
        <f>IF('Chemical Info'!H101="NA","NA",IF('Chemical Info'!E101="Yes",'Chemical Info'!H101*'Chemical Info'!AD101*'Com-Ind Equations'!$B$18*'Com-Ind Equations'!$B$22*(('Com-Ind Equations'!$B$24*'Com-Ind Equations'!$B$25)/'Com-Ind Equations'!$B$26),'Chemical Info'!H101*'Chemical Info'!AD101*'Com-Ind Equations'!$B$17*'Com-Ind Equations'!$B$22*('Com-Ind Equations'!$B$24*'Com-Ind Equations'!$B$25/'Com-Ind Equations'!$B$26)))</f>
        <v>4.4531249999999995E-5</v>
      </c>
      <c r="I100" s="108">
        <f>IF('Chemical Info'!H101="NA","NA",IF('Chemical Info'!E101="Yes",0,('Chemical Info'!H101/'Chemical Info'!AF101)*'Com-Ind Equations'!$B$19*'Chemical Info'!AB101*'Com-Ind Equations'!$B$22*(('Com-Ind Equations'!$B$24*'Com-Ind Equations'!$B$29*'Com-Ind Equations'!$B$30)/'Com-Ind Equations'!$B$26)))</f>
        <v>1.35701325E-5</v>
      </c>
      <c r="J100" s="115">
        <f>IF('Chemical Info'!J101="NA","NA",IF(E100="NA",'Com-Ind Equations'!$B$20*1000*'Com-Ind Equations'!$B$24*'Com-Ind Equations'!$B$21*'Chemical Info'!J101*'Com-Ind Calculations'!C100,IF('Chemical Info'!E101="Yes",'Com-Ind Equations'!$B$20*1000*'Com-Ind Equations'!$B$24*'Com-Ind Equations'!$B$21*'Chemical Info'!J101*'Com-Ind Calculations'!E100,'Com-Ind Equations'!$B$20*1000*'Com-Ind Equations'!$B$24*'Com-Ind Equations'!$B$21*'Chemical Info'!J101*('Com-Ind Calculations'!C100+'Com-Ind Calculations'!E100))))</f>
        <v>1.569218930433831E-5</v>
      </c>
      <c r="K100" s="117">
        <f>IF('Chemical Info'!J101="NA","NA",IF(F100="NA",'Com-Ind Equations'!$B$20*1000*'Com-Ind Equations'!$B$24*'Com-Ind Equations'!$B$21*'Chemical Info'!J101*'Com-Ind Calculations'!C100,IF('Chemical Info'!E101="Yes",'Com-Ind Equations'!$B$20*1000*'Com-Ind Equations'!$B$24*'Com-Ind Equations'!$B$21*'Chemical Info'!J101*'Com-Ind Calculations'!F100,'Com-Ind Equations'!$B$20*1000*'Com-Ind Equations'!$B$24*'Com-Ind Equations'!$B$21*'Chemical Info'!J101*('Com-Ind Calculations'!C100+'Com-Ind Calculations'!F100))))</f>
        <v>1.8574764598090161E-4</v>
      </c>
      <c r="L100" s="95">
        <f>IF(AND(H100="NA",I100="NA",J100="NA"),"NA",IF(H100="NA",'Com-Ind Equations'!$B$13*'Com-Ind Equations'!$B$14/J100,IF(J100="NA",'Com-Ind Equations'!$B$13*'Com-Ind Equations'!$B$14/(H100+I100),'Com-Ind Equations'!$B$13*'Com-Ind Equations'!$B$14/(H100+I100+J100))))</f>
        <v>3462.361202374801</v>
      </c>
      <c r="M100" s="95">
        <f>IF(AND(H100="NA",I100="NA",K100="NA"),"NA",IF(H100="NA",'Com-Ind Equations'!$B$13*'Com-Ind Equations'!$B$14/K100,IF(K100="NA",'Com-Ind Equations'!$B$13*'Com-Ind Equations'!$B$14/(H100+I100),'Com-Ind Equations'!$B$13*'Com-Ind Equations'!$B$14/(H100+I100+K100))))</f>
        <v>1047.7794461256626</v>
      </c>
      <c r="N100" s="95">
        <f t="shared" ref="N100" si="96">IF(AND(L100="NA",M100="NA"),"NA",MAX(L100,M100))</f>
        <v>3462.361202374801</v>
      </c>
      <c r="O100" s="94">
        <f>IF('Chemical Info'!L101="NA","NA",IF('Chemical Info'!E101="Yes",(('Com-Ind Equations'!$B$46*'Chemical Info'!AD101*'Com-Ind Equations'!$B$48*'Com-Ind Equations'!$B$49*'Com-Ind Equations'!$B$51)/('Com-Ind Equations'!$B$55*'Com-Ind Equations'!$B$56))/'Chemical Info'!L101,(('Com-Ind Equations'!$B$46*'Chemical Info'!AD101*'Com-Ind Equations'!$B$48*'Com-Ind Equations'!$B$49*'Com-Ind Equations'!$B$50)/('Com-Ind Equations'!$B$55*'Com-Ind Equations'!$B$56))/'Chemical Info'!L101))</f>
        <v>1.2230919765166337E-4</v>
      </c>
      <c r="P100" s="90">
        <f>IF('Chemical Info'!L101="NA","NA", IF('Chemical Info'!E101="Yes",0,((('Com-Ind Equations'!$B$58*'Com-Ind Equations'!$B$59*'Com-Ind Equations'!$B$48*'Com-Ind Equations'!$B$52*'Com-Ind Equations'!$B$49*'Chemical Info'!AB101)/('Com-Ind Equations'!$B$55*'Com-Ind Equations'!$B$56))/('Chemical Info'!L101*'Chemical Info'!AF101))))</f>
        <v>3.7271624266144809E-5</v>
      </c>
      <c r="Q100" s="90">
        <f>IF('Chemical Info'!N101="NA","NA",IF('Com-Ind Calculations'!E100="NA",(('Com-Ind Equations'!$B$53*'Com-Ind Equations'!$B$49*'Com-Ind Equations'!$B$54*'Com-Ind Calculations'!C100)/('Com-Ind Equations'!$B$56))/('Chemical Info'!N101),IF('Chemical Info'!E101="Yes",(('Com-Ind Equations'!$B$53*'Com-Ind Equations'!$B$49*'Com-Ind Equations'!$B$54*'Com-Ind Calculations'!E100)/('Com-Ind Equations'!$B$56))/('Chemical Info'!N101),(('Com-Ind Equations'!$B$53*'Com-Ind Equations'!$B$49*'Com-Ind Equations'!$B$54*('Com-Ind Calculations'!C100+'Com-Ind Calculations'!E100))/('Com-Ind Equations'!$B$56))/('Chemical Info'!N101))))</f>
        <v>1.0748074865985144E-3</v>
      </c>
      <c r="R100" s="90">
        <f>IF('Chemical Info'!N101="NA","NA",IF('Com-Ind Calculations'!F100="NA",(('Com-Ind Equations'!$B$53*'Com-Ind Equations'!$B$49*'Com-Ind Equations'!$B$54*'Com-Ind Calculations'!C100)/('Com-Ind Equations'!$B$56))/('Chemical Info'!N101),IF('Chemical Info'!E101="Yes",(('Com-Ind Equations'!$B$53*'Com-Ind Equations'!$B$49*'Com-Ind Equations'!$B$54*'Com-Ind Calculations'!F100)/('Com-Ind Equations'!$B$56))/('Chemical Info'!N101),(('Com-Ind Equations'!$B$53*'Com-Ind Equations'!$B$49*'Com-Ind Equations'!$B$54*('Com-Ind Calculations'!C100+'Com-Ind Calculations'!F100))/('Com-Ind Equations'!$B$56))/('Chemical Info'!N101))))</f>
        <v>1.2722441505541205E-2</v>
      </c>
      <c r="S100" s="90">
        <f>IF(AND(O100="NA",P100="NA",Q100="NA"),"NA",IF(O100="NA",'Com-Ind Equations'!$B$45/'Com-Ind Calculations'!Q100,IF('Com-Ind Calculations'!Q100="NA",'Com-Ind Equations'!$B$45/('Com-Ind Calculations'!O100+'Com-Ind Calculations'!P100),'Com-Ind Equations'!$B$45/('Com-Ind Calculations'!O100+'Com-Ind Calculations'!P100+'Com-Ind Calculations'!Q100))))</f>
        <v>162.0235695851581</v>
      </c>
      <c r="T100" s="95">
        <f>IF(AND(O100="NA",P100="NA",R100="NA"),"NA",IF(O100="NA",'Com-Ind Equations'!$B$45/R100,IF(R100="NA",'Com-Ind Equations'!$B$45/(O100+P100),'Com-Ind Equations'!$B$45/(O100+P100+R100))))</f>
        <v>15.525512603225719</v>
      </c>
      <c r="U100" s="97">
        <f t="shared" ref="U100" si="97">IF(AND(S100="NA",T100="NA"),"NA",MAX(S100,T100))</f>
        <v>162.0235695851581</v>
      </c>
      <c r="V100" s="101">
        <f t="shared" ref="V100" si="98">IF(AND(N100="NA",U100="NA",G100="NA"),"NA",MIN(N100,U100,G100))</f>
        <v>162.0235695851581</v>
      </c>
      <c r="W100" s="105">
        <f>IF(V100&gt;100000,100000,IF(ISNUMBER(ROUND(V100*1000000,2-LEN(INT(V100*1000000)))/1000000),ROUND(V100*1000000,2-LEN(INT(V100*1000000)))/1000000,"NA"))</f>
        <v>160</v>
      </c>
      <c r="X100" s="100" t="str">
        <f t="shared" ref="X100" si="99">IF(W100=100000,"Max Limit",IF(V100=G100,"Csat",IF(V100=N100,"Cancer",IF(V100=U100,"Noncancer",""))))</f>
        <v>Noncancer</v>
      </c>
      <c r="Y100" s="686"/>
      <c r="Z100" s="520"/>
    </row>
    <row r="101" spans="1:26">
      <c r="A101" s="413" t="s">
        <v>205</v>
      </c>
      <c r="B101" s="566" t="s">
        <v>206</v>
      </c>
      <c r="C101" s="85">
        <f>1/(('Com-Ind Equations'!$B$123*3600)/(0.036*(1-'Com-Ind Equations'!$B$124)*(('Com-Ind Equations'!$B$125/'Com-Ind Equations'!$B$126)^3)*'Com-Ind Equations'!$B$127))</f>
        <v>1.4713536180231943E-9</v>
      </c>
      <c r="D101" s="90">
        <f>(('Com-Ind Equations'!$B$103^(10/3)*'Chemical Info'!AH102*'Chemical Info'!AN102*41+'Com-Ind Equations'!$B$106^(10/3)*'Chemical Info'!AJ102)/'Com-Ind Equations'!$B$108^2)/('Com-Ind Equations'!$B$110*'Chemical Info'!AL102*'Com-Ind Equations'!$B$113+'Com-Ind Equations'!$B$106+'Com-Ind Equations'!$B$103*'Chemical Info'!AN102*41)</f>
        <v>3.3969789032057378E-7</v>
      </c>
      <c r="E101" s="65">
        <f>IF(D101=0,"NA",1/(('Com-Ind Equations'!$B$74*(3.14*D101*'Com-Ind Equations'!$B$76)^(1/2)*0.0001)/(2*'Com-Ind Equations'!$B$77*D101)))</f>
        <v>3.4211727857104682E-6</v>
      </c>
      <c r="F101" s="65">
        <f>IF(D101=0,"NA",(1/('Com-Ind Equations'!$B$88*('Com-Ind Equations'!$B$89*(31500000))/('Com-Ind Equations'!$B$90*'Com-Ind Equations'!$B$91*1000000))))</f>
        <v>6.1914410640015851E-5</v>
      </c>
      <c r="G101" s="95" t="str">
        <f>IF('Chemical Info'!E102="Yes",('Chemical Info'!AP102/'Com-Ind Equations'!$B$139)*((('Chemical Info'!AL102*'Com-Ind Equations'!$B$141)*'Com-Ind Equations'!$B$139)+'Com-Ind Equations'!$B$142+('Chemical Info'!AN102*41)*'Com-Ind Equations'!$B$144),"NA")</f>
        <v>NA</v>
      </c>
      <c r="H101" s="112" t="str">
        <f>IF('Chemical Info'!H102="NA","NA",IF('Chemical Info'!E102="Yes",'Chemical Info'!H102*'Chemical Info'!AD102*'Com-Ind Equations'!$B$18*'Com-Ind Equations'!$B$22*(('Com-Ind Equations'!$B$24*'Com-Ind Equations'!$B$25)/'Com-Ind Equations'!$B$26),'Chemical Info'!H102*'Chemical Info'!AD102*'Com-Ind Equations'!$B$17*'Com-Ind Equations'!$B$22*('Com-Ind Equations'!$B$24*'Com-Ind Equations'!$B$25/'Com-Ind Equations'!$B$26)))</f>
        <v>NA</v>
      </c>
      <c r="I101" s="108" t="str">
        <f>IF('Chemical Info'!H102="NA","NA",IF('Chemical Info'!E102="Yes",0,('Chemical Info'!H102/'Chemical Info'!AF102)*'Com-Ind Equations'!$B$19*'Chemical Info'!AB102*'Com-Ind Equations'!$B$22*(('Com-Ind Equations'!$B$24*'Com-Ind Equations'!$B$29*'Com-Ind Equations'!$B$30)/'Com-Ind Equations'!$B$26)))</f>
        <v>NA</v>
      </c>
      <c r="J101" s="115" t="str">
        <f>IF('Chemical Info'!J102="NA","NA",IF(E101="NA",'Com-Ind Equations'!$B$20*1000*'Com-Ind Equations'!$B$24*'Com-Ind Equations'!$B$21*'Chemical Info'!J102*'Com-Ind Calculations'!C101,IF('Chemical Info'!E102="Yes",'Com-Ind Equations'!$B$20*1000*'Com-Ind Equations'!$B$24*'Com-Ind Equations'!$B$21*'Chemical Info'!J102*'Com-Ind Calculations'!E101,'Com-Ind Equations'!$B$20*1000*'Com-Ind Equations'!$B$24*'Com-Ind Equations'!$B$21*'Chemical Info'!J102*('Com-Ind Calculations'!C101+'Com-Ind Calculations'!E101))))</f>
        <v>NA</v>
      </c>
      <c r="K101" s="117" t="str">
        <f>IF('Chemical Info'!J102="NA","NA",IF(F101="NA",'Com-Ind Equations'!$B$20*1000*'Com-Ind Equations'!$B$24*'Com-Ind Equations'!$B$21*'Chemical Info'!J102*'Com-Ind Calculations'!C101,IF('Chemical Info'!E102="Yes",'Com-Ind Equations'!$B$20*1000*'Com-Ind Equations'!$B$24*'Com-Ind Equations'!$B$21*'Chemical Info'!J102*'Com-Ind Calculations'!F101,'Com-Ind Equations'!$B$20*1000*'Com-Ind Equations'!$B$24*'Com-Ind Equations'!$B$21*'Chemical Info'!J102*('Com-Ind Calculations'!C101+'Com-Ind Calculations'!F101))))</f>
        <v>NA</v>
      </c>
      <c r="L101" s="95" t="str">
        <f>IF(AND(H101="NA",I101="NA",J101="NA"),"NA",IF(H101="NA",'Com-Ind Equations'!$B$13*'Com-Ind Equations'!$B$14/J101,IF(J101="NA",'Com-Ind Equations'!$B$13*'Com-Ind Equations'!$B$14/(H101+I101),'Com-Ind Equations'!$B$13*'Com-Ind Equations'!$B$14/(H101+I101+J101))))</f>
        <v>NA</v>
      </c>
      <c r="M101" s="95" t="str">
        <f>IF(AND(H101="NA",I101="NA",K101="NA"),"NA",IF(H101="NA",'Com-Ind Equations'!$B$13*'Com-Ind Equations'!$B$14/K101,IF(K101="NA",'Com-Ind Equations'!$B$13*'Com-Ind Equations'!$B$14/(H101+I101),'Com-Ind Equations'!$B$13*'Com-Ind Equations'!$B$14/(H101+I101+K101))))</f>
        <v>NA</v>
      </c>
      <c r="N101" s="95" t="str">
        <f t="shared" ref="N101:N168" si="100">IF(AND(L101="NA",M101="NA"),"NA",MAX(L101,M101))</f>
        <v>NA</v>
      </c>
      <c r="O101" s="94">
        <f>IF('Chemical Info'!L102="NA","NA",IF('Chemical Info'!E102="Yes",(('Com-Ind Equations'!$B$46*'Chemical Info'!AD102*'Com-Ind Equations'!$B$48*'Com-Ind Equations'!$B$49*'Com-Ind Equations'!$B$51)/('Com-Ind Equations'!$B$55*'Com-Ind Equations'!$B$56))/'Chemical Info'!L102,(('Com-Ind Equations'!$B$46*'Chemical Info'!AD102*'Com-Ind Equations'!$B$48*'Com-Ind Equations'!$B$49*'Com-Ind Equations'!$B$50)/('Com-Ind Equations'!$B$55*'Com-Ind Equations'!$B$56))/'Chemical Info'!L102))</f>
        <v>2.1404109589041091E-7</v>
      </c>
      <c r="P101" s="90">
        <f>IF('Chemical Info'!L102="NA","NA", IF('Chemical Info'!E102="Yes",0,((('Com-Ind Equations'!$B$58*'Com-Ind Equations'!$B$59*'Com-Ind Equations'!$B$48*'Com-Ind Equations'!$B$52*'Com-Ind Equations'!$B$49*'Chemical Info'!AB102)/('Com-Ind Equations'!$B$55*'Com-Ind Equations'!$B$56))/('Chemical Info'!L102*'Chemical Info'!AF102))))</f>
        <v>6.5225342465753414E-8</v>
      </c>
      <c r="Q101" s="90" t="str">
        <f>IF('Chemical Info'!N102="NA","NA",IF('Com-Ind Calculations'!E101="NA",(('Com-Ind Equations'!$B$53*'Com-Ind Equations'!$B$49*'Com-Ind Equations'!$B$54*'Com-Ind Calculations'!C101)/('Com-Ind Equations'!$B$56))/('Chemical Info'!N102),IF('Chemical Info'!E102="Yes",(('Com-Ind Equations'!$B$53*'Com-Ind Equations'!$B$49*'Com-Ind Equations'!$B$54*'Com-Ind Calculations'!E101)/('Com-Ind Equations'!$B$56))/('Chemical Info'!N102),(('Com-Ind Equations'!$B$53*'Com-Ind Equations'!$B$49*'Com-Ind Equations'!$B$54*('Com-Ind Calculations'!C101+'Com-Ind Calculations'!E101))/('Com-Ind Equations'!$B$56))/('Chemical Info'!N102))))</f>
        <v>NA</v>
      </c>
      <c r="R101" s="90" t="str">
        <f>IF('Chemical Info'!N102="NA","NA",IF('Com-Ind Calculations'!F101="NA",(('Com-Ind Equations'!$B$53*'Com-Ind Equations'!$B$49*'Com-Ind Equations'!$B$54*'Com-Ind Calculations'!C101)/('Com-Ind Equations'!$B$56))/('Chemical Info'!N102),IF('Chemical Info'!E102="Yes",(('Com-Ind Equations'!$B$53*'Com-Ind Equations'!$B$49*'Com-Ind Equations'!$B$54*'Com-Ind Calculations'!F101)/('Com-Ind Equations'!$B$56))/('Chemical Info'!N102),(('Com-Ind Equations'!$B$53*'Com-Ind Equations'!$B$49*'Com-Ind Equations'!$B$54*('Com-Ind Calculations'!C101+'Com-Ind Calculations'!F101))/('Com-Ind Equations'!$B$56))/('Chemical Info'!N102))))</f>
        <v>NA</v>
      </c>
      <c r="S101" s="90">
        <f>IF(AND(O101="NA",P101="NA",Q101="NA"),"NA",IF(O101="NA",'Com-Ind Equations'!$B$45/'Com-Ind Calculations'!Q101,IF('Com-Ind Calculations'!Q101="NA",'Com-Ind Equations'!$B$45/('Com-Ind Calculations'!O101+'Com-Ind Calculations'!P101),'Com-Ind Equations'!$B$45/('Com-Ind Calculations'!O101+'Com-Ind Calculations'!P101+'Com-Ind Calculations'!Q101))))</f>
        <v>716161.9605178932</v>
      </c>
      <c r="T101" s="95">
        <f>IF(AND(O101="NA",P101="NA",R101="NA"),"NA",IF(O101="NA",'Com-Ind Equations'!$B$45/R101,IF(R101="NA",'Com-Ind Equations'!$B$45/(O101+P101),'Com-Ind Equations'!$B$45/(O101+P101+R101))))</f>
        <v>716161.9605178932</v>
      </c>
      <c r="U101" s="97">
        <f t="shared" ref="U101:U168" si="101">IF(AND(S101="NA",T101="NA"),"NA",MAX(S101,T101))</f>
        <v>716161.9605178932</v>
      </c>
      <c r="V101" s="101">
        <f t="shared" ref="V101:V168" si="102">IF(AND(N101="NA",U101="NA",G101="NA"),"NA",MIN(N101,U101,G101))</f>
        <v>716161.9605178932</v>
      </c>
      <c r="W101" s="105">
        <f>IF(V101&gt;100000,100000,IF(ISNUMBER(ROUND(V101*1000000,2-LEN(INT(V101*1000000)))/1000000),ROUND(V101*1000000,2-LEN(INT(V101*1000000)))/1000000,"NA"))</f>
        <v>100000</v>
      </c>
      <c r="X101" s="100" t="str">
        <f t="shared" ref="X101:X168" si="103">IF(W101=100000,"Max Limit",IF(V101=G101,"Csat",IF(V101=N101,"Cancer",IF(V101=U101,"Noncancer",""))))</f>
        <v>Max Limit</v>
      </c>
      <c r="Y101" s="70"/>
    </row>
    <row r="102" spans="1:26">
      <c r="A102" s="413" t="s">
        <v>207</v>
      </c>
      <c r="B102" s="566" t="s">
        <v>434</v>
      </c>
      <c r="C102" s="85">
        <f>1/(('Com-Ind Equations'!$B$123*3600)/(0.036*(1-'Com-Ind Equations'!$B$124)*(('Com-Ind Equations'!$B$125/'Com-Ind Equations'!$B$126)^3)*'Com-Ind Equations'!$B$127))</f>
        <v>1.4713536180231943E-9</v>
      </c>
      <c r="D102" s="90">
        <f>(('Com-Ind Equations'!$B$103^(10/3)*'Chemical Info'!AH103*'Chemical Info'!AN103*41+'Com-Ind Equations'!$B$106^(10/3)*'Chemical Info'!AJ103)/'Com-Ind Equations'!$B$108^2)/('Com-Ind Equations'!$B$110*'Chemical Info'!AL103*'Com-Ind Equations'!$B$113+'Com-Ind Equations'!$B$106+'Com-Ind Equations'!$B$103*'Chemical Info'!AN103*41)</f>
        <v>4.8443692744389226E-7</v>
      </c>
      <c r="E102" s="65">
        <f>IF(D102=0,"NA",1/(('Com-Ind Equations'!$B$74*(3.14*D102*'Com-Ind Equations'!$B$76)^(1/2)*0.0001)/(2*'Com-Ind Equations'!$B$77*D102)))</f>
        <v>4.0855187155297483E-6</v>
      </c>
      <c r="F102" s="65">
        <f>IF(D102=0,"NA",(1/('Com-Ind Equations'!$B$88*('Com-Ind Equations'!$B$89*(31500000))/('Com-Ind Equations'!$B$90*'Com-Ind Equations'!$B$91*1000000))))</f>
        <v>6.1914410640015851E-5</v>
      </c>
      <c r="G102" s="95" t="str">
        <f>IF('Chemical Info'!E103="Yes",('Chemical Info'!AP103/'Com-Ind Equations'!$B$139)*((('Chemical Info'!AL103*'Com-Ind Equations'!$B$141)*'Com-Ind Equations'!$B$139)+'Com-Ind Equations'!$B$142+('Chemical Info'!AN103*41)*'Com-Ind Equations'!$B$144),"NA")</f>
        <v>NA</v>
      </c>
      <c r="H102" s="112" t="str">
        <f>IF('Chemical Info'!H103="NA","NA",IF('Chemical Info'!E103="Yes",'Chemical Info'!H103*'Chemical Info'!AD103*'Com-Ind Equations'!$B$18*'Com-Ind Equations'!$B$22*(('Com-Ind Equations'!$B$24*'Com-Ind Equations'!$B$25)/'Com-Ind Equations'!$B$26),'Chemical Info'!H103*'Chemical Info'!AD103*'Com-Ind Equations'!$B$17*'Com-Ind Equations'!$B$22*('Com-Ind Equations'!$B$24*'Com-Ind Equations'!$B$25/'Com-Ind Equations'!$B$26)))</f>
        <v>NA</v>
      </c>
      <c r="I102" s="108" t="str">
        <f>IF('Chemical Info'!H103="NA","NA",IF('Chemical Info'!E103="Yes",0,('Chemical Info'!H103/'Chemical Info'!AF103)*'Com-Ind Equations'!$B$19*'Chemical Info'!AB103*'Com-Ind Equations'!$B$22*(('Com-Ind Equations'!$B$24*'Com-Ind Equations'!$B$29*'Com-Ind Equations'!$B$30)/'Com-Ind Equations'!$B$26)))</f>
        <v>NA</v>
      </c>
      <c r="J102" s="115" t="str">
        <f>IF('Chemical Info'!J103="NA","NA",IF(E102="NA",'Com-Ind Equations'!$B$20*1000*'Com-Ind Equations'!$B$24*'Com-Ind Equations'!$B$21*'Chemical Info'!J103*'Com-Ind Calculations'!C102,IF('Chemical Info'!E103="Yes",'Com-Ind Equations'!$B$20*1000*'Com-Ind Equations'!$B$24*'Com-Ind Equations'!$B$21*'Chemical Info'!J103*'Com-Ind Calculations'!E102,'Com-Ind Equations'!$B$20*1000*'Com-Ind Equations'!$B$24*'Com-Ind Equations'!$B$21*'Chemical Info'!J103*('Com-Ind Calculations'!C102+'Com-Ind Calculations'!E102))))</f>
        <v>NA</v>
      </c>
      <c r="K102" s="117" t="str">
        <f>IF('Chemical Info'!J103="NA","NA",IF(F102="NA",'Com-Ind Equations'!$B$20*1000*'Com-Ind Equations'!$B$24*'Com-Ind Equations'!$B$21*'Chemical Info'!J103*'Com-Ind Calculations'!C102,IF('Chemical Info'!E103="Yes",'Com-Ind Equations'!$B$20*1000*'Com-Ind Equations'!$B$24*'Com-Ind Equations'!$B$21*'Chemical Info'!J103*'Com-Ind Calculations'!F102,'Com-Ind Equations'!$B$20*1000*'Com-Ind Equations'!$B$24*'Com-Ind Equations'!$B$21*'Chemical Info'!J103*('Com-Ind Calculations'!C102+'Com-Ind Calculations'!F102))))</f>
        <v>NA</v>
      </c>
      <c r="L102" s="95" t="str">
        <f>IF(AND(H102="NA",I102="NA",J102="NA"),"NA",IF(H102="NA",'Com-Ind Equations'!$B$13*'Com-Ind Equations'!$B$14/J102,IF(J102="NA",'Com-Ind Equations'!$B$13*'Com-Ind Equations'!$B$14/(H102+I102),'Com-Ind Equations'!$B$13*'Com-Ind Equations'!$B$14/(H102+I102+J102))))</f>
        <v>NA</v>
      </c>
      <c r="M102" s="95" t="str">
        <f>IF(AND(H102="NA",I102="NA",K102="NA"),"NA",IF(H102="NA",'Com-Ind Equations'!$B$13*'Com-Ind Equations'!$B$14/K102,IF(K102="NA",'Com-Ind Equations'!$B$13*'Com-Ind Equations'!$B$14/(H102+I102),'Com-Ind Equations'!$B$13*'Com-Ind Equations'!$B$14/(H102+I102+K102))))</f>
        <v>NA</v>
      </c>
      <c r="N102" s="95" t="str">
        <f t="shared" si="100"/>
        <v>NA</v>
      </c>
      <c r="O102" s="94">
        <f>IF('Chemical Info'!L103="NA","NA",IF('Chemical Info'!E103="Yes",(('Com-Ind Equations'!$B$46*'Chemical Info'!AD103*'Com-Ind Equations'!$B$48*'Com-Ind Equations'!$B$49*'Com-Ind Equations'!$B$51)/('Com-Ind Equations'!$B$55*'Com-Ind Equations'!$B$56))/'Chemical Info'!L103,(('Com-Ind Equations'!$B$46*'Chemical Info'!AD103*'Com-Ind Equations'!$B$48*'Com-Ind Equations'!$B$49*'Com-Ind Equations'!$B$50)/('Com-Ind Equations'!$B$55*'Com-Ind Equations'!$B$56))/'Chemical Info'!L103))</f>
        <v>8.5616438356164361E-6</v>
      </c>
      <c r="P102" s="90">
        <f>IF('Chemical Info'!L103="NA","NA", IF('Chemical Info'!E103="Yes",0,((('Com-Ind Equations'!$B$58*'Com-Ind Equations'!$B$59*'Com-Ind Equations'!$B$48*'Com-Ind Equations'!$B$52*'Com-Ind Equations'!$B$49*'Chemical Info'!AB103)/('Com-Ind Equations'!$B$55*'Com-Ind Equations'!$B$56))/('Chemical Info'!L103*'Chemical Info'!AF103))))</f>
        <v>2.6090136986301365E-6</v>
      </c>
      <c r="Q102" s="90" t="str">
        <f>IF('Chemical Info'!N103="NA","NA",IF('Com-Ind Calculations'!E102="NA",(('Com-Ind Equations'!$B$53*'Com-Ind Equations'!$B$49*'Com-Ind Equations'!$B$54*'Com-Ind Calculations'!C102)/('Com-Ind Equations'!$B$56))/('Chemical Info'!N103),IF('Chemical Info'!E103="Yes",(('Com-Ind Equations'!$B$53*'Com-Ind Equations'!$B$49*'Com-Ind Equations'!$B$54*'Com-Ind Calculations'!E102)/('Com-Ind Equations'!$B$56))/('Chemical Info'!N103),(('Com-Ind Equations'!$B$53*'Com-Ind Equations'!$B$49*'Com-Ind Equations'!$B$54*('Com-Ind Calculations'!C102+'Com-Ind Calculations'!E102))/('Com-Ind Equations'!$B$56))/('Chemical Info'!N103))))</f>
        <v>NA</v>
      </c>
      <c r="R102" s="90" t="str">
        <f>IF('Chemical Info'!N103="NA","NA",IF('Com-Ind Calculations'!F102="NA",(('Com-Ind Equations'!$B$53*'Com-Ind Equations'!$B$49*'Com-Ind Equations'!$B$54*'Com-Ind Calculations'!C102)/('Com-Ind Equations'!$B$56))/('Chemical Info'!N103),IF('Chemical Info'!E103="Yes",(('Com-Ind Equations'!$B$53*'Com-Ind Equations'!$B$49*'Com-Ind Equations'!$B$54*'Com-Ind Calculations'!F102)/('Com-Ind Equations'!$B$56))/('Chemical Info'!N103),(('Com-Ind Equations'!$B$53*'Com-Ind Equations'!$B$49*'Com-Ind Equations'!$B$54*('Com-Ind Calculations'!C102+'Com-Ind Calculations'!F102))/('Com-Ind Equations'!$B$56))/('Chemical Info'!N103))))</f>
        <v>NA</v>
      </c>
      <c r="S102" s="90">
        <f>IF(AND(O102="NA",P102="NA",Q102="NA"),"NA",IF(O102="NA",'Com-Ind Equations'!$B$45/'Com-Ind Calculations'!Q102,IF('Com-Ind Calculations'!Q102="NA",'Com-Ind Equations'!$B$45/('Com-Ind Calculations'!O102+'Com-Ind Calculations'!P102),'Com-Ind Equations'!$B$45/('Com-Ind Calculations'!O102+'Com-Ind Calculations'!P102+'Com-Ind Calculations'!Q102))))</f>
        <v>17904.049012947333</v>
      </c>
      <c r="T102" s="95">
        <f>IF(AND(O102="NA",P102="NA",R102="NA"),"NA",IF(O102="NA",'Com-Ind Equations'!$B$45/R102,IF(R102="NA",'Com-Ind Equations'!$B$45/(O102+P102),'Com-Ind Equations'!$B$45/(O102+P102+R102))))</f>
        <v>17904.049012947333</v>
      </c>
      <c r="U102" s="97">
        <f t="shared" si="101"/>
        <v>17904.049012947333</v>
      </c>
      <c r="V102" s="101">
        <f t="shared" si="102"/>
        <v>17904.049012947333</v>
      </c>
      <c r="W102" s="105">
        <f t="shared" ref="W102:W168" si="104">IF(V102&gt;100000,100000,IF(ISNUMBER(ROUND(V102*1000000,2-LEN(INT(V102*1000000)))/1000000),ROUND(V102*1000000,2-LEN(INT(V102*1000000)))/1000000,"NA"))</f>
        <v>18000</v>
      </c>
      <c r="X102" s="100" t="str">
        <f t="shared" si="103"/>
        <v>Noncancer</v>
      </c>
      <c r="Y102" s="70"/>
    </row>
    <row r="103" spans="1:26">
      <c r="A103" s="413" t="s">
        <v>1187</v>
      </c>
      <c r="B103" s="566" t="s">
        <v>1188</v>
      </c>
      <c r="C103" s="85">
        <f>1/(('Com-Ind Equations'!$B$123*3600)/(0.036*(1-'Com-Ind Equations'!$B$124)*(('Com-Ind Equations'!$B$125/'Com-Ind Equations'!$B$126)^3)*'Com-Ind Equations'!$B$127))</f>
        <v>1.4713536180231943E-9</v>
      </c>
      <c r="D103" s="90">
        <f>(('Com-Ind Equations'!$B$103^(10/3)*'Chemical Info'!AH104*'Chemical Info'!AN104*41+'Com-Ind Equations'!$B$106^(10/3)*'Chemical Info'!AJ104)/'Com-Ind Equations'!$B$108^2)/('Com-Ind Equations'!$B$110*'Chemical Info'!AL104*'Com-Ind Equations'!$B$113+'Com-Ind Equations'!$B$106+'Com-Ind Equations'!$B$103*'Chemical Info'!AN104*41)</f>
        <v>2.8790968211397667E-6</v>
      </c>
      <c r="E103" s="65">
        <f>IF(D103=0,"NA",1/(('Com-Ind Equations'!$B$74*(3.14*D103*'Com-Ind Equations'!$B$76)^(1/2)*0.0001)/(2*'Com-Ind Equations'!$B$77*D103)))</f>
        <v>9.9599399236166089E-6</v>
      </c>
      <c r="F103" s="65">
        <f>IF(D103=0,"NA",(1/('Com-Ind Equations'!$B$88*('Com-Ind Equations'!$B$89*(31500000))/('Com-Ind Equations'!$B$90*'Com-Ind Equations'!$B$91*1000000))))</f>
        <v>6.1914410640015851E-5</v>
      </c>
      <c r="G103" s="95" t="str">
        <f>IF('Chemical Info'!E104="Yes",('Chemical Info'!AP104/'Com-Ind Equations'!$B$139)*((('Chemical Info'!AL104*'Com-Ind Equations'!$B$141)*'Com-Ind Equations'!$B$139)+'Com-Ind Equations'!$B$142+('Chemical Info'!AN104*41)*'Com-Ind Equations'!$B$144),"NA")</f>
        <v>NA</v>
      </c>
      <c r="H103" s="112" t="str">
        <f>IF('Chemical Info'!H104="NA","NA",IF('Chemical Info'!E104="Yes",'Chemical Info'!H104*'Chemical Info'!AD104*'Com-Ind Equations'!$B$18*'Com-Ind Equations'!$B$22*(('Com-Ind Equations'!$B$24*'Com-Ind Equations'!$B$25)/'Com-Ind Equations'!$B$26),'Chemical Info'!H104*'Chemical Info'!AD104*'Com-Ind Equations'!$B$17*'Com-Ind Equations'!$B$22*('Com-Ind Equations'!$B$24*'Com-Ind Equations'!$B$25/'Com-Ind Equations'!$B$26)))</f>
        <v>NA</v>
      </c>
      <c r="I103" s="108" t="str">
        <f>IF('Chemical Info'!H104="NA","NA",IF('Chemical Info'!E104="Yes",0,('Chemical Info'!H104/'Chemical Info'!AF104)*'Com-Ind Equations'!$B$19*'Chemical Info'!AB104*'Com-Ind Equations'!$B$22*(('Com-Ind Equations'!$B$24*'Com-Ind Equations'!$B$29*'Com-Ind Equations'!$B$30)/'Com-Ind Equations'!$B$26)))</f>
        <v>NA</v>
      </c>
      <c r="J103" s="115" t="str">
        <f>IF('Chemical Info'!J104="NA","NA",IF(E103="NA",'Com-Ind Equations'!$B$20*1000*'Com-Ind Equations'!$B$24*'Com-Ind Equations'!$B$21*'Chemical Info'!J104*'Com-Ind Calculations'!C103,IF('Chemical Info'!E104="Yes",'Com-Ind Equations'!$B$20*1000*'Com-Ind Equations'!$B$24*'Com-Ind Equations'!$B$21*'Chemical Info'!J104*'Com-Ind Calculations'!E103,'Com-Ind Equations'!$B$20*1000*'Com-Ind Equations'!$B$24*'Com-Ind Equations'!$B$21*'Chemical Info'!J104*('Com-Ind Calculations'!C103+'Com-Ind Calculations'!E103))))</f>
        <v>NA</v>
      </c>
      <c r="K103" s="117" t="str">
        <f>IF('Chemical Info'!J104="NA","NA",IF(F103="NA",'Com-Ind Equations'!$B$20*1000*'Com-Ind Equations'!$B$24*'Com-Ind Equations'!$B$21*'Chemical Info'!J104*'Com-Ind Calculations'!C103,IF('Chemical Info'!E104="Yes",'Com-Ind Equations'!$B$20*1000*'Com-Ind Equations'!$B$24*'Com-Ind Equations'!$B$21*'Chemical Info'!J104*'Com-Ind Calculations'!F103,'Com-Ind Equations'!$B$20*1000*'Com-Ind Equations'!$B$24*'Com-Ind Equations'!$B$21*'Chemical Info'!J104*('Com-Ind Calculations'!C103+'Com-Ind Calculations'!F103))))</f>
        <v>NA</v>
      </c>
      <c r="L103" s="95" t="str">
        <f>IF(AND(H103="NA",I103="NA",J103="NA"),"NA",IF(H103="NA",'Com-Ind Equations'!$B$13*'Com-Ind Equations'!$B$14/J103,IF(J103="NA",'Com-Ind Equations'!$B$13*'Com-Ind Equations'!$B$14/(H103+I103),'Com-Ind Equations'!$B$13*'Com-Ind Equations'!$B$14/(H103+I103+J103))))</f>
        <v>NA</v>
      </c>
      <c r="M103" s="95" t="str">
        <f>IF(AND(H103="NA",I103="NA",K103="NA"),"NA",IF(H103="NA",'Com-Ind Equations'!$B$13*'Com-Ind Equations'!$B$14/K103,IF(K103="NA",'Com-Ind Equations'!$B$13*'Com-Ind Equations'!$B$14/(H103+I103),'Com-Ind Equations'!$B$13*'Com-Ind Equations'!$B$14/(H103+I103+K103))))</f>
        <v>NA</v>
      </c>
      <c r="N103" s="95" t="str">
        <f t="shared" ref="N103" si="105">IF(AND(L103="NA",M103="NA"),"NA",MAX(L103,M103))</f>
        <v>NA</v>
      </c>
      <c r="O103" s="94">
        <f>IF('Chemical Info'!L104="NA","NA",IF('Chemical Info'!E104="Yes",(('Com-Ind Equations'!$B$46*'Chemical Info'!AD104*'Com-Ind Equations'!$B$48*'Com-Ind Equations'!$B$49*'Com-Ind Equations'!$B$51)/('Com-Ind Equations'!$B$55*'Com-Ind Equations'!$B$56))/'Chemical Info'!L104,(('Com-Ind Equations'!$B$46*'Chemical Info'!AD104*'Com-Ind Equations'!$B$48*'Com-Ind Equations'!$B$49*'Com-Ind Equations'!$B$50)/('Com-Ind Equations'!$B$55*'Com-Ind Equations'!$B$56))/'Chemical Info'!L104))</f>
        <v>2.8538812785388121E-4</v>
      </c>
      <c r="P103" s="90">
        <f>IF('Chemical Info'!L104="NA","NA", IF('Chemical Info'!E104="Yes",0,((('Com-Ind Equations'!$B$58*'Com-Ind Equations'!$B$59*'Com-Ind Equations'!$B$48*'Com-Ind Equations'!$B$52*'Com-Ind Equations'!$B$49*'Chemical Info'!AB104)/('Com-Ind Equations'!$B$55*'Com-Ind Equations'!$B$56))/('Chemical Info'!L104*'Chemical Info'!AF104))))</f>
        <v>8.6967123287671219E-5</v>
      </c>
      <c r="Q103" s="90" t="str">
        <f>IF('Chemical Info'!N104="NA","NA",IF('Com-Ind Calculations'!E103="NA",(('Com-Ind Equations'!$B$53*'Com-Ind Equations'!$B$49*'Com-Ind Equations'!$B$54*'Com-Ind Calculations'!C103)/('Com-Ind Equations'!$B$56))/('Chemical Info'!N104),IF('Chemical Info'!E104="Yes",(('Com-Ind Equations'!$B$53*'Com-Ind Equations'!$B$49*'Com-Ind Equations'!$B$54*'Com-Ind Calculations'!E103)/('Com-Ind Equations'!$B$56))/('Chemical Info'!N104),(('Com-Ind Equations'!$B$53*'Com-Ind Equations'!$B$49*'Com-Ind Equations'!$B$54*('Com-Ind Calculations'!C103+'Com-Ind Calculations'!E103))/('Com-Ind Equations'!$B$56))/('Chemical Info'!N104))))</f>
        <v>NA</v>
      </c>
      <c r="R103" s="90" t="str">
        <f>IF('Chemical Info'!N104="NA","NA",IF('Com-Ind Calculations'!F103="NA",(('Com-Ind Equations'!$B$53*'Com-Ind Equations'!$B$49*'Com-Ind Equations'!$B$54*'Com-Ind Calculations'!C103)/('Com-Ind Equations'!$B$56))/('Chemical Info'!N104),IF('Chemical Info'!E104="Yes",(('Com-Ind Equations'!$B$53*'Com-Ind Equations'!$B$49*'Com-Ind Equations'!$B$54*'Com-Ind Calculations'!F103)/('Com-Ind Equations'!$B$56))/('Chemical Info'!N104),(('Com-Ind Equations'!$B$53*'Com-Ind Equations'!$B$49*'Com-Ind Equations'!$B$54*('Com-Ind Calculations'!C103+'Com-Ind Calculations'!F103))/('Com-Ind Equations'!$B$56))/('Chemical Info'!N104))))</f>
        <v>NA</v>
      </c>
      <c r="S103" s="90">
        <f>IF(AND(O103="NA",P103="NA",Q103="NA"),"NA",IF(O103="NA",'Com-Ind Equations'!$B$45/'Com-Ind Calculations'!Q103,IF('Com-Ind Calculations'!Q103="NA",'Com-Ind Equations'!$B$45/('Com-Ind Calculations'!O103+'Com-Ind Calculations'!P103),'Com-Ind Equations'!$B$45/('Com-Ind Calculations'!O103+'Com-Ind Calculations'!P103+'Com-Ind Calculations'!Q103))))</f>
        <v>537.12147038841988</v>
      </c>
      <c r="T103" s="95">
        <f>IF(AND(O103="NA",P103="NA",R103="NA"),"NA",IF(O103="NA",'Com-Ind Equations'!$B$45/R103,IF(R103="NA",'Com-Ind Equations'!$B$45/(O103+P103),'Com-Ind Equations'!$B$45/(O103+P103+R103))))</f>
        <v>537.12147038841988</v>
      </c>
      <c r="U103" s="97">
        <f t="shared" ref="U103" si="106">IF(AND(S103="NA",T103="NA"),"NA",MAX(S103,T103))</f>
        <v>537.12147038841988</v>
      </c>
      <c r="V103" s="101">
        <f t="shared" ref="V103" si="107">IF(AND(N103="NA",U103="NA",G103="NA"),"NA",MIN(N103,U103,G103))</f>
        <v>537.12147038841988</v>
      </c>
      <c r="W103" s="105">
        <f t="shared" ref="W103" si="108">IF(V103&gt;100000,100000,IF(ISNUMBER(ROUND(V103*1000000,2-LEN(INT(V103*1000000)))/1000000),ROUND(V103*1000000,2-LEN(INT(V103*1000000)))/1000000,"NA"))</f>
        <v>540</v>
      </c>
      <c r="X103" s="100" t="str">
        <f t="shared" ref="X103" si="109">IF(W103=100000,"Max Limit",IF(V103=G103,"Csat",IF(V103=N103,"Cancer",IF(V103=U103,"Noncancer",""))))</f>
        <v>Noncancer</v>
      </c>
      <c r="Y103" s="70"/>
    </row>
    <row r="104" spans="1:26">
      <c r="A104" s="413" t="s">
        <v>421</v>
      </c>
      <c r="B104" s="566" t="s">
        <v>65</v>
      </c>
      <c r="C104" s="85">
        <f>1/(('Com-Ind Equations'!$B$123*3600)/(0.036*(1-'Com-Ind Equations'!$B$124)*(('Com-Ind Equations'!$B$125/'Com-Ind Equations'!$B$126)^3)*'Com-Ind Equations'!$B$127))</f>
        <v>1.4713536180231943E-9</v>
      </c>
      <c r="D104" s="90">
        <f>(('Com-Ind Equations'!$B$103^(10/3)*'Chemical Info'!AH105*'Chemical Info'!AN105*41+'Com-Ind Equations'!$B$106^(10/3)*'Chemical Info'!AJ105)/'Com-Ind Equations'!$B$108^2)/('Com-Ind Equations'!$B$110*'Chemical Info'!AL105*'Com-Ind Equations'!$B$113+'Com-Ind Equations'!$B$106+'Com-Ind Equations'!$B$103*'Chemical Info'!AN105*41)</f>
        <v>7.0387889414110421E-6</v>
      </c>
      <c r="E104" s="65">
        <f>IF(D104=0,"NA",1/(('Com-Ind Equations'!$B$74*(3.14*D104*'Com-Ind Equations'!$B$76)^(1/2)*0.0001)/(2*'Com-Ind Equations'!$B$77*D104)))</f>
        <v>1.5573189037204755E-5</v>
      </c>
      <c r="F104" s="65">
        <f>IF(D104=0,"NA",(1/('Com-Ind Equations'!$B$88*('Com-Ind Equations'!$B$89*(31500000))/('Com-Ind Equations'!$B$90*'Com-Ind Equations'!$B$91*1000000))))</f>
        <v>6.1914410640015851E-5</v>
      </c>
      <c r="G104" s="95">
        <f>IF('Chemical Info'!E105="Yes",('Chemical Info'!AP105/'Com-Ind Equations'!$B$139)*((('Chemical Info'!AL105*'Com-Ind Equations'!$B$141)*'Com-Ind Equations'!$B$139)+'Com-Ind Equations'!$B$142+('Chemical Info'!AN105*41)*'Com-Ind Equations'!$B$144),"NA")</f>
        <v>5046.3098346666666</v>
      </c>
      <c r="H104" s="112">
        <f>IF('Chemical Info'!H105="NA","NA",IF('Chemical Info'!E105="Yes",'Chemical Info'!H105*'Chemical Info'!AD105*'Com-Ind Equations'!$B$18*'Com-Ind Equations'!$B$22*(('Com-Ind Equations'!$B$24*'Com-Ind Equations'!$B$25)/'Com-Ind Equations'!$B$26),'Chemical Info'!H105*'Chemical Info'!AD105*'Com-Ind Equations'!$B$17*'Com-Ind Equations'!$B$22*('Com-Ind Equations'!$B$24*'Com-Ind Equations'!$B$25/'Com-Ind Equations'!$B$26)))</f>
        <v>6.1875000000000003E-3</v>
      </c>
      <c r="I104" s="108">
        <f>IF('Chemical Info'!H105="NA","NA",IF('Chemical Info'!E105="Yes",0,('Chemical Info'!H105/'Chemical Info'!AF105)*'Com-Ind Equations'!$B$19*'Chemical Info'!AB105*'Com-Ind Equations'!$B$22*(('Com-Ind Equations'!$B$24*'Com-Ind Equations'!$B$29*'Com-Ind Equations'!$B$30)/'Com-Ind Equations'!$B$26)))</f>
        <v>0</v>
      </c>
      <c r="J104" s="115">
        <f>IF('Chemical Info'!J105="NA","NA",IF(E104="NA",'Com-Ind Equations'!$B$20*1000*'Com-Ind Equations'!$B$24*'Com-Ind Equations'!$B$21*'Chemical Info'!J105*'Com-Ind Calculations'!C104,IF('Chemical Info'!E105="Yes",'Com-Ind Equations'!$B$20*1000*'Com-Ind Equations'!$B$24*'Com-Ind Equations'!$B$21*'Chemical Info'!J105*'Com-Ind Calculations'!E104,'Com-Ind Equations'!$B$20*1000*'Com-Ind Equations'!$B$24*'Com-Ind Equations'!$B$21*'Chemical Info'!J105*('Com-Ind Calculations'!C104+'Com-Ind Calculations'!E104))))</f>
        <v>9.6359107167704426E-3</v>
      </c>
      <c r="K104" s="117">
        <f>IF('Chemical Info'!J105="NA","NA",IF(F104="NA",'Com-Ind Equations'!$B$20*1000*'Com-Ind Equations'!$B$24*'Com-Ind Equations'!$B$21*'Chemical Info'!J105*'Com-Ind Calculations'!C104,IF('Chemical Info'!E105="Yes",'Com-Ind Equations'!$B$20*1000*'Com-Ind Equations'!$B$24*'Com-Ind Equations'!$B$21*'Chemical Info'!J105*'Com-Ind Calculations'!F104,'Com-Ind Equations'!$B$20*1000*'Com-Ind Equations'!$B$24*'Com-Ind Equations'!$B$21*'Chemical Info'!J105*('Com-Ind Calculations'!C104+'Com-Ind Calculations'!F104))))</f>
        <v>3.8309541583509805E-2</v>
      </c>
      <c r="L104" s="95">
        <f>IF(AND(H104="NA",I104="NA",J104="NA"),"NA",IF(H104="NA",'Com-Ind Equations'!$B$13*'Com-Ind Equations'!$B$14/J104,IF(J104="NA",'Com-Ind Equations'!$B$13*'Com-Ind Equations'!$B$14/(H104+I104),'Com-Ind Equations'!$B$13*'Com-Ind Equations'!$B$14/(H104+I104+J104))))</f>
        <v>16.146961269810703</v>
      </c>
      <c r="M104" s="95">
        <f>IF(AND(H104="NA",I104="NA",K104="NA"),"NA",IF(H104="NA",'Com-Ind Equations'!$B$13*'Com-Ind Equations'!$B$14/K104,IF(K104="NA",'Com-Ind Equations'!$B$13*'Com-Ind Equations'!$B$14/(H104+I104),'Com-Ind Equations'!$B$13*'Com-Ind Equations'!$B$14/(H104+I104+K104))))</f>
        <v>5.7419547661498012</v>
      </c>
      <c r="N104" s="95">
        <f t="shared" si="100"/>
        <v>16.146961269810703</v>
      </c>
      <c r="O104" s="94" t="str">
        <f>IF('Chemical Info'!L105="NA","NA",IF('Chemical Info'!E105="Yes",(('Com-Ind Equations'!$B$46*'Chemical Info'!AD105*'Com-Ind Equations'!$B$48*'Com-Ind Equations'!$B$49*'Com-Ind Equations'!$B$51)/('Com-Ind Equations'!$B$55*'Com-Ind Equations'!$B$56))/'Chemical Info'!L105,(('Com-Ind Equations'!$B$46*'Chemical Info'!AD105*'Com-Ind Equations'!$B$48*'Com-Ind Equations'!$B$49*'Com-Ind Equations'!$B$50)/('Com-Ind Equations'!$B$55*'Com-Ind Equations'!$B$56))/'Chemical Info'!L105))</f>
        <v>NA</v>
      </c>
      <c r="P104" s="90" t="str">
        <f>IF('Chemical Info'!L105="NA","NA", IF('Chemical Info'!E105="Yes",0,((('Com-Ind Equations'!$B$58*'Com-Ind Equations'!$B$59*'Com-Ind Equations'!$B$48*'Com-Ind Equations'!$B$52*'Com-Ind Equations'!$B$49*'Chemical Info'!AB105)/('Com-Ind Equations'!$B$55*'Com-Ind Equations'!$B$56))/('Chemical Info'!L105*'Chemical Info'!AF105))))</f>
        <v>NA</v>
      </c>
      <c r="Q104" s="90" t="str">
        <f>IF('Chemical Info'!N105="NA","NA",IF('Com-Ind Calculations'!E104="NA",(('Com-Ind Equations'!$B$53*'Com-Ind Equations'!$B$49*'Com-Ind Equations'!$B$54*'Com-Ind Calculations'!C104)/('Com-Ind Equations'!$B$56))/('Chemical Info'!N105),IF('Chemical Info'!E105="Yes",(('Com-Ind Equations'!$B$53*'Com-Ind Equations'!$B$49*'Com-Ind Equations'!$B$54*'Com-Ind Calculations'!E104)/('Com-Ind Equations'!$B$56))/('Chemical Info'!N105),(('Com-Ind Equations'!$B$53*'Com-Ind Equations'!$B$49*'Com-Ind Equations'!$B$54*('Com-Ind Calculations'!C104+'Com-Ind Calculations'!E104))/('Com-Ind Equations'!$B$56))/('Chemical Info'!N105))))</f>
        <v>NA</v>
      </c>
      <c r="R104" s="90" t="str">
        <f>IF('Chemical Info'!N105="NA","NA",IF('Com-Ind Calculations'!F104="NA",(('Com-Ind Equations'!$B$53*'Com-Ind Equations'!$B$49*'Com-Ind Equations'!$B$54*'Com-Ind Calculations'!C104)/('Com-Ind Equations'!$B$56))/('Chemical Info'!N105),IF('Chemical Info'!E105="Yes",(('Com-Ind Equations'!$B$53*'Com-Ind Equations'!$B$49*'Com-Ind Equations'!$B$54*'Com-Ind Calculations'!F104)/('Com-Ind Equations'!$B$56))/('Chemical Info'!N105),(('Com-Ind Equations'!$B$53*'Com-Ind Equations'!$B$49*'Com-Ind Equations'!$B$54*('Com-Ind Calculations'!C104+'Com-Ind Calculations'!F104))/('Com-Ind Equations'!$B$56))/('Chemical Info'!N105))))</f>
        <v>NA</v>
      </c>
      <c r="S104" s="90" t="str">
        <f>IF(AND(O104="NA",P104="NA",Q104="NA"),"NA",IF(O104="NA",'Com-Ind Equations'!$B$45/'Com-Ind Calculations'!Q104,IF('Com-Ind Calculations'!Q104="NA",'Com-Ind Equations'!$B$45/('Com-Ind Calculations'!O104+'Com-Ind Calculations'!P104),'Com-Ind Equations'!$B$45/('Com-Ind Calculations'!O104+'Com-Ind Calculations'!P104+'Com-Ind Calculations'!Q104))))</f>
        <v>NA</v>
      </c>
      <c r="T104" s="95" t="str">
        <f>IF(AND(O104="NA",P104="NA",R104="NA"),"NA",IF(O104="NA",'Com-Ind Equations'!$B$45/R104,IF(R104="NA",'Com-Ind Equations'!$B$45/(O104+P104),'Com-Ind Equations'!$B$45/(O104+P104+R104))))</f>
        <v>NA</v>
      </c>
      <c r="U104" s="97" t="str">
        <f t="shared" si="101"/>
        <v>NA</v>
      </c>
      <c r="V104" s="101">
        <f t="shared" si="102"/>
        <v>16.146961269810703</v>
      </c>
      <c r="W104" s="105">
        <f t="shared" si="104"/>
        <v>16</v>
      </c>
      <c r="X104" s="100" t="str">
        <f t="shared" si="103"/>
        <v>Cancer</v>
      </c>
      <c r="Y104" s="70"/>
    </row>
    <row r="105" spans="1:26">
      <c r="A105" s="413" t="s">
        <v>1164</v>
      </c>
      <c r="B105" s="566" t="s">
        <v>1165</v>
      </c>
      <c r="C105" s="85">
        <f>1/(('Com-Ind Equations'!$B$123*3600)/(0.036*(1-'Com-Ind Equations'!$B$124)*(('Com-Ind Equations'!$B$125/'Com-Ind Equations'!$B$126)^3)*'Com-Ind Equations'!$B$127))</f>
        <v>1.4713536180231943E-9</v>
      </c>
      <c r="D105" s="90">
        <f>(('Com-Ind Equations'!$B$103^(10/3)*'Chemical Info'!AH106*'Chemical Info'!AN106*41+'Com-Ind Equations'!$B$106^(10/3)*'Chemical Info'!AJ106)/'Com-Ind Equations'!$B$108^2)/('Com-Ind Equations'!$B$110*'Chemical Info'!AL106*'Com-Ind Equations'!$B$113+'Com-Ind Equations'!$B$106+'Com-Ind Equations'!$B$103*'Chemical Info'!AN106*41)</f>
        <v>1.0393276051571672E-5</v>
      </c>
      <c r="E105" s="65">
        <f>IF(D105=0,"NA",1/(('Com-Ind Equations'!$B$74*(3.14*D105*'Com-Ind Equations'!$B$76)^(1/2)*0.0001)/(2*'Com-Ind Equations'!$B$77*D105)))</f>
        <v>1.8923645996270025E-5</v>
      </c>
      <c r="F105" s="65">
        <f>IF(D105=0,"NA",(1/('Com-Ind Equations'!$B$88*('Com-Ind Equations'!$B$89*(31500000))/('Com-Ind Equations'!$B$90*'Com-Ind Equations'!$B$91*1000000))))</f>
        <v>6.1914410640015851E-5</v>
      </c>
      <c r="G105" s="95">
        <f>IF('Chemical Info'!E106="Yes",('Chemical Info'!AP106/'Com-Ind Equations'!$B$139)*((('Chemical Info'!AL106*'Com-Ind Equations'!$B$141)*'Com-Ind Equations'!$B$139)+'Com-Ind Equations'!$B$142+('Chemical Info'!AN106*41)*'Com-Ind Equations'!$B$144),"NA")</f>
        <v>1016.7493914666667</v>
      </c>
      <c r="H105" s="112" t="str">
        <f>IF('Chemical Info'!H106="NA","NA",IF('Chemical Info'!E106="Yes",'Chemical Info'!H106*'Chemical Info'!AD106*'Com-Ind Equations'!$B$18*'Com-Ind Equations'!$B$22*(('Com-Ind Equations'!$B$24*'Com-Ind Equations'!$B$25)/'Com-Ind Equations'!$B$26),'Chemical Info'!H106*'Chemical Info'!AD106*'Com-Ind Equations'!$B$17*'Com-Ind Equations'!$B$22*('Com-Ind Equations'!$B$24*'Com-Ind Equations'!$B$25/'Com-Ind Equations'!$B$26)))</f>
        <v>NA</v>
      </c>
      <c r="I105" s="108" t="str">
        <f>IF('Chemical Info'!H106="NA","NA",IF('Chemical Info'!E106="Yes",0,('Chemical Info'!H106/'Chemical Info'!AF106)*'Com-Ind Equations'!$B$19*'Chemical Info'!AB106*'Com-Ind Equations'!$B$22*(('Com-Ind Equations'!$B$24*'Com-Ind Equations'!$B$29*'Com-Ind Equations'!$B$30)/'Com-Ind Equations'!$B$26)))</f>
        <v>NA</v>
      </c>
      <c r="J105" s="115" t="str">
        <f>IF('Chemical Info'!J106="NA","NA",IF(E105="NA",'Com-Ind Equations'!$B$20*1000*'Com-Ind Equations'!$B$24*'Com-Ind Equations'!$B$21*'Chemical Info'!J106*'Com-Ind Calculations'!C105,IF('Chemical Info'!E106="Yes",'Com-Ind Equations'!$B$20*1000*'Com-Ind Equations'!$B$24*'Com-Ind Equations'!$B$21*'Chemical Info'!J106*'Com-Ind Calculations'!E105,'Com-Ind Equations'!$B$20*1000*'Com-Ind Equations'!$B$24*'Com-Ind Equations'!$B$21*'Chemical Info'!J106*('Com-Ind Calculations'!C105+'Com-Ind Calculations'!E105))))</f>
        <v>NA</v>
      </c>
      <c r="K105" s="117" t="str">
        <f>IF('Chemical Info'!J106="NA","NA",IF(F105="NA",'Com-Ind Equations'!$B$20*1000*'Com-Ind Equations'!$B$24*'Com-Ind Equations'!$B$21*'Chemical Info'!J106*'Com-Ind Calculations'!C105,IF('Chemical Info'!E106="Yes",'Com-Ind Equations'!$B$20*1000*'Com-Ind Equations'!$B$24*'Com-Ind Equations'!$B$21*'Chemical Info'!J106*'Com-Ind Calculations'!F105,'Com-Ind Equations'!$B$20*1000*'Com-Ind Equations'!$B$24*'Com-Ind Equations'!$B$21*'Chemical Info'!J106*('Com-Ind Calculations'!C105+'Com-Ind Calculations'!F105))))</f>
        <v>NA</v>
      </c>
      <c r="L105" s="95" t="str">
        <f>IF(AND(H105="NA",I105="NA",J105="NA"),"NA",IF(H105="NA",'Com-Ind Equations'!$B$13*'Com-Ind Equations'!$B$14/J105,IF(J105="NA",'Com-Ind Equations'!$B$13*'Com-Ind Equations'!$B$14/(H105+I105),'Com-Ind Equations'!$B$13*'Com-Ind Equations'!$B$14/(H105+I105+J105))))</f>
        <v>NA</v>
      </c>
      <c r="M105" s="95" t="str">
        <f>IF(AND(H105="NA",I105="NA",K105="NA"),"NA",IF(H105="NA",'Com-Ind Equations'!$B$13*'Com-Ind Equations'!$B$14/K105,IF(K105="NA",'Com-Ind Equations'!$B$13*'Com-Ind Equations'!$B$14/(H105+I105),'Com-Ind Equations'!$B$13*'Com-Ind Equations'!$B$14/(H105+I105+K105))))</f>
        <v>NA</v>
      </c>
      <c r="N105" s="95" t="str">
        <f t="shared" ref="N105" si="110">IF(AND(L105="NA",M105="NA"),"NA",MAX(L105,M105))</f>
        <v>NA</v>
      </c>
      <c r="O105" s="94">
        <f>IF('Chemical Info'!L106="NA","NA",IF('Chemical Info'!E106="Yes",(('Com-Ind Equations'!$B$46*'Chemical Info'!AD106*'Com-Ind Equations'!$B$48*'Com-Ind Equations'!$B$49*'Com-Ind Equations'!$B$51)/('Com-Ind Equations'!$B$55*'Com-Ind Equations'!$B$56))/'Chemical Info'!L106,(('Com-Ind Equations'!$B$46*'Chemical Info'!AD106*'Com-Ind Equations'!$B$48*'Com-Ind Equations'!$B$49*'Com-Ind Equations'!$B$50)/('Com-Ind Equations'!$B$55*'Com-Ind Equations'!$B$56))/'Chemical Info'!L106))</f>
        <v>1.5410958904109589E-5</v>
      </c>
      <c r="P105" s="90">
        <f>IF('Chemical Info'!L106="NA","NA", IF('Chemical Info'!E106="Yes",0,((('Com-Ind Equations'!$B$58*'Com-Ind Equations'!$B$59*'Com-Ind Equations'!$B$48*'Com-Ind Equations'!$B$52*'Com-Ind Equations'!$B$49*'Chemical Info'!AB106)/('Com-Ind Equations'!$B$55*'Com-Ind Equations'!$B$56))/('Chemical Info'!L106*'Chemical Info'!AF106))))</f>
        <v>0</v>
      </c>
      <c r="Q105" s="90" t="str">
        <f>IF('Chemical Info'!N106="NA","NA",IF('Com-Ind Calculations'!E105="NA",(('Com-Ind Equations'!$B$53*'Com-Ind Equations'!$B$49*'Com-Ind Equations'!$B$54*'Com-Ind Calculations'!C105)/('Com-Ind Equations'!$B$56))/('Chemical Info'!N106),IF('Chemical Info'!E106="Yes",(('Com-Ind Equations'!$B$53*'Com-Ind Equations'!$B$49*'Com-Ind Equations'!$B$54*'Com-Ind Calculations'!E105)/('Com-Ind Equations'!$B$56))/('Chemical Info'!N106),(('Com-Ind Equations'!$B$53*'Com-Ind Equations'!$B$49*'Com-Ind Equations'!$B$54*('Com-Ind Calculations'!C105+'Com-Ind Calculations'!E105))/('Com-Ind Equations'!$B$56))/('Chemical Info'!N106))))</f>
        <v>NA</v>
      </c>
      <c r="R105" s="90" t="str">
        <f>IF('Chemical Info'!N106="NA","NA",IF('Com-Ind Calculations'!F105="NA",(('Com-Ind Equations'!$B$53*'Com-Ind Equations'!$B$49*'Com-Ind Equations'!$B$54*'Com-Ind Calculations'!C105)/('Com-Ind Equations'!$B$56))/('Chemical Info'!N106),IF('Chemical Info'!E106="Yes",(('Com-Ind Equations'!$B$53*'Com-Ind Equations'!$B$49*'Com-Ind Equations'!$B$54*'Com-Ind Calculations'!F105)/('Com-Ind Equations'!$B$56))/('Chemical Info'!N106),(('Com-Ind Equations'!$B$53*'Com-Ind Equations'!$B$49*'Com-Ind Equations'!$B$54*('Com-Ind Calculations'!C105+'Com-Ind Calculations'!F105))/('Com-Ind Equations'!$B$56))/('Chemical Info'!N106))))</f>
        <v>NA</v>
      </c>
      <c r="S105" s="90">
        <f>IF(AND(O105="NA",P105="NA",Q105="NA"),"NA",IF(O105="NA",'Com-Ind Equations'!$B$45/'Com-Ind Calculations'!Q105,IF('Com-Ind Calculations'!Q105="NA",'Com-Ind Equations'!$B$45/('Com-Ind Calculations'!O105+'Com-Ind Calculations'!P105),'Com-Ind Equations'!$B$45/('Com-Ind Calculations'!O105+'Com-Ind Calculations'!P105+'Com-Ind Calculations'!Q105))))</f>
        <v>12977.777777777779</v>
      </c>
      <c r="T105" s="95">
        <f>IF(AND(O105="NA",P105="NA",R105="NA"),"NA",IF(O105="NA",'Com-Ind Equations'!$B$45/R105,IF(R105="NA",'Com-Ind Equations'!$B$45/(O105+P105),'Com-Ind Equations'!$B$45/(O105+P105+R105))))</f>
        <v>12977.777777777779</v>
      </c>
      <c r="U105" s="97">
        <f t="shared" ref="U105" si="111">IF(AND(S105="NA",T105="NA"),"NA",MAX(S105,T105))</f>
        <v>12977.777777777779</v>
      </c>
      <c r="V105" s="101">
        <f t="shared" ref="V105" si="112">IF(AND(N105="NA",U105="NA",G105="NA"),"NA",MIN(N105,U105,G105))</f>
        <v>1016.7493914666667</v>
      </c>
      <c r="W105" s="105">
        <f t="shared" ref="W105" si="113">IF(V105&gt;100000,100000,IF(ISNUMBER(ROUND(V105*1000000,2-LEN(INT(V105*1000000)))/1000000),ROUND(V105*1000000,2-LEN(INT(V105*1000000)))/1000000,"NA"))</f>
        <v>1000</v>
      </c>
      <c r="X105" s="100" t="str">
        <f t="shared" ref="X105" si="114">IF(W105=100000,"Max Limit",IF(V105=G105,"Csat",IF(V105=N105,"Cancer",IF(V105=U105,"Noncancer",""))))</f>
        <v>Csat</v>
      </c>
      <c r="Y105" s="70"/>
    </row>
    <row r="106" spans="1:26">
      <c r="A106" s="413" t="s">
        <v>318</v>
      </c>
      <c r="B106" s="566" t="s">
        <v>66</v>
      </c>
      <c r="C106" s="85">
        <f>1/(('Com-Ind Equations'!$B$123*3600)/(0.036*(1-'Com-Ind Equations'!$B$124)*(('Com-Ind Equations'!$B$125/'Com-Ind Equations'!$B$126)^3)*'Com-Ind Equations'!$B$127))</f>
        <v>1.4713536180231943E-9</v>
      </c>
      <c r="D106" s="90">
        <f>(('Com-Ind Equations'!$B$103^(10/3)*'Chemical Info'!AH107*'Chemical Info'!AN107*41+'Com-Ind Equations'!$B$106^(10/3)*'Chemical Info'!AJ107)/'Com-Ind Equations'!$B$108^2)/('Com-Ind Equations'!$B$110*'Chemical Info'!AL107*'Com-Ind Equations'!$B$113+'Com-Ind Equations'!$B$106+'Com-Ind Equations'!$B$103*'Chemical Info'!AN107*41)</f>
        <v>1.3529246716691059E-4</v>
      </c>
      <c r="E106" s="65">
        <f>IF(D106=0,"NA",1/(('Com-Ind Equations'!$B$74*(3.14*D106*'Com-Ind Equations'!$B$76)^(1/2)*0.0001)/(2*'Com-Ind Equations'!$B$77*D106)))</f>
        <v>6.827557905293137E-5</v>
      </c>
      <c r="F106" s="65">
        <f>IF(D106=0,"NA",(1/('Com-Ind Equations'!$B$88*('Com-Ind Equations'!$B$89*(31500000))/('Com-Ind Equations'!$B$90*'Com-Ind Equations'!$B$91*1000000))))</f>
        <v>6.1914410640015851E-5</v>
      </c>
      <c r="G106" s="95">
        <f>IF('Chemical Info'!E107="Yes",('Chemical Info'!AP107/'Com-Ind Equations'!$B$139)*((('Chemical Info'!AL107*'Com-Ind Equations'!$B$141)*'Com-Ind Equations'!$B$139)+'Com-Ind Equations'!$B$142+('Chemical Info'!AN107*41)*'Com-Ind Equations'!$B$144),"NA")</f>
        <v>914.54505333333316</v>
      </c>
      <c r="H106" s="112">
        <f>IF('Chemical Info'!H107="NA","NA",IF('Chemical Info'!E107="Yes",'Chemical Info'!H107*'Chemical Info'!AD107*'Com-Ind Equations'!$B$18*'Com-Ind Equations'!$B$22*(('Com-Ind Equations'!$B$24*'Com-Ind Equations'!$B$25)/'Com-Ind Equations'!$B$26),'Chemical Info'!H107*'Chemical Info'!AD107*'Com-Ind Equations'!$B$17*'Com-Ind Equations'!$B$22*('Com-Ind Equations'!$B$24*'Com-Ind Equations'!$B$25/'Com-Ind Equations'!$B$26)))</f>
        <v>4.4437500000000003E-5</v>
      </c>
      <c r="I106" s="108">
        <f>IF('Chemical Info'!H107="NA","NA",IF('Chemical Info'!E107="Yes",0,('Chemical Info'!H107/'Chemical Info'!AF107)*'Com-Ind Equations'!$B$19*'Chemical Info'!AB107*'Com-Ind Equations'!$B$22*(('Com-Ind Equations'!$B$24*'Com-Ind Equations'!$B$29*'Com-Ind Equations'!$B$30)/'Com-Ind Equations'!$B$26)))</f>
        <v>0</v>
      </c>
      <c r="J106" s="115">
        <f>IF('Chemical Info'!J107="NA","NA",IF(E106="NA",'Com-Ind Equations'!$B$20*1000*'Com-Ind Equations'!$B$24*'Com-Ind Equations'!$B$21*'Chemical Info'!J107*'Com-Ind Calculations'!C106,IF('Chemical Info'!E107="Yes",'Com-Ind Equations'!$B$20*1000*'Com-Ind Equations'!$B$24*'Com-Ind Equations'!$B$21*'Chemical Info'!J107*'Com-Ind Calculations'!E106,'Com-Ind Equations'!$B$20*1000*'Com-Ind Equations'!$B$24*'Com-Ind Equations'!$B$21*'Chemical Info'!J107*('Com-Ind Calculations'!C106+'Com-Ind Calculations'!E106))))</f>
        <v>1.4081838179667096E-4</v>
      </c>
      <c r="K106" s="117">
        <f>IF('Chemical Info'!J107="NA","NA",IF(F106="NA",'Com-Ind Equations'!$B$20*1000*'Com-Ind Equations'!$B$24*'Com-Ind Equations'!$B$21*'Chemical Info'!J107*'Com-Ind Calculations'!C106,IF('Chemical Info'!E107="Yes",'Com-Ind Equations'!$B$20*1000*'Com-Ind Equations'!$B$24*'Com-Ind Equations'!$B$21*'Chemical Info'!J107*'Com-Ind Calculations'!F106,'Com-Ind Equations'!$B$20*1000*'Com-Ind Equations'!$B$24*'Com-Ind Equations'!$B$21*'Chemical Info'!J107*('Com-Ind Calculations'!C106+'Com-Ind Calculations'!F106))))</f>
        <v>1.2769847194503268E-4</v>
      </c>
      <c r="L106" s="95">
        <f>IF(AND(H106="NA",I106="NA",J106="NA"),"NA",IF(H106="NA",'Com-Ind Equations'!$B$13*'Com-Ind Equations'!$B$14/J106,IF(J106="NA",'Com-Ind Equations'!$B$13*'Com-Ind Equations'!$B$14/(H106+I106),'Com-Ind Equations'!$B$13*'Com-Ind Equations'!$B$14/(H106+I106+J106))))</f>
        <v>1379.1734843832166</v>
      </c>
      <c r="M106" s="95">
        <f>IF(AND(H106="NA",I106="NA",K106="NA"),"NA",IF(H106="NA",'Com-Ind Equations'!$B$13*'Com-Ind Equations'!$B$14/K106,IF(K106="NA",'Com-Ind Equations'!$B$13*'Com-Ind Equations'!$B$14/(H106+I106),'Com-Ind Equations'!$B$13*'Com-Ind Equations'!$B$14/(H106+I106+K106))))</f>
        <v>1484.2917323613658</v>
      </c>
      <c r="N106" s="95">
        <f t="shared" si="100"/>
        <v>1484.2917323613658</v>
      </c>
      <c r="O106" s="94">
        <f>IF('Chemical Info'!L107="NA","NA",IF('Chemical Info'!E107="Yes",(('Com-Ind Equations'!$B$46*'Chemical Info'!AD107*'Com-Ind Equations'!$B$48*'Com-Ind Equations'!$B$49*'Com-Ind Equations'!$B$51)/('Com-Ind Equations'!$B$55*'Com-Ind Equations'!$B$56))/'Chemical Info'!L107,(('Com-Ind Equations'!$B$46*'Chemical Info'!AD107*'Com-Ind Equations'!$B$48*'Com-Ind Equations'!$B$49*'Com-Ind Equations'!$B$50)/('Com-Ind Equations'!$B$55*'Com-Ind Equations'!$B$56))/'Chemical Info'!L107))</f>
        <v>3.0821917808219177E-5</v>
      </c>
      <c r="P106" s="90">
        <f>IF('Chemical Info'!L107="NA","NA", IF('Chemical Info'!E107="Yes",0,((('Com-Ind Equations'!$B$58*'Com-Ind Equations'!$B$59*'Com-Ind Equations'!$B$48*'Com-Ind Equations'!$B$52*'Com-Ind Equations'!$B$49*'Chemical Info'!AB107)/('Com-Ind Equations'!$B$55*'Com-Ind Equations'!$B$56))/('Chemical Info'!L107*'Chemical Info'!AF107))))</f>
        <v>0</v>
      </c>
      <c r="Q106" s="90" t="str">
        <f>IF('Chemical Info'!N107="NA","NA",IF('Com-Ind Calculations'!E106="NA",(('Com-Ind Equations'!$B$53*'Com-Ind Equations'!$B$49*'Com-Ind Equations'!$B$54*'Com-Ind Calculations'!C106)/('Com-Ind Equations'!$B$56))/('Chemical Info'!N107),IF('Chemical Info'!E107="Yes",(('Com-Ind Equations'!$B$53*'Com-Ind Equations'!$B$49*'Com-Ind Equations'!$B$54*'Com-Ind Calculations'!E106)/('Com-Ind Equations'!$B$56))/('Chemical Info'!N107),(('Com-Ind Equations'!$B$53*'Com-Ind Equations'!$B$49*'Com-Ind Equations'!$B$54*('Com-Ind Calculations'!C106+'Com-Ind Calculations'!E106))/('Com-Ind Equations'!$B$56))/('Chemical Info'!N107))))</f>
        <v>NA</v>
      </c>
      <c r="R106" s="90" t="str">
        <f>IF('Chemical Info'!N107="NA","NA",IF('Com-Ind Calculations'!F106="NA",(('Com-Ind Equations'!$B$53*'Com-Ind Equations'!$B$49*'Com-Ind Equations'!$B$54*'Com-Ind Calculations'!C106)/('Com-Ind Equations'!$B$56))/('Chemical Info'!N107),IF('Chemical Info'!E107="Yes",(('Com-Ind Equations'!$B$53*'Com-Ind Equations'!$B$49*'Com-Ind Equations'!$B$54*'Com-Ind Calculations'!F106)/('Com-Ind Equations'!$B$56))/('Chemical Info'!N107),(('Com-Ind Equations'!$B$53*'Com-Ind Equations'!$B$49*'Com-Ind Equations'!$B$54*('Com-Ind Calculations'!C106+'Com-Ind Calculations'!F106))/('Com-Ind Equations'!$B$56))/('Chemical Info'!N107))))</f>
        <v>NA</v>
      </c>
      <c r="S106" s="90">
        <f>IF(AND(O106="NA",P106="NA",Q106="NA"),"NA",IF(O106="NA",'Com-Ind Equations'!$B$45/'Com-Ind Calculations'!Q106,IF('Com-Ind Calculations'!Q106="NA",'Com-Ind Equations'!$B$45/('Com-Ind Calculations'!O106+'Com-Ind Calculations'!P106),'Com-Ind Equations'!$B$45/('Com-Ind Calculations'!O106+'Com-Ind Calculations'!P106+'Com-Ind Calculations'!Q106))))</f>
        <v>6488.8888888888896</v>
      </c>
      <c r="T106" s="95">
        <f>IF(AND(O106="NA",P106="NA",R106="NA"),"NA",IF(O106="NA",'Com-Ind Equations'!$B$45/R106,IF(R106="NA",'Com-Ind Equations'!$B$45/(O106+P106),'Com-Ind Equations'!$B$45/(O106+P106+R106))))</f>
        <v>6488.8888888888896</v>
      </c>
      <c r="U106" s="97">
        <f t="shared" si="101"/>
        <v>6488.8888888888896</v>
      </c>
      <c r="V106" s="101">
        <f t="shared" si="102"/>
        <v>914.54505333333316</v>
      </c>
      <c r="W106" s="105">
        <f t="shared" si="104"/>
        <v>910</v>
      </c>
      <c r="X106" s="100" t="str">
        <f t="shared" si="103"/>
        <v>Csat</v>
      </c>
      <c r="Y106" s="70"/>
    </row>
    <row r="107" spans="1:26">
      <c r="A107" s="413" t="s">
        <v>40</v>
      </c>
      <c r="B107" s="566" t="s">
        <v>41</v>
      </c>
      <c r="C107" s="85">
        <f>1/(('Com-Ind Equations'!$B$123*3600)/(0.036*(1-'Com-Ind Equations'!$B$124)*(('Com-Ind Equations'!$B$125/'Com-Ind Equations'!$B$126)^3)*'Com-Ind Equations'!$B$127))</f>
        <v>1.4713536180231943E-9</v>
      </c>
      <c r="D107" s="90">
        <f>(('Com-Ind Equations'!$B$103^(10/3)*'Chemical Info'!AH108*'Chemical Info'!AN108*41+'Com-Ind Equations'!$B$106^(10/3)*'Chemical Info'!AJ108)/'Com-Ind Equations'!$B$108^2)/('Com-Ind Equations'!$B$110*'Chemical Info'!AL108*'Com-Ind Equations'!$B$113+'Com-Ind Equations'!$B$106+'Com-Ind Equations'!$B$103*'Chemical Info'!AN108*41)</f>
        <v>2.0346819660741633E-9</v>
      </c>
      <c r="E107" s="65">
        <f>IF(D107=0,"NA",1/(('Com-Ind Equations'!$B$74*(3.14*D107*'Com-Ind Equations'!$B$76)^(1/2)*0.0001)/(2*'Com-Ind Equations'!$B$77*D107)))</f>
        <v>2.647749238254771E-7</v>
      </c>
      <c r="F107" s="65">
        <f>IF(D107=0,"NA",(1/('Com-Ind Equations'!$B$88*('Com-Ind Equations'!$B$89*(31500000))/('Com-Ind Equations'!$B$90*'Com-Ind Equations'!$B$91*1000000))))</f>
        <v>6.1914410640015851E-5</v>
      </c>
      <c r="G107" s="95" t="str">
        <f>IF('Chemical Info'!E108="Yes",('Chemical Info'!AP108/'Com-Ind Equations'!$B$139)*((('Chemical Info'!AL108*'Com-Ind Equations'!$B$141)*'Com-Ind Equations'!$B$139)+'Com-Ind Equations'!$B$142+('Chemical Info'!AN108*41)*'Com-Ind Equations'!$B$144),"NA")</f>
        <v>NA</v>
      </c>
      <c r="H107" s="112" t="str">
        <f>IF('Chemical Info'!H108="NA","NA",IF('Chemical Info'!E108="Yes",'Chemical Info'!H108*'Chemical Info'!AD108*'Com-Ind Equations'!$B$18*'Com-Ind Equations'!$B$22*(('Com-Ind Equations'!$B$24*'Com-Ind Equations'!$B$25)/'Com-Ind Equations'!$B$26),'Chemical Info'!H108*'Chemical Info'!AD108*'Com-Ind Equations'!$B$17*'Com-Ind Equations'!$B$22*('Com-Ind Equations'!$B$24*'Com-Ind Equations'!$B$25/'Com-Ind Equations'!$B$26)))</f>
        <v>NA</v>
      </c>
      <c r="I107" s="108" t="str">
        <f>IF('Chemical Info'!H108="NA","NA",IF('Chemical Info'!E108="Yes",0,('Chemical Info'!H108/'Chemical Info'!AF108)*'Com-Ind Equations'!$B$19*'Chemical Info'!AB108*'Com-Ind Equations'!$B$22*(('Com-Ind Equations'!$B$24*'Com-Ind Equations'!$B$29*'Com-Ind Equations'!$B$30)/'Com-Ind Equations'!$B$26)))</f>
        <v>NA</v>
      </c>
      <c r="J107" s="115" t="str">
        <f>IF('Chemical Info'!J108="NA","NA",IF(E107="NA",'Com-Ind Equations'!$B$20*1000*'Com-Ind Equations'!$B$24*'Com-Ind Equations'!$B$21*'Chemical Info'!J108*'Com-Ind Calculations'!C107,IF('Chemical Info'!E108="Yes",'Com-Ind Equations'!$B$20*1000*'Com-Ind Equations'!$B$24*'Com-Ind Equations'!$B$21*'Chemical Info'!J108*'Com-Ind Calculations'!E107,'Com-Ind Equations'!$B$20*1000*'Com-Ind Equations'!$B$24*'Com-Ind Equations'!$B$21*'Chemical Info'!J108*('Com-Ind Calculations'!C107+'Com-Ind Calculations'!E107))))</f>
        <v>NA</v>
      </c>
      <c r="K107" s="117" t="str">
        <f>IF('Chemical Info'!J108="NA","NA",IF(F107="NA",'Com-Ind Equations'!$B$20*1000*'Com-Ind Equations'!$B$24*'Com-Ind Equations'!$B$21*'Chemical Info'!J108*'Com-Ind Calculations'!C107,IF('Chemical Info'!E108="Yes",'Com-Ind Equations'!$B$20*1000*'Com-Ind Equations'!$B$24*'Com-Ind Equations'!$B$21*'Chemical Info'!J108*'Com-Ind Calculations'!F107,'Com-Ind Equations'!$B$20*1000*'Com-Ind Equations'!$B$24*'Com-Ind Equations'!$B$21*'Chemical Info'!J108*('Com-Ind Calculations'!C107+'Com-Ind Calculations'!F107))))</f>
        <v>NA</v>
      </c>
      <c r="L107" s="95" t="str">
        <f>IF(AND(H107="NA",I107="NA",J107="NA"),"NA",IF(H107="NA",'Com-Ind Equations'!$B$13*'Com-Ind Equations'!$B$14/J107,IF(J107="NA",'Com-Ind Equations'!$B$13*'Com-Ind Equations'!$B$14/(H107+I107),'Com-Ind Equations'!$B$13*'Com-Ind Equations'!$B$14/(H107+I107+J107))))</f>
        <v>NA</v>
      </c>
      <c r="M107" s="95" t="str">
        <f>IF(AND(H107="NA",I107="NA",K107="NA"),"NA",IF(H107="NA",'Com-Ind Equations'!$B$13*'Com-Ind Equations'!$B$14/K107,IF(K107="NA",'Com-Ind Equations'!$B$13*'Com-Ind Equations'!$B$14/(H107+I107),'Com-Ind Equations'!$B$13*'Com-Ind Equations'!$B$14/(H107+I107+K107))))</f>
        <v>NA</v>
      </c>
      <c r="N107" s="95" t="str">
        <f t="shared" si="100"/>
        <v>NA</v>
      </c>
      <c r="O107" s="94">
        <f>IF('Chemical Info'!L108="NA","NA",IF('Chemical Info'!E108="Yes",(('Com-Ind Equations'!$B$46*'Chemical Info'!AD108*'Com-Ind Equations'!$B$48*'Com-Ind Equations'!$B$49*'Com-Ind Equations'!$B$51)/('Com-Ind Equations'!$B$55*'Com-Ind Equations'!$B$56))/'Chemical Info'!L108,(('Com-Ind Equations'!$B$46*'Chemical Info'!AD108*'Com-Ind Equations'!$B$48*'Com-Ind Equations'!$B$49*'Com-Ind Equations'!$B$50)/('Com-Ind Equations'!$B$55*'Com-Ind Equations'!$B$56))/'Chemical Info'!L108))</f>
        <v>5.7077625570776249E-6</v>
      </c>
      <c r="P107" s="90">
        <f>IF('Chemical Info'!L108="NA","NA", IF('Chemical Info'!E108="Yes",0,((('Com-Ind Equations'!$B$58*'Com-Ind Equations'!$B$59*'Com-Ind Equations'!$B$48*'Com-Ind Equations'!$B$52*'Com-Ind Equations'!$B$49*'Chemical Info'!AB108)/('Com-Ind Equations'!$B$55*'Com-Ind Equations'!$B$56))/('Chemical Info'!L108*'Chemical Info'!AF108))))</f>
        <v>1.7393424657534244E-6</v>
      </c>
      <c r="Q107" s="90" t="str">
        <f>IF('Chemical Info'!N108="NA","NA",IF('Com-Ind Calculations'!E107="NA",(('Com-Ind Equations'!$B$53*'Com-Ind Equations'!$B$49*'Com-Ind Equations'!$B$54*'Com-Ind Calculations'!C107)/('Com-Ind Equations'!$B$56))/('Chemical Info'!N108),IF('Chemical Info'!E108="Yes",(('Com-Ind Equations'!$B$53*'Com-Ind Equations'!$B$49*'Com-Ind Equations'!$B$54*'Com-Ind Calculations'!E107)/('Com-Ind Equations'!$B$56))/('Chemical Info'!N108),(('Com-Ind Equations'!$B$53*'Com-Ind Equations'!$B$49*'Com-Ind Equations'!$B$54*('Com-Ind Calculations'!C107+'Com-Ind Calculations'!E107))/('Com-Ind Equations'!$B$56))/('Chemical Info'!N108))))</f>
        <v>NA</v>
      </c>
      <c r="R107" s="90" t="str">
        <f>IF('Chemical Info'!N108="NA","NA",IF('Com-Ind Calculations'!F107="NA",(('Com-Ind Equations'!$B$53*'Com-Ind Equations'!$B$49*'Com-Ind Equations'!$B$54*'Com-Ind Calculations'!C107)/('Com-Ind Equations'!$B$56))/('Chemical Info'!N108),IF('Chemical Info'!E108="Yes",(('Com-Ind Equations'!$B$53*'Com-Ind Equations'!$B$49*'Com-Ind Equations'!$B$54*'Com-Ind Calculations'!F107)/('Com-Ind Equations'!$B$56))/('Chemical Info'!N108),(('Com-Ind Equations'!$B$53*'Com-Ind Equations'!$B$49*'Com-Ind Equations'!$B$54*('Com-Ind Calculations'!C107+'Com-Ind Calculations'!F107))/('Com-Ind Equations'!$B$56))/('Chemical Info'!N108))))</f>
        <v>NA</v>
      </c>
      <c r="S107" s="90">
        <f>IF(AND(O107="NA",P107="NA",Q107="NA"),"NA",IF(O107="NA",'Com-Ind Equations'!$B$45/'Com-Ind Calculations'!Q107,IF('Com-Ind Calculations'!Q107="NA",'Com-Ind Equations'!$B$45/('Com-Ind Calculations'!O107+'Com-Ind Calculations'!P107),'Com-Ind Equations'!$B$45/('Com-Ind Calculations'!O107+'Com-Ind Calculations'!P107+'Com-Ind Calculations'!Q107))))</f>
        <v>26856.073519420992</v>
      </c>
      <c r="T107" s="95">
        <f>IF(AND(O107="NA",P107="NA",R107="NA"),"NA",IF(O107="NA",'Com-Ind Equations'!$B$45/R107,IF(R107="NA",'Com-Ind Equations'!$B$45/(O107+P107),'Com-Ind Equations'!$B$45/(O107+P107+R107))))</f>
        <v>26856.073519420992</v>
      </c>
      <c r="U107" s="97">
        <f t="shared" si="101"/>
        <v>26856.073519420992</v>
      </c>
      <c r="V107" s="101">
        <f t="shared" si="102"/>
        <v>26856.073519420992</v>
      </c>
      <c r="W107" s="105">
        <f t="shared" si="104"/>
        <v>27000</v>
      </c>
      <c r="X107" s="100" t="str">
        <f t="shared" si="103"/>
        <v>Noncancer</v>
      </c>
      <c r="Y107" s="70"/>
    </row>
    <row r="108" spans="1:26">
      <c r="A108" s="413" t="s">
        <v>1129</v>
      </c>
      <c r="B108" s="566" t="s">
        <v>1130</v>
      </c>
      <c r="C108" s="85">
        <f>1/(('Com-Ind Equations'!$B$123*3600)/(0.036*(1-'Com-Ind Equations'!$B$124)*(('Com-Ind Equations'!$B$125/'Com-Ind Equations'!$B$126)^3)*'Com-Ind Equations'!$B$127))</f>
        <v>1.4713536180231943E-9</v>
      </c>
      <c r="D108" s="90">
        <f>(('Com-Ind Equations'!$B$103^(10/3)*'Chemical Info'!AH109*'Chemical Info'!AN109*41+'Com-Ind Equations'!$B$106^(10/3)*'Chemical Info'!AJ109)/'Com-Ind Equations'!$B$108^2)/('Com-Ind Equations'!$B$110*'Chemical Info'!AL109*'Com-Ind Equations'!$B$113+'Com-Ind Equations'!$B$106+'Com-Ind Equations'!$B$103*'Chemical Info'!AN109*41)</f>
        <v>2.4607575739509164E-7</v>
      </c>
      <c r="E108" s="65">
        <f>IF(D108=0,"NA",1/(('Com-Ind Equations'!$B$74*(3.14*D108*'Com-Ind Equations'!$B$76)^(1/2)*0.0001)/(2*'Com-Ind Equations'!$B$77*D108)))</f>
        <v>2.9118097713627836E-6</v>
      </c>
      <c r="F108" s="65">
        <f>IF(D108=0,"NA",(1/('Com-Ind Equations'!$B$88*('Com-Ind Equations'!$B$89*(31500000))/('Com-Ind Equations'!$B$90*'Com-Ind Equations'!$B$91*1000000))))</f>
        <v>6.1914410640015851E-5</v>
      </c>
      <c r="G108" s="95" t="str">
        <f>IF('Chemical Info'!E109="Yes",('Chemical Info'!AP109/'Com-Ind Equations'!$B$139)*((('Chemical Info'!AL109*'Com-Ind Equations'!$B$141)*'Com-Ind Equations'!$B$139)+'Com-Ind Equations'!$B$142+('Chemical Info'!AN109*41)*'Com-Ind Equations'!$B$144),"NA")</f>
        <v>NA</v>
      </c>
      <c r="H108" s="112" t="str">
        <f>IF('Chemical Info'!H109="NA","NA",IF('Chemical Info'!E109="Yes",'Chemical Info'!H109*'Chemical Info'!AD109*'Com-Ind Equations'!$B$18*'Com-Ind Equations'!$B$22*(('Com-Ind Equations'!$B$24*'Com-Ind Equations'!$B$25)/'Com-Ind Equations'!$B$26),'Chemical Info'!H109*'Chemical Info'!AD109*'Com-Ind Equations'!$B$17*'Com-Ind Equations'!$B$22*('Com-Ind Equations'!$B$24*'Com-Ind Equations'!$B$25/'Com-Ind Equations'!$B$26)))</f>
        <v>NA</v>
      </c>
      <c r="I108" s="108" t="str">
        <f>IF('Chemical Info'!H109="NA","NA",IF('Chemical Info'!E109="Yes",0,('Chemical Info'!H109/'Chemical Info'!AF109)*'Com-Ind Equations'!$B$19*'Chemical Info'!AB109*'Com-Ind Equations'!$B$22*(('Com-Ind Equations'!$B$24*'Com-Ind Equations'!$B$29*'Com-Ind Equations'!$B$30)/'Com-Ind Equations'!$B$26)))</f>
        <v>NA</v>
      </c>
      <c r="J108" s="115" t="str">
        <f>IF('Chemical Info'!J109="NA","NA",IF(E108="NA",'Com-Ind Equations'!$B$20*1000*'Com-Ind Equations'!$B$24*'Com-Ind Equations'!$B$21*'Chemical Info'!J109*'Com-Ind Calculations'!C108,IF('Chemical Info'!E109="Yes",'Com-Ind Equations'!$B$20*1000*'Com-Ind Equations'!$B$24*'Com-Ind Equations'!$B$21*'Chemical Info'!J109*'Com-Ind Calculations'!E108,'Com-Ind Equations'!$B$20*1000*'Com-Ind Equations'!$B$24*'Com-Ind Equations'!$B$21*'Chemical Info'!J109*('Com-Ind Calculations'!C108+'Com-Ind Calculations'!E108))))</f>
        <v>NA</v>
      </c>
      <c r="K108" s="117" t="str">
        <f>IF('Chemical Info'!J109="NA","NA",IF(F108="NA",'Com-Ind Equations'!$B$20*1000*'Com-Ind Equations'!$B$24*'Com-Ind Equations'!$B$21*'Chemical Info'!J109*'Com-Ind Calculations'!C108,IF('Chemical Info'!E109="Yes",'Com-Ind Equations'!$B$20*1000*'Com-Ind Equations'!$B$24*'Com-Ind Equations'!$B$21*'Chemical Info'!J109*'Com-Ind Calculations'!F108,'Com-Ind Equations'!$B$20*1000*'Com-Ind Equations'!$B$24*'Com-Ind Equations'!$B$21*'Chemical Info'!J109*('Com-Ind Calculations'!C108+'Com-Ind Calculations'!F108))))</f>
        <v>NA</v>
      </c>
      <c r="L108" s="95" t="str">
        <f>IF(AND(H108="NA",I108="NA",J108="NA"),"NA",IF(H108="NA",'Com-Ind Equations'!$B$13*'Com-Ind Equations'!$B$14/J108,IF(J108="NA",'Com-Ind Equations'!$B$13*'Com-Ind Equations'!$B$14/(H108+I108),'Com-Ind Equations'!$B$13*'Com-Ind Equations'!$B$14/(H108+I108+J108))))</f>
        <v>NA</v>
      </c>
      <c r="M108" s="95" t="str">
        <f>IF(AND(H108="NA",I108="NA",K108="NA"),"NA",IF(H108="NA",'Com-Ind Equations'!$B$13*'Com-Ind Equations'!$B$14/K108,IF(K108="NA",'Com-Ind Equations'!$B$13*'Com-Ind Equations'!$B$14/(H108+I108),'Com-Ind Equations'!$B$13*'Com-Ind Equations'!$B$14/(H108+I108+K108))))</f>
        <v>NA</v>
      </c>
      <c r="N108" s="95" t="str">
        <f t="shared" ref="N108:N110" si="115">IF(AND(L108="NA",M108="NA"),"NA",MAX(L108,M108))</f>
        <v>NA</v>
      </c>
      <c r="O108" s="94">
        <f>IF('Chemical Info'!L109="NA","NA",IF('Chemical Info'!E109="Yes",(('Com-Ind Equations'!$B$46*'Chemical Info'!AD109*'Com-Ind Equations'!$B$48*'Com-Ind Equations'!$B$49*'Com-Ind Equations'!$B$51)/('Com-Ind Equations'!$B$55*'Com-Ind Equations'!$B$56))/'Chemical Info'!L109,(('Com-Ind Equations'!$B$46*'Chemical Info'!AD109*'Com-Ind Equations'!$B$48*'Com-Ind Equations'!$B$49*'Com-Ind Equations'!$B$50)/('Com-Ind Equations'!$B$55*'Com-Ind Equations'!$B$56))/'Chemical Info'!L109))</f>
        <v>1.7123287671232873E-6</v>
      </c>
      <c r="P108" s="90">
        <f>IF('Chemical Info'!L109="NA","NA", IF('Chemical Info'!E109="Yes",0,((('Com-Ind Equations'!$B$58*'Com-Ind Equations'!$B$59*'Com-Ind Equations'!$B$48*'Com-Ind Equations'!$B$52*'Com-Ind Equations'!$B$49*'Chemical Info'!AB109)/('Com-Ind Equations'!$B$55*'Com-Ind Equations'!$B$56))/('Chemical Info'!L109*'Chemical Info'!AF109))))</f>
        <v>5.2180273972602731E-7</v>
      </c>
      <c r="Q108" s="90">
        <f>IF('Chemical Info'!N109="NA","NA",IF('Com-Ind Calculations'!E108="NA",(('Com-Ind Equations'!$B$53*'Com-Ind Equations'!$B$49*'Com-Ind Equations'!$B$54*'Com-Ind Calculations'!C108)/('Com-Ind Equations'!$B$56))/('Chemical Info'!N109),IF('Chemical Info'!E109="Yes",(('Com-Ind Equations'!$B$53*'Com-Ind Equations'!$B$49*'Com-Ind Equations'!$B$54*'Com-Ind Calculations'!E108)/('Com-Ind Equations'!$B$56))/('Chemical Info'!N109),(('Com-Ind Equations'!$B$53*'Com-Ind Equations'!$B$49*'Com-Ind Equations'!$B$54*('Com-Ind Calculations'!C108+'Com-Ind Calculations'!E108))/('Com-Ind Equations'!$B$56))/('Chemical Info'!N109))))</f>
        <v>2.7209973147392341E-4</v>
      </c>
      <c r="R108" s="90">
        <f>IF('Chemical Info'!N109="NA","NA",IF('Com-Ind Calculations'!F108="NA",(('Com-Ind Equations'!$B$53*'Com-Ind Equations'!$B$49*'Com-Ind Equations'!$B$54*'Com-Ind Calculations'!C108)/('Com-Ind Equations'!$B$56))/('Chemical Info'!N109),IF('Chemical Info'!E109="Yes",(('Com-Ind Equations'!$B$53*'Com-Ind Equations'!$B$49*'Com-Ind Equations'!$B$54*'Com-Ind Calculations'!F108)/('Com-Ind Equations'!$B$56))/('Chemical Info'!N109),(('Com-Ind Equations'!$B$53*'Com-Ind Equations'!$B$49*'Com-Ind Equations'!$B$54*('Com-Ind Calculations'!C108+'Com-Ind Calculations'!F108))/('Com-Ind Equations'!$B$56))/('Chemical Info'!N109))))</f>
        <v>5.7829279570641842E-3</v>
      </c>
      <c r="S108" s="90">
        <f>IF(AND(O108="NA",P108="NA",Q108="NA"),"NA",IF(O108="NA",'Com-Ind Equations'!$B$45/'Com-Ind Calculations'!Q108,IF('Com-Ind Calculations'!Q108="NA",'Com-Ind Equations'!$B$45/('Com-Ind Calculations'!O108+'Com-Ind Calculations'!P108),'Com-Ind Equations'!$B$45/('Com-Ind Calculations'!O108+'Com-Ind Calculations'!P108+'Com-Ind Calculations'!Q108))))</f>
        <v>729.03868967141489</v>
      </c>
      <c r="T108" s="95">
        <f>IF(AND(O108="NA",P108="NA",R108="NA"),"NA",IF(O108="NA",'Com-Ind Equations'!$B$45/R108,IF(R108="NA",'Com-Ind Equations'!$B$45/(O108+P108),'Com-Ind Equations'!$B$45/(O108+P108+R108))))</f>
        <v>34.571200761187505</v>
      </c>
      <c r="U108" s="97">
        <f t="shared" ref="U108:U110" si="116">IF(AND(S108="NA",T108="NA"),"NA",MAX(S108,T108))</f>
        <v>729.03868967141489</v>
      </c>
      <c r="V108" s="101">
        <f t="shared" ref="V108:V110" si="117">IF(AND(N108="NA",U108="NA",G108="NA"),"NA",MIN(N108,U108,G108))</f>
        <v>729.03868967141489</v>
      </c>
      <c r="W108" s="105">
        <f t="shared" ref="W108:W110" si="118">IF(V108&gt;100000,100000,IF(ISNUMBER(ROUND(V108*1000000,2-LEN(INT(V108*1000000)))/1000000),ROUND(V108*1000000,2-LEN(INT(V108*1000000)))/1000000,"NA"))</f>
        <v>730</v>
      </c>
      <c r="X108" s="100" t="str">
        <f t="shared" ref="X108:X110" si="119">IF(W108=100000,"Max Limit",IF(V108=G108,"Csat",IF(V108=N108,"Cancer",IF(V108=U108,"Noncancer",""))))</f>
        <v>Noncancer</v>
      </c>
      <c r="Y108" s="70"/>
    </row>
    <row r="109" spans="1:26">
      <c r="A109" s="413" t="s">
        <v>1233</v>
      </c>
      <c r="B109" s="566" t="s">
        <v>1232</v>
      </c>
      <c r="C109" s="85">
        <f>1/(('Com-Ind Equations'!$B$123*3600)/(0.036*(1-'Com-Ind Equations'!$B$124)*(('Com-Ind Equations'!$B$125/'Com-Ind Equations'!$B$126)^3)*'Com-Ind Equations'!$B$127))</f>
        <v>1.4713536180231943E-9</v>
      </c>
      <c r="D109" s="90">
        <f>(('Com-Ind Equations'!$B$103^(10/3)*'Chemical Info'!AH110*'Chemical Info'!AN110*41+'Com-Ind Equations'!$B$106^(10/3)*'Chemical Info'!AJ110)/'Com-Ind Equations'!$B$108^2)/('Com-Ind Equations'!$B$110*'Chemical Info'!AL110*'Com-Ind Equations'!$B$113+'Com-Ind Equations'!$B$106+'Com-Ind Equations'!$B$103*'Chemical Info'!AN110*41)</f>
        <v>3.0310064148394683E-7</v>
      </c>
      <c r="E109" s="65">
        <f>IF(D109=0,"NA",1/(('Com-Ind Equations'!$B$74*(3.14*D109*'Com-Ind Equations'!$B$76)^(1/2)*0.0001)/(2*'Com-Ind Equations'!$B$77*D109)))</f>
        <v>3.2316328310828588E-6</v>
      </c>
      <c r="F109" s="65">
        <f>IF(D109=0,"NA",(1/('Com-Ind Equations'!$B$88*('Com-Ind Equations'!$B$89*(31500000))/('Com-Ind Equations'!$B$90*'Com-Ind Equations'!$B$91*1000000))))</f>
        <v>6.1914410640015851E-5</v>
      </c>
      <c r="G109" s="95" t="str">
        <f>IF('Chemical Info'!E110="Yes",('Chemical Info'!AP110/'Com-Ind Equations'!$B$139)*((('Chemical Info'!AL110*'Com-Ind Equations'!$B$141)*'Com-Ind Equations'!$B$139)+'Com-Ind Equations'!$B$142+('Chemical Info'!AN110*41)*'Com-Ind Equations'!$B$144),"NA")</f>
        <v>NA</v>
      </c>
      <c r="H109" s="112">
        <f>IF('Chemical Info'!H110="NA","NA",IF('Chemical Info'!E110="Yes",'Chemical Info'!H110*'Chemical Info'!AD110*'Com-Ind Equations'!$B$18*'Com-Ind Equations'!$B$22*(('Com-Ind Equations'!$B$24*'Com-Ind Equations'!$B$25)/'Com-Ind Equations'!$B$26),'Chemical Info'!H110*'Chemical Info'!AD110*'Com-Ind Equations'!$B$17*'Com-Ind Equations'!$B$22*('Com-Ind Equations'!$B$24*'Com-Ind Equations'!$B$25/'Com-Ind Equations'!$B$26)))</f>
        <v>1.5624999999999999E-3</v>
      </c>
      <c r="I109" s="108">
        <f>IF('Chemical Info'!H110="NA","NA",IF('Chemical Info'!E110="Yes",0,('Chemical Info'!H110/'Chemical Info'!AF110)*'Com-Ind Equations'!$B$19*'Chemical Info'!AB110*'Com-Ind Equations'!$B$22*(('Com-Ind Equations'!$B$24*'Com-Ind Equations'!$B$29*'Com-Ind Equations'!$B$30)/'Com-Ind Equations'!$B$26)))</f>
        <v>4.7614499999999992E-4</v>
      </c>
      <c r="J109" s="115" t="str">
        <f>IF('Chemical Info'!J110="NA","NA",IF(E109="NA",'Com-Ind Equations'!$B$20*1000*'Com-Ind Equations'!$B$24*'Com-Ind Equations'!$B$21*'Chemical Info'!J110*'Com-Ind Calculations'!C109,IF('Chemical Info'!E110="Yes",'Com-Ind Equations'!$B$20*1000*'Com-Ind Equations'!$B$24*'Com-Ind Equations'!$B$21*'Chemical Info'!J110*'Com-Ind Calculations'!E109,'Com-Ind Equations'!$B$20*1000*'Com-Ind Equations'!$B$24*'Com-Ind Equations'!$B$21*'Chemical Info'!J110*('Com-Ind Calculations'!C109+'Com-Ind Calculations'!E109))))</f>
        <v>NA</v>
      </c>
      <c r="K109" s="117" t="str">
        <f>IF('Chemical Info'!J110="NA","NA",IF(F109="NA",'Com-Ind Equations'!$B$20*1000*'Com-Ind Equations'!$B$24*'Com-Ind Equations'!$B$21*'Chemical Info'!J110*'Com-Ind Calculations'!C109,IF('Chemical Info'!E110="Yes",'Com-Ind Equations'!$B$20*1000*'Com-Ind Equations'!$B$24*'Com-Ind Equations'!$B$21*'Chemical Info'!J110*'Com-Ind Calculations'!F109,'Com-Ind Equations'!$B$20*1000*'Com-Ind Equations'!$B$24*'Com-Ind Equations'!$B$21*'Chemical Info'!J110*('Com-Ind Calculations'!C109+'Com-Ind Calculations'!F109))))</f>
        <v>NA</v>
      </c>
      <c r="L109" s="95">
        <f>IF(AND(H109="NA",I109="NA",J109="NA"),"NA",IF(H109="NA",'Com-Ind Equations'!$B$13*'Com-Ind Equations'!$B$14/J109,IF(J109="NA",'Com-Ind Equations'!$B$13*'Com-Ind Equations'!$B$14/(H109+I109),'Com-Ind Equations'!$B$13*'Com-Ind Equations'!$B$14/(H109+I109+J109))))</f>
        <v>125.32834309063128</v>
      </c>
      <c r="M109" s="95">
        <f>IF(AND(H109="NA",I109="NA",K109="NA"),"NA",IF(H109="NA",'Com-Ind Equations'!$B$13*'Com-Ind Equations'!$B$14/K109,IF(K109="NA",'Com-Ind Equations'!$B$13*'Com-Ind Equations'!$B$14/(H109+I109),'Com-Ind Equations'!$B$13*'Com-Ind Equations'!$B$14/(H109+I109+K109))))</f>
        <v>125.32834309063128</v>
      </c>
      <c r="N109" s="95">
        <f t="shared" ref="N109" si="120">IF(AND(L109="NA",M109="NA"),"NA",MAX(L109,M109))</f>
        <v>125.32834309063128</v>
      </c>
      <c r="O109" s="94">
        <f>IF('Chemical Info'!L110="NA","NA",IF('Chemical Info'!E110="Yes",(('Com-Ind Equations'!$B$46*'Chemical Info'!AD110*'Com-Ind Equations'!$B$48*'Com-Ind Equations'!$B$49*'Com-Ind Equations'!$B$51)/('Com-Ind Equations'!$B$55*'Com-Ind Equations'!$B$56))/'Chemical Info'!L110,(('Com-Ind Equations'!$B$46*'Chemical Info'!AD110*'Com-Ind Equations'!$B$48*'Com-Ind Equations'!$B$49*'Com-Ind Equations'!$B$50)/('Com-Ind Equations'!$B$55*'Com-Ind Equations'!$B$56))/'Chemical Info'!L110))</f>
        <v>1.7123287671232874E-3</v>
      </c>
      <c r="P109" s="90">
        <f>IF('Chemical Info'!L110="NA","NA", IF('Chemical Info'!E110="Yes",0,((('Com-Ind Equations'!$B$58*'Com-Ind Equations'!$B$59*'Com-Ind Equations'!$B$48*'Com-Ind Equations'!$B$52*'Com-Ind Equations'!$B$49*'Chemical Info'!AB110)/('Com-Ind Equations'!$B$55*'Com-Ind Equations'!$B$56))/('Chemical Info'!L110*'Chemical Info'!AF110))))</f>
        <v>5.2180273972602732E-4</v>
      </c>
      <c r="Q109" s="90" t="str">
        <f>IF('Chemical Info'!N110="NA","NA",IF('Com-Ind Calculations'!E109="NA",(('Com-Ind Equations'!$B$53*'Com-Ind Equations'!$B$49*'Com-Ind Equations'!$B$54*'Com-Ind Calculations'!C109)/('Com-Ind Equations'!$B$56))/('Chemical Info'!N110),IF('Chemical Info'!E110="Yes",(('Com-Ind Equations'!$B$53*'Com-Ind Equations'!$B$49*'Com-Ind Equations'!$B$54*'Com-Ind Calculations'!E109)/('Com-Ind Equations'!$B$56))/('Chemical Info'!N110),(('Com-Ind Equations'!$B$53*'Com-Ind Equations'!$B$49*'Com-Ind Equations'!$B$54*('Com-Ind Calculations'!C109+'Com-Ind Calculations'!E109))/('Com-Ind Equations'!$B$56))/('Chemical Info'!N110))))</f>
        <v>NA</v>
      </c>
      <c r="R109" s="90" t="str">
        <f>IF('Chemical Info'!N110="NA","NA",IF('Com-Ind Calculations'!F109="NA",(('Com-Ind Equations'!$B$53*'Com-Ind Equations'!$B$49*'Com-Ind Equations'!$B$54*'Com-Ind Calculations'!C109)/('Com-Ind Equations'!$B$56))/('Chemical Info'!N110),IF('Chemical Info'!E110="Yes",(('Com-Ind Equations'!$B$53*'Com-Ind Equations'!$B$49*'Com-Ind Equations'!$B$54*'Com-Ind Calculations'!F109)/('Com-Ind Equations'!$B$56))/('Chemical Info'!N110),(('Com-Ind Equations'!$B$53*'Com-Ind Equations'!$B$49*'Com-Ind Equations'!$B$54*('Com-Ind Calculations'!C109+'Com-Ind Calculations'!F109))/('Com-Ind Equations'!$B$56))/('Chemical Info'!N110))))</f>
        <v>NA</v>
      </c>
      <c r="S109" s="90">
        <f>IF(AND(O109="NA",P109="NA",Q109="NA"),"NA",IF(O109="NA",'Com-Ind Equations'!$B$45/'Com-Ind Calculations'!Q109,IF('Com-Ind Calculations'!Q109="NA",'Com-Ind Equations'!$B$45/('Com-Ind Calculations'!O109+'Com-Ind Calculations'!P109),'Com-Ind Equations'!$B$45/('Com-Ind Calculations'!O109+'Com-Ind Calculations'!P109+'Com-Ind Calculations'!Q109))))</f>
        <v>89.520245064736656</v>
      </c>
      <c r="T109" s="95">
        <f>IF(AND(O109="NA",P109="NA",R109="NA"),"NA",IF(O109="NA",'Com-Ind Equations'!$B$45/R109,IF(R109="NA",'Com-Ind Equations'!$B$45/(O109+P109),'Com-Ind Equations'!$B$45/(O109+P109+R109))))</f>
        <v>89.520245064736656</v>
      </c>
      <c r="U109" s="97">
        <f t="shared" ref="U109" si="121">IF(AND(S109="NA",T109="NA"),"NA",MAX(S109,T109))</f>
        <v>89.520245064736656</v>
      </c>
      <c r="V109" s="101">
        <f t="shared" ref="V109" si="122">IF(AND(N109="NA",U109="NA",G109="NA"),"NA",MIN(N109,U109,G109))</f>
        <v>89.520245064736656</v>
      </c>
      <c r="W109" s="105">
        <f t="shared" ref="W109" si="123">IF(V109&gt;100000,100000,IF(ISNUMBER(ROUND(V109*1000000,2-LEN(INT(V109*1000000)))/1000000),ROUND(V109*1000000,2-LEN(INT(V109*1000000)))/1000000,"NA"))</f>
        <v>90</v>
      </c>
      <c r="X109" s="100" t="str">
        <f t="shared" ref="X109" si="124">IF(W109=100000,"Max Limit",IF(V109=G109,"Csat",IF(V109=N109,"Cancer",IF(V109=U109,"Noncancer",""))))</f>
        <v>Noncancer</v>
      </c>
      <c r="Y109" s="70"/>
    </row>
    <row r="110" spans="1:26">
      <c r="A110" s="413" t="s">
        <v>1131</v>
      </c>
      <c r="B110" s="566" t="s">
        <v>1132</v>
      </c>
      <c r="C110" s="85">
        <f>1/(('Com-Ind Equations'!$B$123*3600)/(0.036*(1-'Com-Ind Equations'!$B$124)*(('Com-Ind Equations'!$B$125/'Com-Ind Equations'!$B$126)^3)*'Com-Ind Equations'!$B$127))</f>
        <v>1.4713536180231943E-9</v>
      </c>
      <c r="D110" s="90">
        <f>(('Com-Ind Equations'!$B$103^(10/3)*'Chemical Info'!AH111*'Chemical Info'!AN111*41+'Com-Ind Equations'!$B$106^(10/3)*'Chemical Info'!AJ111)/'Com-Ind Equations'!$B$108^2)/('Com-Ind Equations'!$B$110*'Chemical Info'!AL111*'Com-Ind Equations'!$B$113+'Com-Ind Equations'!$B$106+'Com-Ind Equations'!$B$103*'Chemical Info'!AN111*41)</f>
        <v>6.6048106829946967E-7</v>
      </c>
      <c r="E110" s="65">
        <f>IF(D110=0,"NA",1/(('Com-Ind Equations'!$B$74*(3.14*D110*'Com-Ind Equations'!$B$76)^(1/2)*0.0001)/(2*'Com-Ind Equations'!$B$77*D110)))</f>
        <v>4.7704436557239131E-6</v>
      </c>
      <c r="F110" s="65">
        <f>IF(D110=0,"NA",(1/('Com-Ind Equations'!$B$88*('Com-Ind Equations'!$B$89*(31500000))/('Com-Ind Equations'!$B$90*'Com-Ind Equations'!$B$91*1000000))))</f>
        <v>6.1914410640015851E-5</v>
      </c>
      <c r="G110" s="95">
        <f>IF('Chemical Info'!E111="Yes",('Chemical Info'!AP111/'Com-Ind Equations'!$B$139)*((('Chemical Info'!AL111*'Com-Ind Equations'!$B$141)*'Com-Ind Equations'!$B$139)+'Com-Ind Equations'!$B$142+('Chemical Info'!AN111*41)*'Com-Ind Equations'!$B$144),"NA")</f>
        <v>69200.442943999995</v>
      </c>
      <c r="H110" s="112" t="str">
        <f>IF('Chemical Info'!H111="NA","NA",IF('Chemical Info'!E111="Yes",'Chemical Info'!H111*'Chemical Info'!AD111*'Com-Ind Equations'!$B$18*'Com-Ind Equations'!$B$22*(('Com-Ind Equations'!$B$24*'Com-Ind Equations'!$B$25)/'Com-Ind Equations'!$B$26),'Chemical Info'!H111*'Chemical Info'!AD111*'Com-Ind Equations'!$B$17*'Com-Ind Equations'!$B$22*('Com-Ind Equations'!$B$24*'Com-Ind Equations'!$B$25/'Com-Ind Equations'!$B$26)))</f>
        <v>NA</v>
      </c>
      <c r="I110" s="108" t="str">
        <f>IF('Chemical Info'!H111="NA","NA",IF('Chemical Info'!E111="Yes",0,('Chemical Info'!H111/'Chemical Info'!AF111)*'Com-Ind Equations'!$B$19*'Chemical Info'!AB111*'Com-Ind Equations'!$B$22*(('Com-Ind Equations'!$B$24*'Com-Ind Equations'!$B$29*'Com-Ind Equations'!$B$30)/'Com-Ind Equations'!$B$26)))</f>
        <v>NA</v>
      </c>
      <c r="J110" s="115" t="str">
        <f>IF('Chemical Info'!J111="NA","NA",IF(E110="NA",'Com-Ind Equations'!$B$20*1000*'Com-Ind Equations'!$B$24*'Com-Ind Equations'!$B$21*'Chemical Info'!J111*'Com-Ind Calculations'!C110,IF('Chemical Info'!E111="Yes",'Com-Ind Equations'!$B$20*1000*'Com-Ind Equations'!$B$24*'Com-Ind Equations'!$B$21*'Chemical Info'!J111*'Com-Ind Calculations'!E110,'Com-Ind Equations'!$B$20*1000*'Com-Ind Equations'!$B$24*'Com-Ind Equations'!$B$21*'Chemical Info'!J111*('Com-Ind Calculations'!C110+'Com-Ind Calculations'!E110))))</f>
        <v>NA</v>
      </c>
      <c r="K110" s="117" t="str">
        <f>IF('Chemical Info'!J111="NA","NA",IF(F110="NA",'Com-Ind Equations'!$B$20*1000*'Com-Ind Equations'!$B$24*'Com-Ind Equations'!$B$21*'Chemical Info'!J111*'Com-Ind Calculations'!C110,IF('Chemical Info'!E111="Yes",'Com-Ind Equations'!$B$20*1000*'Com-Ind Equations'!$B$24*'Com-Ind Equations'!$B$21*'Chemical Info'!J111*'Com-Ind Calculations'!F110,'Com-Ind Equations'!$B$20*1000*'Com-Ind Equations'!$B$24*'Com-Ind Equations'!$B$21*'Chemical Info'!J111*('Com-Ind Calculations'!C110+'Com-Ind Calculations'!F110))))</f>
        <v>NA</v>
      </c>
      <c r="L110" s="95" t="str">
        <f>IF(AND(H110="NA",I110="NA",J110="NA"),"NA",IF(H110="NA",'Com-Ind Equations'!$B$13*'Com-Ind Equations'!$B$14/J110,IF(J110="NA",'Com-Ind Equations'!$B$13*'Com-Ind Equations'!$B$14/(H110+I110),'Com-Ind Equations'!$B$13*'Com-Ind Equations'!$B$14/(H110+I110+J110))))</f>
        <v>NA</v>
      </c>
      <c r="M110" s="95" t="str">
        <f>IF(AND(H110="NA",I110="NA",K110="NA"),"NA",IF(H110="NA",'Com-Ind Equations'!$B$13*'Com-Ind Equations'!$B$14/K110,IF(K110="NA",'Com-Ind Equations'!$B$13*'Com-Ind Equations'!$B$14/(H110+I110),'Com-Ind Equations'!$B$13*'Com-Ind Equations'!$B$14/(H110+I110+K110))))</f>
        <v>NA</v>
      </c>
      <c r="N110" s="95" t="str">
        <f t="shared" si="115"/>
        <v>NA</v>
      </c>
      <c r="O110" s="94">
        <f>IF('Chemical Info'!L111="NA","NA",IF('Chemical Info'!E111="Yes",(('Com-Ind Equations'!$B$46*'Chemical Info'!AD111*'Com-Ind Equations'!$B$48*'Com-Ind Equations'!$B$49*'Com-Ind Equations'!$B$51)/('Com-Ind Equations'!$B$55*'Com-Ind Equations'!$B$56))/'Chemical Info'!L111,(('Com-Ind Equations'!$B$46*'Chemical Info'!AD111*'Com-Ind Equations'!$B$48*'Com-Ind Equations'!$B$49*'Com-Ind Equations'!$B$50)/('Com-Ind Equations'!$B$55*'Com-Ind Equations'!$B$56))/'Chemical Info'!L111))</f>
        <v>1.2328767123287671E-4</v>
      </c>
      <c r="P110" s="90">
        <f>IF('Chemical Info'!L111="NA","NA", IF('Chemical Info'!E111="Yes",0,((('Com-Ind Equations'!$B$58*'Com-Ind Equations'!$B$59*'Com-Ind Equations'!$B$48*'Com-Ind Equations'!$B$52*'Com-Ind Equations'!$B$49*'Chemical Info'!AB111)/('Com-Ind Equations'!$B$55*'Com-Ind Equations'!$B$56))/('Chemical Info'!L111*'Chemical Info'!AF111))))</f>
        <v>0</v>
      </c>
      <c r="Q110" s="90" t="str">
        <f>IF('Chemical Info'!N111="NA","NA",IF('Com-Ind Calculations'!E110="NA",(('Com-Ind Equations'!$B$53*'Com-Ind Equations'!$B$49*'Com-Ind Equations'!$B$54*'Com-Ind Calculations'!C110)/('Com-Ind Equations'!$B$56))/('Chemical Info'!N111),IF('Chemical Info'!E111="Yes",(('Com-Ind Equations'!$B$53*'Com-Ind Equations'!$B$49*'Com-Ind Equations'!$B$54*'Com-Ind Calculations'!E110)/('Com-Ind Equations'!$B$56))/('Chemical Info'!N111),(('Com-Ind Equations'!$B$53*'Com-Ind Equations'!$B$49*'Com-Ind Equations'!$B$54*('Com-Ind Calculations'!C110+'Com-Ind Calculations'!E110))/('Com-Ind Equations'!$B$56))/('Chemical Info'!N111))))</f>
        <v>NA</v>
      </c>
      <c r="R110" s="90" t="str">
        <f>IF('Chemical Info'!N111="NA","NA",IF('Com-Ind Calculations'!F110="NA",(('Com-Ind Equations'!$B$53*'Com-Ind Equations'!$B$49*'Com-Ind Equations'!$B$54*'Com-Ind Calculations'!C110)/('Com-Ind Equations'!$B$56))/('Chemical Info'!N111),IF('Chemical Info'!E111="Yes",(('Com-Ind Equations'!$B$53*'Com-Ind Equations'!$B$49*'Com-Ind Equations'!$B$54*'Com-Ind Calculations'!F110)/('Com-Ind Equations'!$B$56))/('Chemical Info'!N111),(('Com-Ind Equations'!$B$53*'Com-Ind Equations'!$B$49*'Com-Ind Equations'!$B$54*('Com-Ind Calculations'!C110+'Com-Ind Calculations'!F110))/('Com-Ind Equations'!$B$56))/('Chemical Info'!N111))))</f>
        <v>NA</v>
      </c>
      <c r="S110" s="90">
        <f>IF(AND(O110="NA",P110="NA",Q110="NA"),"NA",IF(O110="NA",'Com-Ind Equations'!$B$45/'Com-Ind Calculations'!Q110,IF('Com-Ind Calculations'!Q110="NA",'Com-Ind Equations'!$B$45/('Com-Ind Calculations'!O110+'Com-Ind Calculations'!P110),'Com-Ind Equations'!$B$45/('Com-Ind Calculations'!O110+'Com-Ind Calculations'!P110+'Com-Ind Calculations'!Q110))))</f>
        <v>1622.2222222222224</v>
      </c>
      <c r="T110" s="95">
        <f>IF(AND(O110="NA",P110="NA",R110="NA"),"NA",IF(O110="NA",'Com-Ind Equations'!$B$45/R110,IF(R110="NA",'Com-Ind Equations'!$B$45/(O110+P110),'Com-Ind Equations'!$B$45/(O110+P110+R110))))</f>
        <v>1622.2222222222224</v>
      </c>
      <c r="U110" s="97">
        <f t="shared" si="116"/>
        <v>1622.2222222222224</v>
      </c>
      <c r="V110" s="101">
        <f t="shared" si="117"/>
        <v>1622.2222222222224</v>
      </c>
      <c r="W110" s="105">
        <f t="shared" si="118"/>
        <v>1600</v>
      </c>
      <c r="X110" s="100" t="str">
        <f t="shared" si="119"/>
        <v>Noncancer</v>
      </c>
      <c r="Y110" s="70"/>
    </row>
    <row r="111" spans="1:26" ht="12">
      <c r="A111" s="424" t="s">
        <v>1031</v>
      </c>
      <c r="B111" s="566" t="s">
        <v>43</v>
      </c>
      <c r="C111" s="85">
        <f>1/(('Com-Ind Equations'!$B$123*3600)/(0.036*(1-'Com-Ind Equations'!$B$124)*(('Com-Ind Equations'!$B$125/'Com-Ind Equations'!$B$126)^3)*'Com-Ind Equations'!$B$127))</f>
        <v>1.4713536180231943E-9</v>
      </c>
      <c r="D111" s="90">
        <f>(('Com-Ind Equations'!$B$103^(10/3)*'Chemical Info'!AH112*'Chemical Info'!AN112*41+'Com-Ind Equations'!$B$106^(10/3)*'Chemical Info'!AJ112)/'Com-Ind Equations'!$B$108^2)/('Com-Ind Equations'!$B$110*'Chemical Info'!AL112*'Com-Ind Equations'!$B$113+'Com-Ind Equations'!$B$106+'Com-Ind Equations'!$B$103*'Chemical Info'!AN112*41)</f>
        <v>3.3181028608402443E-7</v>
      </c>
      <c r="E111" s="65">
        <f>IF(D111=0,"NA",1/(('Com-Ind Equations'!$B$74*(3.14*D111*'Com-Ind Equations'!$B$76)^(1/2)*0.0001)/(2*'Com-Ind Equations'!$B$77*D111)))</f>
        <v>3.3812206007629989E-6</v>
      </c>
      <c r="F111" s="65">
        <f>IF(D111=0,"NA",(1/('Com-Ind Equations'!$B$88*('Com-Ind Equations'!$B$89*(31500000))/('Com-Ind Equations'!$B$90*'Com-Ind Equations'!$B$91*1000000))))</f>
        <v>6.1914410640015851E-5</v>
      </c>
      <c r="G111" s="120"/>
      <c r="H111" s="112" t="str">
        <f>IF('Chemical Info'!H112="NA","NA",IF('Chemical Info'!E112="Yes",'Chemical Info'!H112*'Chemical Info'!AD112*'Com-Ind Equations'!$B$18*'Com-Ind Equations'!$B$22*(('Com-Ind Equations'!$B$24*'Com-Ind Equations'!$B$25)/'Com-Ind Equations'!$B$26),'Chemical Info'!H112*'Chemical Info'!AD112*'Com-Ind Equations'!$B$17*'Com-Ind Equations'!$B$22*('Com-Ind Equations'!$B$24*'Com-Ind Equations'!$B$25/'Com-Ind Equations'!$B$26)))</f>
        <v>NA</v>
      </c>
      <c r="I111" s="108" t="str">
        <f>IF('Chemical Info'!H112="NA","NA",IF('Chemical Info'!E112="Yes",0,('Chemical Info'!H112/'Chemical Info'!AF112)*'Com-Ind Equations'!$B$19*'Chemical Info'!AB112*'Com-Ind Equations'!$B$22*(('Com-Ind Equations'!$B$24*'Com-Ind Equations'!$B$29*'Com-Ind Equations'!$B$30)/'Com-Ind Equations'!$B$26)))</f>
        <v>NA</v>
      </c>
      <c r="J111" s="115" t="str">
        <f>IF('Chemical Info'!J112="NA","NA",IF(E111="NA",'Com-Ind Equations'!$B$20*1000*'Com-Ind Equations'!$B$24*'Com-Ind Equations'!$B$21*'Chemical Info'!J112*'Com-Ind Calculations'!C111,IF('Chemical Info'!E112="Yes",'Com-Ind Equations'!$B$20*1000*'Com-Ind Equations'!$B$24*'Com-Ind Equations'!$B$21*'Chemical Info'!J112*'Com-Ind Calculations'!E111,'Com-Ind Equations'!$B$20*1000*'Com-Ind Equations'!$B$24*'Com-Ind Equations'!$B$21*'Chemical Info'!J112*('Com-Ind Calculations'!C111+'Com-Ind Calculations'!E111))))</f>
        <v>NA</v>
      </c>
      <c r="K111" s="117" t="str">
        <f>IF('Chemical Info'!J112="NA","NA",IF(F111="NA",'Com-Ind Equations'!$B$20*1000*'Com-Ind Equations'!$B$24*'Com-Ind Equations'!$B$21*'Chemical Info'!J112*'Com-Ind Calculations'!C111,IF('Chemical Info'!E112="Yes",'Com-Ind Equations'!$B$20*1000*'Com-Ind Equations'!$B$24*'Com-Ind Equations'!$B$21*'Chemical Info'!J112*'Com-Ind Calculations'!F111,'Com-Ind Equations'!$B$20*1000*'Com-Ind Equations'!$B$24*'Com-Ind Equations'!$B$21*'Chemical Info'!J112*('Com-Ind Calculations'!C111+'Com-Ind Calculations'!F111))))</f>
        <v>NA</v>
      </c>
      <c r="L111" s="95" t="str">
        <f>IF(AND(H111="NA",I111="NA",J111="NA"),"NA",IF(H111="NA",'Com-Ind Equations'!$B$13*'Com-Ind Equations'!$B$14/J111,IF(J111="NA",'Com-Ind Equations'!$B$13*'Com-Ind Equations'!$B$14/(H111+I111),'Com-Ind Equations'!$B$13*'Com-Ind Equations'!$B$14/(H111+I111+J111))))</f>
        <v>NA</v>
      </c>
      <c r="M111" s="95" t="str">
        <f>IF(AND(H111="NA",I111="NA",K111="NA"),"NA",IF(H111="NA",'Com-Ind Equations'!$B$13*'Com-Ind Equations'!$B$14/K111,IF(K111="NA",'Com-Ind Equations'!$B$13*'Com-Ind Equations'!$B$14/(H111+I111),'Com-Ind Equations'!$B$13*'Com-Ind Equations'!$B$14/(H111+I111+K111))))</f>
        <v>NA</v>
      </c>
      <c r="N111" s="95" t="str">
        <f t="shared" si="100"/>
        <v>NA</v>
      </c>
      <c r="O111" s="94">
        <f>IF('Chemical Info'!L112="NA","NA",IF('Chemical Info'!E112="Yes",(('Com-Ind Equations'!$B$46*'Chemical Info'!AD112*'Com-Ind Equations'!$B$48*'Com-Ind Equations'!$B$49*'Com-Ind Equations'!$B$51)/('Com-Ind Equations'!$B$55*'Com-Ind Equations'!$B$56))/'Chemical Info'!L112,(('Com-Ind Equations'!$B$46*'Chemical Info'!AD112*'Com-Ind Equations'!$B$48*'Com-Ind Equations'!$B$49*'Com-Ind Equations'!$B$50)/('Com-Ind Equations'!$B$55*'Com-Ind Equations'!$B$56))/'Chemical Info'!L112))</f>
        <v>6.1643835616438354E-4</v>
      </c>
      <c r="P111" s="90">
        <f>IF('Chemical Info'!L112="NA","NA", IF('Chemical Info'!E112="Yes",0,((('Com-Ind Equations'!$B$58*'Com-Ind Equations'!$B$59*'Com-Ind Equations'!$B$48*'Com-Ind Equations'!$B$52*'Com-Ind Equations'!$B$49*'Chemical Info'!AB112)/('Com-Ind Equations'!$B$55*'Com-Ind Equations'!$B$56))/('Chemical Info'!L112*'Chemical Info'!AF112))))</f>
        <v>0</v>
      </c>
      <c r="Q111" s="90" t="str">
        <f>IF('Chemical Info'!N112="NA","NA",IF('Com-Ind Calculations'!E111="NA",(('Com-Ind Equations'!$B$53*'Com-Ind Equations'!$B$49*'Com-Ind Equations'!$B$54*'Com-Ind Calculations'!C111)/('Com-Ind Equations'!$B$56))/('Chemical Info'!N112),IF('Chemical Info'!E112="Yes",(('Com-Ind Equations'!$B$53*'Com-Ind Equations'!$B$49*'Com-Ind Equations'!$B$54*'Com-Ind Calculations'!E111)/('Com-Ind Equations'!$B$56))/('Chemical Info'!N112),(('Com-Ind Equations'!$B$53*'Com-Ind Equations'!$B$49*'Com-Ind Equations'!$B$54*('Com-Ind Calculations'!C111+'Com-Ind Calculations'!E111))/('Com-Ind Equations'!$B$56))/('Chemical Info'!N112))))</f>
        <v>NA</v>
      </c>
      <c r="R111" s="90" t="str">
        <f>IF('Chemical Info'!N112="NA","NA",IF('Com-Ind Calculations'!F111="NA",(('Com-Ind Equations'!$B$53*'Com-Ind Equations'!$B$49*'Com-Ind Equations'!$B$54*'Com-Ind Calculations'!C111)/('Com-Ind Equations'!$B$56))/('Chemical Info'!N112),IF('Chemical Info'!E112="Yes",(('Com-Ind Equations'!$B$53*'Com-Ind Equations'!$B$49*'Com-Ind Equations'!$B$54*'Com-Ind Calculations'!F111)/('Com-Ind Equations'!$B$56))/('Chemical Info'!N112),(('Com-Ind Equations'!$B$53*'Com-Ind Equations'!$B$49*'Com-Ind Equations'!$B$54*('Com-Ind Calculations'!C111+'Com-Ind Calculations'!F111))/('Com-Ind Equations'!$B$56))/('Chemical Info'!N112))))</f>
        <v>NA</v>
      </c>
      <c r="S111" s="90">
        <f>IF(AND(O111="NA",P111="NA",Q111="NA"),"NA",IF(O111="NA",'Com-Ind Equations'!$B$45/'Com-Ind Calculations'!Q111,IF('Com-Ind Calculations'!Q111="NA",'Com-Ind Equations'!$B$45/('Com-Ind Calculations'!O111+'Com-Ind Calculations'!P111),'Com-Ind Equations'!$B$45/('Com-Ind Calculations'!O111+'Com-Ind Calculations'!P111+'Com-Ind Calculations'!Q111))))</f>
        <v>324.44444444444446</v>
      </c>
      <c r="T111" s="95">
        <f>IF(AND(O111="NA",P111="NA",R111="NA"),"NA",IF(O111="NA",'Com-Ind Equations'!$B$45/R111,IF(R111="NA",'Com-Ind Equations'!$B$45/(O111+P111),'Com-Ind Equations'!$B$45/(O111+P111+R111))))</f>
        <v>324.44444444444446</v>
      </c>
      <c r="U111" s="97">
        <f t="shared" si="101"/>
        <v>324.44444444444446</v>
      </c>
      <c r="V111" s="101">
        <f t="shared" si="102"/>
        <v>324.44444444444446</v>
      </c>
      <c r="W111" s="105">
        <f t="shared" si="104"/>
        <v>320</v>
      </c>
      <c r="X111" s="100" t="str">
        <f t="shared" si="103"/>
        <v>Noncancer</v>
      </c>
      <c r="Y111" s="70"/>
    </row>
    <row r="112" spans="1:26" ht="12">
      <c r="A112" s="424" t="s">
        <v>1021</v>
      </c>
      <c r="B112" s="566" t="s">
        <v>44</v>
      </c>
      <c r="C112" s="85">
        <f>1/(('Com-Ind Equations'!$B$123*3600)/(0.036*(1-'Com-Ind Equations'!$B$124)*(('Com-Ind Equations'!$B$125/'Com-Ind Equations'!$B$126)^3)*'Com-Ind Equations'!$B$127))</f>
        <v>1.4713536180231943E-9</v>
      </c>
      <c r="D112" s="90">
        <f>(('Com-Ind Equations'!$B$103^(10/3)*'Chemical Info'!AH113*'Chemical Info'!AN113*41+'Com-Ind Equations'!$B$106^(10/3)*'Chemical Info'!AJ113)/'Com-Ind Equations'!$B$108^2)/('Com-Ind Equations'!$B$110*'Chemical Info'!AL113*'Com-Ind Equations'!$B$113+'Com-Ind Equations'!$B$106+'Com-Ind Equations'!$B$103*'Chemical Info'!AN113*41)</f>
        <v>2.6285298625398793E-5</v>
      </c>
      <c r="E112" s="65">
        <f>IF(D112=0,"NA",1/(('Com-Ind Equations'!$B$74*(3.14*D112*'Com-Ind Equations'!$B$76)^(1/2)*0.0001)/(2*'Com-Ind Equations'!$B$77*D112)))</f>
        <v>3.0094355126702402E-5</v>
      </c>
      <c r="F112" s="65">
        <f>IF(D112=0,"NA",(1/('Com-Ind Equations'!$B$88*('Com-Ind Equations'!$B$89*(31500000))/('Com-Ind Equations'!$B$90*'Com-Ind Equations'!$B$91*1000000))))</f>
        <v>6.1914410640015851E-5</v>
      </c>
      <c r="G112" s="120"/>
      <c r="H112" s="112" t="str">
        <f>IF('Chemical Info'!H113="NA","NA",IF('Chemical Info'!E113="Yes",'Chemical Info'!H113*'Chemical Info'!AD113*'Com-Ind Equations'!$B$18*'Com-Ind Equations'!$B$22*(('Com-Ind Equations'!$B$24*'Com-Ind Equations'!$B$25)/'Com-Ind Equations'!$B$26),'Chemical Info'!H113*'Chemical Info'!AD113*'Com-Ind Equations'!$B$17*'Com-Ind Equations'!$B$22*('Com-Ind Equations'!$B$24*'Com-Ind Equations'!$B$25/'Com-Ind Equations'!$B$26)))</f>
        <v>NA</v>
      </c>
      <c r="I112" s="108" t="str">
        <f>IF('Chemical Info'!H113="NA","NA",IF('Chemical Info'!E113="Yes",0,('Chemical Info'!H113/'Chemical Info'!AF113)*'Com-Ind Equations'!$B$19*'Chemical Info'!AB113*'Com-Ind Equations'!$B$22*(('Com-Ind Equations'!$B$24*'Com-Ind Equations'!$B$29*'Com-Ind Equations'!$B$30)/'Com-Ind Equations'!$B$26)))</f>
        <v>NA</v>
      </c>
      <c r="J112" s="115" t="str">
        <f>IF('Chemical Info'!J113="NA","NA",IF(E112="NA",'Com-Ind Equations'!$B$20*1000*'Com-Ind Equations'!$B$24*'Com-Ind Equations'!$B$21*'Chemical Info'!J113*'Com-Ind Calculations'!C112,IF('Chemical Info'!E113="Yes",'Com-Ind Equations'!$B$20*1000*'Com-Ind Equations'!$B$24*'Com-Ind Equations'!$B$21*'Chemical Info'!J113*'Com-Ind Calculations'!E112,'Com-Ind Equations'!$B$20*1000*'Com-Ind Equations'!$B$24*'Com-Ind Equations'!$B$21*'Chemical Info'!J113*('Com-Ind Calculations'!C112+'Com-Ind Calculations'!E112))))</f>
        <v>NA</v>
      </c>
      <c r="K112" s="117" t="str">
        <f>IF('Chemical Info'!J113="NA","NA",IF(F112="NA",'Com-Ind Equations'!$B$20*1000*'Com-Ind Equations'!$B$24*'Com-Ind Equations'!$B$21*'Chemical Info'!J113*'Com-Ind Calculations'!C112,IF('Chemical Info'!E113="Yes",'Com-Ind Equations'!$B$20*1000*'Com-Ind Equations'!$B$24*'Com-Ind Equations'!$B$21*'Chemical Info'!J113*'Com-Ind Calculations'!F112,'Com-Ind Equations'!$B$20*1000*'Com-Ind Equations'!$B$24*'Com-Ind Equations'!$B$21*'Chemical Info'!J113*('Com-Ind Calculations'!C112+'Com-Ind Calculations'!F112))))</f>
        <v>NA</v>
      </c>
      <c r="L112" s="95" t="str">
        <f>IF(AND(H112="NA",I112="NA",J112="NA"),"NA",IF(H112="NA",'Com-Ind Equations'!$B$13*'Com-Ind Equations'!$B$14/J112,IF(J112="NA",'Com-Ind Equations'!$B$13*'Com-Ind Equations'!$B$14/(H112+I112),'Com-Ind Equations'!$B$13*'Com-Ind Equations'!$B$14/(H112+I112+J112))))</f>
        <v>NA</v>
      </c>
      <c r="M112" s="95" t="str">
        <f>IF(AND(H112="NA",I112="NA",K112="NA"),"NA",IF(H112="NA",'Com-Ind Equations'!$B$13*'Com-Ind Equations'!$B$14/K112,IF(K112="NA",'Com-Ind Equations'!$B$13*'Com-Ind Equations'!$B$14/(H112+I112),'Com-Ind Equations'!$B$13*'Com-Ind Equations'!$B$14/(H112+I112+K112))))</f>
        <v>NA</v>
      </c>
      <c r="N112" s="95" t="str">
        <f t="shared" si="100"/>
        <v>NA</v>
      </c>
      <c r="O112" s="94">
        <f>IF('Chemical Info'!L113="NA","NA",IF('Chemical Info'!E113="Yes",(('Com-Ind Equations'!$B$46*'Chemical Info'!AD113*'Com-Ind Equations'!$B$48*'Com-Ind Equations'!$B$49*'Com-Ind Equations'!$B$51)/('Com-Ind Equations'!$B$55*'Com-Ind Equations'!$B$56))/'Chemical Info'!L113,(('Com-Ind Equations'!$B$46*'Chemical Info'!AD113*'Com-Ind Equations'!$B$48*'Com-Ind Equations'!$B$49*'Com-Ind Equations'!$B$50)/('Com-Ind Equations'!$B$55*'Com-Ind Equations'!$B$56))/'Chemical Info'!L113))</f>
        <v>6.1643835616438354E-5</v>
      </c>
      <c r="P112" s="90">
        <f>IF('Chemical Info'!L113="NA","NA", IF('Chemical Info'!E113="Yes",0,((('Com-Ind Equations'!$B$58*'Com-Ind Equations'!$B$59*'Com-Ind Equations'!$B$48*'Com-Ind Equations'!$B$52*'Com-Ind Equations'!$B$49*'Chemical Info'!AB113)/('Com-Ind Equations'!$B$55*'Com-Ind Equations'!$B$56))/('Chemical Info'!L113*'Chemical Info'!AF113))))</f>
        <v>0</v>
      </c>
      <c r="Q112" s="90" t="str">
        <f>IF('Chemical Info'!N113="NA","NA",IF('Com-Ind Calculations'!E112="NA",(('Com-Ind Equations'!$B$53*'Com-Ind Equations'!$B$49*'Com-Ind Equations'!$B$54*'Com-Ind Calculations'!C112)/('Com-Ind Equations'!$B$56))/('Chemical Info'!N113),IF('Chemical Info'!E113="Yes",(('Com-Ind Equations'!$B$53*'Com-Ind Equations'!$B$49*'Com-Ind Equations'!$B$54*'Com-Ind Calculations'!E112)/('Com-Ind Equations'!$B$56))/('Chemical Info'!N113),(('Com-Ind Equations'!$B$53*'Com-Ind Equations'!$B$49*'Com-Ind Equations'!$B$54*('Com-Ind Calculations'!C112+'Com-Ind Calculations'!E112))/('Com-Ind Equations'!$B$56))/('Chemical Info'!N113))))</f>
        <v>NA</v>
      </c>
      <c r="R112" s="90" t="str">
        <f>IF('Chemical Info'!N113="NA","NA",IF('Com-Ind Calculations'!F112="NA",(('Com-Ind Equations'!$B$53*'Com-Ind Equations'!$B$49*'Com-Ind Equations'!$B$54*'Com-Ind Calculations'!C112)/('Com-Ind Equations'!$B$56))/('Chemical Info'!N113),IF('Chemical Info'!E113="Yes",(('Com-Ind Equations'!$B$53*'Com-Ind Equations'!$B$49*'Com-Ind Equations'!$B$54*'Com-Ind Calculations'!F112)/('Com-Ind Equations'!$B$56))/('Chemical Info'!N113),(('Com-Ind Equations'!$B$53*'Com-Ind Equations'!$B$49*'Com-Ind Equations'!$B$54*('Com-Ind Calculations'!C112+'Com-Ind Calculations'!F112))/('Com-Ind Equations'!$B$56))/('Chemical Info'!N113))))</f>
        <v>NA</v>
      </c>
      <c r="S112" s="90">
        <f>IF(AND(O112="NA",P112="NA",Q112="NA"),"NA",IF(O112="NA",'Com-Ind Equations'!$B$45/'Com-Ind Calculations'!Q112,IF('Com-Ind Calculations'!Q112="NA",'Com-Ind Equations'!$B$45/('Com-Ind Calculations'!O112+'Com-Ind Calculations'!P112),'Com-Ind Equations'!$B$45/('Com-Ind Calculations'!O112+'Com-Ind Calculations'!P112+'Com-Ind Calculations'!Q112))))</f>
        <v>3244.4444444444448</v>
      </c>
      <c r="T112" s="95">
        <f>IF(AND(O112="NA",P112="NA",R112="NA"),"NA",IF(O112="NA",'Com-Ind Equations'!$B$45/R112,IF(R112="NA",'Com-Ind Equations'!$B$45/(O112+P112),'Com-Ind Equations'!$B$45/(O112+P112+R112))))</f>
        <v>3244.4444444444448</v>
      </c>
      <c r="U112" s="97">
        <f t="shared" si="101"/>
        <v>3244.4444444444448</v>
      </c>
      <c r="V112" s="101">
        <f t="shared" si="102"/>
        <v>3244.4444444444448</v>
      </c>
      <c r="W112" s="105">
        <f t="shared" si="104"/>
        <v>3200</v>
      </c>
      <c r="X112" s="100" t="str">
        <f t="shared" si="103"/>
        <v>Noncancer</v>
      </c>
      <c r="Y112" s="70"/>
    </row>
    <row r="113" spans="1:26">
      <c r="A113" s="413" t="s">
        <v>67</v>
      </c>
      <c r="B113" s="566" t="s">
        <v>68</v>
      </c>
      <c r="C113" s="85">
        <f>1/(('Com-Ind Equations'!$B$123*3600)/(0.036*(1-'Com-Ind Equations'!$B$124)*(('Com-Ind Equations'!$B$125/'Com-Ind Equations'!$B$126)^3)*'Com-Ind Equations'!$B$127))</f>
        <v>1.4713536180231943E-9</v>
      </c>
      <c r="D113" s="90">
        <f>(('Com-Ind Equations'!$B$103^(10/3)*'Chemical Info'!AH114*'Chemical Info'!AN114*41+'Com-Ind Equations'!$B$106^(10/3)*'Chemical Info'!AJ114)/'Com-Ind Equations'!$B$108^2)/('Com-Ind Equations'!$B$110*'Chemical Info'!AL114*'Com-Ind Equations'!$B$113+'Com-Ind Equations'!$B$106+'Com-Ind Equations'!$B$103*'Chemical Info'!AN114*41)</f>
        <v>2.0160768248290328E-4</v>
      </c>
      <c r="E113" s="65">
        <f>IF(D113=0,"NA",1/(('Com-Ind Equations'!$B$74*(3.14*D113*'Com-Ind Equations'!$B$76)^(1/2)*0.0001)/(2*'Com-Ind Equations'!$B$77*D113)))</f>
        <v>8.3345493515041519E-5</v>
      </c>
      <c r="F113" s="65">
        <f>IF(D113=0,"NA",(1/('Com-Ind Equations'!$B$88*('Com-Ind Equations'!$B$89*(31500000))/('Com-Ind Equations'!$B$90*'Com-Ind Equations'!$B$91*1000000))))</f>
        <v>6.1914410640015851E-5</v>
      </c>
      <c r="G113" s="95">
        <f>IF('Chemical Info'!E114="Yes",('Chemical Info'!AP114/'Com-Ind Equations'!$B$139)*((('Chemical Info'!AL114*'Com-Ind Equations'!$B$141)*'Com-Ind Equations'!$B$139)+'Com-Ind Equations'!$B$142+('Chemical Info'!AN114*41)*'Com-Ind Equations'!$B$144),"NA")</f>
        <v>801.66391199999998</v>
      </c>
      <c r="H113" s="112">
        <f>IF('Chemical Info'!H114="NA","NA",IF('Chemical Info'!E114="Yes",'Chemical Info'!H114*'Chemical Info'!AD114*'Com-Ind Equations'!$B$18*'Com-Ind Equations'!$B$22*(('Com-Ind Equations'!$B$24*'Com-Ind Equations'!$B$25)/'Com-Ind Equations'!$B$26),'Chemical Info'!H114*'Chemical Info'!AD114*'Com-Ind Equations'!$B$17*'Com-Ind Equations'!$B$22*('Com-Ind Equations'!$B$24*'Com-Ind Equations'!$B$25/'Com-Ind Equations'!$B$26)))</f>
        <v>4.7250000000000005E-4</v>
      </c>
      <c r="I113" s="108">
        <f>IF('Chemical Info'!H114="NA","NA",IF('Chemical Info'!E114="Yes",0,('Chemical Info'!H114/'Chemical Info'!AF114)*'Com-Ind Equations'!$B$19*'Chemical Info'!AB114*'Com-Ind Equations'!$B$22*(('Com-Ind Equations'!$B$24*'Com-Ind Equations'!$B$29*'Com-Ind Equations'!$B$30)/'Com-Ind Equations'!$B$26)))</f>
        <v>0</v>
      </c>
      <c r="J113" s="115" t="str">
        <f>IF('Chemical Info'!J114="NA","NA",IF(E113="NA",'Com-Ind Equations'!$B$20*1000*'Com-Ind Equations'!$B$24*'Com-Ind Equations'!$B$21*'Chemical Info'!J114*'Com-Ind Calculations'!C113,IF('Chemical Info'!E114="Yes",'Com-Ind Equations'!$B$20*1000*'Com-Ind Equations'!$B$24*'Com-Ind Equations'!$B$21*'Chemical Info'!J114*'Com-Ind Calculations'!E113,'Com-Ind Equations'!$B$20*1000*'Com-Ind Equations'!$B$24*'Com-Ind Equations'!$B$21*'Chemical Info'!J114*('Com-Ind Calculations'!C113+'Com-Ind Calculations'!E113))))</f>
        <v>NA</v>
      </c>
      <c r="K113" s="117" t="str">
        <f>IF('Chemical Info'!J114="NA","NA",IF(F113="NA",'Com-Ind Equations'!$B$20*1000*'Com-Ind Equations'!$B$24*'Com-Ind Equations'!$B$21*'Chemical Info'!J114*'Com-Ind Calculations'!C113,IF('Chemical Info'!E114="Yes",'Com-Ind Equations'!$B$20*1000*'Com-Ind Equations'!$B$24*'Com-Ind Equations'!$B$21*'Chemical Info'!J114*'Com-Ind Calculations'!F113,'Com-Ind Equations'!$B$20*1000*'Com-Ind Equations'!$B$24*'Com-Ind Equations'!$B$21*'Chemical Info'!J114*('Com-Ind Calculations'!C113+'Com-Ind Calculations'!F113))))</f>
        <v>NA</v>
      </c>
      <c r="L113" s="95">
        <f>IF(AND(H113="NA",I113="NA",J113="NA"),"NA",IF(H113="NA",'Com-Ind Equations'!$B$13*'Com-Ind Equations'!$B$14/J113,IF(J113="NA",'Com-Ind Equations'!$B$13*'Com-Ind Equations'!$B$14/(H113+I113),'Com-Ind Equations'!$B$13*'Com-Ind Equations'!$B$14/(H113+I113+J113))))</f>
        <v>540.74074074074065</v>
      </c>
      <c r="M113" s="95">
        <f>IF(AND(H113="NA",I113="NA",K113="NA"),"NA",IF(H113="NA",'Com-Ind Equations'!$B$13*'Com-Ind Equations'!$B$14/K113,IF(K113="NA",'Com-Ind Equations'!$B$13*'Com-Ind Equations'!$B$14/(H113+I113),'Com-Ind Equations'!$B$13*'Com-Ind Equations'!$B$14/(H113+I113+K113))))</f>
        <v>540.74074074074065</v>
      </c>
      <c r="N113" s="95">
        <f t="shared" si="100"/>
        <v>540.74074074074065</v>
      </c>
      <c r="O113" s="94">
        <f>IF('Chemical Info'!L114="NA","NA",IF('Chemical Info'!E114="Yes",(('Com-Ind Equations'!$B$46*'Chemical Info'!AD114*'Com-Ind Equations'!$B$48*'Com-Ind Equations'!$B$49*'Com-Ind Equations'!$B$51)/('Com-Ind Equations'!$B$55*'Com-Ind Equations'!$B$56))/'Chemical Info'!L114,(('Com-Ind Equations'!$B$46*'Chemical Info'!AD114*'Com-Ind Equations'!$B$48*'Com-Ind Equations'!$B$49*'Com-Ind Equations'!$B$50)/('Com-Ind Equations'!$B$55*'Com-Ind Equations'!$B$56))/'Chemical Info'!L114))</f>
        <v>2.0547945205479451E-4</v>
      </c>
      <c r="P113" s="90">
        <f>IF('Chemical Info'!L114="NA","NA", IF('Chemical Info'!E114="Yes",0,((('Com-Ind Equations'!$B$58*'Com-Ind Equations'!$B$59*'Com-Ind Equations'!$B$48*'Com-Ind Equations'!$B$52*'Com-Ind Equations'!$B$49*'Chemical Info'!AB114)/('Com-Ind Equations'!$B$55*'Com-Ind Equations'!$B$56))/('Chemical Info'!L114*'Chemical Info'!AF114))))</f>
        <v>0</v>
      </c>
      <c r="Q113" s="90" t="str">
        <f>IF('Chemical Info'!N114="NA","NA",IF('Com-Ind Calculations'!E113="NA",(('Com-Ind Equations'!$B$53*'Com-Ind Equations'!$B$49*'Com-Ind Equations'!$B$54*'Com-Ind Calculations'!C113)/('Com-Ind Equations'!$B$56))/('Chemical Info'!N114),IF('Chemical Info'!E114="Yes",(('Com-Ind Equations'!$B$53*'Com-Ind Equations'!$B$49*'Com-Ind Equations'!$B$54*'Com-Ind Calculations'!E113)/('Com-Ind Equations'!$B$56))/('Chemical Info'!N114),(('Com-Ind Equations'!$B$53*'Com-Ind Equations'!$B$49*'Com-Ind Equations'!$B$54*('Com-Ind Calculations'!C113+'Com-Ind Calculations'!E113))/('Com-Ind Equations'!$B$56))/('Chemical Info'!N114))))</f>
        <v>NA</v>
      </c>
      <c r="R113" s="90" t="str">
        <f>IF('Chemical Info'!N114="NA","NA",IF('Com-Ind Calculations'!F113="NA",(('Com-Ind Equations'!$B$53*'Com-Ind Equations'!$B$49*'Com-Ind Equations'!$B$54*'Com-Ind Calculations'!C113)/('Com-Ind Equations'!$B$56))/('Chemical Info'!N114),IF('Chemical Info'!E114="Yes",(('Com-Ind Equations'!$B$53*'Com-Ind Equations'!$B$49*'Com-Ind Equations'!$B$54*'Com-Ind Calculations'!F113)/('Com-Ind Equations'!$B$56))/('Chemical Info'!N114),(('Com-Ind Equations'!$B$53*'Com-Ind Equations'!$B$49*'Com-Ind Equations'!$B$54*('Com-Ind Calculations'!C113+'Com-Ind Calculations'!F113))/('Com-Ind Equations'!$B$56))/('Chemical Info'!N114))))</f>
        <v>NA</v>
      </c>
      <c r="S113" s="90">
        <f>IF(AND(O113="NA",P113="NA",Q113="NA"),"NA",IF(O113="NA",'Com-Ind Equations'!$B$45/'Com-Ind Calculations'!Q113,IF('Com-Ind Calculations'!Q113="NA",'Com-Ind Equations'!$B$45/('Com-Ind Calculations'!O113+'Com-Ind Calculations'!P113),'Com-Ind Equations'!$B$45/('Com-Ind Calculations'!O113+'Com-Ind Calculations'!P113+'Com-Ind Calculations'!Q113))))</f>
        <v>973.33333333333348</v>
      </c>
      <c r="T113" s="95">
        <f>IF(AND(O113="NA",P113="NA",R113="NA"),"NA",IF(O113="NA",'Com-Ind Equations'!$B$45/R113,IF(R113="NA",'Com-Ind Equations'!$B$45/(O113+P113),'Com-Ind Equations'!$B$45/(O113+P113+R113))))</f>
        <v>973.33333333333348</v>
      </c>
      <c r="U113" s="97">
        <f t="shared" si="101"/>
        <v>973.33333333333348</v>
      </c>
      <c r="V113" s="101">
        <f t="shared" si="102"/>
        <v>540.74074074074065</v>
      </c>
      <c r="W113" s="105">
        <f t="shared" si="104"/>
        <v>540</v>
      </c>
      <c r="X113" s="100" t="str">
        <f t="shared" si="103"/>
        <v>Cancer</v>
      </c>
      <c r="Y113" s="70"/>
    </row>
    <row r="114" spans="1:26">
      <c r="A114" s="146" t="s">
        <v>487</v>
      </c>
      <c r="B114" s="595" t="s">
        <v>156</v>
      </c>
      <c r="C114" s="85">
        <f>1/(('Com-Ind Equations'!$B$123*3600)/(0.036*(1-'Com-Ind Equations'!$B$124)*(('Com-Ind Equations'!$B$125/'Com-Ind Equations'!$B$126)^3)*'Com-Ind Equations'!$B$127))</f>
        <v>1.4713536180231943E-9</v>
      </c>
      <c r="D114" s="90">
        <f>(('Com-Ind Equations'!$B$103^(10/3)*'Chemical Info'!AH115*'Chemical Info'!AN115*41+'Com-Ind Equations'!$B$106^(10/3)*'Chemical Info'!AJ115)/'Com-Ind Equations'!$B$108^2)/('Com-Ind Equations'!$B$110*'Chemical Info'!AL115*'Com-Ind Equations'!$B$113+'Com-Ind Equations'!$B$106+'Com-Ind Equations'!$B$103*'Chemical Info'!AN115*41)</f>
        <v>1.6285201265160267E-8</v>
      </c>
      <c r="E114" s="65">
        <f>IF(D114=0,"NA",1/(('Com-Ind Equations'!$B$74*(3.14*D114*'Com-Ind Equations'!$B$76)^(1/2)*0.0001)/(2*'Com-Ind Equations'!$B$77*D114)))</f>
        <v>7.4907473443977791E-7</v>
      </c>
      <c r="F114" s="65">
        <f>IF(D114=0,"NA",(1/('Com-Ind Equations'!$B$88*('Com-Ind Equations'!$B$89*(31500000))/('Com-Ind Equations'!$B$90*'Com-Ind Equations'!$B$91*1000000))))</f>
        <v>6.1914410640015851E-5</v>
      </c>
      <c r="G114" s="95" t="str">
        <f>IF('Chemical Info'!E115="Yes",('Chemical Info'!AP115/'Com-Ind Equations'!$B$139)*((('Chemical Info'!AL115*'Com-Ind Equations'!$B$141)*'Com-Ind Equations'!$B$139)+'Com-Ind Equations'!$B$142+('Chemical Info'!AN115*41)*'Com-Ind Equations'!$B$144),"NA")</f>
        <v>NA</v>
      </c>
      <c r="H114" s="112" t="str">
        <f>IF('Chemical Info'!H115="NA","NA",IF('Chemical Info'!E115="Yes",'Chemical Info'!H115*'Chemical Info'!AD115*'Com-Ind Equations'!$B$18*'Com-Ind Equations'!$B$22*(('Com-Ind Equations'!$B$24*'Com-Ind Equations'!$B$25)/'Com-Ind Equations'!$B$26),'Chemical Info'!H115*'Chemical Info'!AD115*'Com-Ind Equations'!$B$17*'Com-Ind Equations'!$B$22*('Com-Ind Equations'!$B$24*'Com-Ind Equations'!$B$25/'Com-Ind Equations'!$B$26)))</f>
        <v>NA</v>
      </c>
      <c r="I114" s="108" t="str">
        <f>IF('Chemical Info'!H115="NA","NA",IF('Chemical Info'!E115="Yes",0,('Chemical Info'!H115/'Chemical Info'!AF115)*'Com-Ind Equations'!$B$19*'Chemical Info'!AB115*'Com-Ind Equations'!$B$22*(('Com-Ind Equations'!$B$24*'Com-Ind Equations'!$B$29*'Com-Ind Equations'!$B$30)/'Com-Ind Equations'!$B$26)))</f>
        <v>NA</v>
      </c>
      <c r="J114" s="115" t="str">
        <f>IF('Chemical Info'!J115="NA","NA",IF(E114="NA",'Com-Ind Equations'!$B$20*1000*'Com-Ind Equations'!$B$24*'Com-Ind Equations'!$B$21*'Chemical Info'!J115*'Com-Ind Calculations'!C114,IF('Chemical Info'!E115="Yes",'Com-Ind Equations'!$B$20*1000*'Com-Ind Equations'!$B$24*'Com-Ind Equations'!$B$21*'Chemical Info'!J115*'Com-Ind Calculations'!E114,'Com-Ind Equations'!$B$20*1000*'Com-Ind Equations'!$B$24*'Com-Ind Equations'!$B$21*'Chemical Info'!J115*('Com-Ind Calculations'!C114+'Com-Ind Calculations'!E114))))</f>
        <v>NA</v>
      </c>
      <c r="K114" s="117" t="str">
        <f>IF('Chemical Info'!J115="NA","NA",IF(F114="NA",'Com-Ind Equations'!$B$20*1000*'Com-Ind Equations'!$B$24*'Com-Ind Equations'!$B$21*'Chemical Info'!J115*'Com-Ind Calculations'!C114,IF('Chemical Info'!E115="Yes",'Com-Ind Equations'!$B$20*1000*'Com-Ind Equations'!$B$24*'Com-Ind Equations'!$B$21*'Chemical Info'!J115*'Com-Ind Calculations'!F114,'Com-Ind Equations'!$B$20*1000*'Com-Ind Equations'!$B$24*'Com-Ind Equations'!$B$21*'Chemical Info'!J115*('Com-Ind Calculations'!C114+'Com-Ind Calculations'!F114))))</f>
        <v>NA</v>
      </c>
      <c r="L114" s="95" t="str">
        <f>IF(AND(H114="NA",I114="NA",J114="NA"),"NA",IF(H114="NA",'Com-Ind Equations'!$B$13*'Com-Ind Equations'!$B$14/J114,IF(J114="NA",'Com-Ind Equations'!$B$13*'Com-Ind Equations'!$B$14/(H114+I114),'Com-Ind Equations'!$B$13*'Com-Ind Equations'!$B$14/(H114+I114+J114))))</f>
        <v>NA</v>
      </c>
      <c r="M114" s="95" t="str">
        <f>IF(AND(H114="NA",I114="NA",K114="NA"),"NA",IF(H114="NA",'Com-Ind Equations'!$B$13*'Com-Ind Equations'!$B$14/K114,IF(K114="NA",'Com-Ind Equations'!$B$13*'Com-Ind Equations'!$B$14/(H114+I114),'Com-Ind Equations'!$B$13*'Com-Ind Equations'!$B$14/(H114+I114+K114))))</f>
        <v>NA</v>
      </c>
      <c r="N114" s="95" t="str">
        <f t="shared" si="100"/>
        <v>NA</v>
      </c>
      <c r="O114" s="94">
        <f>IF('Chemical Info'!L115="NA","NA",IF('Chemical Info'!E115="Yes",(('Com-Ind Equations'!$B$46*'Chemical Info'!AD115*'Com-Ind Equations'!$B$48*'Com-Ind Equations'!$B$49*'Com-Ind Equations'!$B$51)/('Com-Ind Equations'!$B$55*'Com-Ind Equations'!$B$56))/'Chemical Info'!L115,(('Com-Ind Equations'!$B$46*'Chemical Info'!AD115*'Com-Ind Equations'!$B$48*'Com-Ind Equations'!$B$49*'Com-Ind Equations'!$B$50)/('Com-Ind Equations'!$B$55*'Com-Ind Equations'!$B$56))/'Chemical Info'!L115))</f>
        <v>3.7224538415723635E-5</v>
      </c>
      <c r="P114" s="90">
        <f>IF('Chemical Info'!L115="NA","NA", IF('Chemical Info'!E115="Yes",0,((('Com-Ind Equations'!$B$58*'Com-Ind Equations'!$B$59*'Com-Ind Equations'!$B$48*'Com-Ind Equations'!$B$52*'Com-Ind Equations'!$B$49*'Chemical Info'!AB115)/('Com-Ind Equations'!$B$55*'Com-Ind Equations'!$B$56))/('Chemical Info'!L115*'Chemical Info'!AF115))))</f>
        <v>1.1343537820131029E-5</v>
      </c>
      <c r="Q114" s="90" t="str">
        <f>IF('Chemical Info'!N115="NA","NA",IF('Com-Ind Calculations'!E114="NA",(('Com-Ind Equations'!$B$53*'Com-Ind Equations'!$B$49*'Com-Ind Equations'!$B$54*'Com-Ind Calculations'!C114)/('Com-Ind Equations'!$B$56))/('Chemical Info'!N115),IF('Chemical Info'!E115="Yes",(('Com-Ind Equations'!$B$53*'Com-Ind Equations'!$B$49*'Com-Ind Equations'!$B$54*'Com-Ind Calculations'!E114)/('Com-Ind Equations'!$B$56))/('Chemical Info'!N115),(('Com-Ind Equations'!$B$53*'Com-Ind Equations'!$B$49*'Com-Ind Equations'!$B$54*('Com-Ind Calculations'!C114+'Com-Ind Calculations'!E114))/('Com-Ind Equations'!$B$56))/('Chemical Info'!N115))))</f>
        <v>NA</v>
      </c>
      <c r="R114" s="90" t="str">
        <f>IF('Chemical Info'!N115="NA","NA",IF('Com-Ind Calculations'!F114="NA",(('Com-Ind Equations'!$B$53*'Com-Ind Equations'!$B$49*'Com-Ind Equations'!$B$54*'Com-Ind Calculations'!C114)/('Com-Ind Equations'!$B$56))/('Chemical Info'!N115),IF('Chemical Info'!E115="Yes",(('Com-Ind Equations'!$B$53*'Com-Ind Equations'!$B$49*'Com-Ind Equations'!$B$54*'Com-Ind Calculations'!F114)/('Com-Ind Equations'!$B$56))/('Chemical Info'!N115),(('Com-Ind Equations'!$B$53*'Com-Ind Equations'!$B$49*'Com-Ind Equations'!$B$54*('Com-Ind Calculations'!C114+'Com-Ind Calculations'!F114))/('Com-Ind Equations'!$B$56))/('Chemical Info'!N115))))</f>
        <v>NA</v>
      </c>
      <c r="S114" s="90">
        <f>IF(AND(O114="NA",P114="NA",Q114="NA"),"NA",IF(O114="NA",'Com-Ind Equations'!$B$45/'Com-Ind Calculations'!Q114,IF('Com-Ind Calculations'!Q114="NA",'Com-Ind Equations'!$B$45/('Com-Ind Calculations'!O114+'Com-Ind Calculations'!P114),'Com-Ind Equations'!$B$45/('Com-Ind Calculations'!O114+'Com-Ind Calculations'!P114+'Com-Ind Calculations'!Q114))))</f>
        <v>4117.9312729778858</v>
      </c>
      <c r="T114" s="95">
        <f>IF(AND(O114="NA",P114="NA",R114="NA"),"NA",IF(O114="NA",'Com-Ind Equations'!$B$45/R114,IF(R114="NA",'Com-Ind Equations'!$B$45/(O114+P114),'Com-Ind Equations'!$B$45/(O114+P114+R114))))</f>
        <v>4117.9312729778858</v>
      </c>
      <c r="U114" s="97">
        <f t="shared" si="101"/>
        <v>4117.9312729778858</v>
      </c>
      <c r="V114" s="101">
        <f t="shared" si="102"/>
        <v>4117.9312729778858</v>
      </c>
      <c r="W114" s="105">
        <f t="shared" si="104"/>
        <v>4100</v>
      </c>
      <c r="X114" s="100" t="str">
        <f t="shared" si="103"/>
        <v>Noncancer</v>
      </c>
      <c r="Y114" s="70"/>
    </row>
    <row r="115" spans="1:26">
      <c r="A115" s="373" t="s">
        <v>382</v>
      </c>
      <c r="B115" s="566" t="s">
        <v>157</v>
      </c>
      <c r="C115" s="85">
        <f>1/(('Com-Ind Equations'!$B$123*3600)/(0.036*(1-'Com-Ind Equations'!$B$124)*(('Com-Ind Equations'!$B$125/'Com-Ind Equations'!$B$126)^3)*'Com-Ind Equations'!$B$127))</f>
        <v>1.4713536180231943E-9</v>
      </c>
      <c r="D115" s="90">
        <f>(('Com-Ind Equations'!$B$103^(10/3)*'Chemical Info'!AH116*'Chemical Info'!AN116*41+'Com-Ind Equations'!$B$106^(10/3)*'Chemical Info'!AJ116)/'Com-Ind Equations'!$B$108^2)/('Com-Ind Equations'!$B$110*'Chemical Info'!AL116*'Com-Ind Equations'!$B$113+'Com-Ind Equations'!$B$106+'Com-Ind Equations'!$B$103*'Chemical Info'!AN116*41)</f>
        <v>9.3219101224221811E-5</v>
      </c>
      <c r="E115" s="65">
        <f>IF(D115=0,"NA",1/(('Com-Ind Equations'!$B$74*(3.14*D115*'Com-Ind Equations'!$B$76)^(1/2)*0.0001)/(2*'Com-Ind Equations'!$B$77*D115)))</f>
        <v>5.6673631176307886E-5</v>
      </c>
      <c r="F115" s="65">
        <f>IF(D115=0,"NA",(1/('Com-Ind Equations'!$B$88*('Com-Ind Equations'!$B$89*(31500000))/('Com-Ind Equations'!$B$90*'Com-Ind Equations'!$B$91*1000000))))</f>
        <v>6.1914410640015851E-5</v>
      </c>
      <c r="G115" s="95">
        <f>IF('Chemical Info'!E116="Yes",('Chemical Info'!AP116/'Com-Ind Equations'!$B$139)*((('Chemical Info'!AL116*'Com-Ind Equations'!$B$141)*'Com-Ind Equations'!$B$139)+'Com-Ind Equations'!$B$142+('Chemical Info'!AN116*41)*'Com-Ind Equations'!$B$144),"NA")</f>
        <v>376.28672640000002</v>
      </c>
      <c r="H115" s="112" t="str">
        <f>IF('Chemical Info'!H116="NA","NA",IF('Chemical Info'!E116="Yes",'Chemical Info'!H116*'Chemical Info'!AD116*'Com-Ind Equations'!$B$18*'Com-Ind Equations'!$B$22*(('Com-Ind Equations'!$B$24*'Com-Ind Equations'!$B$25)/'Com-Ind Equations'!$B$26),'Chemical Info'!H116*'Chemical Info'!AD116*'Com-Ind Equations'!$B$17*'Com-Ind Equations'!$B$22*('Com-Ind Equations'!$B$24*'Com-Ind Equations'!$B$25/'Com-Ind Equations'!$B$26)))</f>
        <v>NA</v>
      </c>
      <c r="I115" s="108" t="str">
        <f>IF('Chemical Info'!H116="NA","NA",IF('Chemical Info'!E116="Yes",0,('Chemical Info'!H116/'Chemical Info'!AF116)*'Com-Ind Equations'!$B$19*'Chemical Info'!AB116*'Com-Ind Equations'!$B$22*(('Com-Ind Equations'!$B$24*'Com-Ind Equations'!$B$29*'Com-Ind Equations'!$B$30)/'Com-Ind Equations'!$B$26)))</f>
        <v>NA</v>
      </c>
      <c r="J115" s="115" t="str">
        <f>IF('Chemical Info'!J116="NA","NA",IF(E115="NA",'Com-Ind Equations'!$B$20*1000*'Com-Ind Equations'!$B$24*'Com-Ind Equations'!$B$21*'Chemical Info'!J116*'Com-Ind Calculations'!C115,IF('Chemical Info'!E116="Yes",'Com-Ind Equations'!$B$20*1000*'Com-Ind Equations'!$B$24*'Com-Ind Equations'!$B$21*'Chemical Info'!J116*'Com-Ind Calculations'!E115,'Com-Ind Equations'!$B$20*1000*'Com-Ind Equations'!$B$24*'Com-Ind Equations'!$B$21*'Chemical Info'!J116*('Com-Ind Calculations'!C115+'Com-Ind Calculations'!E115))))</f>
        <v>NA</v>
      </c>
      <c r="K115" s="117" t="str">
        <f>IF('Chemical Info'!J116="NA","NA",IF(F115="NA",'Com-Ind Equations'!$B$20*1000*'Com-Ind Equations'!$B$24*'Com-Ind Equations'!$B$21*'Chemical Info'!J116*'Com-Ind Calculations'!C115,IF('Chemical Info'!E116="Yes",'Com-Ind Equations'!$B$20*1000*'Com-Ind Equations'!$B$24*'Com-Ind Equations'!$B$21*'Chemical Info'!J116*'Com-Ind Calculations'!F115,'Com-Ind Equations'!$B$20*1000*'Com-Ind Equations'!$B$24*'Com-Ind Equations'!$B$21*'Chemical Info'!J116*('Com-Ind Calculations'!C115+'Com-Ind Calculations'!F115))))</f>
        <v>NA</v>
      </c>
      <c r="L115" s="95" t="str">
        <f>IF(AND(H115="NA",I115="NA",J115="NA"),"NA",IF(H115="NA",'Com-Ind Equations'!$B$13*'Com-Ind Equations'!$B$14/J115,IF(J115="NA",'Com-Ind Equations'!$B$13*'Com-Ind Equations'!$B$14/(H115+I115),'Com-Ind Equations'!$B$13*'Com-Ind Equations'!$B$14/(H115+I115+J115))))</f>
        <v>NA</v>
      </c>
      <c r="M115" s="95" t="str">
        <f>IF(AND(H115="NA",I115="NA",K115="NA"),"NA",IF(H115="NA",'Com-Ind Equations'!$B$13*'Com-Ind Equations'!$B$14/K115,IF(K115="NA",'Com-Ind Equations'!$B$13*'Com-Ind Equations'!$B$14/(H115+I115),'Com-Ind Equations'!$B$13*'Com-Ind Equations'!$B$14/(H115+I115+K115))))</f>
        <v>NA</v>
      </c>
      <c r="N115" s="95" t="str">
        <f t="shared" si="100"/>
        <v>NA</v>
      </c>
      <c r="O115" s="94">
        <f>IF('Chemical Info'!L116="NA","NA",IF('Chemical Info'!E116="Yes",(('Com-Ind Equations'!$B$46*'Chemical Info'!AD116*'Com-Ind Equations'!$B$48*'Com-Ind Equations'!$B$49*'Com-Ind Equations'!$B$51)/('Com-Ind Equations'!$B$55*'Com-Ind Equations'!$B$56))/'Chemical Info'!L116,(('Com-Ind Equations'!$B$46*'Chemical Info'!AD116*'Com-Ind Equations'!$B$48*'Com-Ind Equations'!$B$49*'Com-Ind Equations'!$B$50)/('Com-Ind Equations'!$B$55*'Com-Ind Equations'!$B$56))/'Chemical Info'!L116))</f>
        <v>2.054794520547945E-6</v>
      </c>
      <c r="P115" s="90">
        <f>IF('Chemical Info'!L116="NA","NA", IF('Chemical Info'!E116="Yes",0,((('Com-Ind Equations'!$B$58*'Com-Ind Equations'!$B$59*'Com-Ind Equations'!$B$48*'Com-Ind Equations'!$B$52*'Com-Ind Equations'!$B$49*'Chemical Info'!AB116)/('Com-Ind Equations'!$B$55*'Com-Ind Equations'!$B$56))/('Chemical Info'!L116*'Chemical Info'!AF116))))</f>
        <v>0</v>
      </c>
      <c r="Q115" s="90">
        <f>IF('Chemical Info'!N116="NA","NA",IF('Com-Ind Calculations'!E115="NA",(('Com-Ind Equations'!$B$53*'Com-Ind Equations'!$B$49*'Com-Ind Equations'!$B$54*'Com-Ind Calculations'!C115)/('Com-Ind Equations'!$B$56))/('Chemical Info'!N116),IF('Chemical Info'!E116="Yes",(('Com-Ind Equations'!$B$53*'Com-Ind Equations'!$B$49*'Com-Ind Equations'!$B$54*'Com-Ind Calculations'!E115)/('Com-Ind Equations'!$B$56))/('Chemical Info'!N116),(('Com-Ind Equations'!$B$53*'Com-Ind Equations'!$B$49*'Com-Ind Equations'!$B$54*('Com-Ind Calculations'!C115+'Com-Ind Calculations'!E115))/('Com-Ind Equations'!$B$56))/('Chemical Info'!N116))))</f>
        <v>5.8226333400316321E-5</v>
      </c>
      <c r="R115" s="90">
        <f>IF('Chemical Info'!N116="NA","NA",IF('Com-Ind Calculations'!F115="NA",(('Com-Ind Equations'!$B$53*'Com-Ind Equations'!$B$49*'Com-Ind Equations'!$B$54*'Com-Ind Calculations'!C115)/('Com-Ind Equations'!$B$56))/('Chemical Info'!N116),IF('Chemical Info'!E116="Yes",(('Com-Ind Equations'!$B$53*'Com-Ind Equations'!$B$49*'Com-Ind Equations'!$B$54*'Com-Ind Calculations'!F115)/('Com-Ind Equations'!$B$56))/('Chemical Info'!N116),(('Com-Ind Equations'!$B$53*'Com-Ind Equations'!$B$49*'Com-Ind Equations'!$B$54*('Com-Ind Calculations'!C115+'Com-Ind Calculations'!F115))/('Com-Ind Equations'!$B$56))/('Chemical Info'!N116))))</f>
        <v>6.3610695863029981E-5</v>
      </c>
      <c r="S115" s="90">
        <f>IF(AND(O115="NA",P115="NA",Q115="NA"),"NA",IF(O115="NA",'Com-Ind Equations'!$B$45/'Com-Ind Calculations'!Q115,IF('Com-Ind Calculations'!Q115="NA",'Com-Ind Equations'!$B$45/('Com-Ind Calculations'!O115+'Com-Ind Calculations'!P115),'Com-Ind Equations'!$B$45/('Com-Ind Calculations'!O115+'Com-Ind Calculations'!P115+'Com-Ind Calculations'!Q115))))</f>
        <v>3317.7879528491171</v>
      </c>
      <c r="T115" s="95">
        <f>IF(AND(O115="NA",P115="NA",R115="NA"),"NA",IF(O115="NA",'Com-Ind Equations'!$B$45/R115,IF(R115="NA",'Com-Ind Equations'!$B$45/(O115+P115),'Com-Ind Equations'!$B$45/(O115+P115+R115))))</f>
        <v>3045.7398373441124</v>
      </c>
      <c r="U115" s="97">
        <f t="shared" si="101"/>
        <v>3317.7879528491171</v>
      </c>
      <c r="V115" s="101">
        <f t="shared" si="102"/>
        <v>376.28672640000002</v>
      </c>
      <c r="W115" s="105">
        <f t="shared" si="104"/>
        <v>380</v>
      </c>
      <c r="X115" s="100" t="str">
        <f t="shared" si="103"/>
        <v>Csat</v>
      </c>
      <c r="Y115" s="70"/>
    </row>
    <row r="116" spans="1:26">
      <c r="A116" s="373" t="s">
        <v>383</v>
      </c>
      <c r="B116" s="566" t="s">
        <v>198</v>
      </c>
      <c r="C116" s="85">
        <f>1/(('Com-Ind Equations'!$B$123*3600)/(0.036*(1-'Com-Ind Equations'!$B$124)*(('Com-Ind Equations'!$B$125/'Com-Ind Equations'!$B$126)^3)*'Com-Ind Equations'!$B$127))</f>
        <v>1.4713536180231943E-9</v>
      </c>
      <c r="D116" s="90">
        <f>(('Com-Ind Equations'!$B$103^(10/3)*'Chemical Info'!AH117*'Chemical Info'!AN117*41+'Com-Ind Equations'!$B$106^(10/3)*'Chemical Info'!AJ117)/'Com-Ind Equations'!$B$108^2)/('Com-Ind Equations'!$B$110*'Chemical Info'!AL117*'Com-Ind Equations'!$B$113+'Com-Ind Equations'!$B$106+'Com-Ind Equations'!$B$103*'Chemical Info'!AN117*41)</f>
        <v>2.3502224937459716E-4</v>
      </c>
      <c r="E116" s="65">
        <f>IF(D116=0,"NA",1/(('Com-Ind Equations'!$B$74*(3.14*D116*'Com-Ind Equations'!$B$76)^(1/2)*0.0001)/(2*'Com-Ind Equations'!$B$77*D116)))</f>
        <v>8.9987683695911007E-5</v>
      </c>
      <c r="F116" s="65">
        <f>IF(D116=0,"NA",(1/('Com-Ind Equations'!$B$88*('Com-Ind Equations'!$B$89*(31500000))/('Com-Ind Equations'!$B$90*'Com-Ind Equations'!$B$91*1000000))))</f>
        <v>6.1914410640015851E-5</v>
      </c>
      <c r="G116" s="95">
        <f>IF('Chemical Info'!E117="Yes",('Chemical Info'!AP117/'Com-Ind Equations'!$B$139)*((('Chemical Info'!AL117*'Com-Ind Equations'!$B$141)*'Com-Ind Equations'!$B$139)+'Com-Ind Equations'!$B$142+('Chemical Info'!AN117*41)*'Com-Ind Equations'!$B$144),"NA")</f>
        <v>297.68686666666667</v>
      </c>
      <c r="H116" s="112" t="str">
        <f>IF('Chemical Info'!H117="NA","NA",IF('Chemical Info'!E117="Yes",'Chemical Info'!H117*'Chemical Info'!AD117*'Com-Ind Equations'!$B$18*'Com-Ind Equations'!$B$22*(('Com-Ind Equations'!$B$24*'Com-Ind Equations'!$B$25)/'Com-Ind Equations'!$B$26),'Chemical Info'!H117*'Chemical Info'!AD117*'Com-Ind Equations'!$B$17*'Com-Ind Equations'!$B$22*('Com-Ind Equations'!$B$24*'Com-Ind Equations'!$B$25/'Com-Ind Equations'!$B$26)))</f>
        <v>NA</v>
      </c>
      <c r="I116" s="108" t="str">
        <f>IF('Chemical Info'!H117="NA","NA",IF('Chemical Info'!E117="Yes",0,('Chemical Info'!H117/'Chemical Info'!AF117)*'Com-Ind Equations'!$B$19*'Chemical Info'!AB117*'Com-Ind Equations'!$B$22*(('Com-Ind Equations'!$B$24*'Com-Ind Equations'!$B$29*'Com-Ind Equations'!$B$30)/'Com-Ind Equations'!$B$26)))</f>
        <v>NA</v>
      </c>
      <c r="J116" s="115" t="str">
        <f>IF('Chemical Info'!J117="NA","NA",IF(E116="NA",'Com-Ind Equations'!$B$20*1000*'Com-Ind Equations'!$B$24*'Com-Ind Equations'!$B$21*'Chemical Info'!J117*'Com-Ind Calculations'!C116,IF('Chemical Info'!E117="Yes",'Com-Ind Equations'!$B$20*1000*'Com-Ind Equations'!$B$24*'Com-Ind Equations'!$B$21*'Chemical Info'!J117*'Com-Ind Calculations'!E116,'Com-Ind Equations'!$B$20*1000*'Com-Ind Equations'!$B$24*'Com-Ind Equations'!$B$21*'Chemical Info'!J117*('Com-Ind Calculations'!C116+'Com-Ind Calculations'!E116))))</f>
        <v>NA</v>
      </c>
      <c r="K116" s="117" t="str">
        <f>IF('Chemical Info'!J117="NA","NA",IF(F116="NA",'Com-Ind Equations'!$B$20*1000*'Com-Ind Equations'!$B$24*'Com-Ind Equations'!$B$21*'Chemical Info'!J117*'Com-Ind Calculations'!C116,IF('Chemical Info'!E117="Yes",'Com-Ind Equations'!$B$20*1000*'Com-Ind Equations'!$B$24*'Com-Ind Equations'!$B$21*'Chemical Info'!J117*'Com-Ind Calculations'!F116,'Com-Ind Equations'!$B$20*1000*'Com-Ind Equations'!$B$24*'Com-Ind Equations'!$B$21*'Chemical Info'!J117*('Com-Ind Calculations'!C116+'Com-Ind Calculations'!F116))))</f>
        <v>NA</v>
      </c>
      <c r="L116" s="95" t="str">
        <f>IF(AND(H116="NA",I116="NA",J116="NA"),"NA",IF(H116="NA",'Com-Ind Equations'!$B$13*'Com-Ind Equations'!$B$14/J116,IF(J116="NA",'Com-Ind Equations'!$B$13*'Com-Ind Equations'!$B$14/(H116+I116),'Com-Ind Equations'!$B$13*'Com-Ind Equations'!$B$14/(H116+I116+J116))))</f>
        <v>NA</v>
      </c>
      <c r="M116" s="95" t="str">
        <f>IF(AND(H116="NA",I116="NA",K116="NA"),"NA",IF(H116="NA",'Com-Ind Equations'!$B$13*'Com-Ind Equations'!$B$14/K116,IF(K116="NA",'Com-Ind Equations'!$B$13*'Com-Ind Equations'!$B$14/(H116+I116),'Com-Ind Equations'!$B$13*'Com-Ind Equations'!$B$14/(H116+I116+K116))))</f>
        <v>NA</v>
      </c>
      <c r="N116" s="95" t="str">
        <f t="shared" si="100"/>
        <v>NA</v>
      </c>
      <c r="O116" s="94" t="str">
        <f>IF('Chemical Info'!L117="NA","NA",IF('Chemical Info'!E117="Yes",(('Com-Ind Equations'!$B$46*'Chemical Info'!AD117*'Com-Ind Equations'!$B$48*'Com-Ind Equations'!$B$49*'Com-Ind Equations'!$B$51)/('Com-Ind Equations'!$B$55*'Com-Ind Equations'!$B$56))/'Chemical Info'!L117,(('Com-Ind Equations'!$B$46*'Chemical Info'!AD117*'Com-Ind Equations'!$B$48*'Com-Ind Equations'!$B$49*'Com-Ind Equations'!$B$50)/('Com-Ind Equations'!$B$55*'Com-Ind Equations'!$B$56))/'Chemical Info'!L117))</f>
        <v>NA</v>
      </c>
      <c r="P116" s="90" t="str">
        <f>IF('Chemical Info'!L117="NA","NA", IF('Chemical Info'!E117="Yes",0,((('Com-Ind Equations'!$B$58*'Com-Ind Equations'!$B$59*'Com-Ind Equations'!$B$48*'Com-Ind Equations'!$B$52*'Com-Ind Equations'!$B$49*'Chemical Info'!AB117)/('Com-Ind Equations'!$B$55*'Com-Ind Equations'!$B$56))/('Chemical Info'!L117*'Chemical Info'!AF117))))</f>
        <v>NA</v>
      </c>
      <c r="Q116" s="90" t="str">
        <f>IF('Chemical Info'!N117="NA","NA",IF('Com-Ind Calculations'!E116="NA",(('Com-Ind Equations'!$B$53*'Com-Ind Equations'!$B$49*'Com-Ind Equations'!$B$54*'Com-Ind Calculations'!C116)/('Com-Ind Equations'!$B$56))/('Chemical Info'!N117),IF('Chemical Info'!E117="Yes",(('Com-Ind Equations'!$B$53*'Com-Ind Equations'!$B$49*'Com-Ind Equations'!$B$54*'Com-Ind Calculations'!E116)/('Com-Ind Equations'!$B$56))/('Chemical Info'!N117),(('Com-Ind Equations'!$B$53*'Com-Ind Equations'!$B$49*'Com-Ind Equations'!$B$54*('Com-Ind Calculations'!C116+'Com-Ind Calculations'!E116))/('Com-Ind Equations'!$B$56))/('Chemical Info'!N117))))</f>
        <v>NA</v>
      </c>
      <c r="R116" s="90" t="str">
        <f>IF('Chemical Info'!N117="NA","NA",IF('Com-Ind Calculations'!F116="NA",(('Com-Ind Equations'!$B$53*'Com-Ind Equations'!$B$49*'Com-Ind Equations'!$B$54*'Com-Ind Calculations'!C116)/('Com-Ind Equations'!$B$56))/('Chemical Info'!N117),IF('Chemical Info'!E117="Yes",(('Com-Ind Equations'!$B$53*'Com-Ind Equations'!$B$49*'Com-Ind Equations'!$B$54*'Com-Ind Calculations'!F116)/('Com-Ind Equations'!$B$56))/('Chemical Info'!N117),(('Com-Ind Equations'!$B$53*'Com-Ind Equations'!$B$49*'Com-Ind Equations'!$B$54*('Com-Ind Calculations'!C116+'Com-Ind Calculations'!F116))/('Com-Ind Equations'!$B$56))/('Chemical Info'!N117))))</f>
        <v>NA</v>
      </c>
      <c r="S116" s="90" t="str">
        <f>IF(AND(O116="NA",P116="NA",Q116="NA"),"NA",IF(O116="NA",'Com-Ind Equations'!$B$45/'Com-Ind Calculations'!Q116,IF('Com-Ind Calculations'!Q116="NA",'Com-Ind Equations'!$B$45/('Com-Ind Calculations'!O116+'Com-Ind Calculations'!P116),'Com-Ind Equations'!$B$45/('Com-Ind Calculations'!O116+'Com-Ind Calculations'!P116+'Com-Ind Calculations'!Q116))))</f>
        <v>NA</v>
      </c>
      <c r="T116" s="95" t="str">
        <f>IF(AND(O116="NA",P116="NA",R116="NA"),"NA",IF(O116="NA",'Com-Ind Equations'!$B$45/R116,IF(R116="NA",'Com-Ind Equations'!$B$45/(O116+P116),'Com-Ind Equations'!$B$45/(O116+P116+R116))))</f>
        <v>NA</v>
      </c>
      <c r="U116" s="97" t="str">
        <f t="shared" si="101"/>
        <v>NA</v>
      </c>
      <c r="V116" s="101">
        <f t="shared" si="102"/>
        <v>297.68686666666667</v>
      </c>
      <c r="W116" s="105">
        <f t="shared" si="104"/>
        <v>300</v>
      </c>
      <c r="X116" s="100" t="str">
        <f t="shared" si="103"/>
        <v>Csat</v>
      </c>
      <c r="Y116" s="70"/>
      <c r="Z116" s="9"/>
    </row>
    <row r="117" spans="1:26" ht="12">
      <c r="A117" s="373" t="s">
        <v>430</v>
      </c>
      <c r="B117" s="566" t="s">
        <v>199</v>
      </c>
      <c r="C117" s="85">
        <f>1/(('Com-Ind Equations'!$B$123*3600)/(0.036*(1-'Com-Ind Equations'!$B$124)*(('Com-Ind Equations'!$B$125/'Com-Ind Equations'!$B$126)^3)*'Com-Ind Equations'!$B$127))</f>
        <v>1.4713536180231943E-9</v>
      </c>
      <c r="D117" s="90">
        <f>(('Com-Ind Equations'!$B$103^(10/3)*'Chemical Info'!AH118*'Chemical Info'!AN118*41+'Com-Ind Equations'!$B$106^(10/3)*'Chemical Info'!AJ118)/'Com-Ind Equations'!$B$108^2)/('Com-Ind Equations'!$B$110*'Chemical Info'!AL118*'Com-Ind Equations'!$B$113+'Com-Ind Equations'!$B$106+'Com-Ind Equations'!$B$103*'Chemical Info'!AN118*41)</f>
        <v>1.1667930482362268E-4</v>
      </c>
      <c r="E117" s="65">
        <f>IF(D117=0,"NA",1/(('Com-Ind Equations'!$B$74*(3.14*D117*'Com-Ind Equations'!$B$76)^(1/2)*0.0001)/(2*'Com-Ind Equations'!$B$77*D117)))</f>
        <v>6.3405291031746113E-5</v>
      </c>
      <c r="F117" s="65">
        <f>IF(D117=0,"NA",(1/('Com-Ind Equations'!$B$88*('Com-Ind Equations'!$B$89*(31500000))/('Com-Ind Equations'!$B$90*'Com-Ind Equations'!$B$91*1000000))))</f>
        <v>6.1914410640015851E-5</v>
      </c>
      <c r="G117" s="120"/>
      <c r="H117" s="112">
        <f>IF('Chemical Info'!H118="NA","NA",IF('Chemical Info'!E118="Yes",'Chemical Info'!H118*'Chemical Info'!AD118*'Com-Ind Equations'!$B$18*'Com-Ind Equations'!$B$22*(('Com-Ind Equations'!$B$24*'Com-Ind Equations'!$B$25)/'Com-Ind Equations'!$B$26),'Chemical Info'!H118*'Chemical Info'!AD118*'Com-Ind Equations'!$B$17*'Com-Ind Equations'!$B$22*('Com-Ind Equations'!$B$24*'Com-Ind Equations'!$B$25/'Com-Ind Equations'!$B$26)))</f>
        <v>3.0375E-5</v>
      </c>
      <c r="I117" s="108">
        <f>IF('Chemical Info'!H118="NA","NA",IF('Chemical Info'!E118="Yes",0,('Chemical Info'!H118/'Chemical Info'!AF118)*'Com-Ind Equations'!$B$19*'Chemical Info'!AB118*'Com-Ind Equations'!$B$22*(('Com-Ind Equations'!$B$24*'Com-Ind Equations'!$B$29*'Com-Ind Equations'!$B$30)/'Com-Ind Equations'!$B$26)))</f>
        <v>0</v>
      </c>
      <c r="J117" s="115">
        <f>IF('Chemical Info'!J118="NA","NA",IF(E117="NA",'Com-Ind Equations'!$B$20*1000*'Com-Ind Equations'!$B$24*'Com-Ind Equations'!$B$21*'Chemical Info'!J118*'Com-Ind Calculations'!C117,IF('Chemical Info'!E118="Yes",'Com-Ind Equations'!$B$20*1000*'Com-Ind Equations'!$B$24*'Com-Ind Equations'!$B$21*'Chemical Info'!J118*'Com-Ind Calculations'!E117,'Com-Ind Equations'!$B$20*1000*'Com-Ind Equations'!$B$24*'Com-Ind Equations'!$B$21*'Chemical Info'!J118*('Com-Ind Calculations'!C117+'Com-Ind Calculations'!E117))))</f>
        <v>1.3077341275297635E-3</v>
      </c>
      <c r="K117" s="117">
        <f>IF('Chemical Info'!J118="NA","NA",IF(F117="NA",'Com-Ind Equations'!$B$20*1000*'Com-Ind Equations'!$B$24*'Com-Ind Equations'!$B$21*'Chemical Info'!J118*'Com-Ind Calculations'!C117,IF('Chemical Info'!E118="Yes",'Com-Ind Equations'!$B$20*1000*'Com-Ind Equations'!$B$24*'Com-Ind Equations'!$B$21*'Chemical Info'!J118*'Com-Ind Calculations'!F117,'Com-Ind Equations'!$B$20*1000*'Com-Ind Equations'!$B$24*'Com-Ind Equations'!$B$21*'Chemical Info'!J118*('Com-Ind Calculations'!C117+'Com-Ind Calculations'!F117))))</f>
        <v>1.2769847194503269E-3</v>
      </c>
      <c r="L117" s="95">
        <f>IF(AND(H117="NA",I117="NA",J117="NA"),"NA",IF(H117="NA",'Com-Ind Equations'!$B$13*'Com-Ind Equations'!$B$14/J117,IF(J117="NA",'Com-Ind Equations'!$B$13*'Com-Ind Equations'!$B$14/(H117+I117),'Com-Ind Equations'!$B$13*'Com-Ind Equations'!$B$14/(H117+I117+J117))))</f>
        <v>190.94107852897591</v>
      </c>
      <c r="M117" s="95">
        <f>IF(AND(H117="NA",I117="NA",K117="NA"),"NA",IF(H117="NA",'Com-Ind Equations'!$B$13*'Com-Ind Equations'!$B$14/K117,IF(K117="NA",'Com-Ind Equations'!$B$13*'Com-Ind Equations'!$B$14/(H117+I117),'Com-Ind Equations'!$B$13*'Com-Ind Equations'!$B$14/(H117+I117+K117))))</f>
        <v>195.43205760341442</v>
      </c>
      <c r="N117" s="95">
        <f t="shared" si="100"/>
        <v>195.43205760341442</v>
      </c>
      <c r="O117" s="94">
        <f>IF('Chemical Info'!L118="NA","NA",IF('Chemical Info'!E118="Yes",(('Com-Ind Equations'!$B$46*'Chemical Info'!AD118*'Com-Ind Equations'!$B$48*'Com-Ind Equations'!$B$49*'Com-Ind Equations'!$B$51)/('Com-Ind Equations'!$B$55*'Com-Ind Equations'!$B$56))/'Chemical Info'!L118,(('Com-Ind Equations'!$B$46*'Chemical Info'!AD118*'Com-Ind Equations'!$B$48*'Com-Ind Equations'!$B$49*'Com-Ind Equations'!$B$50)/('Com-Ind Equations'!$B$55*'Com-Ind Equations'!$B$56))/'Chemical Info'!L118))</f>
        <v>1.9263698630136986E-5</v>
      </c>
      <c r="P117" s="90">
        <f>IF('Chemical Info'!L118="NA","NA", IF('Chemical Info'!E118="Yes",0,((('Com-Ind Equations'!$B$58*'Com-Ind Equations'!$B$59*'Com-Ind Equations'!$B$48*'Com-Ind Equations'!$B$52*'Com-Ind Equations'!$B$49*'Chemical Info'!AB118)/('Com-Ind Equations'!$B$55*'Com-Ind Equations'!$B$56))/('Chemical Info'!L118*'Chemical Info'!AF118))))</f>
        <v>0</v>
      </c>
      <c r="Q117" s="90">
        <f>IF('Chemical Info'!N118="NA","NA",IF('Com-Ind Calculations'!E117="NA",(('Com-Ind Equations'!$B$53*'Com-Ind Equations'!$B$49*'Com-Ind Equations'!$B$54*'Com-Ind Calculations'!C117)/('Com-Ind Equations'!$B$56))/('Chemical Info'!N118),IF('Chemical Info'!E118="Yes",(('Com-Ind Equations'!$B$53*'Com-Ind Equations'!$B$49*'Com-Ind Equations'!$B$54*'Com-Ind Calculations'!E117)/('Com-Ind Equations'!$B$56))/('Chemical Info'!N118),(('Com-Ind Equations'!$B$53*'Com-Ind Equations'!$B$49*'Com-Ind Equations'!$B$54*('Com-Ind Calculations'!C117+'Com-Ind Calculations'!E117))/('Com-Ind Equations'!$B$56))/('Chemical Info'!N118))))</f>
        <v>2.1714140764296614E-4</v>
      </c>
      <c r="R117" s="90">
        <f>IF('Chemical Info'!N118="NA","NA",IF('Com-Ind Calculations'!F117="NA",(('Com-Ind Equations'!$B$53*'Com-Ind Equations'!$B$49*'Com-Ind Equations'!$B$54*'Com-Ind Calculations'!C117)/('Com-Ind Equations'!$B$56))/('Chemical Info'!N118),IF('Chemical Info'!E118="Yes",(('Com-Ind Equations'!$B$53*'Com-Ind Equations'!$B$49*'Com-Ind Equations'!$B$54*'Com-Ind Calculations'!F117)/('Com-Ind Equations'!$B$56))/('Chemical Info'!N118),(('Com-Ind Equations'!$B$53*'Com-Ind Equations'!$B$49*'Com-Ind Equations'!$B$54*('Com-Ind Calculations'!C117+'Com-Ind Calculations'!F117))/('Com-Ind Equations'!$B$56))/('Chemical Info'!N118))))</f>
        <v>2.1203565287676663E-4</v>
      </c>
      <c r="S117" s="90">
        <f>IF(AND(O117="NA",P117="NA",Q117="NA"),"NA",IF(O117="NA",'Com-Ind Equations'!$B$45/'Com-Ind Calculations'!Q117,IF('Com-Ind Calculations'!Q117="NA",'Com-Ind Equations'!$B$45/('Com-Ind Calculations'!O117+'Com-Ind Calculations'!P117),'Com-Ind Equations'!$B$45/('Com-Ind Calculations'!O117+'Com-Ind Calculations'!P117+'Com-Ind Calculations'!Q117))))</f>
        <v>846.00541482785604</v>
      </c>
      <c r="T117" s="95">
        <f>IF(AND(O117="NA",P117="NA",R117="NA"),"NA",IF(O117="NA",'Com-Ind Equations'!$B$45/R117,IF(R117="NA",'Com-Ind Equations'!$B$45/(O117+P117),'Com-Ind Equations'!$B$45/(O117+P117+R117))))</f>
        <v>864.68033177356563</v>
      </c>
      <c r="U117" s="97">
        <f t="shared" si="101"/>
        <v>864.68033177356563</v>
      </c>
      <c r="V117" s="101">
        <f t="shared" si="102"/>
        <v>195.43205760341442</v>
      </c>
      <c r="W117" s="105">
        <f t="shared" si="104"/>
        <v>200</v>
      </c>
      <c r="X117" s="100" t="str">
        <f t="shared" si="103"/>
        <v>Cancer</v>
      </c>
      <c r="Y117" s="70"/>
    </row>
    <row r="118" spans="1:26">
      <c r="A118" s="373" t="s">
        <v>405</v>
      </c>
      <c r="B118" s="566" t="s">
        <v>200</v>
      </c>
      <c r="C118" s="85">
        <f>1/(('Com-Ind Equations'!$B$123*3600)/(0.036*(1-'Com-Ind Equations'!$B$124)*(('Com-Ind Equations'!$B$125/'Com-Ind Equations'!$B$126)^3)*'Com-Ind Equations'!$B$127))</f>
        <v>1.4713536180231943E-9</v>
      </c>
      <c r="D118" s="90">
        <f>(('Com-Ind Equations'!$B$103^(10/3)*'Chemical Info'!AH119*'Chemical Info'!AN119*41+'Com-Ind Equations'!$B$106^(10/3)*'Chemical Info'!AJ119)/'Com-Ind Equations'!$B$108^2)/('Com-Ind Equations'!$B$110*'Chemical Info'!AL119*'Com-Ind Equations'!$B$113+'Com-Ind Equations'!$B$106+'Com-Ind Equations'!$B$103*'Chemical Info'!AN119*41)</f>
        <v>1.8305969179214777E-9</v>
      </c>
      <c r="E118" s="65">
        <f>IF(D118=0,"NA",1/(('Com-Ind Equations'!$B$74*(3.14*D118*'Com-Ind Equations'!$B$76)^(1/2)*0.0001)/(2*'Com-Ind Equations'!$B$77*D118)))</f>
        <v>2.51145237656738E-7</v>
      </c>
      <c r="F118" s="65">
        <f>IF(D118=0,"NA",(1/('Com-Ind Equations'!$B$88*('Com-Ind Equations'!$B$89*(31500000))/('Com-Ind Equations'!$B$90*'Com-Ind Equations'!$B$91*1000000))))</f>
        <v>6.1914410640015851E-5</v>
      </c>
      <c r="G118" s="95" t="str">
        <f>IF('Chemical Info'!E119="Yes",('Chemical Info'!AP119/'Com-Ind Equations'!$B$139)*((('Chemical Info'!AL119*'Com-Ind Equations'!$B$141)*'Com-Ind Equations'!$B$139)+'Com-Ind Equations'!$B$142+('Chemical Info'!AN119*41)*'Com-Ind Equations'!$B$144),"NA")</f>
        <v>NA</v>
      </c>
      <c r="H118" s="112">
        <f>IF('Chemical Info'!H119="NA","NA",IF('Chemical Info'!E119="Yes",'Chemical Info'!H119*'Chemical Info'!AD119*'Com-Ind Equations'!$B$18*'Com-Ind Equations'!$B$22*(('Com-Ind Equations'!$B$24*'Com-Ind Equations'!$B$25)/'Com-Ind Equations'!$B$26),'Chemical Info'!H119*'Chemical Info'!AD119*'Com-Ind Equations'!$B$17*'Com-Ind Equations'!$B$22*('Com-Ind Equations'!$B$24*'Com-Ind Equations'!$B$25/'Com-Ind Equations'!$B$26)))</f>
        <v>3.5156250000000001E-3</v>
      </c>
      <c r="I118" s="108">
        <f>IF('Chemical Info'!H119="NA","NA",IF('Chemical Info'!E119="Yes",0,('Chemical Info'!H119/'Chemical Info'!AF119)*'Com-Ind Equations'!$B$19*'Chemical Info'!AB119*'Com-Ind Equations'!$B$22*(('Com-Ind Equations'!$B$24*'Com-Ind Equations'!$B$29*'Com-Ind Equations'!$B$30)/'Com-Ind Equations'!$B$26)))</f>
        <v>1.0713262499999997E-3</v>
      </c>
      <c r="J118" s="115">
        <f>IF('Chemical Info'!J119="NA","NA",IF(E118="NA",'Com-Ind Equations'!$B$20*1000*'Com-Ind Equations'!$B$24*'Com-Ind Equations'!$B$21*'Chemical Info'!J119*'Com-Ind Calculations'!C118,IF('Chemical Info'!E119="Yes",'Com-Ind Equations'!$B$20*1000*'Com-Ind Equations'!$B$24*'Com-Ind Equations'!$B$21*'Chemical Info'!J119*'Com-Ind Calculations'!E118,'Com-Ind Equations'!$B$20*1000*'Com-Ind Equations'!$B$24*'Com-Ind Equations'!$B$21*'Chemical Info'!J119*('Com-Ind Calculations'!C118+'Com-Ind Calculations'!E118))))</f>
        <v>1.6104307693766027E-4</v>
      </c>
      <c r="K118" s="117">
        <f>IF('Chemical Info'!J119="NA","NA",IF(F118="NA",'Com-Ind Equations'!$B$20*1000*'Com-Ind Equations'!$B$24*'Com-Ind Equations'!$B$21*'Chemical Info'!J119*'Com-Ind Calculations'!C118,IF('Chemical Info'!E119="Yes",'Com-Ind Equations'!$B$20*1000*'Com-Ind Equations'!$B$24*'Com-Ind Equations'!$B$21*'Chemical Info'!J119*'Com-Ind Calculations'!F118,'Com-Ind Equations'!$B$20*1000*'Com-Ind Equations'!$B$24*'Com-Ind Equations'!$B$21*'Chemical Info'!J119*('Com-Ind Calculations'!C118+'Com-Ind Calculations'!F118))))</f>
        <v>3.9471374770941592E-2</v>
      </c>
      <c r="L118" s="95">
        <f>IF(AND(H118="NA",I118="NA",J118="NA"),"NA",IF(H118="NA",'Com-Ind Equations'!$B$13*'Com-Ind Equations'!$B$14/J118,IF(J118="NA",'Com-Ind Equations'!$B$13*'Com-Ind Equations'!$B$14/(H118+I118),'Com-Ind Equations'!$B$13*'Com-Ind Equations'!$B$14/(H118+I118+J118))))</f>
        <v>53.812195720290859</v>
      </c>
      <c r="M118" s="95">
        <f>IF(AND(H118="NA",I118="NA",K118="NA"),"NA",IF(H118="NA",'Com-Ind Equations'!$B$13*'Com-Ind Equations'!$B$14/K118,IF(K118="NA",'Com-Ind Equations'!$B$13*'Com-Ind Equations'!$B$14/(H118+I118),'Com-Ind Equations'!$B$13*'Com-Ind Equations'!$B$14/(H118+I118+K118))))</f>
        <v>5.7991309038513394</v>
      </c>
      <c r="N118" s="95">
        <f t="shared" si="100"/>
        <v>53.812195720290859</v>
      </c>
      <c r="O118" s="94" t="str">
        <f>IF('Chemical Info'!L119="NA","NA",IF('Chemical Info'!E119="Yes",(('Com-Ind Equations'!$B$46*'Chemical Info'!AD119*'Com-Ind Equations'!$B$48*'Com-Ind Equations'!$B$49*'Com-Ind Equations'!$B$51)/('Com-Ind Equations'!$B$55*'Com-Ind Equations'!$B$56))/'Chemical Info'!L119,(('Com-Ind Equations'!$B$46*'Chemical Info'!AD119*'Com-Ind Equations'!$B$48*'Com-Ind Equations'!$B$49*'Com-Ind Equations'!$B$50)/('Com-Ind Equations'!$B$55*'Com-Ind Equations'!$B$56))/'Chemical Info'!L119))</f>
        <v>NA</v>
      </c>
      <c r="P118" s="90" t="str">
        <f>IF('Chemical Info'!L119="NA","NA", IF('Chemical Info'!E119="Yes",0,((('Com-Ind Equations'!$B$58*'Com-Ind Equations'!$B$59*'Com-Ind Equations'!$B$48*'Com-Ind Equations'!$B$52*'Com-Ind Equations'!$B$49*'Chemical Info'!AB119)/('Com-Ind Equations'!$B$55*'Com-Ind Equations'!$B$56))/('Chemical Info'!L119*'Chemical Info'!AF119))))</f>
        <v>NA</v>
      </c>
      <c r="Q118" s="90" t="str">
        <f>IF('Chemical Info'!N119="NA","NA",IF('Com-Ind Calculations'!E118="NA",(('Com-Ind Equations'!$B$53*'Com-Ind Equations'!$B$49*'Com-Ind Equations'!$B$54*'Com-Ind Calculations'!C118)/('Com-Ind Equations'!$B$56))/('Chemical Info'!N119),IF('Chemical Info'!E119="Yes",(('Com-Ind Equations'!$B$53*'Com-Ind Equations'!$B$49*'Com-Ind Equations'!$B$54*'Com-Ind Calculations'!E118)/('Com-Ind Equations'!$B$56))/('Chemical Info'!N119),(('Com-Ind Equations'!$B$53*'Com-Ind Equations'!$B$49*'Com-Ind Equations'!$B$54*('Com-Ind Calculations'!C118+'Com-Ind Calculations'!E118))/('Com-Ind Equations'!$B$56))/('Chemical Info'!N119))))</f>
        <v>NA</v>
      </c>
      <c r="R118" s="90" t="str">
        <f>IF('Chemical Info'!N119="NA","NA",IF('Com-Ind Calculations'!F118="NA",(('Com-Ind Equations'!$B$53*'Com-Ind Equations'!$B$49*'Com-Ind Equations'!$B$54*'Com-Ind Calculations'!C118)/('Com-Ind Equations'!$B$56))/('Chemical Info'!N119),IF('Chemical Info'!E119="Yes",(('Com-Ind Equations'!$B$53*'Com-Ind Equations'!$B$49*'Com-Ind Equations'!$B$54*'Com-Ind Calculations'!F118)/('Com-Ind Equations'!$B$56))/('Chemical Info'!N119),(('Com-Ind Equations'!$B$53*'Com-Ind Equations'!$B$49*'Com-Ind Equations'!$B$54*('Com-Ind Calculations'!C118+'Com-Ind Calculations'!F118))/('Com-Ind Equations'!$B$56))/('Chemical Info'!N119))))</f>
        <v>NA</v>
      </c>
      <c r="S118" s="90" t="str">
        <f>IF(AND(O118="NA",P118="NA",Q118="NA"),"NA",IF(O118="NA",'Com-Ind Equations'!$B$45/'Com-Ind Calculations'!Q118,IF('Com-Ind Calculations'!Q118="NA",'Com-Ind Equations'!$B$45/('Com-Ind Calculations'!O118+'Com-Ind Calculations'!P118),'Com-Ind Equations'!$B$45/('Com-Ind Calculations'!O118+'Com-Ind Calculations'!P118+'Com-Ind Calculations'!Q118))))</f>
        <v>NA</v>
      </c>
      <c r="T118" s="95" t="str">
        <f>IF(AND(O118="NA",P118="NA",R118="NA"),"NA",IF(O118="NA",'Com-Ind Equations'!$B$45/R118,IF(R118="NA",'Com-Ind Equations'!$B$45/(O118+P118),'Com-Ind Equations'!$B$45/(O118+P118+R118))))</f>
        <v>NA</v>
      </c>
      <c r="U118" s="97" t="str">
        <f t="shared" si="101"/>
        <v>NA</v>
      </c>
      <c r="V118" s="101">
        <f t="shared" si="102"/>
        <v>53.812195720290859</v>
      </c>
      <c r="W118" s="105">
        <f t="shared" si="104"/>
        <v>54</v>
      </c>
      <c r="X118" s="100" t="str">
        <f t="shared" si="103"/>
        <v>Cancer</v>
      </c>
      <c r="Y118" s="70"/>
    </row>
    <row r="119" spans="1:26">
      <c r="A119" s="373" t="s">
        <v>1091</v>
      </c>
      <c r="B119" s="566" t="s">
        <v>201</v>
      </c>
      <c r="C119" s="85">
        <f>1/(('Com-Ind Equations'!$B$123*3600)/(0.036*(1-'Com-Ind Equations'!$B$124)*(('Com-Ind Equations'!$B$125/'Com-Ind Equations'!$B$126)^3)*'Com-Ind Equations'!$B$127))</f>
        <v>1.4713536180231943E-9</v>
      </c>
      <c r="D119" s="90">
        <f>(('Com-Ind Equations'!$B$103^(10/3)*'Chemical Info'!AH120*'Chemical Info'!AN120*41+'Com-Ind Equations'!$B$106^(10/3)*'Chemical Info'!AJ120)/'Com-Ind Equations'!$B$108^2)/('Com-Ind Equations'!$B$110*'Chemical Info'!AL120*'Com-Ind Equations'!$B$113+'Com-Ind Equations'!$B$106+'Com-Ind Equations'!$B$103*'Chemical Info'!AN120*41)</f>
        <v>1.6043866635433461E-7</v>
      </c>
      <c r="E119" s="65">
        <f>IF(D119=0,"NA",1/(('Com-Ind Equations'!$B$74*(3.14*D119*'Com-Ind Equations'!$B$76)^(1/2)*0.0001)/(2*'Com-Ind Equations'!$B$77*D119)))</f>
        <v>2.3511649857748911E-6</v>
      </c>
      <c r="F119" s="65">
        <f>IF(D119=0,"NA",(1/('Com-Ind Equations'!$B$88*('Com-Ind Equations'!$B$89*(31500000))/('Com-Ind Equations'!$B$90*'Com-Ind Equations'!$B$91*1000000))))</f>
        <v>6.1914410640015851E-5</v>
      </c>
      <c r="G119" s="95" t="str">
        <f>IF('Chemical Info'!E120="Yes",('Chemical Info'!AP120/'Com-Ind Equations'!$B$139)*((('Chemical Info'!AL120*'Com-Ind Equations'!$B$141)*'Com-Ind Equations'!$B$139)+'Com-Ind Equations'!$B$142+('Chemical Info'!AN120*41)*'Com-Ind Equations'!$B$144),"NA")</f>
        <v>NA</v>
      </c>
      <c r="H119" s="112" t="str">
        <f>IF('Chemical Info'!H120="NA","NA",IF('Chemical Info'!E120="Yes",'Chemical Info'!H120*'Chemical Info'!AD120*'Com-Ind Equations'!$B$18*'Com-Ind Equations'!$B$22*(('Com-Ind Equations'!$B$24*'Com-Ind Equations'!$B$25)/'Com-Ind Equations'!$B$26),'Chemical Info'!H120*'Chemical Info'!AD120*'Com-Ind Equations'!$B$17*'Com-Ind Equations'!$B$22*('Com-Ind Equations'!$B$24*'Com-Ind Equations'!$B$25/'Com-Ind Equations'!$B$26)))</f>
        <v>NA</v>
      </c>
      <c r="I119" s="108" t="str">
        <f>IF('Chemical Info'!H120="NA","NA",IF('Chemical Info'!E120="Yes",0,('Chemical Info'!H120/'Chemical Info'!AF120)*'Com-Ind Equations'!$B$19*'Chemical Info'!AB120*'Com-Ind Equations'!$B$22*(('Com-Ind Equations'!$B$24*'Com-Ind Equations'!$B$29*'Com-Ind Equations'!$B$30)/'Com-Ind Equations'!$B$26)))</f>
        <v>NA</v>
      </c>
      <c r="J119" s="115" t="str">
        <f>IF('Chemical Info'!J120="NA","NA",IF(E119="NA",'Com-Ind Equations'!$B$20*1000*'Com-Ind Equations'!$B$24*'Com-Ind Equations'!$B$21*'Chemical Info'!J120*'Com-Ind Calculations'!C119,IF('Chemical Info'!E120="Yes",'Com-Ind Equations'!$B$20*1000*'Com-Ind Equations'!$B$24*'Com-Ind Equations'!$B$21*'Chemical Info'!J120*'Com-Ind Calculations'!E119,'Com-Ind Equations'!$B$20*1000*'Com-Ind Equations'!$B$24*'Com-Ind Equations'!$B$21*'Chemical Info'!J120*('Com-Ind Calculations'!C119+'Com-Ind Calculations'!E119))))</f>
        <v>NA</v>
      </c>
      <c r="K119" s="117" t="str">
        <f>IF('Chemical Info'!J120="NA","NA",IF(F119="NA",'Com-Ind Equations'!$B$20*1000*'Com-Ind Equations'!$B$24*'Com-Ind Equations'!$B$21*'Chemical Info'!J120*'Com-Ind Calculations'!C119,IF('Chemical Info'!E120="Yes",'Com-Ind Equations'!$B$20*1000*'Com-Ind Equations'!$B$24*'Com-Ind Equations'!$B$21*'Chemical Info'!J120*'Com-Ind Calculations'!F119,'Com-Ind Equations'!$B$20*1000*'Com-Ind Equations'!$B$24*'Com-Ind Equations'!$B$21*'Chemical Info'!J120*('Com-Ind Calculations'!C119+'Com-Ind Calculations'!F119))))</f>
        <v>NA</v>
      </c>
      <c r="L119" s="95" t="str">
        <f>IF(AND(H119="NA",I119="NA",J119="NA"),"NA",IF(H119="NA",'Com-Ind Equations'!$B$13*'Com-Ind Equations'!$B$14/J119,IF(J119="NA",'Com-Ind Equations'!$B$13*'Com-Ind Equations'!$B$14/(H119+I119),'Com-Ind Equations'!$B$13*'Com-Ind Equations'!$B$14/(H119+I119+J119))))</f>
        <v>NA</v>
      </c>
      <c r="M119" s="95" t="str">
        <f>IF(AND(H119="NA",I119="NA",K119="NA"),"NA",IF(H119="NA",'Com-Ind Equations'!$B$13*'Com-Ind Equations'!$B$14/K119,IF(K119="NA",'Com-Ind Equations'!$B$13*'Com-Ind Equations'!$B$14/(H119+I119),'Com-Ind Equations'!$B$13*'Com-Ind Equations'!$B$14/(H119+I119+K119))))</f>
        <v>NA</v>
      </c>
      <c r="N119" s="95" t="str">
        <f t="shared" si="100"/>
        <v>NA</v>
      </c>
      <c r="O119" s="94">
        <f>IF('Chemical Info'!L120="NA","NA",IF('Chemical Info'!E120="Yes",(('Com-Ind Equations'!$B$46*'Chemical Info'!AD120*'Com-Ind Equations'!$B$48*'Com-Ind Equations'!$B$49*'Com-Ind Equations'!$B$51)/('Com-Ind Equations'!$B$55*'Com-Ind Equations'!$B$56))/'Chemical Info'!L120,(('Com-Ind Equations'!$B$46*'Chemical Info'!AD120*'Com-Ind Equations'!$B$48*'Com-Ind Equations'!$B$49*'Com-Ind Equations'!$B$50)/('Com-Ind Equations'!$B$55*'Com-Ind Equations'!$B$56))/'Chemical Info'!L120))</f>
        <v>2.8538812785388121E-4</v>
      </c>
      <c r="P119" s="90">
        <f>IF('Chemical Info'!L120="NA","NA", IF('Chemical Info'!E120="Yes",0,((('Com-Ind Equations'!$B$58*'Com-Ind Equations'!$B$59*'Com-Ind Equations'!$B$48*'Com-Ind Equations'!$B$52*'Com-Ind Equations'!$B$49*'Chemical Info'!AB120)/('Com-Ind Equations'!$B$55*'Com-Ind Equations'!$B$56))/('Chemical Info'!L120*'Chemical Info'!AF120))))</f>
        <v>8.6967123287671219E-5</v>
      </c>
      <c r="Q119" s="90" t="str">
        <f>IF('Chemical Info'!N120="NA","NA",IF('Com-Ind Calculations'!E119="NA",(('Com-Ind Equations'!$B$53*'Com-Ind Equations'!$B$49*'Com-Ind Equations'!$B$54*'Com-Ind Calculations'!C119)/('Com-Ind Equations'!$B$56))/('Chemical Info'!N120),IF('Chemical Info'!E120="Yes",(('Com-Ind Equations'!$B$53*'Com-Ind Equations'!$B$49*'Com-Ind Equations'!$B$54*'Com-Ind Calculations'!E119)/('Com-Ind Equations'!$B$56))/('Chemical Info'!N120),(('Com-Ind Equations'!$B$53*'Com-Ind Equations'!$B$49*'Com-Ind Equations'!$B$54*('Com-Ind Calculations'!C119+'Com-Ind Calculations'!E119))/('Com-Ind Equations'!$B$56))/('Chemical Info'!N120))))</f>
        <v>NA</v>
      </c>
      <c r="R119" s="90" t="str">
        <f>IF('Chemical Info'!N120="NA","NA",IF('Com-Ind Calculations'!F119="NA",(('Com-Ind Equations'!$B$53*'Com-Ind Equations'!$B$49*'Com-Ind Equations'!$B$54*'Com-Ind Calculations'!C119)/('Com-Ind Equations'!$B$56))/('Chemical Info'!N120),IF('Chemical Info'!E120="Yes",(('Com-Ind Equations'!$B$53*'Com-Ind Equations'!$B$49*'Com-Ind Equations'!$B$54*'Com-Ind Calculations'!F119)/('Com-Ind Equations'!$B$56))/('Chemical Info'!N120),(('Com-Ind Equations'!$B$53*'Com-Ind Equations'!$B$49*'Com-Ind Equations'!$B$54*('Com-Ind Calculations'!C119+'Com-Ind Calculations'!F119))/('Com-Ind Equations'!$B$56))/('Chemical Info'!N120))))</f>
        <v>NA</v>
      </c>
      <c r="S119" s="90">
        <f>IF(AND(O119="NA",P119="NA",Q119="NA"),"NA",IF(O119="NA",'Com-Ind Equations'!$B$45/'Com-Ind Calculations'!Q119,IF('Com-Ind Calculations'!Q119="NA",'Com-Ind Equations'!$B$45/('Com-Ind Calculations'!O119+'Com-Ind Calculations'!P119),'Com-Ind Equations'!$B$45/('Com-Ind Calculations'!O119+'Com-Ind Calculations'!P119+'Com-Ind Calculations'!Q119))))</f>
        <v>537.12147038841988</v>
      </c>
      <c r="T119" s="95">
        <f>IF(AND(O119="NA",P119="NA",R119="NA"),"NA",IF(O119="NA",'Com-Ind Equations'!$B$45/R119,IF(R119="NA",'Com-Ind Equations'!$B$45/(O119+P119),'Com-Ind Equations'!$B$45/(O119+P119+R119))))</f>
        <v>537.12147038841988</v>
      </c>
      <c r="U119" s="97">
        <f t="shared" si="101"/>
        <v>537.12147038841988</v>
      </c>
      <c r="V119" s="101">
        <f t="shared" si="102"/>
        <v>537.12147038841988</v>
      </c>
      <c r="W119" s="105">
        <f t="shared" si="104"/>
        <v>540</v>
      </c>
      <c r="X119" s="100" t="str">
        <f t="shared" si="103"/>
        <v>Noncancer</v>
      </c>
      <c r="Y119" s="70"/>
    </row>
    <row r="120" spans="1:26">
      <c r="A120" s="373" t="s">
        <v>1154</v>
      </c>
      <c r="B120" s="566" t="s">
        <v>1155</v>
      </c>
      <c r="C120" s="85">
        <f>1/(('Com-Ind Equations'!$B$123*3600)/(0.036*(1-'Com-Ind Equations'!$B$124)*(('Com-Ind Equations'!$B$125/'Com-Ind Equations'!$B$126)^3)*'Com-Ind Equations'!$B$127))</f>
        <v>1.4713536180231943E-9</v>
      </c>
      <c r="D120" s="90">
        <f>(('Com-Ind Equations'!$B$103^(10/3)*'Chemical Info'!AH121*'Chemical Info'!AN121*41+'Com-Ind Equations'!$B$106^(10/3)*'Chemical Info'!AJ121)/'Com-Ind Equations'!$B$108^2)/('Com-Ind Equations'!$B$110*'Chemical Info'!AL121*'Com-Ind Equations'!$B$113+'Com-Ind Equations'!$B$106+'Com-Ind Equations'!$B$103*'Chemical Info'!AN121*41)</f>
        <v>7.348554766102905E-8</v>
      </c>
      <c r="E120" s="65">
        <f>IF(D120=0,"NA",1/(('Com-Ind Equations'!$B$74*(3.14*D120*'Com-Ind Equations'!$B$76)^(1/2)*0.0001)/(2*'Com-Ind Equations'!$B$77*D120)))</f>
        <v>1.5912175182200938E-6</v>
      </c>
      <c r="F120" s="65">
        <f>IF(D120=0,"NA",(1/('Com-Ind Equations'!$B$88*('Com-Ind Equations'!$B$89*(31500000))/('Com-Ind Equations'!$B$90*'Com-Ind Equations'!$B$91*1000000))))</f>
        <v>6.1914410640015851E-5</v>
      </c>
      <c r="G120" s="95" t="str">
        <f>IF('Chemical Info'!E121="Yes",('Chemical Info'!AP121/'Com-Ind Equations'!$B$139)*((('Chemical Info'!AL121*'Com-Ind Equations'!$B$141)*'Com-Ind Equations'!$B$139)+'Com-Ind Equations'!$B$142+('Chemical Info'!AN121*41)*'Com-Ind Equations'!$B$144),"NA")</f>
        <v>NA</v>
      </c>
      <c r="H120" s="112" t="str">
        <f>IF('Chemical Info'!H121="NA","NA",IF('Chemical Info'!E121="Yes",'Chemical Info'!H121*'Chemical Info'!AD121*'Com-Ind Equations'!$B$18*'Com-Ind Equations'!$B$22*(('Com-Ind Equations'!$B$24*'Com-Ind Equations'!$B$25)/'Com-Ind Equations'!$B$26),'Chemical Info'!H121*'Chemical Info'!AD121*'Com-Ind Equations'!$B$17*'Com-Ind Equations'!$B$22*('Com-Ind Equations'!$B$24*'Com-Ind Equations'!$B$25/'Com-Ind Equations'!$B$26)))</f>
        <v>NA</v>
      </c>
      <c r="I120" s="108" t="str">
        <f>IF('Chemical Info'!H121="NA","NA",IF('Chemical Info'!E121="Yes",0,('Chemical Info'!H121/'Chemical Info'!AF121)*'Com-Ind Equations'!$B$19*'Chemical Info'!AB121*'Com-Ind Equations'!$B$22*(('Com-Ind Equations'!$B$24*'Com-Ind Equations'!$B$29*'Com-Ind Equations'!$B$30)/'Com-Ind Equations'!$B$26)))</f>
        <v>NA</v>
      </c>
      <c r="J120" s="115" t="str">
        <f>IF('Chemical Info'!J121="NA","NA",IF(E120="NA",'Com-Ind Equations'!$B$20*1000*'Com-Ind Equations'!$B$24*'Com-Ind Equations'!$B$21*'Chemical Info'!J121*'Com-Ind Calculations'!C120,IF('Chemical Info'!E121="Yes",'Com-Ind Equations'!$B$20*1000*'Com-Ind Equations'!$B$24*'Com-Ind Equations'!$B$21*'Chemical Info'!J121*'Com-Ind Calculations'!E120,'Com-Ind Equations'!$B$20*1000*'Com-Ind Equations'!$B$24*'Com-Ind Equations'!$B$21*'Chemical Info'!J121*('Com-Ind Calculations'!C120+'Com-Ind Calculations'!E120))))</f>
        <v>NA</v>
      </c>
      <c r="K120" s="117" t="str">
        <f>IF('Chemical Info'!J121="NA","NA",IF(F120="NA",'Com-Ind Equations'!$B$20*1000*'Com-Ind Equations'!$B$24*'Com-Ind Equations'!$B$21*'Chemical Info'!J121*'Com-Ind Calculations'!C120,IF('Chemical Info'!E121="Yes",'Com-Ind Equations'!$B$20*1000*'Com-Ind Equations'!$B$24*'Com-Ind Equations'!$B$21*'Chemical Info'!J121*'Com-Ind Calculations'!F120,'Com-Ind Equations'!$B$20*1000*'Com-Ind Equations'!$B$24*'Com-Ind Equations'!$B$21*'Chemical Info'!J121*('Com-Ind Calculations'!C120+'Com-Ind Calculations'!F120))))</f>
        <v>NA</v>
      </c>
      <c r="L120" s="95" t="str">
        <f>IF(AND(H120="NA",I120="NA",J120="NA"),"NA",IF(H120="NA",'Com-Ind Equations'!$B$13*'Com-Ind Equations'!$B$14/J120,IF(J120="NA",'Com-Ind Equations'!$B$13*'Com-Ind Equations'!$B$14/(H120+I120),'Com-Ind Equations'!$B$13*'Com-Ind Equations'!$B$14/(H120+I120+J120))))</f>
        <v>NA</v>
      </c>
      <c r="M120" s="95" t="str">
        <f>IF(AND(H120="NA",I120="NA",K120="NA"),"NA",IF(H120="NA",'Com-Ind Equations'!$B$13*'Com-Ind Equations'!$B$14/K120,IF(K120="NA",'Com-Ind Equations'!$B$13*'Com-Ind Equations'!$B$14/(H120+I120),'Com-Ind Equations'!$B$13*'Com-Ind Equations'!$B$14/(H120+I120+K120))))</f>
        <v>NA</v>
      </c>
      <c r="N120" s="95" t="str">
        <f t="shared" ref="N120" si="125">IF(AND(L120="NA",M120="NA"),"NA",MAX(L120,M120))</f>
        <v>NA</v>
      </c>
      <c r="O120" s="94">
        <f>IF('Chemical Info'!L121="NA","NA",IF('Chemical Info'!E121="Yes",(('Com-Ind Equations'!$B$46*'Chemical Info'!AD121*'Com-Ind Equations'!$B$48*'Com-Ind Equations'!$B$49*'Com-Ind Equations'!$B$51)/('Com-Ind Equations'!$B$55*'Com-Ind Equations'!$B$56))/'Chemical Info'!L121,(('Com-Ind Equations'!$B$46*'Chemical Info'!AD121*'Com-Ind Equations'!$B$48*'Com-Ind Equations'!$B$49*'Com-Ind Equations'!$B$50)/('Com-Ind Equations'!$B$55*'Com-Ind Equations'!$B$56))/'Chemical Info'!L121))</f>
        <v>1.0702054794520545E-6</v>
      </c>
      <c r="P120" s="90">
        <f>IF('Chemical Info'!L121="NA","NA", IF('Chemical Info'!E121="Yes",0,((('Com-Ind Equations'!$B$58*'Com-Ind Equations'!$B$59*'Com-Ind Equations'!$B$48*'Com-Ind Equations'!$B$52*'Com-Ind Equations'!$B$49*'Chemical Info'!AB121)/('Com-Ind Equations'!$B$55*'Com-Ind Equations'!$B$56))/('Chemical Info'!L121*'Chemical Info'!AF121))))</f>
        <v>3.2612671232876706E-7</v>
      </c>
      <c r="Q120" s="90" t="str">
        <f>IF('Chemical Info'!N121="NA","NA",IF('Com-Ind Calculations'!E120="NA",(('Com-Ind Equations'!$B$53*'Com-Ind Equations'!$B$49*'Com-Ind Equations'!$B$54*'Com-Ind Calculations'!C120)/('Com-Ind Equations'!$B$56))/('Chemical Info'!N121),IF('Chemical Info'!E121="Yes",(('Com-Ind Equations'!$B$53*'Com-Ind Equations'!$B$49*'Com-Ind Equations'!$B$54*'Com-Ind Calculations'!E120)/('Com-Ind Equations'!$B$56))/('Chemical Info'!N121),(('Com-Ind Equations'!$B$53*'Com-Ind Equations'!$B$49*'Com-Ind Equations'!$B$54*('Com-Ind Calculations'!C120+'Com-Ind Calculations'!E120))/('Com-Ind Equations'!$B$56))/('Chemical Info'!N121))))</f>
        <v>NA</v>
      </c>
      <c r="R120" s="90" t="str">
        <f>IF('Chemical Info'!N121="NA","NA",IF('Com-Ind Calculations'!F120="NA",(('Com-Ind Equations'!$B$53*'Com-Ind Equations'!$B$49*'Com-Ind Equations'!$B$54*'Com-Ind Calculations'!C120)/('Com-Ind Equations'!$B$56))/('Chemical Info'!N121),IF('Chemical Info'!E121="Yes",(('Com-Ind Equations'!$B$53*'Com-Ind Equations'!$B$49*'Com-Ind Equations'!$B$54*'Com-Ind Calculations'!F120)/('Com-Ind Equations'!$B$56))/('Chemical Info'!N121),(('Com-Ind Equations'!$B$53*'Com-Ind Equations'!$B$49*'Com-Ind Equations'!$B$54*('Com-Ind Calculations'!C120+'Com-Ind Calculations'!F120))/('Com-Ind Equations'!$B$56))/('Chemical Info'!N121))))</f>
        <v>NA</v>
      </c>
      <c r="S120" s="90">
        <f>IF(AND(O120="NA",P120="NA",Q120="NA"),"NA",IF(O120="NA",'Com-Ind Equations'!$B$45/'Com-Ind Calculations'!Q120,IF('Com-Ind Calculations'!Q120="NA",'Com-Ind Equations'!$B$45/('Com-Ind Calculations'!O120+'Com-Ind Calculations'!P120),'Com-Ind Equations'!$B$45/('Com-Ind Calculations'!O120+'Com-Ind Calculations'!P120+'Com-Ind Calculations'!Q120))))</f>
        <v>143232.39210357866</v>
      </c>
      <c r="T120" s="95">
        <f>IF(AND(O120="NA",P120="NA",R120="NA"),"NA",IF(O120="NA",'Com-Ind Equations'!$B$45/R120,IF(R120="NA",'Com-Ind Equations'!$B$45/(O120+P120),'Com-Ind Equations'!$B$45/(O120+P120+R120))))</f>
        <v>143232.39210357866</v>
      </c>
      <c r="U120" s="97">
        <f t="shared" ref="U120" si="126">IF(AND(S120="NA",T120="NA"),"NA",MAX(S120,T120))</f>
        <v>143232.39210357866</v>
      </c>
      <c r="V120" s="101">
        <f t="shared" ref="V120" si="127">IF(AND(N120="NA",U120="NA",G120="NA"),"NA",MIN(N120,U120,G120))</f>
        <v>143232.39210357866</v>
      </c>
      <c r="W120" s="105">
        <f t="shared" ref="W120" si="128">IF(V120&gt;100000,100000,IF(ISNUMBER(ROUND(V120*1000000,2-LEN(INT(V120*1000000)))/1000000),ROUND(V120*1000000,2-LEN(INT(V120*1000000)))/1000000,"NA"))</f>
        <v>100000</v>
      </c>
      <c r="X120" s="100" t="str">
        <f t="shared" ref="X120" si="129">IF(W120=100000,"Max Limit",IF(V120=G120,"Csat",IF(V120=N120,"Cancer",IF(V120=U120,"Noncancer",""))))</f>
        <v>Max Limit</v>
      </c>
      <c r="Y120" s="70"/>
    </row>
    <row r="121" spans="1:26">
      <c r="A121" s="373" t="s">
        <v>1133</v>
      </c>
      <c r="B121" s="566" t="s">
        <v>1134</v>
      </c>
      <c r="C121" s="85">
        <f>1/(('Com-Ind Equations'!$B$123*3600)/(0.036*(1-'Com-Ind Equations'!$B$124)*(('Com-Ind Equations'!$B$125/'Com-Ind Equations'!$B$126)^3)*'Com-Ind Equations'!$B$127))</f>
        <v>1.4713536180231943E-9</v>
      </c>
      <c r="D121" s="90">
        <f>(('Com-Ind Equations'!$B$103^(10/3)*'Chemical Info'!AH122*'Chemical Info'!AN122*41+'Com-Ind Equations'!$B$106^(10/3)*'Chemical Info'!AJ122)/'Com-Ind Equations'!$B$108^2)/('Com-Ind Equations'!$B$110*'Chemical Info'!AL122*'Com-Ind Equations'!$B$113+'Com-Ind Equations'!$B$106+'Com-Ind Equations'!$B$103*'Chemical Info'!AN122*41)</f>
        <v>2.5463466739078758E-8</v>
      </c>
      <c r="E121" s="65">
        <f>IF(D121=0,"NA",1/(('Com-Ind Equations'!$B$74*(3.14*D121*'Com-Ind Equations'!$B$76)^(1/2)*0.0001)/(2*'Com-Ind Equations'!$B$77*D121)))</f>
        <v>9.3667159265565415E-7</v>
      </c>
      <c r="F121" s="65">
        <f>IF(D121=0,"NA",(1/('Com-Ind Equations'!$B$88*('Com-Ind Equations'!$B$89*(31500000))/('Com-Ind Equations'!$B$90*'Com-Ind Equations'!$B$91*1000000))))</f>
        <v>6.1914410640015851E-5</v>
      </c>
      <c r="G121" s="95" t="str">
        <f>IF('Chemical Info'!E122="Yes",('Chemical Info'!AP122/'Com-Ind Equations'!$B$139)*((('Chemical Info'!AL122*'Com-Ind Equations'!$B$141)*'Com-Ind Equations'!$B$139)+'Com-Ind Equations'!$B$142+('Chemical Info'!AN122*41)*'Com-Ind Equations'!$B$144),"NA")</f>
        <v>NA</v>
      </c>
      <c r="H121" s="112" t="str">
        <f>IF('Chemical Info'!H122="NA","NA",IF('Chemical Info'!E122="Yes",'Chemical Info'!H122*'Chemical Info'!AD122*'Com-Ind Equations'!$B$18*'Com-Ind Equations'!$B$22*(('Com-Ind Equations'!$B$24*'Com-Ind Equations'!$B$25)/'Com-Ind Equations'!$B$26),'Chemical Info'!H122*'Chemical Info'!AD122*'Com-Ind Equations'!$B$17*'Com-Ind Equations'!$B$22*('Com-Ind Equations'!$B$24*'Com-Ind Equations'!$B$25/'Com-Ind Equations'!$B$26)))</f>
        <v>NA</v>
      </c>
      <c r="I121" s="108" t="str">
        <f>IF('Chemical Info'!H122="NA","NA",IF('Chemical Info'!E122="Yes",0,('Chemical Info'!H122/'Chemical Info'!AF122)*'Com-Ind Equations'!$B$19*'Chemical Info'!AB122*'Com-Ind Equations'!$B$22*(('Com-Ind Equations'!$B$24*'Com-Ind Equations'!$B$29*'Com-Ind Equations'!$B$30)/'Com-Ind Equations'!$B$26)))</f>
        <v>NA</v>
      </c>
      <c r="J121" s="115" t="str">
        <f>IF('Chemical Info'!J122="NA","NA",IF(E121="NA",'Com-Ind Equations'!$B$20*1000*'Com-Ind Equations'!$B$24*'Com-Ind Equations'!$B$21*'Chemical Info'!J122*'Com-Ind Calculations'!C121,IF('Chemical Info'!E122="Yes",'Com-Ind Equations'!$B$20*1000*'Com-Ind Equations'!$B$24*'Com-Ind Equations'!$B$21*'Chemical Info'!J122*'Com-Ind Calculations'!E121,'Com-Ind Equations'!$B$20*1000*'Com-Ind Equations'!$B$24*'Com-Ind Equations'!$B$21*'Chemical Info'!J122*('Com-Ind Calculations'!C121+'Com-Ind Calculations'!E121))))</f>
        <v>NA</v>
      </c>
      <c r="K121" s="117" t="str">
        <f>IF('Chemical Info'!J122="NA","NA",IF(F121="NA",'Com-Ind Equations'!$B$20*1000*'Com-Ind Equations'!$B$24*'Com-Ind Equations'!$B$21*'Chemical Info'!J122*'Com-Ind Calculations'!C121,IF('Chemical Info'!E122="Yes",'Com-Ind Equations'!$B$20*1000*'Com-Ind Equations'!$B$24*'Com-Ind Equations'!$B$21*'Chemical Info'!J122*'Com-Ind Calculations'!F121,'Com-Ind Equations'!$B$20*1000*'Com-Ind Equations'!$B$24*'Com-Ind Equations'!$B$21*'Chemical Info'!J122*('Com-Ind Calculations'!C121+'Com-Ind Calculations'!F121))))</f>
        <v>NA</v>
      </c>
      <c r="L121" s="95" t="str">
        <f>IF(AND(H121="NA",I121="NA",J121="NA"),"NA",IF(H121="NA",'Com-Ind Equations'!$B$13*'Com-Ind Equations'!$B$14/J121,IF(J121="NA",'Com-Ind Equations'!$B$13*'Com-Ind Equations'!$B$14/(H121+I121),'Com-Ind Equations'!$B$13*'Com-Ind Equations'!$B$14/(H121+I121+J121))))</f>
        <v>NA</v>
      </c>
      <c r="M121" s="95" t="str">
        <f>IF(AND(H121="NA",I121="NA",K121="NA"),"NA",IF(H121="NA",'Com-Ind Equations'!$B$13*'Com-Ind Equations'!$B$14/K121,IF(K121="NA",'Com-Ind Equations'!$B$13*'Com-Ind Equations'!$B$14/(H121+I121),'Com-Ind Equations'!$B$13*'Com-Ind Equations'!$B$14/(H121+I121+K121))))</f>
        <v>NA</v>
      </c>
      <c r="N121" s="95" t="str">
        <f t="shared" ref="N121:N122" si="130">IF(AND(L121="NA",M121="NA"),"NA",MAX(L121,M121))</f>
        <v>NA</v>
      </c>
      <c r="O121" s="94">
        <f>IF('Chemical Info'!L122="NA","NA",IF('Chemical Info'!E122="Yes",(('Com-Ind Equations'!$B$46*'Chemical Info'!AD122*'Com-Ind Equations'!$B$48*'Com-Ind Equations'!$B$49*'Com-Ind Equations'!$B$51)/('Com-Ind Equations'!$B$55*'Com-Ind Equations'!$B$56))/'Chemical Info'!L122,(('Com-Ind Equations'!$B$46*'Chemical Info'!AD122*'Com-Ind Equations'!$B$48*'Com-Ind Equations'!$B$49*'Com-Ind Equations'!$B$50)/('Com-Ind Equations'!$B$55*'Com-Ind Equations'!$B$56))/'Chemical Info'!L122))</f>
        <v>8.5616438356164361E-3</v>
      </c>
      <c r="P121" s="90">
        <f>IF('Chemical Info'!L122="NA","NA", IF('Chemical Info'!E122="Yes",0,((('Com-Ind Equations'!$B$58*'Com-Ind Equations'!$B$59*'Com-Ind Equations'!$B$48*'Com-Ind Equations'!$B$52*'Com-Ind Equations'!$B$49*'Chemical Info'!AB122)/('Com-Ind Equations'!$B$55*'Com-Ind Equations'!$B$56))/('Chemical Info'!L122*'Chemical Info'!AF122))))</f>
        <v>2.6090136986301363E-3</v>
      </c>
      <c r="Q121" s="90" t="str">
        <f>IF('Chemical Info'!N122="NA","NA",IF('Com-Ind Calculations'!E121="NA",(('Com-Ind Equations'!$B$53*'Com-Ind Equations'!$B$49*'Com-Ind Equations'!$B$54*'Com-Ind Calculations'!C121)/('Com-Ind Equations'!$B$56))/('Chemical Info'!N122),IF('Chemical Info'!E122="Yes",(('Com-Ind Equations'!$B$53*'Com-Ind Equations'!$B$49*'Com-Ind Equations'!$B$54*'Com-Ind Calculations'!E121)/('Com-Ind Equations'!$B$56))/('Chemical Info'!N122),(('Com-Ind Equations'!$B$53*'Com-Ind Equations'!$B$49*'Com-Ind Equations'!$B$54*('Com-Ind Calculations'!C121+'Com-Ind Calculations'!E121))/('Com-Ind Equations'!$B$56))/('Chemical Info'!N122))))</f>
        <v>NA</v>
      </c>
      <c r="R121" s="90" t="str">
        <f>IF('Chemical Info'!N122="NA","NA",IF('Com-Ind Calculations'!F121="NA",(('Com-Ind Equations'!$B$53*'Com-Ind Equations'!$B$49*'Com-Ind Equations'!$B$54*'Com-Ind Calculations'!C121)/('Com-Ind Equations'!$B$56))/('Chemical Info'!N122),IF('Chemical Info'!E122="Yes",(('Com-Ind Equations'!$B$53*'Com-Ind Equations'!$B$49*'Com-Ind Equations'!$B$54*'Com-Ind Calculations'!F121)/('Com-Ind Equations'!$B$56))/('Chemical Info'!N122),(('Com-Ind Equations'!$B$53*'Com-Ind Equations'!$B$49*'Com-Ind Equations'!$B$54*('Com-Ind Calculations'!C121+'Com-Ind Calculations'!F121))/('Com-Ind Equations'!$B$56))/('Chemical Info'!N122))))</f>
        <v>NA</v>
      </c>
      <c r="S121" s="90">
        <f>IF(AND(O121="NA",P121="NA",Q121="NA"),"NA",IF(O121="NA",'Com-Ind Equations'!$B$45/'Com-Ind Calculations'!Q121,IF('Com-Ind Calculations'!Q121="NA",'Com-Ind Equations'!$B$45/('Com-Ind Calculations'!O121+'Com-Ind Calculations'!P121),'Com-Ind Equations'!$B$45/('Com-Ind Calculations'!O121+'Com-Ind Calculations'!P121+'Com-Ind Calculations'!Q121))))</f>
        <v>17.904049012947329</v>
      </c>
      <c r="T121" s="95">
        <f>IF(AND(O121="NA",P121="NA",R121="NA"),"NA",IF(O121="NA",'Com-Ind Equations'!$B$45/R121,IF(R121="NA",'Com-Ind Equations'!$B$45/(O121+P121),'Com-Ind Equations'!$B$45/(O121+P121+R121))))</f>
        <v>17.904049012947329</v>
      </c>
      <c r="U121" s="97">
        <f t="shared" ref="U121:U122" si="131">IF(AND(S121="NA",T121="NA"),"NA",MAX(S121,T121))</f>
        <v>17.904049012947329</v>
      </c>
      <c r="V121" s="101">
        <f t="shared" ref="V121:V122" si="132">IF(AND(N121="NA",U121="NA",G121="NA"),"NA",MIN(N121,U121,G121))</f>
        <v>17.904049012947329</v>
      </c>
      <c r="W121" s="105">
        <f t="shared" ref="W121:W122" si="133">IF(V121&gt;100000,100000,IF(ISNUMBER(ROUND(V121*1000000,2-LEN(INT(V121*1000000)))/1000000),ROUND(V121*1000000,2-LEN(INT(V121*1000000)))/1000000,"NA"))</f>
        <v>18</v>
      </c>
      <c r="X121" s="100" t="str">
        <f t="shared" ref="X121:X122" si="134">IF(W121=100000,"Max Limit",IF(V121=G121,"Csat",IF(V121=N121,"Cancer",IF(V121=U121,"Noncancer",""))))</f>
        <v>Noncancer</v>
      </c>
      <c r="Y121" s="70"/>
    </row>
    <row r="122" spans="1:26">
      <c r="A122" s="373" t="s">
        <v>1135</v>
      </c>
      <c r="B122" s="566" t="s">
        <v>1136</v>
      </c>
      <c r="C122" s="85">
        <f>1/(('Com-Ind Equations'!$B$123*3600)/(0.036*(1-'Com-Ind Equations'!$B$124)*(('Com-Ind Equations'!$B$125/'Com-Ind Equations'!$B$126)^3)*'Com-Ind Equations'!$B$127))</f>
        <v>1.4713536180231943E-9</v>
      </c>
      <c r="D122" s="90">
        <f>(('Com-Ind Equations'!$B$103^(10/3)*'Chemical Info'!AH123*'Chemical Info'!AN123*41+'Com-Ind Equations'!$B$106^(10/3)*'Chemical Info'!AJ123)/'Com-Ind Equations'!$B$108^2)/('Com-Ind Equations'!$B$110*'Chemical Info'!AL123*'Com-Ind Equations'!$B$113+'Com-Ind Equations'!$B$106+'Com-Ind Equations'!$B$103*'Chemical Info'!AN123*41)</f>
        <v>4.4123174815624906E-8</v>
      </c>
      <c r="E122" s="65">
        <f>IF(D122=0,"NA",1/(('Com-Ind Equations'!$B$74*(3.14*D122*'Com-Ind Equations'!$B$76)^(1/2)*0.0001)/(2*'Com-Ind Equations'!$B$77*D122)))</f>
        <v>1.2329968321387874E-6</v>
      </c>
      <c r="F122" s="65">
        <f>IF(D122=0,"NA",(1/('Com-Ind Equations'!$B$88*('Com-Ind Equations'!$B$89*(31500000))/('Com-Ind Equations'!$B$90*'Com-Ind Equations'!$B$91*1000000))))</f>
        <v>6.1914410640015851E-5</v>
      </c>
      <c r="G122" s="95" t="str">
        <f>IF('Chemical Info'!E123="Yes",('Chemical Info'!AP123/'Com-Ind Equations'!$B$139)*((('Chemical Info'!AL123*'Com-Ind Equations'!$B$141)*'Com-Ind Equations'!$B$139)+'Com-Ind Equations'!$B$142+('Chemical Info'!AN123*41)*'Com-Ind Equations'!$B$144),"NA")</f>
        <v>NA</v>
      </c>
      <c r="H122" s="112" t="str">
        <f>IF('Chemical Info'!H123="NA","NA",IF('Chemical Info'!E123="Yes",'Chemical Info'!H123*'Chemical Info'!AD123*'Com-Ind Equations'!$B$18*'Com-Ind Equations'!$B$22*(('Com-Ind Equations'!$B$24*'Com-Ind Equations'!$B$25)/'Com-Ind Equations'!$B$26),'Chemical Info'!H123*'Chemical Info'!AD123*'Com-Ind Equations'!$B$17*'Com-Ind Equations'!$B$22*('Com-Ind Equations'!$B$24*'Com-Ind Equations'!$B$25/'Com-Ind Equations'!$B$26)))</f>
        <v>NA</v>
      </c>
      <c r="I122" s="108" t="str">
        <f>IF('Chemical Info'!H123="NA","NA",IF('Chemical Info'!E123="Yes",0,('Chemical Info'!H123/'Chemical Info'!AF123)*'Com-Ind Equations'!$B$19*'Chemical Info'!AB123*'Com-Ind Equations'!$B$22*(('Com-Ind Equations'!$B$24*'Com-Ind Equations'!$B$29*'Com-Ind Equations'!$B$30)/'Com-Ind Equations'!$B$26)))</f>
        <v>NA</v>
      </c>
      <c r="J122" s="115" t="str">
        <f>IF('Chemical Info'!J123="NA","NA",IF(E122="NA",'Com-Ind Equations'!$B$20*1000*'Com-Ind Equations'!$B$24*'Com-Ind Equations'!$B$21*'Chemical Info'!J123*'Com-Ind Calculations'!C122,IF('Chemical Info'!E123="Yes",'Com-Ind Equations'!$B$20*1000*'Com-Ind Equations'!$B$24*'Com-Ind Equations'!$B$21*'Chemical Info'!J123*'Com-Ind Calculations'!E122,'Com-Ind Equations'!$B$20*1000*'Com-Ind Equations'!$B$24*'Com-Ind Equations'!$B$21*'Chemical Info'!J123*('Com-Ind Calculations'!C122+'Com-Ind Calculations'!E122))))</f>
        <v>NA</v>
      </c>
      <c r="K122" s="117" t="str">
        <f>IF('Chemical Info'!J123="NA","NA",IF(F122="NA",'Com-Ind Equations'!$B$20*1000*'Com-Ind Equations'!$B$24*'Com-Ind Equations'!$B$21*'Chemical Info'!J123*'Com-Ind Calculations'!C122,IF('Chemical Info'!E123="Yes",'Com-Ind Equations'!$B$20*1000*'Com-Ind Equations'!$B$24*'Com-Ind Equations'!$B$21*'Chemical Info'!J123*'Com-Ind Calculations'!F122,'Com-Ind Equations'!$B$20*1000*'Com-Ind Equations'!$B$24*'Com-Ind Equations'!$B$21*'Chemical Info'!J123*('Com-Ind Calculations'!C122+'Com-Ind Calculations'!F122))))</f>
        <v>NA</v>
      </c>
      <c r="L122" s="95" t="str">
        <f>IF(AND(H122="NA",I122="NA",J122="NA"),"NA",IF(H122="NA",'Com-Ind Equations'!$B$13*'Com-Ind Equations'!$B$14/J122,IF(J122="NA",'Com-Ind Equations'!$B$13*'Com-Ind Equations'!$B$14/(H122+I122),'Com-Ind Equations'!$B$13*'Com-Ind Equations'!$B$14/(H122+I122+J122))))</f>
        <v>NA</v>
      </c>
      <c r="M122" s="95" t="str">
        <f>IF(AND(H122="NA",I122="NA",K122="NA"),"NA",IF(H122="NA",'Com-Ind Equations'!$B$13*'Com-Ind Equations'!$B$14/K122,IF(K122="NA",'Com-Ind Equations'!$B$13*'Com-Ind Equations'!$B$14/(H122+I122),'Com-Ind Equations'!$B$13*'Com-Ind Equations'!$B$14/(H122+I122+K122))))</f>
        <v>NA</v>
      </c>
      <c r="N122" s="95" t="str">
        <f t="shared" si="130"/>
        <v>NA</v>
      </c>
      <c r="O122" s="94">
        <f>IF('Chemical Info'!L123="NA","NA",IF('Chemical Info'!E123="Yes",(('Com-Ind Equations'!$B$46*'Chemical Info'!AD123*'Com-Ind Equations'!$B$48*'Com-Ind Equations'!$B$49*'Com-Ind Equations'!$B$51)/('Com-Ind Equations'!$B$55*'Com-Ind Equations'!$B$56))/'Chemical Info'!L123,(('Com-Ind Equations'!$B$46*'Chemical Info'!AD123*'Com-Ind Equations'!$B$48*'Com-Ind Equations'!$B$49*'Com-Ind Equations'!$B$50)/('Com-Ind Equations'!$B$55*'Com-Ind Equations'!$B$56))/'Chemical Info'!L123))</f>
        <v>8.5616438356164361E-3</v>
      </c>
      <c r="P122" s="90">
        <f>IF('Chemical Info'!L123="NA","NA", IF('Chemical Info'!E123="Yes",0,((('Com-Ind Equations'!$B$58*'Com-Ind Equations'!$B$59*'Com-Ind Equations'!$B$48*'Com-Ind Equations'!$B$52*'Com-Ind Equations'!$B$49*'Chemical Info'!AB123)/('Com-Ind Equations'!$B$55*'Com-Ind Equations'!$B$56))/('Chemical Info'!L123*'Chemical Info'!AF123))))</f>
        <v>2.6090136986301363E-3</v>
      </c>
      <c r="Q122" s="90" t="str">
        <f>IF('Chemical Info'!N123="NA","NA",IF('Com-Ind Calculations'!E122="NA",(('Com-Ind Equations'!$B$53*'Com-Ind Equations'!$B$49*'Com-Ind Equations'!$B$54*'Com-Ind Calculations'!C122)/('Com-Ind Equations'!$B$56))/('Chemical Info'!N123),IF('Chemical Info'!E123="Yes",(('Com-Ind Equations'!$B$53*'Com-Ind Equations'!$B$49*'Com-Ind Equations'!$B$54*'Com-Ind Calculations'!E122)/('Com-Ind Equations'!$B$56))/('Chemical Info'!N123),(('Com-Ind Equations'!$B$53*'Com-Ind Equations'!$B$49*'Com-Ind Equations'!$B$54*('Com-Ind Calculations'!C122+'Com-Ind Calculations'!E122))/('Com-Ind Equations'!$B$56))/('Chemical Info'!N123))))</f>
        <v>NA</v>
      </c>
      <c r="R122" s="90" t="str">
        <f>IF('Chemical Info'!N123="NA","NA",IF('Com-Ind Calculations'!F122="NA",(('Com-Ind Equations'!$B$53*'Com-Ind Equations'!$B$49*'Com-Ind Equations'!$B$54*'Com-Ind Calculations'!C122)/('Com-Ind Equations'!$B$56))/('Chemical Info'!N123),IF('Chemical Info'!E123="Yes",(('Com-Ind Equations'!$B$53*'Com-Ind Equations'!$B$49*'Com-Ind Equations'!$B$54*'Com-Ind Calculations'!F122)/('Com-Ind Equations'!$B$56))/('Chemical Info'!N123),(('Com-Ind Equations'!$B$53*'Com-Ind Equations'!$B$49*'Com-Ind Equations'!$B$54*('Com-Ind Calculations'!C122+'Com-Ind Calculations'!F122))/('Com-Ind Equations'!$B$56))/('Chemical Info'!N123))))</f>
        <v>NA</v>
      </c>
      <c r="S122" s="90">
        <f>IF(AND(O122="NA",P122="NA",Q122="NA"),"NA",IF(O122="NA",'Com-Ind Equations'!$B$45/'Com-Ind Calculations'!Q122,IF('Com-Ind Calculations'!Q122="NA",'Com-Ind Equations'!$B$45/('Com-Ind Calculations'!O122+'Com-Ind Calculations'!P122),'Com-Ind Equations'!$B$45/('Com-Ind Calculations'!O122+'Com-Ind Calculations'!P122+'Com-Ind Calculations'!Q122))))</f>
        <v>17.904049012947329</v>
      </c>
      <c r="T122" s="95">
        <f>IF(AND(O122="NA",P122="NA",R122="NA"),"NA",IF(O122="NA",'Com-Ind Equations'!$B$45/R122,IF(R122="NA",'Com-Ind Equations'!$B$45/(O122+P122),'Com-Ind Equations'!$B$45/(O122+P122+R122))))</f>
        <v>17.904049012947329</v>
      </c>
      <c r="U122" s="97">
        <f t="shared" si="131"/>
        <v>17.904049012947329</v>
      </c>
      <c r="V122" s="101">
        <f t="shared" si="132"/>
        <v>17.904049012947329</v>
      </c>
      <c r="W122" s="105">
        <f t="shared" si="133"/>
        <v>18</v>
      </c>
      <c r="X122" s="100" t="str">
        <f t="shared" si="134"/>
        <v>Noncancer</v>
      </c>
      <c r="Y122" s="70"/>
    </row>
    <row r="123" spans="1:26">
      <c r="A123" s="373" t="s">
        <v>1194</v>
      </c>
      <c r="B123" s="566" t="s">
        <v>1156</v>
      </c>
      <c r="C123" s="85">
        <f>1/(('Com-Ind Equations'!$B$123*3600)/(0.036*(1-'Com-Ind Equations'!$B$124)*(('Com-Ind Equations'!$B$125/'Com-Ind Equations'!$B$126)^3)*'Com-Ind Equations'!$B$127))</f>
        <v>1.4713536180231943E-9</v>
      </c>
      <c r="D123" s="90">
        <f>(('Com-Ind Equations'!$B$103^(10/3)*'Chemical Info'!AH124*'Chemical Info'!AN124*41+'Com-Ind Equations'!$B$106^(10/3)*'Chemical Info'!AJ124)/'Com-Ind Equations'!$B$108^2)/('Com-Ind Equations'!$B$110*'Chemical Info'!AL124*'Com-Ind Equations'!$B$113+'Com-Ind Equations'!$B$106+'Com-Ind Equations'!$B$103*'Chemical Info'!AN124*41)</f>
        <v>1.9009615764715886E-8</v>
      </c>
      <c r="E123" s="65">
        <f>IF(D123=0,"NA",1/(('Com-Ind Equations'!$B$74*(3.14*D123*'Com-Ind Equations'!$B$76)^(1/2)*0.0001)/(2*'Com-Ind Equations'!$B$77*D123)))</f>
        <v>8.093106457786759E-7</v>
      </c>
      <c r="F123" s="65">
        <f>IF(D123=0,"NA",(1/('Com-Ind Equations'!$B$88*('Com-Ind Equations'!$B$89*(31500000))/('Com-Ind Equations'!$B$90*'Com-Ind Equations'!$B$91*1000000))))</f>
        <v>6.1914410640015851E-5</v>
      </c>
      <c r="G123" s="95" t="str">
        <f>IF('Chemical Info'!E124="Yes",('Chemical Info'!AP124/'Com-Ind Equations'!$B$139)*((('Chemical Info'!AL124*'Com-Ind Equations'!$B$141)*'Com-Ind Equations'!$B$139)+'Com-Ind Equations'!$B$142+('Chemical Info'!AN124*41)*'Com-Ind Equations'!$B$144),"NA")</f>
        <v>NA</v>
      </c>
      <c r="H123" s="112" t="str">
        <f>IF('Chemical Info'!H124="NA","NA",IF('Chemical Info'!E124="Yes",'Chemical Info'!H124*'Chemical Info'!AD124*'Com-Ind Equations'!$B$18*'Com-Ind Equations'!$B$22*(('Com-Ind Equations'!$B$24*'Com-Ind Equations'!$B$25)/'Com-Ind Equations'!$B$26),'Chemical Info'!H124*'Chemical Info'!AD124*'Com-Ind Equations'!$B$17*'Com-Ind Equations'!$B$22*('Com-Ind Equations'!$B$24*'Com-Ind Equations'!$B$25/'Com-Ind Equations'!$B$26)))</f>
        <v>NA</v>
      </c>
      <c r="I123" s="108" t="str">
        <f>IF('Chemical Info'!H124="NA","NA",IF('Chemical Info'!E124="Yes",0,('Chemical Info'!H124/'Chemical Info'!AF124)*'Com-Ind Equations'!$B$19*'Chemical Info'!AB124*'Com-Ind Equations'!$B$22*(('Com-Ind Equations'!$B$24*'Com-Ind Equations'!$B$29*'Com-Ind Equations'!$B$30)/'Com-Ind Equations'!$B$26)))</f>
        <v>NA</v>
      </c>
      <c r="J123" s="115" t="str">
        <f>IF('Chemical Info'!J124="NA","NA",IF(E123="NA",'Com-Ind Equations'!$B$20*1000*'Com-Ind Equations'!$B$24*'Com-Ind Equations'!$B$21*'Chemical Info'!J124*'Com-Ind Calculations'!C123,IF('Chemical Info'!E124="Yes",'Com-Ind Equations'!$B$20*1000*'Com-Ind Equations'!$B$24*'Com-Ind Equations'!$B$21*'Chemical Info'!J124*'Com-Ind Calculations'!E123,'Com-Ind Equations'!$B$20*1000*'Com-Ind Equations'!$B$24*'Com-Ind Equations'!$B$21*'Chemical Info'!J124*('Com-Ind Calculations'!C123+'Com-Ind Calculations'!E123))))</f>
        <v>NA</v>
      </c>
      <c r="K123" s="117" t="str">
        <f>IF('Chemical Info'!J124="NA","NA",IF(F123="NA",'Com-Ind Equations'!$B$20*1000*'Com-Ind Equations'!$B$24*'Com-Ind Equations'!$B$21*'Chemical Info'!J124*'Com-Ind Calculations'!C123,IF('Chemical Info'!E124="Yes",'Com-Ind Equations'!$B$20*1000*'Com-Ind Equations'!$B$24*'Com-Ind Equations'!$B$21*'Chemical Info'!J124*'Com-Ind Calculations'!F123,'Com-Ind Equations'!$B$20*1000*'Com-Ind Equations'!$B$24*'Com-Ind Equations'!$B$21*'Chemical Info'!J124*('Com-Ind Calculations'!C123+'Com-Ind Calculations'!F123))))</f>
        <v>NA</v>
      </c>
      <c r="L123" s="95" t="str">
        <f>IF(AND(H123="NA",I123="NA",J123="NA"),"NA",IF(H123="NA",'Com-Ind Equations'!$B$13*'Com-Ind Equations'!$B$14/J123,IF(J123="NA",'Com-Ind Equations'!$B$13*'Com-Ind Equations'!$B$14/(H123+I123),'Com-Ind Equations'!$B$13*'Com-Ind Equations'!$B$14/(H123+I123+J123))))</f>
        <v>NA</v>
      </c>
      <c r="M123" s="95" t="str">
        <f>IF(AND(H123="NA",I123="NA",K123="NA"),"NA",IF(H123="NA",'Com-Ind Equations'!$B$13*'Com-Ind Equations'!$B$14/K123,IF(K123="NA",'Com-Ind Equations'!$B$13*'Com-Ind Equations'!$B$14/(H123+I123),'Com-Ind Equations'!$B$13*'Com-Ind Equations'!$B$14/(H123+I123+K123))))</f>
        <v>NA</v>
      </c>
      <c r="N123" s="95" t="str">
        <f t="shared" ref="N123" si="135">IF(AND(L123="NA",M123="NA"),"NA",MAX(L123,M123))</f>
        <v>NA</v>
      </c>
      <c r="O123" s="94">
        <f>IF('Chemical Info'!L124="NA","NA",IF('Chemical Info'!E124="Yes",(('Com-Ind Equations'!$B$46*'Chemical Info'!AD124*'Com-Ind Equations'!$B$48*'Com-Ind Equations'!$B$49*'Com-Ind Equations'!$B$51)/('Com-Ind Equations'!$B$55*'Com-Ind Equations'!$B$56))/'Chemical Info'!L124,(('Com-Ind Equations'!$B$46*'Chemical Info'!AD124*'Com-Ind Equations'!$B$48*'Com-Ind Equations'!$B$49*'Com-Ind Equations'!$B$50)/('Com-Ind Equations'!$B$55*'Com-Ind Equations'!$B$56))/'Chemical Info'!L124))</f>
        <v>4.2808219178082184E-4</v>
      </c>
      <c r="P123" s="90">
        <f>IF('Chemical Info'!L124="NA","NA", IF('Chemical Info'!E124="Yes",0,((('Com-Ind Equations'!$B$58*'Com-Ind Equations'!$B$59*'Com-Ind Equations'!$B$48*'Com-Ind Equations'!$B$52*'Com-Ind Equations'!$B$49*'Chemical Info'!AB124)/('Com-Ind Equations'!$B$55*'Com-Ind Equations'!$B$56))/('Chemical Info'!L124*'Chemical Info'!AF124))))</f>
        <v>1.3045068493150683E-4</v>
      </c>
      <c r="Q123" s="90" t="str">
        <f>IF('Chemical Info'!N124="NA","NA",IF('Com-Ind Calculations'!E123="NA",(('Com-Ind Equations'!$B$53*'Com-Ind Equations'!$B$49*'Com-Ind Equations'!$B$54*'Com-Ind Calculations'!C123)/('Com-Ind Equations'!$B$56))/('Chemical Info'!N124),IF('Chemical Info'!E124="Yes",(('Com-Ind Equations'!$B$53*'Com-Ind Equations'!$B$49*'Com-Ind Equations'!$B$54*'Com-Ind Calculations'!E123)/('Com-Ind Equations'!$B$56))/('Chemical Info'!N124),(('Com-Ind Equations'!$B$53*'Com-Ind Equations'!$B$49*'Com-Ind Equations'!$B$54*('Com-Ind Calculations'!C123+'Com-Ind Calculations'!E123))/('Com-Ind Equations'!$B$56))/('Chemical Info'!N124))))</f>
        <v>NA</v>
      </c>
      <c r="R123" s="90" t="str">
        <f>IF('Chemical Info'!N124="NA","NA",IF('Com-Ind Calculations'!F123="NA",(('Com-Ind Equations'!$B$53*'Com-Ind Equations'!$B$49*'Com-Ind Equations'!$B$54*'Com-Ind Calculations'!C123)/('Com-Ind Equations'!$B$56))/('Chemical Info'!N124),IF('Chemical Info'!E124="Yes",(('Com-Ind Equations'!$B$53*'Com-Ind Equations'!$B$49*'Com-Ind Equations'!$B$54*'Com-Ind Calculations'!F123)/('Com-Ind Equations'!$B$56))/('Chemical Info'!N124),(('Com-Ind Equations'!$B$53*'Com-Ind Equations'!$B$49*'Com-Ind Equations'!$B$54*('Com-Ind Calculations'!C123+'Com-Ind Calculations'!F123))/('Com-Ind Equations'!$B$56))/('Chemical Info'!N124))))</f>
        <v>NA</v>
      </c>
      <c r="S123" s="90">
        <f>IF(AND(O123="NA",P123="NA",Q123="NA"),"NA",IF(O123="NA",'Com-Ind Equations'!$B$45/'Com-Ind Calculations'!Q123,IF('Com-Ind Calculations'!Q123="NA",'Com-Ind Equations'!$B$45/('Com-Ind Calculations'!O123+'Com-Ind Calculations'!P123),'Com-Ind Equations'!$B$45/('Com-Ind Calculations'!O123+'Com-Ind Calculations'!P123+'Com-Ind Calculations'!Q123))))</f>
        <v>358.08098025894662</v>
      </c>
      <c r="T123" s="95">
        <f>IF(AND(O123="NA",P123="NA",R123="NA"),"NA",IF(O123="NA",'Com-Ind Equations'!$B$45/R123,IF(R123="NA",'Com-Ind Equations'!$B$45/(O123+P123),'Com-Ind Equations'!$B$45/(O123+P123+R123))))</f>
        <v>358.08098025894662</v>
      </c>
      <c r="U123" s="97">
        <f t="shared" ref="U123" si="136">IF(AND(S123="NA",T123="NA"),"NA",MAX(S123,T123))</f>
        <v>358.08098025894662</v>
      </c>
      <c r="V123" s="101">
        <f t="shared" ref="V123" si="137">IF(AND(N123="NA",U123="NA",G123="NA"),"NA",MIN(N123,U123,G123))</f>
        <v>358.08098025894662</v>
      </c>
      <c r="W123" s="105">
        <f t="shared" ref="W123" si="138">IF(V123&gt;100000,100000,IF(ISNUMBER(ROUND(V123*1000000,2-LEN(INT(V123*1000000)))/1000000),ROUND(V123*1000000,2-LEN(INT(V123*1000000)))/1000000,"NA"))</f>
        <v>360</v>
      </c>
      <c r="X123" s="100" t="str">
        <f t="shared" ref="X123" si="139">IF(W123=100000,"Max Limit",IF(V123=G123,"Csat",IF(V123=N123,"Cancer",IF(V123=U123,"Noncancer",""))))</f>
        <v>Noncancer</v>
      </c>
      <c r="Y123" s="70"/>
    </row>
    <row r="124" spans="1:26">
      <c r="A124" s="413" t="s">
        <v>217</v>
      </c>
      <c r="B124" s="566" t="s">
        <v>218</v>
      </c>
      <c r="C124" s="85">
        <f>1/(('Com-Ind Equations'!$B$123*3600)/(0.036*(1-'Com-Ind Equations'!$B$124)*(('Com-Ind Equations'!$B$125/'Com-Ind Equations'!$B$126)^3)*'Com-Ind Equations'!$B$127))</f>
        <v>1.4713536180231943E-9</v>
      </c>
      <c r="D124" s="90">
        <f>(('Com-Ind Equations'!$B$103^(10/3)*'Chemical Info'!AH125*'Chemical Info'!AN125*41+'Com-Ind Equations'!$B$106^(10/3)*'Chemical Info'!AJ125)/'Com-Ind Equations'!$B$108^2)/('Com-Ind Equations'!$B$110*'Chemical Info'!AL125*'Com-Ind Equations'!$B$113+'Com-Ind Equations'!$B$106+'Com-Ind Equations'!$B$103*'Chemical Info'!AN125*41)</f>
        <v>5.5841449373937727E-8</v>
      </c>
      <c r="E124" s="65">
        <f>IF(D124=0,"NA",1/(('Com-Ind Equations'!$B$74*(3.14*D124*'Com-Ind Equations'!$B$76)^(1/2)*0.0001)/(2*'Com-Ind Equations'!$B$77*D124)))</f>
        <v>1.3870972950402523E-6</v>
      </c>
      <c r="F124" s="65">
        <f>IF(D124=0,"NA",(1/('Com-Ind Equations'!$B$88*('Com-Ind Equations'!$B$89*(31500000))/('Com-Ind Equations'!$B$90*'Com-Ind Equations'!$B$91*1000000))))</f>
        <v>6.1914410640015851E-5</v>
      </c>
      <c r="G124" s="95" t="str">
        <f>IF('Chemical Info'!E125="Yes",('Chemical Info'!AP125/'Com-Ind Equations'!$B$139)*((('Chemical Info'!AL125*'Com-Ind Equations'!$B$141)*'Com-Ind Equations'!$B$139)+'Com-Ind Equations'!$B$142+('Chemical Info'!AN125*41)*'Com-Ind Equations'!$B$144),"NA")</f>
        <v>NA</v>
      </c>
      <c r="H124" s="112" t="str">
        <f>IF('Chemical Info'!H125="NA","NA",IF('Chemical Info'!E125="Yes",'Chemical Info'!H125*'Chemical Info'!AD125*'Com-Ind Equations'!$B$18*'Com-Ind Equations'!$B$22*(('Com-Ind Equations'!$B$24*'Com-Ind Equations'!$B$25)/'Com-Ind Equations'!$B$26),'Chemical Info'!H125*'Chemical Info'!AD125*'Com-Ind Equations'!$B$17*'Com-Ind Equations'!$B$22*('Com-Ind Equations'!$B$24*'Com-Ind Equations'!$B$25/'Com-Ind Equations'!$B$26)))</f>
        <v>NA</v>
      </c>
      <c r="I124" s="108" t="str">
        <f>IF('Chemical Info'!H125="NA","NA",IF('Chemical Info'!E125="Yes",0,('Chemical Info'!H125/'Chemical Info'!AF125)*'Com-Ind Equations'!$B$19*'Chemical Info'!AB125*'Com-Ind Equations'!$B$22*(('Com-Ind Equations'!$B$24*'Com-Ind Equations'!$B$29*'Com-Ind Equations'!$B$30)/'Com-Ind Equations'!$B$26)))</f>
        <v>NA</v>
      </c>
      <c r="J124" s="115" t="str">
        <f>IF('Chemical Info'!J125="NA","NA",IF(E124="NA",'Com-Ind Equations'!$B$20*1000*'Com-Ind Equations'!$B$24*'Com-Ind Equations'!$B$21*'Chemical Info'!J125*'Com-Ind Calculations'!C124,IF('Chemical Info'!E125="Yes",'Com-Ind Equations'!$B$20*1000*'Com-Ind Equations'!$B$24*'Com-Ind Equations'!$B$21*'Chemical Info'!J125*'Com-Ind Calculations'!E124,'Com-Ind Equations'!$B$20*1000*'Com-Ind Equations'!$B$24*'Com-Ind Equations'!$B$21*'Chemical Info'!J125*('Com-Ind Calculations'!C124+'Com-Ind Calculations'!E124))))</f>
        <v>NA</v>
      </c>
      <c r="K124" s="117" t="str">
        <f>IF('Chemical Info'!J125="NA","NA",IF(F124="NA",'Com-Ind Equations'!$B$20*1000*'Com-Ind Equations'!$B$24*'Com-Ind Equations'!$B$21*'Chemical Info'!J125*'Com-Ind Calculations'!C124,IF('Chemical Info'!E125="Yes",'Com-Ind Equations'!$B$20*1000*'Com-Ind Equations'!$B$24*'Com-Ind Equations'!$B$21*'Chemical Info'!J125*'Com-Ind Calculations'!F124,'Com-Ind Equations'!$B$20*1000*'Com-Ind Equations'!$B$24*'Com-Ind Equations'!$B$21*'Chemical Info'!J125*('Com-Ind Calculations'!C124+'Com-Ind Calculations'!F124))))</f>
        <v>NA</v>
      </c>
      <c r="L124" s="95" t="str">
        <f>IF(AND(H124="NA",I124="NA",J124="NA"),"NA",IF(H124="NA",'Com-Ind Equations'!$B$13*'Com-Ind Equations'!$B$14/J124,IF(J124="NA",'Com-Ind Equations'!$B$13*'Com-Ind Equations'!$B$14/(H124+I124),'Com-Ind Equations'!$B$13*'Com-Ind Equations'!$B$14/(H124+I124+J124))))</f>
        <v>NA</v>
      </c>
      <c r="M124" s="95" t="str">
        <f>IF(AND(H124="NA",I124="NA",K124="NA"),"NA",IF(H124="NA",'Com-Ind Equations'!$B$13*'Com-Ind Equations'!$B$14/K124,IF(K124="NA",'Com-Ind Equations'!$B$13*'Com-Ind Equations'!$B$14/(H124+I124),'Com-Ind Equations'!$B$13*'Com-Ind Equations'!$B$14/(H124+I124+K124))))</f>
        <v>NA</v>
      </c>
      <c r="N124" s="95" t="str">
        <f t="shared" si="100"/>
        <v>NA</v>
      </c>
      <c r="O124" s="94">
        <f>IF('Chemical Info'!L125="NA","NA",IF('Chemical Info'!E125="Yes",(('Com-Ind Equations'!$B$46*'Chemical Info'!AD125*'Com-Ind Equations'!$B$48*'Com-Ind Equations'!$B$49*'Com-Ind Equations'!$B$51)/('Com-Ind Equations'!$B$55*'Com-Ind Equations'!$B$56))/'Chemical Info'!L125,(('Com-Ind Equations'!$B$46*'Chemical Info'!AD125*'Com-Ind Equations'!$B$48*'Com-Ind Equations'!$B$49*'Com-Ind Equations'!$B$50)/('Com-Ind Equations'!$B$55*'Com-Ind Equations'!$B$56))/'Chemical Info'!L125))</f>
        <v>3.4246575342465744E-5</v>
      </c>
      <c r="P124" s="90">
        <f>IF('Chemical Info'!L125="NA","NA", IF('Chemical Info'!E125="Yes",0,((('Com-Ind Equations'!$B$58*'Com-Ind Equations'!$B$59*'Com-Ind Equations'!$B$48*'Com-Ind Equations'!$B$52*'Com-Ind Equations'!$B$49*'Chemical Info'!AB125)/('Com-Ind Equations'!$B$55*'Com-Ind Equations'!$B$56))/('Chemical Info'!L125*'Chemical Info'!AF125))))</f>
        <v>1.0436054794520546E-5</v>
      </c>
      <c r="Q124" s="90" t="str">
        <f>IF('Chemical Info'!N125="NA","NA",IF('Com-Ind Calculations'!E124="NA",(('Com-Ind Equations'!$B$53*'Com-Ind Equations'!$B$49*'Com-Ind Equations'!$B$54*'Com-Ind Calculations'!C124)/('Com-Ind Equations'!$B$56))/('Chemical Info'!N125),IF('Chemical Info'!E125="Yes",(('Com-Ind Equations'!$B$53*'Com-Ind Equations'!$B$49*'Com-Ind Equations'!$B$54*'Com-Ind Calculations'!E124)/('Com-Ind Equations'!$B$56))/('Chemical Info'!N125),(('Com-Ind Equations'!$B$53*'Com-Ind Equations'!$B$49*'Com-Ind Equations'!$B$54*('Com-Ind Calculations'!C124+'Com-Ind Calculations'!E124))/('Com-Ind Equations'!$B$56))/('Chemical Info'!N125))))</f>
        <v>NA</v>
      </c>
      <c r="R124" s="90" t="str">
        <f>IF('Chemical Info'!N125="NA","NA",IF('Com-Ind Calculations'!F124="NA",(('Com-Ind Equations'!$B$53*'Com-Ind Equations'!$B$49*'Com-Ind Equations'!$B$54*'Com-Ind Calculations'!C124)/('Com-Ind Equations'!$B$56))/('Chemical Info'!N125),IF('Chemical Info'!E125="Yes",(('Com-Ind Equations'!$B$53*'Com-Ind Equations'!$B$49*'Com-Ind Equations'!$B$54*'Com-Ind Calculations'!F124)/('Com-Ind Equations'!$B$56))/('Chemical Info'!N125),(('Com-Ind Equations'!$B$53*'Com-Ind Equations'!$B$49*'Com-Ind Equations'!$B$54*('Com-Ind Calculations'!C124+'Com-Ind Calculations'!F124))/('Com-Ind Equations'!$B$56))/('Chemical Info'!N125))))</f>
        <v>NA</v>
      </c>
      <c r="S124" s="90">
        <f>IF(AND(O124="NA",P124="NA",Q124="NA"),"NA",IF(O124="NA",'Com-Ind Equations'!$B$45/'Com-Ind Calculations'!Q124,IF('Com-Ind Calculations'!Q124="NA",'Com-Ind Equations'!$B$45/('Com-Ind Calculations'!O124+'Com-Ind Calculations'!P124),'Com-Ind Equations'!$B$45/('Com-Ind Calculations'!O124+'Com-Ind Calculations'!P124+'Com-Ind Calculations'!Q124))))</f>
        <v>4476.0122532368332</v>
      </c>
      <c r="T124" s="95">
        <f>IF(AND(O124="NA",P124="NA",R124="NA"),"NA",IF(O124="NA",'Com-Ind Equations'!$B$45/R124,IF(R124="NA",'Com-Ind Equations'!$B$45/(O124+P124),'Com-Ind Equations'!$B$45/(O124+P124+R124))))</f>
        <v>4476.0122532368332</v>
      </c>
      <c r="U124" s="97">
        <f t="shared" si="101"/>
        <v>4476.0122532368332</v>
      </c>
      <c r="V124" s="101">
        <f t="shared" si="102"/>
        <v>4476.0122532368332</v>
      </c>
      <c r="W124" s="105">
        <f t="shared" si="104"/>
        <v>4500</v>
      </c>
      <c r="X124" s="100" t="str">
        <f t="shared" si="103"/>
        <v>Noncancer</v>
      </c>
      <c r="Y124" s="70"/>
    </row>
    <row r="125" spans="1:26">
      <c r="A125" s="63" t="s">
        <v>488</v>
      </c>
      <c r="B125" s="595" t="s">
        <v>221</v>
      </c>
      <c r="C125" s="85">
        <f>1/(('Com-Ind Equations'!$B$123*3600)/(0.036*(1-'Com-Ind Equations'!$B$124)*(('Com-Ind Equations'!$B$125/'Com-Ind Equations'!$B$126)^3)*'Com-Ind Equations'!$B$127))</f>
        <v>1.4713536180231943E-9</v>
      </c>
      <c r="D125" s="90">
        <f>(('Com-Ind Equations'!$B$103^(10/3)*'Chemical Info'!AH126*'Chemical Info'!AN126*41+'Com-Ind Equations'!$B$106^(10/3)*'Chemical Info'!AJ126)/'Com-Ind Equations'!$B$108^2)/('Com-Ind Equations'!$B$110*'Chemical Info'!AL126*'Com-Ind Equations'!$B$113+'Com-Ind Equations'!$B$106+'Com-Ind Equations'!$B$103*'Chemical Info'!AN126*41)</f>
        <v>5.9818304210136107E-11</v>
      </c>
      <c r="E125" s="65">
        <f>IF(D125=0,"NA",1/(('Com-Ind Equations'!$B$74*(3.14*D125*'Com-Ind Equations'!$B$76)^(1/2)*0.0001)/(2*'Com-Ind Equations'!$B$77*D125)))</f>
        <v>4.5398931590064396E-8</v>
      </c>
      <c r="F125" s="65">
        <f>IF(D125=0,"NA",(1/('Com-Ind Equations'!$B$88*('Com-Ind Equations'!$B$89*(31500000))/('Com-Ind Equations'!$B$90*'Com-Ind Equations'!$B$91*1000000))))</f>
        <v>6.1914410640015851E-5</v>
      </c>
      <c r="G125" s="95" t="str">
        <f>IF('Chemical Info'!E126="Yes",('Chemical Info'!AP126/'Com-Ind Equations'!$B$139)*((('Chemical Info'!AL126*'Com-Ind Equations'!$B$141)*'Com-Ind Equations'!$B$139)+'Com-Ind Equations'!$B$142+('Chemical Info'!AN126*41)*'Com-Ind Equations'!$B$144),"NA")</f>
        <v>NA</v>
      </c>
      <c r="H125" s="112">
        <f>IF('Chemical Info'!H126="NA","NA",IF('Chemical Info'!E126="Yes",'Chemical Info'!H126*'Chemical Info'!AD126*'Com-Ind Equations'!$B$18*'Com-Ind Equations'!$B$22*(('Com-Ind Equations'!$B$24*'Com-Ind Equations'!$B$25)/'Com-Ind Equations'!$B$26),'Chemical Info'!H126*'Chemical Info'!AD126*'Com-Ind Equations'!$B$17*'Com-Ind Equations'!$B$22*('Com-Ind Equations'!$B$24*'Com-Ind Equations'!$B$25/'Com-Ind Equations'!$B$26)))</f>
        <v>1.09375E-4</v>
      </c>
      <c r="I125" s="108">
        <f>IF('Chemical Info'!H126="NA","NA",IF('Chemical Info'!E126="Yes",0,('Chemical Info'!H126/'Chemical Info'!AF126)*'Com-Ind Equations'!$B$19*'Chemical Info'!AB126*'Com-Ind Equations'!$B$22*(('Com-Ind Equations'!$B$24*'Com-Ind Equations'!$B$29*'Com-Ind Equations'!$B$30)/'Com-Ind Equations'!$B$26)))</f>
        <v>3.3330149999999991E-5</v>
      </c>
      <c r="J125" s="115">
        <f>IF('Chemical Info'!J126="NA","NA",IF(E125="NA",'Com-Ind Equations'!$B$20*1000*'Com-Ind Equations'!$B$24*'Com-Ind Equations'!$B$21*'Chemical Info'!J126*'Com-Ind Calculations'!C125,IF('Chemical Info'!E126="Yes",'Com-Ind Equations'!$B$20*1000*'Com-Ind Equations'!$B$24*'Com-Ind Equations'!$B$21*'Chemical Info'!J126*'Com-Ind Calculations'!E125,'Com-Ind Equations'!$B$20*1000*'Com-Ind Equations'!$B$24*'Com-Ind Equations'!$B$21*'Chemical Info'!J126*('Com-Ind Calculations'!C125+'Com-Ind Calculations'!E125))))</f>
        <v>2.1091628343639416E-7</v>
      </c>
      <c r="K125" s="117">
        <f>IF('Chemical Info'!J126="NA","NA",IF(F125="NA",'Com-Ind Equations'!$B$20*1000*'Com-Ind Equations'!$B$24*'Com-Ind Equations'!$B$21*'Chemical Info'!J126*'Com-Ind Calculations'!C125,IF('Chemical Info'!E126="Yes",'Com-Ind Equations'!$B$20*1000*'Com-Ind Equations'!$B$24*'Com-Ind Equations'!$B$21*'Chemical Info'!J126*'Com-Ind Calculations'!F125,'Com-Ind Equations'!$B$20*1000*'Com-Ind Equations'!$B$24*'Com-Ind Equations'!$B$21*'Chemical Info'!J126*('Com-Ind Calculations'!C125+'Com-Ind Calculations'!F125))))</f>
        <v>2.7862146897135242E-4</v>
      </c>
      <c r="L125" s="95">
        <f>IF(AND(H125="NA",I125="NA",J125="NA"),"NA",IF(H125="NA",'Com-Ind Equations'!$B$13*'Com-Ind Equations'!$B$14/J125,IF(J125="NA",'Com-Ind Equations'!$B$13*'Com-Ind Equations'!$B$14/(H125+I125),'Com-Ind Equations'!$B$13*'Com-Ind Equations'!$B$14/(H125+I125+J125))))</f>
        <v>1787.7626123103826</v>
      </c>
      <c r="M125" s="95">
        <f>IF(AND(H125="NA",I125="NA",K125="NA"),"NA",IF(H125="NA",'Com-Ind Equations'!$B$13*'Com-Ind Equations'!$B$14/K125,IF(K125="NA",'Com-Ind Equations'!$B$13*'Com-Ind Equations'!$B$14/(H125+I125),'Com-Ind Equations'!$B$13*'Com-Ind Equations'!$B$14/(H125+I125+K125))))</f>
        <v>606.41789171496043</v>
      </c>
      <c r="N125" s="95">
        <f t="shared" si="100"/>
        <v>1787.7626123103826</v>
      </c>
      <c r="O125" s="94">
        <f>IF('Chemical Info'!L126="NA","NA",IF('Chemical Info'!E126="Yes",(('Com-Ind Equations'!$B$46*'Chemical Info'!AD126*'Com-Ind Equations'!$B$48*'Com-Ind Equations'!$B$49*'Com-Ind Equations'!$B$51)/('Com-Ind Equations'!$B$55*'Com-Ind Equations'!$B$56))/'Chemical Info'!L126,(('Com-Ind Equations'!$B$46*'Chemical Info'!AD126*'Com-Ind Equations'!$B$48*'Com-Ind Equations'!$B$49*'Com-Ind Equations'!$B$50)/('Com-Ind Equations'!$B$55*'Com-Ind Equations'!$B$56))/'Chemical Info'!L126))</f>
        <v>2.952290977798771E-5</v>
      </c>
      <c r="P125" s="90">
        <f>IF('Chemical Info'!L126="NA","NA", IF('Chemical Info'!E126="Yes",0,((('Com-Ind Equations'!$B$58*'Com-Ind Equations'!$B$59*'Com-Ind Equations'!$B$48*'Com-Ind Equations'!$B$52*'Com-Ind Equations'!$B$49*'Chemical Info'!AB126)/('Com-Ind Equations'!$B$55*'Com-Ind Equations'!$B$56))/('Chemical Info'!L126*'Chemical Info'!AF126))))</f>
        <v>8.9965989607935742E-6</v>
      </c>
      <c r="Q125" s="90" t="str">
        <f>IF('Chemical Info'!N126="NA","NA",IF('Com-Ind Calculations'!E125="NA",(('Com-Ind Equations'!$B$53*'Com-Ind Equations'!$B$49*'Com-Ind Equations'!$B$54*'Com-Ind Calculations'!C125)/('Com-Ind Equations'!$B$56))/('Chemical Info'!N126),IF('Chemical Info'!E126="Yes",(('Com-Ind Equations'!$B$53*'Com-Ind Equations'!$B$49*'Com-Ind Equations'!$B$54*'Com-Ind Calculations'!E125)/('Com-Ind Equations'!$B$56))/('Chemical Info'!N126),(('Com-Ind Equations'!$B$53*'Com-Ind Equations'!$B$49*'Com-Ind Equations'!$B$54*('Com-Ind Calculations'!C125+'Com-Ind Calculations'!E125))/('Com-Ind Equations'!$B$56))/('Chemical Info'!N126))))</f>
        <v>NA</v>
      </c>
      <c r="R125" s="90" t="str">
        <f>IF('Chemical Info'!N126="NA","NA",IF('Com-Ind Calculations'!F125="NA",(('Com-Ind Equations'!$B$53*'Com-Ind Equations'!$B$49*'Com-Ind Equations'!$B$54*'Com-Ind Calculations'!C125)/('Com-Ind Equations'!$B$56))/('Chemical Info'!N126),IF('Chemical Info'!E126="Yes",(('Com-Ind Equations'!$B$53*'Com-Ind Equations'!$B$49*'Com-Ind Equations'!$B$54*'Com-Ind Calculations'!F125)/('Com-Ind Equations'!$B$56))/('Chemical Info'!N126),(('Com-Ind Equations'!$B$53*'Com-Ind Equations'!$B$49*'Com-Ind Equations'!$B$54*('Com-Ind Calculations'!C125+'Com-Ind Calculations'!F125))/('Com-Ind Equations'!$B$56))/('Chemical Info'!N126))))</f>
        <v>NA</v>
      </c>
      <c r="S125" s="90">
        <f>IF(AND(O125="NA",P125="NA",Q125="NA"),"NA",IF(O125="NA",'Com-Ind Equations'!$B$45/'Com-Ind Calculations'!Q125,IF('Com-Ind Calculations'!Q125="NA",'Com-Ind Equations'!$B$45/('Com-Ind Calculations'!O125+'Com-Ind Calculations'!P125),'Com-Ind Equations'!$B$45/('Com-Ind Calculations'!O125+'Com-Ind Calculations'!P125+'Com-Ind Calculations'!Q125))))</f>
        <v>5192.1742137547253</v>
      </c>
      <c r="T125" s="95">
        <f>IF(AND(O125="NA",P125="NA",R125="NA"),"NA",IF(O125="NA",'Com-Ind Equations'!$B$45/R125,IF(R125="NA",'Com-Ind Equations'!$B$45/(O125+P125),'Com-Ind Equations'!$B$45/(O125+P125+R125))))</f>
        <v>5192.1742137547253</v>
      </c>
      <c r="U125" s="97">
        <f t="shared" si="101"/>
        <v>5192.1742137547253</v>
      </c>
      <c r="V125" s="101">
        <f t="shared" si="102"/>
        <v>1787.7626123103826</v>
      </c>
      <c r="W125" s="105">
        <f t="shared" si="104"/>
        <v>1800</v>
      </c>
      <c r="X125" s="100" t="str">
        <f t="shared" si="103"/>
        <v>Cancer</v>
      </c>
      <c r="Y125" s="70"/>
    </row>
    <row r="126" spans="1:26">
      <c r="A126" s="373" t="s">
        <v>384</v>
      </c>
      <c r="B126" s="566" t="s">
        <v>174</v>
      </c>
      <c r="C126" s="85">
        <f>1/(('Com-Ind Equations'!$B$123*3600)/(0.036*(1-'Com-Ind Equations'!$B$124)*(('Com-Ind Equations'!$B$125/'Com-Ind Equations'!$B$126)^3)*'Com-Ind Equations'!$B$127))</f>
        <v>1.4713536180231943E-9</v>
      </c>
      <c r="D126" s="90">
        <f>(('Com-Ind Equations'!$B$103^(10/3)*'Chemical Info'!AH127*'Chemical Info'!AN127*41+'Com-Ind Equations'!$B$106^(10/3)*'Chemical Info'!AJ127)/'Com-Ind Equations'!$B$108^2)/('Com-Ind Equations'!$B$110*'Chemical Info'!AL127*'Com-Ind Equations'!$B$113+'Com-Ind Equations'!$B$106+'Com-Ind Equations'!$B$103*'Chemical Info'!AN127*41)</f>
        <v>5.774355944793546E-8</v>
      </c>
      <c r="E126" s="65">
        <f>IF(D126=0,"NA",1/(('Com-Ind Equations'!$B$74*(3.14*D126*'Com-Ind Equations'!$B$76)^(1/2)*0.0001)/(2*'Com-Ind Equations'!$B$77*D126)))</f>
        <v>1.410523608442984E-6</v>
      </c>
      <c r="F126" s="65">
        <f>IF(D126=0,"NA",(1/('Com-Ind Equations'!$B$88*('Com-Ind Equations'!$B$89*(31500000))/('Com-Ind Equations'!$B$90*'Com-Ind Equations'!$B$91*1000000))))</f>
        <v>6.1914410640015851E-5</v>
      </c>
      <c r="G126" s="95" t="str">
        <f>IF('Chemical Info'!E127="Yes",('Chemical Info'!AP127/'Com-Ind Equations'!$B$139)*((('Chemical Info'!AL127*'Com-Ind Equations'!$B$141)*'Com-Ind Equations'!$B$139)+'Com-Ind Equations'!$B$142+('Chemical Info'!AN127*41)*'Com-Ind Equations'!$B$144),"NA")</f>
        <v>NA</v>
      </c>
      <c r="H126" s="112" t="str">
        <f>IF('Chemical Info'!H127="NA","NA",IF('Chemical Info'!E127="Yes",'Chemical Info'!H127*'Chemical Info'!AD127*'Com-Ind Equations'!$B$18*'Com-Ind Equations'!$B$22*(('Com-Ind Equations'!$B$24*'Com-Ind Equations'!$B$25)/'Com-Ind Equations'!$B$26),'Chemical Info'!H127*'Chemical Info'!AD127*'Com-Ind Equations'!$B$17*'Com-Ind Equations'!$B$22*('Com-Ind Equations'!$B$24*'Com-Ind Equations'!$B$25/'Com-Ind Equations'!$B$26)))</f>
        <v>NA</v>
      </c>
      <c r="I126" s="108" t="str">
        <f>IF('Chemical Info'!H127="NA","NA",IF('Chemical Info'!E127="Yes",0,('Chemical Info'!H127/'Chemical Info'!AF127)*'Com-Ind Equations'!$B$19*'Chemical Info'!AB127*'Com-Ind Equations'!$B$22*(('Com-Ind Equations'!$B$24*'Com-Ind Equations'!$B$29*'Com-Ind Equations'!$B$30)/'Com-Ind Equations'!$B$26)))</f>
        <v>NA</v>
      </c>
      <c r="J126" s="115" t="str">
        <f>IF('Chemical Info'!J127="NA","NA",IF(E126="NA",'Com-Ind Equations'!$B$20*1000*'Com-Ind Equations'!$B$24*'Com-Ind Equations'!$B$21*'Chemical Info'!J127*'Com-Ind Calculations'!C126,IF('Chemical Info'!E127="Yes",'Com-Ind Equations'!$B$20*1000*'Com-Ind Equations'!$B$24*'Com-Ind Equations'!$B$21*'Chemical Info'!J127*'Com-Ind Calculations'!E126,'Com-Ind Equations'!$B$20*1000*'Com-Ind Equations'!$B$24*'Com-Ind Equations'!$B$21*'Chemical Info'!J127*('Com-Ind Calculations'!C126+'Com-Ind Calculations'!E126))))</f>
        <v>NA</v>
      </c>
      <c r="K126" s="117" t="str">
        <f>IF('Chemical Info'!J127="NA","NA",IF(F126="NA",'Com-Ind Equations'!$B$20*1000*'Com-Ind Equations'!$B$24*'Com-Ind Equations'!$B$21*'Chemical Info'!J127*'Com-Ind Calculations'!C126,IF('Chemical Info'!E127="Yes",'Com-Ind Equations'!$B$20*1000*'Com-Ind Equations'!$B$24*'Com-Ind Equations'!$B$21*'Chemical Info'!J127*'Com-Ind Calculations'!F126,'Com-Ind Equations'!$B$20*1000*'Com-Ind Equations'!$B$24*'Com-Ind Equations'!$B$21*'Chemical Info'!J127*('Com-Ind Calculations'!C126+'Com-Ind Calculations'!F126))))</f>
        <v>NA</v>
      </c>
      <c r="L126" s="95" t="str">
        <f>IF(AND(H126="NA",I126="NA",J126="NA"),"NA",IF(H126="NA",'Com-Ind Equations'!$B$13*'Com-Ind Equations'!$B$14/J126,IF(J126="NA",'Com-Ind Equations'!$B$13*'Com-Ind Equations'!$B$14/(H126+I126),'Com-Ind Equations'!$B$13*'Com-Ind Equations'!$B$14/(H126+I126+J126))))</f>
        <v>NA</v>
      </c>
      <c r="M126" s="95" t="str">
        <f>IF(AND(H126="NA",I126="NA",K126="NA"),"NA",IF(H126="NA",'Com-Ind Equations'!$B$13*'Com-Ind Equations'!$B$14/K126,IF(K126="NA",'Com-Ind Equations'!$B$13*'Com-Ind Equations'!$B$14/(H126+I126),'Com-Ind Equations'!$B$13*'Com-Ind Equations'!$B$14/(H126+I126+K126))))</f>
        <v>NA</v>
      </c>
      <c r="N126" s="95" t="str">
        <f t="shared" si="100"/>
        <v>NA</v>
      </c>
      <c r="O126" s="94">
        <f>IF('Chemical Info'!L127="NA","NA",IF('Chemical Info'!E127="Yes",(('Com-Ind Equations'!$B$46*'Chemical Info'!AD127*'Com-Ind Equations'!$B$48*'Com-Ind Equations'!$B$49*'Com-Ind Equations'!$B$51)/('Com-Ind Equations'!$B$55*'Com-Ind Equations'!$B$56))/'Chemical Info'!L127,(('Com-Ind Equations'!$B$46*'Chemical Info'!AD127*'Com-Ind Equations'!$B$48*'Com-Ind Equations'!$B$49*'Com-Ind Equations'!$B$50)/('Com-Ind Equations'!$B$55*'Com-Ind Equations'!$B$56))/'Chemical Info'!L127))</f>
        <v>4.2808219178082179E-5</v>
      </c>
      <c r="P126" s="90">
        <f>IF('Chemical Info'!L127="NA","NA", IF('Chemical Info'!E127="Yes",0,((('Com-Ind Equations'!$B$58*'Com-Ind Equations'!$B$59*'Com-Ind Equations'!$B$48*'Com-Ind Equations'!$B$52*'Com-Ind Equations'!$B$49*'Chemical Info'!AB127)/('Com-Ind Equations'!$B$55*'Com-Ind Equations'!$B$56))/('Chemical Info'!L127*'Chemical Info'!AF127))))</f>
        <v>1.3045068493150682E-5</v>
      </c>
      <c r="Q126" s="90" t="str">
        <f>IF('Chemical Info'!N127="NA","NA",IF('Com-Ind Calculations'!E126="NA",(('Com-Ind Equations'!$B$53*'Com-Ind Equations'!$B$49*'Com-Ind Equations'!$B$54*'Com-Ind Calculations'!C126)/('Com-Ind Equations'!$B$56))/('Chemical Info'!N127),IF('Chemical Info'!E127="Yes",(('Com-Ind Equations'!$B$53*'Com-Ind Equations'!$B$49*'Com-Ind Equations'!$B$54*'Com-Ind Calculations'!E126)/('Com-Ind Equations'!$B$56))/('Chemical Info'!N127),(('Com-Ind Equations'!$B$53*'Com-Ind Equations'!$B$49*'Com-Ind Equations'!$B$54*('Com-Ind Calculations'!C126+'Com-Ind Calculations'!E126))/('Com-Ind Equations'!$B$56))/('Chemical Info'!N127))))</f>
        <v>NA</v>
      </c>
      <c r="R126" s="90" t="str">
        <f>IF('Chemical Info'!N127="NA","NA",IF('Com-Ind Calculations'!F126="NA",(('Com-Ind Equations'!$B$53*'Com-Ind Equations'!$B$49*'Com-Ind Equations'!$B$54*'Com-Ind Calculations'!C126)/('Com-Ind Equations'!$B$56))/('Chemical Info'!N127),IF('Chemical Info'!E127="Yes",(('Com-Ind Equations'!$B$53*'Com-Ind Equations'!$B$49*'Com-Ind Equations'!$B$54*'Com-Ind Calculations'!F126)/('Com-Ind Equations'!$B$56))/('Chemical Info'!N127),(('Com-Ind Equations'!$B$53*'Com-Ind Equations'!$B$49*'Com-Ind Equations'!$B$54*('Com-Ind Calculations'!C126+'Com-Ind Calculations'!F126))/('Com-Ind Equations'!$B$56))/('Chemical Info'!N127))))</f>
        <v>NA</v>
      </c>
      <c r="S126" s="90">
        <f>IF(AND(O126="NA",P126="NA",Q126="NA"),"NA",IF(O126="NA",'Com-Ind Equations'!$B$45/'Com-Ind Calculations'!Q126,IF('Com-Ind Calculations'!Q126="NA",'Com-Ind Equations'!$B$45/('Com-Ind Calculations'!O126+'Com-Ind Calculations'!P126),'Com-Ind Equations'!$B$45/('Com-Ind Calculations'!O126+'Com-Ind Calculations'!P126+'Com-Ind Calculations'!Q126))))</f>
        <v>3580.8098025894665</v>
      </c>
      <c r="T126" s="95">
        <f>IF(AND(O126="NA",P126="NA",R126="NA"),"NA",IF(O126="NA",'Com-Ind Equations'!$B$45/R126,IF(R126="NA",'Com-Ind Equations'!$B$45/(O126+P126),'Com-Ind Equations'!$B$45/(O126+P126+R126))))</f>
        <v>3580.8098025894665</v>
      </c>
      <c r="U126" s="97">
        <f t="shared" si="101"/>
        <v>3580.8098025894665</v>
      </c>
      <c r="V126" s="101">
        <f t="shared" si="102"/>
        <v>3580.8098025894665</v>
      </c>
      <c r="W126" s="105">
        <f t="shared" si="104"/>
        <v>3600</v>
      </c>
      <c r="X126" s="100" t="str">
        <f t="shared" si="103"/>
        <v>Noncancer</v>
      </c>
      <c r="Y126" s="70"/>
    </row>
    <row r="127" spans="1:26">
      <c r="A127" s="413" t="s">
        <v>219</v>
      </c>
      <c r="B127" s="566" t="s">
        <v>220</v>
      </c>
      <c r="C127" s="85">
        <f>1/(('Com-Ind Equations'!$B$123*3600)/(0.036*(1-'Com-Ind Equations'!$B$124)*(('Com-Ind Equations'!$B$125/'Com-Ind Equations'!$B$126)^3)*'Com-Ind Equations'!$B$127))</f>
        <v>1.4713536180231943E-9</v>
      </c>
      <c r="D127" s="90">
        <f>(('Com-Ind Equations'!$B$103^(10/3)*'Chemical Info'!AH128*'Chemical Info'!AN128*41+'Com-Ind Equations'!$B$106^(10/3)*'Chemical Info'!AJ128)/'Com-Ind Equations'!$B$108^2)/('Com-Ind Equations'!$B$110*'Chemical Info'!AL128*'Com-Ind Equations'!$B$113+'Com-Ind Equations'!$B$106+'Com-Ind Equations'!$B$103*'Chemical Info'!AN128*41)</f>
        <v>2.5666801484335495E-10</v>
      </c>
      <c r="E127" s="65">
        <f>IF(D127=0,"NA",1/(('Com-Ind Equations'!$B$74*(3.14*D127*'Com-Ind Equations'!$B$76)^(1/2)*0.0001)/(2*'Com-Ind Equations'!$B$77*D127)))</f>
        <v>9.4040398255135523E-8</v>
      </c>
      <c r="F127" s="65">
        <f>IF(D127=0,"NA",(1/('Com-Ind Equations'!$B$88*('Com-Ind Equations'!$B$89*(31500000))/('Com-Ind Equations'!$B$90*'Com-Ind Equations'!$B$91*1000000))))</f>
        <v>6.1914410640015851E-5</v>
      </c>
      <c r="G127" s="95" t="str">
        <f>IF('Chemical Info'!E128="Yes",('Chemical Info'!AP128/'Com-Ind Equations'!$B$139)*((('Chemical Info'!AL128*'Com-Ind Equations'!$B$141)*'Com-Ind Equations'!$B$139)+'Com-Ind Equations'!$B$142+('Chemical Info'!AN128*41)*'Com-Ind Equations'!$B$144),"NA")</f>
        <v>NA</v>
      </c>
      <c r="H127" s="112" t="str">
        <f>IF('Chemical Info'!H128="NA","NA",IF('Chemical Info'!E128="Yes",'Chemical Info'!H128*'Chemical Info'!AD128*'Com-Ind Equations'!$B$18*'Com-Ind Equations'!$B$22*(('Com-Ind Equations'!$B$24*'Com-Ind Equations'!$B$25)/'Com-Ind Equations'!$B$26),'Chemical Info'!H128*'Chemical Info'!AD128*'Com-Ind Equations'!$B$17*'Com-Ind Equations'!$B$22*('Com-Ind Equations'!$B$24*'Com-Ind Equations'!$B$25/'Com-Ind Equations'!$B$26)))</f>
        <v>NA</v>
      </c>
      <c r="I127" s="108" t="str">
        <f>IF('Chemical Info'!H128="NA","NA",IF('Chemical Info'!E128="Yes",0,('Chemical Info'!H128/'Chemical Info'!AF128)*'Com-Ind Equations'!$B$19*'Chemical Info'!AB128*'Com-Ind Equations'!$B$22*(('Com-Ind Equations'!$B$24*'Com-Ind Equations'!$B$29*'Com-Ind Equations'!$B$30)/'Com-Ind Equations'!$B$26)))</f>
        <v>NA</v>
      </c>
      <c r="J127" s="115" t="str">
        <f>IF('Chemical Info'!J128="NA","NA",IF(E127="NA",'Com-Ind Equations'!$B$20*1000*'Com-Ind Equations'!$B$24*'Com-Ind Equations'!$B$21*'Chemical Info'!J128*'Com-Ind Calculations'!C127,IF('Chemical Info'!E128="Yes",'Com-Ind Equations'!$B$20*1000*'Com-Ind Equations'!$B$24*'Com-Ind Equations'!$B$21*'Chemical Info'!J128*'Com-Ind Calculations'!E127,'Com-Ind Equations'!$B$20*1000*'Com-Ind Equations'!$B$24*'Com-Ind Equations'!$B$21*'Chemical Info'!J128*('Com-Ind Calculations'!C127+'Com-Ind Calculations'!E127))))</f>
        <v>NA</v>
      </c>
      <c r="K127" s="117" t="str">
        <f>IF('Chemical Info'!J128="NA","NA",IF(F127="NA",'Com-Ind Equations'!$B$20*1000*'Com-Ind Equations'!$B$24*'Com-Ind Equations'!$B$21*'Chemical Info'!J128*'Com-Ind Calculations'!C127,IF('Chemical Info'!E128="Yes",'Com-Ind Equations'!$B$20*1000*'Com-Ind Equations'!$B$24*'Com-Ind Equations'!$B$21*'Chemical Info'!J128*'Com-Ind Calculations'!F127,'Com-Ind Equations'!$B$20*1000*'Com-Ind Equations'!$B$24*'Com-Ind Equations'!$B$21*'Chemical Info'!J128*('Com-Ind Calculations'!C127+'Com-Ind Calculations'!F127))))</f>
        <v>NA</v>
      </c>
      <c r="L127" s="95" t="str">
        <f>IF(AND(H127="NA",I127="NA",J127="NA"),"NA",IF(H127="NA",'Com-Ind Equations'!$B$13*'Com-Ind Equations'!$B$14/J127,IF(J127="NA",'Com-Ind Equations'!$B$13*'Com-Ind Equations'!$B$14/(H127+I127),'Com-Ind Equations'!$B$13*'Com-Ind Equations'!$B$14/(H127+I127+J127))))</f>
        <v>NA</v>
      </c>
      <c r="M127" s="95" t="str">
        <f>IF(AND(H127="NA",I127="NA",K127="NA"),"NA",IF(H127="NA",'Com-Ind Equations'!$B$13*'Com-Ind Equations'!$B$14/K127,IF(K127="NA",'Com-Ind Equations'!$B$13*'Com-Ind Equations'!$B$14/(H127+I127),'Com-Ind Equations'!$B$13*'Com-Ind Equations'!$B$14/(H127+I127+K127))))</f>
        <v>NA</v>
      </c>
      <c r="N127" s="95" t="str">
        <f t="shared" si="100"/>
        <v>NA</v>
      </c>
      <c r="O127" s="94">
        <f>IF('Chemical Info'!L128="NA","NA",IF('Chemical Info'!E128="Yes",(('Com-Ind Equations'!$B$46*'Chemical Info'!AD128*'Com-Ind Equations'!$B$48*'Com-Ind Equations'!$B$49*'Com-Ind Equations'!$B$51)/('Com-Ind Equations'!$B$55*'Com-Ind Equations'!$B$56))/'Chemical Info'!L128,(('Com-Ind Equations'!$B$46*'Chemical Info'!AD128*'Com-Ind Equations'!$B$48*'Com-Ind Equations'!$B$49*'Com-Ind Equations'!$B$50)/('Com-Ind Equations'!$B$55*'Com-Ind Equations'!$B$56))/'Chemical Info'!L128))</f>
        <v>8.5616438356164357E-5</v>
      </c>
      <c r="P127" s="90">
        <f>IF('Chemical Info'!L128="NA","NA", IF('Chemical Info'!E128="Yes",0,((('Com-Ind Equations'!$B$58*'Com-Ind Equations'!$B$59*'Com-Ind Equations'!$B$48*'Com-Ind Equations'!$B$52*'Com-Ind Equations'!$B$49*'Chemical Info'!AB128)/('Com-Ind Equations'!$B$55*'Com-Ind Equations'!$B$56))/('Chemical Info'!L128*'Chemical Info'!AF128))))</f>
        <v>2.6090136986301364E-5</v>
      </c>
      <c r="Q127" s="90" t="str">
        <f>IF('Chemical Info'!N128="NA","NA",IF('Com-Ind Calculations'!E127="NA",(('Com-Ind Equations'!$B$53*'Com-Ind Equations'!$B$49*'Com-Ind Equations'!$B$54*'Com-Ind Calculations'!C127)/('Com-Ind Equations'!$B$56))/('Chemical Info'!N128),IF('Chemical Info'!E128="Yes",(('Com-Ind Equations'!$B$53*'Com-Ind Equations'!$B$49*'Com-Ind Equations'!$B$54*'Com-Ind Calculations'!E127)/('Com-Ind Equations'!$B$56))/('Chemical Info'!N128),(('Com-Ind Equations'!$B$53*'Com-Ind Equations'!$B$49*'Com-Ind Equations'!$B$54*('Com-Ind Calculations'!C127+'Com-Ind Calculations'!E127))/('Com-Ind Equations'!$B$56))/('Chemical Info'!N128))))</f>
        <v>NA</v>
      </c>
      <c r="R127" s="90" t="str">
        <f>IF('Chemical Info'!N128="NA","NA",IF('Com-Ind Calculations'!F127="NA",(('Com-Ind Equations'!$B$53*'Com-Ind Equations'!$B$49*'Com-Ind Equations'!$B$54*'Com-Ind Calculations'!C127)/('Com-Ind Equations'!$B$56))/('Chemical Info'!N128),IF('Chemical Info'!E128="Yes",(('Com-Ind Equations'!$B$53*'Com-Ind Equations'!$B$49*'Com-Ind Equations'!$B$54*'Com-Ind Calculations'!F127)/('Com-Ind Equations'!$B$56))/('Chemical Info'!N128),(('Com-Ind Equations'!$B$53*'Com-Ind Equations'!$B$49*'Com-Ind Equations'!$B$54*('Com-Ind Calculations'!C127+'Com-Ind Calculations'!F127))/('Com-Ind Equations'!$B$56))/('Chemical Info'!N128))))</f>
        <v>NA</v>
      </c>
      <c r="S127" s="90">
        <f>IF(AND(O127="NA",P127="NA",Q127="NA"),"NA",IF(O127="NA",'Com-Ind Equations'!$B$45/'Com-Ind Calculations'!Q127,IF('Com-Ind Calculations'!Q127="NA",'Com-Ind Equations'!$B$45/('Com-Ind Calculations'!O127+'Com-Ind Calculations'!P127),'Com-Ind Equations'!$B$45/('Com-Ind Calculations'!O127+'Com-Ind Calculations'!P127+'Com-Ind Calculations'!Q127))))</f>
        <v>1790.4049012947332</v>
      </c>
      <c r="T127" s="95">
        <f>IF(AND(O127="NA",P127="NA",R127="NA"),"NA",IF(O127="NA",'Com-Ind Equations'!$B$45/R127,IF(R127="NA",'Com-Ind Equations'!$B$45/(O127+P127),'Com-Ind Equations'!$B$45/(O127+P127+R127))))</f>
        <v>1790.4049012947332</v>
      </c>
      <c r="U127" s="97">
        <f t="shared" si="101"/>
        <v>1790.4049012947332</v>
      </c>
      <c r="V127" s="101">
        <f t="shared" si="102"/>
        <v>1790.4049012947332</v>
      </c>
      <c r="W127" s="105">
        <f t="shared" si="104"/>
        <v>1800</v>
      </c>
      <c r="X127" s="100" t="str">
        <f t="shared" si="103"/>
        <v>Noncancer</v>
      </c>
      <c r="Y127" s="70"/>
    </row>
    <row r="128" spans="1:26">
      <c r="A128" s="373" t="s">
        <v>385</v>
      </c>
      <c r="B128" s="566" t="s">
        <v>163</v>
      </c>
      <c r="C128" s="85">
        <f>1/(('Com-Ind Equations'!$B$123*3600)/(0.036*(1-'Com-Ind Equations'!$B$124)*(('Com-Ind Equations'!$B$125/'Com-Ind Equations'!$B$126)^3)*'Com-Ind Equations'!$B$127))</f>
        <v>1.4713536180231943E-9</v>
      </c>
      <c r="D128" s="90">
        <f>(('Com-Ind Equations'!$B$103^(10/3)*'Chemical Info'!AH129*'Chemical Info'!AN129*41+'Com-Ind Equations'!$B$106^(10/3)*'Chemical Info'!AJ129)/'Com-Ind Equations'!$B$108^2)/('Com-Ind Equations'!$B$110*'Chemical Info'!AL129*'Com-Ind Equations'!$B$113+'Com-Ind Equations'!$B$106+'Com-Ind Equations'!$B$103*'Chemical Info'!AN129*41)</f>
        <v>8.1220823395500269E-6</v>
      </c>
      <c r="E128" s="65">
        <f>IF(D128=0,"NA",1/(('Com-Ind Equations'!$B$74*(3.14*D128*'Com-Ind Equations'!$B$76)^(1/2)*0.0001)/(2*'Com-Ind Equations'!$B$77*D128)))</f>
        <v>1.6728703270228687E-5</v>
      </c>
      <c r="F128" s="65">
        <f>IF(D128=0,"NA",(1/('Com-Ind Equations'!$B$88*('Com-Ind Equations'!$B$89*(31500000))/('Com-Ind Equations'!$B$90*'Com-Ind Equations'!$B$91*1000000))))</f>
        <v>6.1914410640015851E-5</v>
      </c>
      <c r="G128" s="95">
        <f>IF('Chemical Info'!E129="Yes",('Chemical Info'!AP129/'Com-Ind Equations'!$B$139)*((('Chemical Info'!AL129*'Com-Ind Equations'!$B$141)*'Com-Ind Equations'!$B$139)+'Com-Ind Equations'!$B$142+('Chemical Info'!AN129*41)*'Com-Ind Equations'!$B$144),"NA")</f>
        <v>115834.73599999999</v>
      </c>
      <c r="H128" s="112">
        <f>IF('Chemical Info'!H129="NA","NA",IF('Chemical Info'!E129="Yes",'Chemical Info'!H129*'Chemical Info'!AD129*'Com-Ind Equations'!$B$18*'Com-Ind Equations'!$B$22*(('Com-Ind Equations'!$B$24*'Com-Ind Equations'!$B$25)/'Com-Ind Equations'!$B$26),'Chemical Info'!H129*'Chemical Info'!AD129*'Com-Ind Equations'!$B$17*'Com-Ind Equations'!$B$22*('Com-Ind Equations'!$B$24*'Com-Ind Equations'!$B$25/'Com-Ind Equations'!$B$26)))</f>
        <v>5.6250000000000007E-4</v>
      </c>
      <c r="I128" s="108">
        <f>IF('Chemical Info'!H129="NA","NA",IF('Chemical Info'!E129="Yes",0,('Chemical Info'!H129/'Chemical Info'!AF129)*'Com-Ind Equations'!$B$19*'Chemical Info'!AB129*'Com-Ind Equations'!$B$22*(('Com-Ind Equations'!$B$24*'Com-Ind Equations'!$B$29*'Com-Ind Equations'!$B$30)/'Com-Ind Equations'!$B$26)))</f>
        <v>0</v>
      </c>
      <c r="J128" s="115">
        <f>IF('Chemical Info'!J129="NA","NA",IF(E128="NA",'Com-Ind Equations'!$B$20*1000*'Com-Ind Equations'!$B$24*'Com-Ind Equations'!$B$21*'Chemical Info'!J129*'Com-Ind Calculations'!C128,IF('Chemical Info'!E129="Yes",'Com-Ind Equations'!$B$20*1000*'Com-Ind Equations'!$B$24*'Com-Ind Equations'!$B$21*'Chemical Info'!J129*'Com-Ind Calculations'!E128,'Com-Ind Equations'!$B$20*1000*'Com-Ind Equations'!$B$24*'Com-Ind Equations'!$B$21*'Chemical Info'!J129*('Com-Ind Calculations'!C128+'Com-Ind Calculations'!E128))))</f>
        <v>1.5683159315839395E-4</v>
      </c>
      <c r="K128" s="117">
        <f>IF('Chemical Info'!J129="NA","NA",IF(F128="NA",'Com-Ind Equations'!$B$20*1000*'Com-Ind Equations'!$B$24*'Com-Ind Equations'!$B$21*'Chemical Info'!J129*'Com-Ind Calculations'!C128,IF('Chemical Info'!E129="Yes",'Com-Ind Equations'!$B$20*1000*'Com-Ind Equations'!$B$24*'Com-Ind Equations'!$B$21*'Chemical Info'!J129*'Com-Ind Calculations'!F128,'Com-Ind Equations'!$B$20*1000*'Com-Ind Equations'!$B$24*'Com-Ind Equations'!$B$21*'Chemical Info'!J129*('Com-Ind Calculations'!C128+'Com-Ind Calculations'!F128))))</f>
        <v>5.8044759975014863E-4</v>
      </c>
      <c r="L128" s="95">
        <f>IF(AND(H128="NA",I128="NA",J128="NA"),"NA",IF(H128="NA",'Com-Ind Equations'!$B$13*'Com-Ind Equations'!$B$14/J128,IF(J128="NA",'Com-Ind Equations'!$B$13*'Com-Ind Equations'!$B$14/(H128+I128),'Com-Ind Equations'!$B$13*'Com-Ind Equations'!$B$14/(H128+I128+J128))))</f>
        <v>355.19084999195894</v>
      </c>
      <c r="M128" s="95">
        <f>IF(AND(H128="NA",I128="NA",K128="NA"),"NA",IF(H128="NA",'Com-Ind Equations'!$B$13*'Com-Ind Equations'!$B$14/K128,IF(K128="NA",'Com-Ind Equations'!$B$13*'Com-Ind Equations'!$B$14/(H128+I128),'Com-Ind Equations'!$B$13*'Com-Ind Equations'!$B$14/(H128+I128+K128))))</f>
        <v>223.54480647743867</v>
      </c>
      <c r="N128" s="95">
        <f t="shared" si="100"/>
        <v>355.19084999195894</v>
      </c>
      <c r="O128" s="94">
        <f>IF('Chemical Info'!L129="NA","NA",IF('Chemical Info'!E129="Yes",(('Com-Ind Equations'!$B$46*'Chemical Info'!AD129*'Com-Ind Equations'!$B$48*'Com-Ind Equations'!$B$49*'Com-Ind Equations'!$B$51)/('Com-Ind Equations'!$B$55*'Com-Ind Equations'!$B$56))/'Chemical Info'!L129,(('Com-Ind Equations'!$B$46*'Chemical Info'!AD129*'Com-Ind Equations'!$B$48*'Com-Ind Equations'!$B$49*'Com-Ind Equations'!$B$50)/('Com-Ind Equations'!$B$55*'Com-Ind Equations'!$B$56))/'Chemical Info'!L129))</f>
        <v>2.4657534246575338E-5</v>
      </c>
      <c r="P128" s="90">
        <f>IF('Chemical Info'!L129="NA","NA", IF('Chemical Info'!E129="Yes",0,((('Com-Ind Equations'!$B$58*'Com-Ind Equations'!$B$59*'Com-Ind Equations'!$B$48*'Com-Ind Equations'!$B$52*'Com-Ind Equations'!$B$49*'Chemical Info'!AB129)/('Com-Ind Equations'!$B$55*'Com-Ind Equations'!$B$56))/('Chemical Info'!L129*'Chemical Info'!AF129))))</f>
        <v>0</v>
      </c>
      <c r="Q128" s="90">
        <f>IF('Chemical Info'!N129="NA","NA",IF('Com-Ind Calculations'!E128="NA",(('Com-Ind Equations'!$B$53*'Com-Ind Equations'!$B$49*'Com-Ind Equations'!$B$54*'Com-Ind Calculations'!C128)/('Com-Ind Equations'!$B$56))/('Chemical Info'!N129),IF('Chemical Info'!E129="Yes",(('Com-Ind Equations'!$B$53*'Com-Ind Equations'!$B$49*'Com-Ind Equations'!$B$54*'Com-Ind Calculations'!E128)/('Com-Ind Equations'!$B$56))/('Chemical Info'!N129),(('Com-Ind Equations'!$B$53*'Com-Ind Equations'!$B$49*'Com-Ind Equations'!$B$54*('Com-Ind Calculations'!C128+'Com-Ind Calculations'!E128))/('Com-Ind Equations'!$B$56))/('Chemical Info'!N129))))</f>
        <v>1.14580159385128E-4</v>
      </c>
      <c r="R128" s="90">
        <f>IF('Chemical Info'!N129="NA","NA",IF('Com-Ind Calculations'!F128="NA",(('Com-Ind Equations'!$B$53*'Com-Ind Equations'!$B$49*'Com-Ind Equations'!$B$54*'Com-Ind Calculations'!C128)/('Com-Ind Equations'!$B$56))/('Chemical Info'!N129),IF('Chemical Info'!E129="Yes",(('Com-Ind Equations'!$B$53*'Com-Ind Equations'!$B$49*'Com-Ind Equations'!$B$54*'Com-Ind Calculations'!F128)/('Com-Ind Equations'!$B$56))/('Chemical Info'!N129),(('Com-Ind Equations'!$B$53*'Com-Ind Equations'!$B$49*'Com-Ind Equations'!$B$54*('Com-Ind Calculations'!C128+'Com-Ind Calculations'!F128))/('Com-Ind Equations'!$B$56))/('Chemical Info'!N129))))</f>
        <v>4.2407130575353326E-4</v>
      </c>
      <c r="S128" s="90">
        <f>IF(AND(O128="NA",P128="NA",Q128="NA"),"NA",IF(O128="NA",'Com-Ind Equations'!$B$45/'Com-Ind Calculations'!Q128,IF('Com-Ind Calculations'!Q128="NA",'Com-Ind Equations'!$B$45/('Com-Ind Calculations'!O128+'Com-Ind Calculations'!P128),'Com-Ind Equations'!$B$45/('Com-Ind Calculations'!O128+'Com-Ind Calculations'!P128+'Com-Ind Calculations'!Q128))))</f>
        <v>1436.3926518994106</v>
      </c>
      <c r="T128" s="95">
        <f>IF(AND(O128="NA",P128="NA",R128="NA"),"NA",IF(O128="NA",'Com-Ind Equations'!$B$45/R128,IF(R128="NA",'Com-Ind Equations'!$B$45/(O128+P128),'Com-Ind Equations'!$B$45/(O128+P128+R128))))</f>
        <v>445.70346759961228</v>
      </c>
      <c r="U128" s="97">
        <f t="shared" si="101"/>
        <v>1436.3926518994106</v>
      </c>
      <c r="V128" s="101">
        <f t="shared" si="102"/>
        <v>355.19084999195894</v>
      </c>
      <c r="W128" s="105">
        <f t="shared" si="104"/>
        <v>360</v>
      </c>
      <c r="X128" s="100" t="str">
        <f t="shared" si="103"/>
        <v>Cancer</v>
      </c>
      <c r="Y128" s="70"/>
    </row>
    <row r="129" spans="1:25">
      <c r="A129" s="413" t="s">
        <v>8</v>
      </c>
      <c r="B129" s="566" t="s">
        <v>9</v>
      </c>
      <c r="C129" s="85">
        <f>1/(('Com-Ind Equations'!$B$123*3600)/(0.036*(1-'Com-Ind Equations'!$B$124)*(('Com-Ind Equations'!$B$125/'Com-Ind Equations'!$B$126)^3)*'Com-Ind Equations'!$B$127))</f>
        <v>1.4713536180231943E-9</v>
      </c>
      <c r="D129" s="90">
        <f>(('Com-Ind Equations'!$B$103^(10/3)*'Chemical Info'!AH130*'Chemical Info'!AN130*41+'Com-Ind Equations'!$B$106^(10/3)*'Chemical Info'!AJ130)/'Com-Ind Equations'!$B$108^2)/('Com-Ind Equations'!$B$110*'Chemical Info'!AL130*'Com-Ind Equations'!$B$113+'Com-Ind Equations'!$B$106+'Com-Ind Equations'!$B$103*'Chemical Info'!AN130*41)</f>
        <v>9.5241906324870432E-7</v>
      </c>
      <c r="E129" s="65">
        <f>IF(D129=0,"NA",1/(('Com-Ind Equations'!$B$74*(3.14*D129*'Com-Ind Equations'!$B$76)^(1/2)*0.0001)/(2*'Com-Ind Equations'!$B$77*D129)))</f>
        <v>5.7285225049457281E-6</v>
      </c>
      <c r="F129" s="65">
        <f>IF(D129=0,"NA",(1/('Com-Ind Equations'!$B$88*('Com-Ind Equations'!$B$89*(31500000))/('Com-Ind Equations'!$B$90*'Com-Ind Equations'!$B$91*1000000))))</f>
        <v>6.1914410640015851E-5</v>
      </c>
      <c r="G129" s="95" t="str">
        <f>IF('Chemical Info'!E130="Yes",('Chemical Info'!AP130/'Com-Ind Equations'!$B$139)*((('Chemical Info'!AL130*'Com-Ind Equations'!$B$141)*'Com-Ind Equations'!$B$139)+'Com-Ind Equations'!$B$142+('Chemical Info'!AN130*41)*'Com-Ind Equations'!$B$144),"NA")</f>
        <v>NA</v>
      </c>
      <c r="H129" s="112" t="str">
        <f>IF('Chemical Info'!H130="NA","NA",IF('Chemical Info'!E130="Yes",'Chemical Info'!H130*'Chemical Info'!AD130*'Com-Ind Equations'!$B$18*'Com-Ind Equations'!$B$22*(('Com-Ind Equations'!$B$24*'Com-Ind Equations'!$B$25)/'Com-Ind Equations'!$B$26),'Chemical Info'!H130*'Chemical Info'!AD130*'Com-Ind Equations'!$B$17*'Com-Ind Equations'!$B$22*('Com-Ind Equations'!$B$24*'Com-Ind Equations'!$B$25/'Com-Ind Equations'!$B$26)))</f>
        <v>NA</v>
      </c>
      <c r="I129" s="108" t="str">
        <f>IF('Chemical Info'!H130="NA","NA",IF('Chemical Info'!E130="Yes",0,('Chemical Info'!H130/'Chemical Info'!AF130)*'Com-Ind Equations'!$B$19*'Chemical Info'!AB130*'Com-Ind Equations'!$B$22*(('Com-Ind Equations'!$B$24*'Com-Ind Equations'!$B$29*'Com-Ind Equations'!$B$30)/'Com-Ind Equations'!$B$26)))</f>
        <v>NA</v>
      </c>
      <c r="J129" s="115" t="str">
        <f>IF('Chemical Info'!J130="NA","NA",IF(E129="NA",'Com-Ind Equations'!$B$20*1000*'Com-Ind Equations'!$B$24*'Com-Ind Equations'!$B$21*'Chemical Info'!J130*'Com-Ind Calculations'!C129,IF('Chemical Info'!E130="Yes",'Com-Ind Equations'!$B$20*1000*'Com-Ind Equations'!$B$24*'Com-Ind Equations'!$B$21*'Chemical Info'!J130*'Com-Ind Calculations'!E129,'Com-Ind Equations'!$B$20*1000*'Com-Ind Equations'!$B$24*'Com-Ind Equations'!$B$21*'Chemical Info'!J130*('Com-Ind Calculations'!C129+'Com-Ind Calculations'!E129))))</f>
        <v>NA</v>
      </c>
      <c r="K129" s="117" t="str">
        <f>IF('Chemical Info'!J130="NA","NA",IF(F129="NA",'Com-Ind Equations'!$B$20*1000*'Com-Ind Equations'!$B$24*'Com-Ind Equations'!$B$21*'Chemical Info'!J130*'Com-Ind Calculations'!C129,IF('Chemical Info'!E130="Yes",'Com-Ind Equations'!$B$20*1000*'Com-Ind Equations'!$B$24*'Com-Ind Equations'!$B$21*'Chemical Info'!J130*'Com-Ind Calculations'!F129,'Com-Ind Equations'!$B$20*1000*'Com-Ind Equations'!$B$24*'Com-Ind Equations'!$B$21*'Chemical Info'!J130*('Com-Ind Calculations'!C129+'Com-Ind Calculations'!F129))))</f>
        <v>NA</v>
      </c>
      <c r="L129" s="95" t="str">
        <f>IF(AND(H129="NA",I129="NA",J129="NA"),"NA",IF(H129="NA",'Com-Ind Equations'!$B$13*'Com-Ind Equations'!$B$14/J129,IF(J129="NA",'Com-Ind Equations'!$B$13*'Com-Ind Equations'!$B$14/(H129+I129),'Com-Ind Equations'!$B$13*'Com-Ind Equations'!$B$14/(H129+I129+J129))))</f>
        <v>NA</v>
      </c>
      <c r="M129" s="95" t="str">
        <f>IF(AND(H129="NA",I129="NA",K129="NA"),"NA",IF(H129="NA",'Com-Ind Equations'!$B$13*'Com-Ind Equations'!$B$14/K129,IF(K129="NA",'Com-Ind Equations'!$B$13*'Com-Ind Equations'!$B$14/(H129+I129),'Com-Ind Equations'!$B$13*'Com-Ind Equations'!$B$14/(H129+I129+K129))))</f>
        <v>NA</v>
      </c>
      <c r="N129" s="95" t="str">
        <f t="shared" si="100"/>
        <v>NA</v>
      </c>
      <c r="O129" s="94">
        <f>IF('Chemical Info'!L130="NA","NA",IF('Chemical Info'!E130="Yes",(('Com-Ind Equations'!$B$46*'Chemical Info'!AD130*'Com-Ind Equations'!$B$48*'Com-Ind Equations'!$B$49*'Com-Ind Equations'!$B$51)/('Com-Ind Equations'!$B$55*'Com-Ind Equations'!$B$56))/'Chemical Info'!L130,(('Com-Ind Equations'!$B$46*'Chemical Info'!AD130*'Com-Ind Equations'!$B$48*'Com-Ind Equations'!$B$49*'Com-Ind Equations'!$B$50)/('Com-Ind Equations'!$B$55*'Com-Ind Equations'!$B$56))/'Chemical Info'!L130))</f>
        <v>2.5944375259443746E-6</v>
      </c>
      <c r="P129" s="90">
        <f>IF('Chemical Info'!L130="NA","NA", IF('Chemical Info'!E130="Yes",0,((('Com-Ind Equations'!$B$58*'Com-Ind Equations'!$B$59*'Com-Ind Equations'!$B$48*'Com-Ind Equations'!$B$52*'Com-Ind Equations'!$B$49*'Chemical Info'!AB130)/('Com-Ind Equations'!$B$55*'Com-Ind Equations'!$B$56))/('Chemical Info'!L130*'Chemical Info'!AF130))))</f>
        <v>7.90610211706102E-7</v>
      </c>
      <c r="Q129" s="90">
        <f>IF('Chemical Info'!N130="NA","NA",IF('Com-Ind Calculations'!E129="NA",(('Com-Ind Equations'!$B$53*'Com-Ind Equations'!$B$49*'Com-Ind Equations'!$B$54*'Com-Ind Calculations'!C129)/('Com-Ind Equations'!$B$56))/('Chemical Info'!N130),IF('Chemical Info'!E130="Yes",(('Com-Ind Equations'!$B$53*'Com-Ind Equations'!$B$49*'Com-Ind Equations'!$B$54*'Com-Ind Calculations'!E129)/('Com-Ind Equations'!$B$56))/('Chemical Info'!N130),(('Com-Ind Equations'!$B$53*'Com-Ind Equations'!$B$49*'Com-Ind Equations'!$B$54*('Com-Ind Calculations'!C129+'Com-Ind Calculations'!E129))/('Com-Ind Equations'!$B$56))/('Chemical Info'!N130))))</f>
        <v>2.9434899958375429E-6</v>
      </c>
      <c r="R129" s="90">
        <f>IF('Chemical Info'!N130="NA","NA",IF('Com-Ind Calculations'!F129="NA",(('Com-Ind Equations'!$B$53*'Com-Ind Equations'!$B$49*'Com-Ind Equations'!$B$54*'Com-Ind Calculations'!C129)/('Com-Ind Equations'!$B$56))/('Chemical Info'!N130),IF('Chemical Info'!E130="Yes",(('Com-Ind Equations'!$B$53*'Com-Ind Equations'!$B$49*'Com-Ind Equations'!$B$54*'Com-Ind Calculations'!F129)/('Com-Ind Equations'!$B$56))/('Chemical Info'!N130),(('Com-Ind Equations'!$B$53*'Com-Ind Equations'!$B$49*'Com-Ind Equations'!$B$54*('Com-Ind Calculations'!C129+'Com-Ind Calculations'!F129))/('Com-Ind Equations'!$B$56))/('Chemical Info'!N130))))</f>
        <v>3.1806103763853013E-5</v>
      </c>
      <c r="S129" s="90">
        <f>IF(AND(O129="NA",P129="NA",Q129="NA"),"NA",IF(O129="NA",'Com-Ind Equations'!$B$45/'Com-Ind Calculations'!Q129,IF('Com-Ind Calculations'!Q129="NA",'Com-Ind Equations'!$B$45/('Com-Ind Calculations'!O129+'Com-Ind Calculations'!P129),'Com-Ind Equations'!$B$45/('Com-Ind Calculations'!O129+'Com-Ind Calculations'!P129+'Com-Ind Calculations'!Q129))))</f>
        <v>31602.877066163681</v>
      </c>
      <c r="T129" s="95">
        <f>IF(AND(O129="NA",P129="NA",R129="NA"),"NA",IF(O129="NA",'Com-Ind Equations'!$B$45/R129,IF(R129="NA",'Com-Ind Equations'!$B$45/(O129+P129),'Com-Ind Equations'!$B$45/(O129+P129+R129))))</f>
        <v>5683.246823891378</v>
      </c>
      <c r="U129" s="97">
        <f t="shared" si="101"/>
        <v>31602.877066163681</v>
      </c>
      <c r="V129" s="101">
        <f t="shared" si="102"/>
        <v>31602.877066163681</v>
      </c>
      <c r="W129" s="105">
        <f t="shared" si="104"/>
        <v>32000</v>
      </c>
      <c r="X129" s="100" t="str">
        <f t="shared" si="103"/>
        <v>Noncancer</v>
      </c>
      <c r="Y129" s="70"/>
    </row>
    <row r="130" spans="1:25">
      <c r="A130" s="413" t="s">
        <v>164</v>
      </c>
      <c r="B130" s="566" t="s">
        <v>165</v>
      </c>
      <c r="C130" s="85">
        <f>1/(('Com-Ind Equations'!$B$123*3600)/(0.036*(1-'Com-Ind Equations'!$B$124)*(('Com-Ind Equations'!$B$125/'Com-Ind Equations'!$B$126)^3)*'Com-Ind Equations'!$B$127))</f>
        <v>1.4713536180231943E-9</v>
      </c>
      <c r="D130" s="90">
        <f>(('Com-Ind Equations'!$B$103^(10/3)*'Chemical Info'!AH131*'Chemical Info'!AN131*41+'Com-Ind Equations'!$B$106^(10/3)*'Chemical Info'!AJ131)/'Com-Ind Equations'!$B$108^2)/('Com-Ind Equations'!$B$110*'Chemical Info'!AL131*'Com-Ind Equations'!$B$113+'Com-Ind Equations'!$B$106+'Com-Ind Equations'!$B$103*'Chemical Info'!AN131*41)</f>
        <v>2.1491527428971095E-6</v>
      </c>
      <c r="E130" s="65">
        <f>IF(D130=0,"NA",1/(('Com-Ind Equations'!$B$74*(3.14*D130*'Com-Ind Equations'!$B$76)^(1/2)*0.0001)/(2*'Com-Ind Equations'!$B$77*D130)))</f>
        <v>8.6052248967956171E-6</v>
      </c>
      <c r="F130" s="65">
        <f>IF(D130=0,"NA",(1/('Com-Ind Equations'!$B$88*('Com-Ind Equations'!$B$89*(31500000))/('Com-Ind Equations'!$B$90*'Com-Ind Equations'!$B$91*1000000))))</f>
        <v>6.1914410640015851E-5</v>
      </c>
      <c r="G130" s="95">
        <f>IF('Chemical Info'!E131="Yes",('Chemical Info'!AP131/'Com-Ind Equations'!$B$139)*((('Chemical Info'!AL131*'Com-Ind Equations'!$B$141)*'Com-Ind Equations'!$B$139)+'Com-Ind Equations'!$B$142+('Chemical Info'!AN131*41)*'Com-Ind Equations'!$B$144),"NA")</f>
        <v>42401.031669333337</v>
      </c>
      <c r="H130" s="112" t="str">
        <f>IF('Chemical Info'!H131="NA","NA",IF('Chemical Info'!E131="Yes",'Chemical Info'!H131*'Chemical Info'!AD131*'Com-Ind Equations'!$B$18*'Com-Ind Equations'!$B$22*(('Com-Ind Equations'!$B$24*'Com-Ind Equations'!$B$25)/'Com-Ind Equations'!$B$26),'Chemical Info'!H131*'Chemical Info'!AD131*'Com-Ind Equations'!$B$17*'Com-Ind Equations'!$B$22*('Com-Ind Equations'!$B$24*'Com-Ind Equations'!$B$25/'Com-Ind Equations'!$B$26)))</f>
        <v>NA</v>
      </c>
      <c r="I130" s="108" t="str">
        <f>IF('Chemical Info'!H131="NA","NA",IF('Chemical Info'!E131="Yes",0,('Chemical Info'!H131/'Chemical Info'!AF131)*'Com-Ind Equations'!$B$19*'Chemical Info'!AB131*'Com-Ind Equations'!$B$22*(('Com-Ind Equations'!$B$24*'Com-Ind Equations'!$B$29*'Com-Ind Equations'!$B$30)/'Com-Ind Equations'!$B$26)))</f>
        <v>NA</v>
      </c>
      <c r="J130" s="115" t="str">
        <f>IF('Chemical Info'!J131="NA","NA",IF(E130="NA",'Com-Ind Equations'!$B$20*1000*'Com-Ind Equations'!$B$24*'Com-Ind Equations'!$B$21*'Chemical Info'!J131*'Com-Ind Calculations'!C130,IF('Chemical Info'!E131="Yes",'Com-Ind Equations'!$B$20*1000*'Com-Ind Equations'!$B$24*'Com-Ind Equations'!$B$21*'Chemical Info'!J131*'Com-Ind Calculations'!E130,'Com-Ind Equations'!$B$20*1000*'Com-Ind Equations'!$B$24*'Com-Ind Equations'!$B$21*'Chemical Info'!J131*('Com-Ind Calculations'!C130+'Com-Ind Calculations'!E130))))</f>
        <v>NA</v>
      </c>
      <c r="K130" s="117" t="str">
        <f>IF('Chemical Info'!J131="NA","NA",IF(F130="NA",'Com-Ind Equations'!$B$20*1000*'Com-Ind Equations'!$B$24*'Com-Ind Equations'!$B$21*'Chemical Info'!J131*'Com-Ind Calculations'!C130,IF('Chemical Info'!E131="Yes",'Com-Ind Equations'!$B$20*1000*'Com-Ind Equations'!$B$24*'Com-Ind Equations'!$B$21*'Chemical Info'!J131*'Com-Ind Calculations'!F130,'Com-Ind Equations'!$B$20*1000*'Com-Ind Equations'!$B$24*'Com-Ind Equations'!$B$21*'Chemical Info'!J131*('Com-Ind Calculations'!C130+'Com-Ind Calculations'!F130))))</f>
        <v>NA</v>
      </c>
      <c r="L130" s="95" t="str">
        <f>IF(AND(H130="NA",I130="NA",J130="NA"),"NA",IF(H130="NA",'Com-Ind Equations'!$B$13*'Com-Ind Equations'!$B$14/J130,IF(J130="NA",'Com-Ind Equations'!$B$13*'Com-Ind Equations'!$B$14/(H130+I130),'Com-Ind Equations'!$B$13*'Com-Ind Equations'!$B$14/(H130+I130+J130))))</f>
        <v>NA</v>
      </c>
      <c r="M130" s="95" t="str">
        <f>IF(AND(H130="NA",I130="NA",K130="NA"),"NA",IF(H130="NA",'Com-Ind Equations'!$B$13*'Com-Ind Equations'!$B$14/K130,IF(K130="NA",'Com-Ind Equations'!$B$13*'Com-Ind Equations'!$B$14/(H130+I130),'Com-Ind Equations'!$B$13*'Com-Ind Equations'!$B$14/(H130+I130+K130))))</f>
        <v>NA</v>
      </c>
      <c r="N130" s="95" t="str">
        <f t="shared" si="100"/>
        <v>NA</v>
      </c>
      <c r="O130" s="94">
        <f>IF('Chemical Info'!L131="NA","NA",IF('Chemical Info'!E131="Yes",(('Com-Ind Equations'!$B$46*'Chemical Info'!AD131*'Com-Ind Equations'!$B$48*'Com-Ind Equations'!$B$49*'Com-Ind Equations'!$B$51)/('Com-Ind Equations'!$B$55*'Com-Ind Equations'!$B$56))/'Chemical Info'!L131,(('Com-Ind Equations'!$B$46*'Chemical Info'!AD131*'Com-Ind Equations'!$B$48*'Com-Ind Equations'!$B$49*'Com-Ind Equations'!$B$50)/('Com-Ind Equations'!$B$55*'Com-Ind Equations'!$B$56))/'Chemical Info'!L131))</f>
        <v>3.0821917808219173E-6</v>
      </c>
      <c r="P130" s="90">
        <f>IF('Chemical Info'!L131="NA","NA", IF('Chemical Info'!E131="Yes",0,((('Com-Ind Equations'!$B$58*'Com-Ind Equations'!$B$59*'Com-Ind Equations'!$B$48*'Com-Ind Equations'!$B$52*'Com-Ind Equations'!$B$49*'Chemical Info'!AB131)/('Com-Ind Equations'!$B$55*'Com-Ind Equations'!$B$56))/('Chemical Info'!L131*'Chemical Info'!AF131))))</f>
        <v>0</v>
      </c>
      <c r="Q130" s="90">
        <f>IF('Chemical Info'!N131="NA","NA",IF('Com-Ind Calculations'!E130="NA",(('Com-Ind Equations'!$B$53*'Com-Ind Equations'!$B$49*'Com-Ind Equations'!$B$54*'Com-Ind Calculations'!C130)/('Com-Ind Equations'!$B$56))/('Chemical Info'!N131),IF('Chemical Info'!E131="Yes",(('Com-Ind Equations'!$B$53*'Com-Ind Equations'!$B$49*'Com-Ind Equations'!$B$54*'Com-Ind Calculations'!E130)/('Com-Ind Equations'!$B$56))/('Chemical Info'!N131),(('Com-Ind Equations'!$B$53*'Com-Ind Equations'!$B$49*'Com-Ind Equations'!$B$54*('Com-Ind Calculations'!C130+'Com-Ind Calculations'!E130))/('Com-Ind Equations'!$B$56))/('Chemical Info'!N131))))</f>
        <v>2.5259955665740561E-4</v>
      </c>
      <c r="R130" s="90">
        <f>IF('Chemical Info'!N131="NA","NA",IF('Com-Ind Calculations'!F130="NA",(('Com-Ind Equations'!$B$53*'Com-Ind Equations'!$B$49*'Com-Ind Equations'!$B$54*'Com-Ind Calculations'!C130)/('Com-Ind Equations'!$B$56))/('Chemical Info'!N131),IF('Chemical Info'!E131="Yes",(('Com-Ind Equations'!$B$53*'Com-Ind Equations'!$B$49*'Com-Ind Equations'!$B$54*'Com-Ind Calculations'!F130)/('Com-Ind Equations'!$B$56))/('Chemical Info'!N131),(('Com-Ind Equations'!$B$53*'Com-Ind Equations'!$B$49*'Com-Ind Equations'!$B$54*('Com-Ind Calculations'!C130+'Com-Ind Calculations'!F130))/('Com-Ind Equations'!$B$56))/('Chemical Info'!N131))))</f>
        <v>1.8174484532294281E-3</v>
      </c>
      <c r="S130" s="90">
        <f>IF(AND(O130="NA",P130="NA",Q130="NA"),"NA",IF(O130="NA",'Com-Ind Equations'!$B$45/'Com-Ind Calculations'!Q130,IF('Com-Ind Calculations'!Q130="NA",'Com-Ind Equations'!$B$45/('Com-Ind Calculations'!O130+'Com-Ind Calculations'!P130),'Com-Ind Equations'!$B$45/('Com-Ind Calculations'!O130+'Com-Ind Calculations'!P130+'Com-Ind Calculations'!Q130))))</f>
        <v>782.22243559289427</v>
      </c>
      <c r="T130" s="95">
        <f>IF(AND(O130="NA",P130="NA",R130="NA"),"NA",IF(O130="NA",'Com-Ind Equations'!$B$45/R130,IF(R130="NA",'Com-Ind Equations'!$B$45/(O130+P130),'Com-Ind Equations'!$B$45/(O130+P130+R130))))</f>
        <v>109.85807931778812</v>
      </c>
      <c r="U130" s="97">
        <f t="shared" si="101"/>
        <v>782.22243559289427</v>
      </c>
      <c r="V130" s="101">
        <f t="shared" si="102"/>
        <v>782.22243559289427</v>
      </c>
      <c r="W130" s="105">
        <f t="shared" si="104"/>
        <v>780</v>
      </c>
      <c r="X130" s="100" t="str">
        <f t="shared" si="103"/>
        <v>Noncancer</v>
      </c>
      <c r="Y130" s="70"/>
    </row>
    <row r="131" spans="1:25">
      <c r="A131" s="413" t="s">
        <v>89</v>
      </c>
      <c r="B131" s="566" t="s">
        <v>90</v>
      </c>
      <c r="C131" s="85">
        <f>1/(('Com-Ind Equations'!$B$123*3600)/(0.036*(1-'Com-Ind Equations'!$B$124)*(('Com-Ind Equations'!$B$125/'Com-Ind Equations'!$B$126)^3)*'Com-Ind Equations'!$B$127))</f>
        <v>1.4713536180231943E-9</v>
      </c>
      <c r="D131" s="90">
        <f>(('Com-Ind Equations'!$B$103^(10/3)*'Chemical Info'!AH132*'Chemical Info'!AN132*41+'Com-Ind Equations'!$B$106^(10/3)*'Chemical Info'!AJ132)/'Com-Ind Equations'!$B$108^2)/('Com-Ind Equations'!$B$110*'Chemical Info'!AL132*'Com-Ind Equations'!$B$113+'Com-Ind Equations'!$B$106+'Com-Ind Equations'!$B$103*'Chemical Info'!AN132*41)</f>
        <v>5.4082584429949048E-6</v>
      </c>
      <c r="E131" s="65">
        <f>IF(D131=0,"NA",1/(('Com-Ind Equations'!$B$74*(3.14*D131*'Com-Ind Equations'!$B$76)^(1/2)*0.0001)/(2*'Com-Ind Equations'!$B$77*D131)))</f>
        <v>1.3650774808172042E-5</v>
      </c>
      <c r="F131" s="65">
        <f>IF(D131=0,"NA",(1/('Com-Ind Equations'!$B$88*('Com-Ind Equations'!$B$89*(31500000))/('Com-Ind Equations'!$B$90*'Com-Ind Equations'!$B$91*1000000))))</f>
        <v>6.1914410640015851E-5</v>
      </c>
      <c r="G131" s="95">
        <f>IF('Chemical Info'!E132="Yes",('Chemical Info'!AP132/'Com-Ind Equations'!$B$139)*((('Chemical Info'!AL132*'Com-Ind Equations'!$B$141)*'Com-Ind Equations'!$B$139)+'Com-Ind Equations'!$B$142+('Chemical Info'!AN132*41)*'Com-Ind Equations'!$B$144),"NA")</f>
        <v>10116.639812240001</v>
      </c>
      <c r="H131" s="112" t="str">
        <f>IF('Chemical Info'!H132="NA","NA",IF('Chemical Info'!E132="Yes",'Chemical Info'!H132*'Chemical Info'!AD132*'Com-Ind Equations'!$B$18*'Com-Ind Equations'!$B$22*(('Com-Ind Equations'!$B$24*'Com-Ind Equations'!$B$25)/'Com-Ind Equations'!$B$26),'Chemical Info'!H132*'Chemical Info'!AD132*'Com-Ind Equations'!$B$17*'Com-Ind Equations'!$B$22*('Com-Ind Equations'!$B$24*'Com-Ind Equations'!$B$25/'Com-Ind Equations'!$B$26)))</f>
        <v>NA</v>
      </c>
      <c r="I131" s="108" t="str">
        <f>IF('Chemical Info'!H132="NA","NA",IF('Chemical Info'!E132="Yes",0,('Chemical Info'!H132/'Chemical Info'!AF132)*'Com-Ind Equations'!$B$19*'Chemical Info'!AB132*'Com-Ind Equations'!$B$22*(('Com-Ind Equations'!$B$24*'Com-Ind Equations'!$B$29*'Com-Ind Equations'!$B$30)/'Com-Ind Equations'!$B$26)))</f>
        <v>NA</v>
      </c>
      <c r="J131" s="115" t="str">
        <f>IF('Chemical Info'!J132="NA","NA",IF(E131="NA",'Com-Ind Equations'!$B$20*1000*'Com-Ind Equations'!$B$24*'Com-Ind Equations'!$B$21*'Chemical Info'!J132*'Com-Ind Calculations'!C131,IF('Chemical Info'!E132="Yes",'Com-Ind Equations'!$B$20*1000*'Com-Ind Equations'!$B$24*'Com-Ind Equations'!$B$21*'Chemical Info'!J132*'Com-Ind Calculations'!E131,'Com-Ind Equations'!$B$20*1000*'Com-Ind Equations'!$B$24*'Com-Ind Equations'!$B$21*'Chemical Info'!J132*('Com-Ind Calculations'!C131+'Com-Ind Calculations'!E131))))</f>
        <v>NA</v>
      </c>
      <c r="K131" s="117" t="str">
        <f>IF('Chemical Info'!J132="NA","NA",IF(F131="NA",'Com-Ind Equations'!$B$20*1000*'Com-Ind Equations'!$B$24*'Com-Ind Equations'!$B$21*'Chemical Info'!J132*'Com-Ind Calculations'!C131,IF('Chemical Info'!E132="Yes",'Com-Ind Equations'!$B$20*1000*'Com-Ind Equations'!$B$24*'Com-Ind Equations'!$B$21*'Chemical Info'!J132*'Com-Ind Calculations'!F131,'Com-Ind Equations'!$B$20*1000*'Com-Ind Equations'!$B$24*'Com-Ind Equations'!$B$21*'Chemical Info'!J132*('Com-Ind Calculations'!C131+'Com-Ind Calculations'!F131))))</f>
        <v>NA</v>
      </c>
      <c r="L131" s="95" t="str">
        <f>IF(AND(H131="NA",I131="NA",J131="NA"),"NA",IF(H131="NA",'Com-Ind Equations'!$B$13*'Com-Ind Equations'!$B$14/J131,IF(J131="NA",'Com-Ind Equations'!$B$13*'Com-Ind Equations'!$B$14/(H131+I131),'Com-Ind Equations'!$B$13*'Com-Ind Equations'!$B$14/(H131+I131+J131))))</f>
        <v>NA</v>
      </c>
      <c r="M131" s="95" t="str">
        <f>IF(AND(H131="NA",I131="NA",K131="NA"),"NA",IF(H131="NA",'Com-Ind Equations'!$B$13*'Com-Ind Equations'!$B$14/K131,IF(K131="NA",'Com-Ind Equations'!$B$13*'Com-Ind Equations'!$B$14/(H131+I131),'Com-Ind Equations'!$B$13*'Com-Ind Equations'!$B$14/(H131+I131+K131))))</f>
        <v>NA</v>
      </c>
      <c r="N131" s="95" t="str">
        <f t="shared" si="100"/>
        <v>NA</v>
      </c>
      <c r="O131" s="94">
        <f>IF('Chemical Info'!L132="NA","NA",IF('Chemical Info'!E132="Yes",(('Com-Ind Equations'!$B$46*'Chemical Info'!AD132*'Com-Ind Equations'!$B$48*'Com-Ind Equations'!$B$49*'Com-Ind Equations'!$B$51)/('Com-Ind Equations'!$B$55*'Com-Ind Equations'!$B$56))/'Chemical Info'!L132,(('Com-Ind Equations'!$B$46*'Chemical Info'!AD132*'Com-Ind Equations'!$B$48*'Com-Ind Equations'!$B$49*'Com-Ind Equations'!$B$50)/('Com-Ind Equations'!$B$55*'Com-Ind Equations'!$B$56))/'Chemical Info'!L132))</f>
        <v>2.0547945205479451E-4</v>
      </c>
      <c r="P131" s="90">
        <f>IF('Chemical Info'!L132="NA","NA", IF('Chemical Info'!E132="Yes",0,((('Com-Ind Equations'!$B$58*'Com-Ind Equations'!$B$59*'Com-Ind Equations'!$B$48*'Com-Ind Equations'!$B$52*'Com-Ind Equations'!$B$49*'Chemical Info'!AB132)/('Com-Ind Equations'!$B$55*'Com-Ind Equations'!$B$56))/('Chemical Info'!L132*'Chemical Info'!AF132))))</f>
        <v>0</v>
      </c>
      <c r="Q131" s="90" t="str">
        <f>IF('Chemical Info'!N132="NA","NA",IF('Com-Ind Calculations'!E131="NA",(('Com-Ind Equations'!$B$53*'Com-Ind Equations'!$B$49*'Com-Ind Equations'!$B$54*'Com-Ind Calculations'!C131)/('Com-Ind Equations'!$B$56))/('Chemical Info'!N132),IF('Chemical Info'!E132="Yes",(('Com-Ind Equations'!$B$53*'Com-Ind Equations'!$B$49*'Com-Ind Equations'!$B$54*'Com-Ind Calculations'!E131)/('Com-Ind Equations'!$B$56))/('Chemical Info'!N132),(('Com-Ind Equations'!$B$53*'Com-Ind Equations'!$B$49*'Com-Ind Equations'!$B$54*('Com-Ind Calculations'!C131+'Com-Ind Calculations'!E131))/('Com-Ind Equations'!$B$56))/('Chemical Info'!N132))))</f>
        <v>NA</v>
      </c>
      <c r="R131" s="90" t="str">
        <f>IF('Chemical Info'!N132="NA","NA",IF('Com-Ind Calculations'!F131="NA",(('Com-Ind Equations'!$B$53*'Com-Ind Equations'!$B$49*'Com-Ind Equations'!$B$54*'Com-Ind Calculations'!C131)/('Com-Ind Equations'!$B$56))/('Chemical Info'!N132),IF('Chemical Info'!E132="Yes",(('Com-Ind Equations'!$B$53*'Com-Ind Equations'!$B$49*'Com-Ind Equations'!$B$54*'Com-Ind Calculations'!F131)/('Com-Ind Equations'!$B$56))/('Chemical Info'!N132),(('Com-Ind Equations'!$B$53*'Com-Ind Equations'!$B$49*'Com-Ind Equations'!$B$54*('Com-Ind Calculations'!C131+'Com-Ind Calculations'!F131))/('Com-Ind Equations'!$B$56))/('Chemical Info'!N132))))</f>
        <v>NA</v>
      </c>
      <c r="S131" s="90">
        <f>IF(AND(O131="NA",P131="NA",Q131="NA"),"NA",IF(O131="NA",'Com-Ind Equations'!$B$45/'Com-Ind Calculations'!Q131,IF('Com-Ind Calculations'!Q131="NA",'Com-Ind Equations'!$B$45/('Com-Ind Calculations'!O131+'Com-Ind Calculations'!P131),'Com-Ind Equations'!$B$45/('Com-Ind Calculations'!O131+'Com-Ind Calculations'!P131+'Com-Ind Calculations'!Q131))))</f>
        <v>973.33333333333348</v>
      </c>
      <c r="T131" s="95">
        <f>IF(AND(O131="NA",P131="NA",R131="NA"),"NA",IF(O131="NA",'Com-Ind Equations'!$B$45/R131,IF(R131="NA",'Com-Ind Equations'!$B$45/(O131+P131),'Com-Ind Equations'!$B$45/(O131+P131+R131))))</f>
        <v>973.33333333333348</v>
      </c>
      <c r="U131" s="97">
        <f t="shared" si="101"/>
        <v>973.33333333333348</v>
      </c>
      <c r="V131" s="101">
        <f t="shared" si="102"/>
        <v>973.33333333333348</v>
      </c>
      <c r="W131" s="105">
        <f t="shared" si="104"/>
        <v>970</v>
      </c>
      <c r="X131" s="100" t="str">
        <f t="shared" si="103"/>
        <v>Noncancer</v>
      </c>
      <c r="Y131" s="70"/>
    </row>
    <row r="132" spans="1:25" ht="12">
      <c r="A132" s="424" t="s">
        <v>1022</v>
      </c>
      <c r="B132" s="566" t="s">
        <v>23</v>
      </c>
      <c r="C132" s="85">
        <f>1/(('Com-Ind Equations'!$B$123*3600)/(0.036*(1-'Com-Ind Equations'!$B$124)*(('Com-Ind Equations'!$B$125/'Com-Ind Equations'!$B$126)^3)*'Com-Ind Equations'!$B$127))</f>
        <v>1.4713536180231943E-9</v>
      </c>
      <c r="D132" s="90">
        <f>(('Com-Ind Equations'!$B$103^(10/3)*'Chemical Info'!AH133*'Chemical Info'!AN133*41+'Com-Ind Equations'!$B$106^(10/3)*'Chemical Info'!AJ133)/'Com-Ind Equations'!$B$108^2)/('Com-Ind Equations'!$B$110*'Chemical Info'!AL133*'Com-Ind Equations'!$B$113+'Com-Ind Equations'!$B$106+'Com-Ind Equations'!$B$103*'Chemical Info'!AN133*41)</f>
        <v>2.7551593974321768E-6</v>
      </c>
      <c r="E132" s="65">
        <f>IF(D132=0,"NA",1/(('Com-Ind Equations'!$B$74*(3.14*D132*'Com-Ind Equations'!$B$76)^(1/2)*0.0001)/(2*'Com-Ind Equations'!$B$77*D132)))</f>
        <v>9.7432074306038788E-6</v>
      </c>
      <c r="F132" s="65">
        <f>IF(D132=0,"NA",(1/('Com-Ind Equations'!$B$88*('Com-Ind Equations'!$B$89*(31500000))/('Com-Ind Equations'!$B$90*'Com-Ind Equations'!$B$91*1000000))))</f>
        <v>6.1914410640015851E-5</v>
      </c>
      <c r="G132" s="120"/>
      <c r="H132" s="112">
        <f>IF('Chemical Info'!H133="NA","NA",IF('Chemical Info'!E133="Yes",'Chemical Info'!H133*'Chemical Info'!AD133*'Com-Ind Equations'!$B$18*'Com-Ind Equations'!$B$22*(('Com-Ind Equations'!$B$24*'Com-Ind Equations'!$B$25)/'Com-Ind Equations'!$B$26),'Chemical Info'!H133*'Chemical Info'!AD133*'Com-Ind Equations'!$B$17*'Com-Ind Equations'!$B$22*('Com-Ind Equations'!$B$24*'Com-Ind Equations'!$B$25/'Com-Ind Equations'!$B$26)))</f>
        <v>9.0000000000000011E-3</v>
      </c>
      <c r="I132" s="108">
        <f>IF('Chemical Info'!H133="NA","NA",IF('Chemical Info'!E133="Yes",0,('Chemical Info'!H133/'Chemical Info'!AF133)*'Com-Ind Equations'!$B$19*'Chemical Info'!AB133*'Com-Ind Equations'!$B$22*(('Com-Ind Equations'!$B$24*'Com-Ind Equations'!$B$29*'Com-Ind Equations'!$B$30)/'Com-Ind Equations'!$B$26)))</f>
        <v>0</v>
      </c>
      <c r="J132" s="115">
        <f>IF('Chemical Info'!J133="NA","NA",IF(E132="NA",'Com-Ind Equations'!$B$20*1000*'Com-Ind Equations'!$B$24*'Com-Ind Equations'!$B$21*'Chemical Info'!J133*'Com-Ind Calculations'!C132,IF('Chemical Info'!E133="Yes",'Com-Ind Equations'!$B$20*1000*'Com-Ind Equations'!$B$24*'Com-Ind Equations'!$B$21*'Chemical Info'!J133*'Com-Ind Calculations'!E132,'Com-Ind Equations'!$B$20*1000*'Com-Ind Equations'!$B$24*'Com-Ind Equations'!$B$21*'Chemical Info'!J133*('Com-Ind Calculations'!C132+'Com-Ind Calculations'!E132))))</f>
        <v>8.4035164088958458E-3</v>
      </c>
      <c r="K132" s="117">
        <f>IF('Chemical Info'!J133="NA","NA",IF(F132="NA",'Com-Ind Equations'!$B$20*1000*'Com-Ind Equations'!$B$24*'Com-Ind Equations'!$B$21*'Chemical Info'!J133*'Com-Ind Calculations'!C132,IF('Chemical Info'!E133="Yes",'Com-Ind Equations'!$B$20*1000*'Com-Ind Equations'!$B$24*'Com-Ind Equations'!$B$21*'Chemical Info'!J133*'Com-Ind Calculations'!F132,'Com-Ind Equations'!$B$20*1000*'Com-Ind Equations'!$B$24*'Com-Ind Equations'!$B$21*'Chemical Info'!J133*('Com-Ind Calculations'!C132+'Com-Ind Calculations'!F132))))</f>
        <v>5.3401179177013675E-2</v>
      </c>
      <c r="L132" s="95">
        <f>IF(AND(H132="NA",I132="NA",J132="NA"),"NA",IF(H132="NA",'Com-Ind Equations'!$B$13*'Com-Ind Equations'!$B$14/J132,IF(J132="NA",'Com-Ind Equations'!$B$13*'Com-Ind Equations'!$B$14/(H132+I132),'Com-Ind Equations'!$B$13*'Com-Ind Equations'!$B$14/(H132+I132+J132))))</f>
        <v>14.680941138389743</v>
      </c>
      <c r="M132" s="95">
        <f>IF(AND(H132="NA",I132="NA",K132="NA"),"NA",IF(H132="NA",'Com-Ind Equations'!$B$13*'Com-Ind Equations'!$B$14/K132,IF(K132="NA",'Com-Ind Equations'!$B$13*'Com-Ind Equations'!$B$14/(H132+I132),'Com-Ind Equations'!$B$13*'Com-Ind Equations'!$B$14/(H132+I132+K132))))</f>
        <v>4.094473908501346</v>
      </c>
      <c r="N132" s="95">
        <f t="shared" si="100"/>
        <v>14.680941138389743</v>
      </c>
      <c r="O132" s="94">
        <f>IF('Chemical Info'!L133="NA","NA",IF('Chemical Info'!E133="Yes",(('Com-Ind Equations'!$B$46*'Chemical Info'!AD133*'Com-Ind Equations'!$B$48*'Com-Ind Equations'!$B$49*'Com-Ind Equations'!$B$51)/('Com-Ind Equations'!$B$55*'Com-Ind Equations'!$B$56))/'Chemical Info'!L133,(('Com-Ind Equations'!$B$46*'Chemical Info'!AD133*'Com-Ind Equations'!$B$48*'Com-Ind Equations'!$B$49*'Com-Ind Equations'!$B$50)/('Com-Ind Equations'!$B$55*'Com-Ind Equations'!$B$56))/'Chemical Info'!L133))</f>
        <v>6.1643835616438346E-2</v>
      </c>
      <c r="P132" s="90">
        <f>IF('Chemical Info'!L133="NA","NA", IF('Chemical Info'!E133="Yes",0,((('Com-Ind Equations'!$B$58*'Com-Ind Equations'!$B$59*'Com-Ind Equations'!$B$48*'Com-Ind Equations'!$B$52*'Com-Ind Equations'!$B$49*'Chemical Info'!AB133)/('Com-Ind Equations'!$B$55*'Com-Ind Equations'!$B$56))/('Chemical Info'!L133*'Chemical Info'!AF133))))</f>
        <v>0</v>
      </c>
      <c r="Q132" s="90" t="str">
        <f>IF('Chemical Info'!N133="NA","NA",IF('Com-Ind Calculations'!E132="NA",(('Com-Ind Equations'!$B$53*'Com-Ind Equations'!$B$49*'Com-Ind Equations'!$B$54*'Com-Ind Calculations'!C132)/('Com-Ind Equations'!$B$56))/('Chemical Info'!N133),IF('Chemical Info'!E133="Yes",(('Com-Ind Equations'!$B$53*'Com-Ind Equations'!$B$49*'Com-Ind Equations'!$B$54*'Com-Ind Calculations'!E132)/('Com-Ind Equations'!$B$56))/('Chemical Info'!N133),(('Com-Ind Equations'!$B$53*'Com-Ind Equations'!$B$49*'Com-Ind Equations'!$B$54*('Com-Ind Calculations'!C132+'Com-Ind Calculations'!E132))/('Com-Ind Equations'!$B$56))/('Chemical Info'!N133))))</f>
        <v>NA</v>
      </c>
      <c r="R132" s="90" t="str">
        <f>IF('Chemical Info'!N133="NA","NA",IF('Com-Ind Calculations'!F132="NA",(('Com-Ind Equations'!$B$53*'Com-Ind Equations'!$B$49*'Com-Ind Equations'!$B$54*'Com-Ind Calculations'!C132)/('Com-Ind Equations'!$B$56))/('Chemical Info'!N133),IF('Chemical Info'!E133="Yes",(('Com-Ind Equations'!$B$53*'Com-Ind Equations'!$B$49*'Com-Ind Equations'!$B$54*'Com-Ind Calculations'!F132)/('Com-Ind Equations'!$B$56))/('Chemical Info'!N133),(('Com-Ind Equations'!$B$53*'Com-Ind Equations'!$B$49*'Com-Ind Equations'!$B$54*('Com-Ind Calculations'!C132+'Com-Ind Calculations'!F132))/('Com-Ind Equations'!$B$56))/('Chemical Info'!N133))))</f>
        <v>NA</v>
      </c>
      <c r="S132" s="90">
        <f>IF(AND(O132="NA",P132="NA",Q132="NA"),"NA",IF(O132="NA",'Com-Ind Equations'!$B$45/'Com-Ind Calculations'!Q132,IF('Com-Ind Calculations'!Q132="NA",'Com-Ind Equations'!$B$45/('Com-Ind Calculations'!O132+'Com-Ind Calculations'!P132),'Com-Ind Equations'!$B$45/('Com-Ind Calculations'!O132+'Com-Ind Calculations'!P132+'Com-Ind Calculations'!Q132))))</f>
        <v>3.2444444444444454</v>
      </c>
      <c r="T132" s="95">
        <f>IF(AND(O132="NA",P132="NA",R132="NA"),"NA",IF(O132="NA",'Com-Ind Equations'!$B$45/R132,IF(R132="NA",'Com-Ind Equations'!$B$45/(O132+P132),'Com-Ind Equations'!$B$45/(O132+P132+R132))))</f>
        <v>3.2444444444444454</v>
      </c>
      <c r="U132" s="97">
        <f t="shared" si="101"/>
        <v>3.2444444444444454</v>
      </c>
      <c r="V132" s="101">
        <f t="shared" si="102"/>
        <v>3.2444444444444454</v>
      </c>
      <c r="W132" s="105">
        <f t="shared" si="104"/>
        <v>3.2</v>
      </c>
      <c r="X132" s="100" t="str">
        <f t="shared" si="103"/>
        <v>Noncancer</v>
      </c>
      <c r="Y132" s="70"/>
    </row>
    <row r="133" spans="1:25">
      <c r="A133" s="413" t="s">
        <v>70</v>
      </c>
      <c r="B133" s="566" t="s">
        <v>96</v>
      </c>
      <c r="C133" s="85">
        <f>1/(('Com-Ind Equations'!$B$123*3600)/(0.036*(1-'Com-Ind Equations'!$B$124)*(('Com-Ind Equations'!$B$125/'Com-Ind Equations'!$B$126)^3)*'Com-Ind Equations'!$B$127))</f>
        <v>1.4713536180231943E-9</v>
      </c>
      <c r="D133" s="90">
        <f>(('Com-Ind Equations'!$B$103^(10/3)*'Chemical Info'!AH134*'Chemical Info'!AN134*41+'Com-Ind Equations'!$B$106^(10/3)*'Chemical Info'!AJ134)/'Com-Ind Equations'!$B$108^2)/('Com-Ind Equations'!$B$110*'Chemical Info'!AL134*'Com-Ind Equations'!$B$113+'Com-Ind Equations'!$B$106+'Com-Ind Equations'!$B$103*'Chemical Info'!AN134*41)</f>
        <v>1.0937695181658774E-4</v>
      </c>
      <c r="E133" s="65">
        <f>IF(D133=0,"NA",1/(('Com-Ind Equations'!$B$74*(3.14*D133*'Com-Ind Equations'!$B$76)^(1/2)*0.0001)/(2*'Com-Ind Equations'!$B$77*D133)))</f>
        <v>6.1389131867213348E-5</v>
      </c>
      <c r="F133" s="65">
        <f>IF(D133=0,"NA",(1/('Com-Ind Equations'!$B$88*('Com-Ind Equations'!$B$89*(31500000))/('Com-Ind Equations'!$B$90*'Com-Ind Equations'!$B$91*1000000))))</f>
        <v>6.1914410640015851E-5</v>
      </c>
      <c r="G133" s="95">
        <f>IF('Chemical Info'!E134="Yes",('Chemical Info'!AP134/'Com-Ind Equations'!$B$139)*((('Chemical Info'!AL134*'Com-Ind Equations'!$B$141)*'Com-Ind Equations'!$B$139)+'Com-Ind Equations'!$B$142+('Chemical Info'!AN134*41)*'Com-Ind Equations'!$B$144),"NA")</f>
        <v>16.800093866666668</v>
      </c>
      <c r="H133" s="112">
        <f>IF('Chemical Info'!H134="NA","NA",IF('Chemical Info'!E134="Yes",'Chemical Info'!H134*'Chemical Info'!AD134*'Com-Ind Equations'!$B$18*'Com-Ind Equations'!$B$22*(('Com-Ind Equations'!$B$24*'Com-Ind Equations'!$B$25)/'Com-Ind Equations'!$B$26),'Chemical Info'!H134*'Chemical Info'!AD134*'Com-Ind Equations'!$B$17*'Com-Ind Equations'!$B$22*('Com-Ind Equations'!$B$24*'Com-Ind Equations'!$B$25/'Com-Ind Equations'!$B$26)))</f>
        <v>4.387499999999999E-4</v>
      </c>
      <c r="I133" s="108">
        <f>IF('Chemical Info'!H134="NA","NA",IF('Chemical Info'!E134="Yes",0,('Chemical Info'!H134/'Chemical Info'!AF134)*'Com-Ind Equations'!$B$19*'Chemical Info'!AB134*'Com-Ind Equations'!$B$22*(('Com-Ind Equations'!$B$24*'Com-Ind Equations'!$B$29*'Com-Ind Equations'!$B$30)/'Com-Ind Equations'!$B$26)))</f>
        <v>0</v>
      </c>
      <c r="J133" s="115" t="str">
        <f>IF('Chemical Info'!J134="NA","NA",IF(E133="NA",'Com-Ind Equations'!$B$20*1000*'Com-Ind Equations'!$B$24*'Com-Ind Equations'!$B$21*'Chemical Info'!J134*'Com-Ind Calculations'!C133,IF('Chemical Info'!E134="Yes",'Com-Ind Equations'!$B$20*1000*'Com-Ind Equations'!$B$24*'Com-Ind Equations'!$B$21*'Chemical Info'!J134*'Com-Ind Calculations'!E133,'Com-Ind Equations'!$B$20*1000*'Com-Ind Equations'!$B$24*'Com-Ind Equations'!$B$21*'Chemical Info'!J134*('Com-Ind Calculations'!C133+'Com-Ind Calculations'!E133))))</f>
        <v>NA</v>
      </c>
      <c r="K133" s="117" t="str">
        <f>IF('Chemical Info'!J134="NA","NA",IF(F133="NA",'Com-Ind Equations'!$B$20*1000*'Com-Ind Equations'!$B$24*'Com-Ind Equations'!$B$21*'Chemical Info'!J134*'Com-Ind Calculations'!C133,IF('Chemical Info'!E134="Yes",'Com-Ind Equations'!$B$20*1000*'Com-Ind Equations'!$B$24*'Com-Ind Equations'!$B$21*'Chemical Info'!J134*'Com-Ind Calculations'!F133,'Com-Ind Equations'!$B$20*1000*'Com-Ind Equations'!$B$24*'Com-Ind Equations'!$B$21*'Chemical Info'!J134*('Com-Ind Calculations'!C133+'Com-Ind Calculations'!F133))))</f>
        <v>NA</v>
      </c>
      <c r="L133" s="95">
        <f>IF(AND(H133="NA",I133="NA",J133="NA"),"NA",IF(H133="NA",'Com-Ind Equations'!$B$13*'Com-Ind Equations'!$B$14/J133,IF(J133="NA",'Com-Ind Equations'!$B$13*'Com-Ind Equations'!$B$14/(H133+I133),'Com-Ind Equations'!$B$13*'Com-Ind Equations'!$B$14/(H133+I133+J133))))</f>
        <v>582.33618233618245</v>
      </c>
      <c r="M133" s="95">
        <f>IF(AND(H133="NA",I133="NA",K133="NA"),"NA",IF(H133="NA",'Com-Ind Equations'!$B$13*'Com-Ind Equations'!$B$14/K133,IF(K133="NA",'Com-Ind Equations'!$B$13*'Com-Ind Equations'!$B$14/(H133+I133),'Com-Ind Equations'!$B$13*'Com-Ind Equations'!$B$14/(H133+I133+K133))))</f>
        <v>582.33618233618245</v>
      </c>
      <c r="N133" s="95">
        <f t="shared" si="100"/>
        <v>582.33618233618245</v>
      </c>
      <c r="O133" s="94">
        <f>IF('Chemical Info'!L134="NA","NA",IF('Chemical Info'!E134="Yes",(('Com-Ind Equations'!$B$46*'Chemical Info'!AD134*'Com-Ind Equations'!$B$48*'Com-Ind Equations'!$B$49*'Com-Ind Equations'!$B$51)/('Com-Ind Equations'!$B$55*'Com-Ind Equations'!$B$56))/'Chemical Info'!L134,(('Com-Ind Equations'!$B$46*'Chemical Info'!AD134*'Com-Ind Equations'!$B$48*'Com-Ind Equations'!$B$49*'Com-Ind Equations'!$B$50)/('Com-Ind Equations'!$B$55*'Com-Ind Equations'!$B$56))/'Chemical Info'!L134))</f>
        <v>6.1643835616438354E-4</v>
      </c>
      <c r="P133" s="90">
        <f>IF('Chemical Info'!L134="NA","NA", IF('Chemical Info'!E134="Yes",0,((('Com-Ind Equations'!$B$58*'Com-Ind Equations'!$B$59*'Com-Ind Equations'!$B$48*'Com-Ind Equations'!$B$52*'Com-Ind Equations'!$B$49*'Chemical Info'!AB134)/('Com-Ind Equations'!$B$55*'Com-Ind Equations'!$B$56))/('Chemical Info'!L134*'Chemical Info'!AF134))))</f>
        <v>0</v>
      </c>
      <c r="Q133" s="90" t="str">
        <f>IF('Chemical Info'!N134="NA","NA",IF('Com-Ind Calculations'!E133="NA",(('Com-Ind Equations'!$B$53*'Com-Ind Equations'!$B$49*'Com-Ind Equations'!$B$54*'Com-Ind Calculations'!C133)/('Com-Ind Equations'!$B$56))/('Chemical Info'!N134),IF('Chemical Info'!E134="Yes",(('Com-Ind Equations'!$B$53*'Com-Ind Equations'!$B$49*'Com-Ind Equations'!$B$54*'Com-Ind Calculations'!E133)/('Com-Ind Equations'!$B$56))/('Chemical Info'!N134),(('Com-Ind Equations'!$B$53*'Com-Ind Equations'!$B$49*'Com-Ind Equations'!$B$54*('Com-Ind Calculations'!C133+'Com-Ind Calculations'!E133))/('Com-Ind Equations'!$B$56))/('Chemical Info'!N134))))</f>
        <v>NA</v>
      </c>
      <c r="R133" s="90" t="str">
        <f>IF('Chemical Info'!N134="NA","NA",IF('Com-Ind Calculations'!F133="NA",(('Com-Ind Equations'!$B$53*'Com-Ind Equations'!$B$49*'Com-Ind Equations'!$B$54*'Com-Ind Calculations'!C133)/('Com-Ind Equations'!$B$56))/('Chemical Info'!N134),IF('Chemical Info'!E134="Yes",(('Com-Ind Equations'!$B$53*'Com-Ind Equations'!$B$49*'Com-Ind Equations'!$B$54*'Com-Ind Calculations'!F133)/('Com-Ind Equations'!$B$56))/('Chemical Info'!N134),(('Com-Ind Equations'!$B$53*'Com-Ind Equations'!$B$49*'Com-Ind Equations'!$B$54*('Com-Ind Calculations'!C133+'Com-Ind Calculations'!F133))/('Com-Ind Equations'!$B$56))/('Chemical Info'!N134))))</f>
        <v>NA</v>
      </c>
      <c r="S133" s="90">
        <f>IF(AND(O133="NA",P133="NA",Q133="NA"),"NA",IF(O133="NA",'Com-Ind Equations'!$B$45/'Com-Ind Calculations'!Q133,IF('Com-Ind Calculations'!Q133="NA",'Com-Ind Equations'!$B$45/('Com-Ind Calculations'!O133+'Com-Ind Calculations'!P133),'Com-Ind Equations'!$B$45/('Com-Ind Calculations'!O133+'Com-Ind Calculations'!P133+'Com-Ind Calculations'!Q133))))</f>
        <v>324.44444444444446</v>
      </c>
      <c r="T133" s="95">
        <f>IF(AND(O133="NA",P133="NA",R133="NA"),"NA",IF(O133="NA",'Com-Ind Equations'!$B$45/R133,IF(R133="NA",'Com-Ind Equations'!$B$45/(O133+P133),'Com-Ind Equations'!$B$45/(O133+P133+R133))))</f>
        <v>324.44444444444446</v>
      </c>
      <c r="U133" s="97">
        <f t="shared" si="101"/>
        <v>324.44444444444446</v>
      </c>
      <c r="V133" s="101">
        <f t="shared" si="102"/>
        <v>16.800093866666668</v>
      </c>
      <c r="W133" s="105">
        <f t="shared" si="104"/>
        <v>17</v>
      </c>
      <c r="X133" s="100" t="str">
        <f t="shared" si="103"/>
        <v>Csat</v>
      </c>
      <c r="Y133" s="70"/>
    </row>
    <row r="134" spans="1:25">
      <c r="A134" s="413" t="s">
        <v>24</v>
      </c>
      <c r="B134" s="566" t="s">
        <v>25</v>
      </c>
      <c r="C134" s="85">
        <f>1/(('Com-Ind Equations'!$B$123*3600)/(0.036*(1-'Com-Ind Equations'!$B$124)*(('Com-Ind Equations'!$B$125/'Com-Ind Equations'!$B$126)^3)*'Com-Ind Equations'!$B$127))</f>
        <v>1.4713536180231943E-9</v>
      </c>
      <c r="D134" s="90">
        <f>(('Com-Ind Equations'!$B$103^(10/3)*'Chemical Info'!AH135*'Chemical Info'!AN135*41+'Com-Ind Equations'!$B$106^(10/3)*'Chemical Info'!AJ135)/'Com-Ind Equations'!$B$108^2)/('Com-Ind Equations'!$B$110*'Chemical Info'!AL135*'Com-Ind Equations'!$B$113+'Com-Ind Equations'!$B$106+'Com-Ind Equations'!$B$103*'Chemical Info'!AN135*41)</f>
        <v>1.7558651926954255E-4</v>
      </c>
      <c r="E134" s="65">
        <f>IF(D134=0,"NA",1/(('Com-Ind Equations'!$B$74*(3.14*D134*'Com-Ind Equations'!$B$76)^(1/2)*0.0001)/(2*'Com-Ind Equations'!$B$77*D134)))</f>
        <v>7.7781115750283279E-5</v>
      </c>
      <c r="F134" s="65">
        <f>IF(D134=0,"NA",(1/('Com-Ind Equations'!$B$88*('Com-Ind Equations'!$B$89*(31500000))/('Com-Ind Equations'!$B$90*'Com-Ind Equations'!$B$91*1000000))))</f>
        <v>6.1914410640015851E-5</v>
      </c>
      <c r="G134" s="95">
        <f>IF('Chemical Info'!E135="Yes",('Chemical Info'!AP135/'Com-Ind Equations'!$B$139)*((('Chemical Info'!AL135*'Com-Ind Equations'!$B$141)*'Com-Ind Equations'!$B$139)+'Com-Ind Equations'!$B$142+('Chemical Info'!AN135*41)*'Com-Ind Equations'!$B$144),"NA")</f>
        <v>15.715152</v>
      </c>
      <c r="H134" s="112" t="str">
        <f>IF('Chemical Info'!H135="NA","NA",IF('Chemical Info'!E135="Yes",'Chemical Info'!H135*'Chemical Info'!AD135*'Com-Ind Equations'!$B$18*'Com-Ind Equations'!$B$22*(('Com-Ind Equations'!$B$24*'Com-Ind Equations'!$B$25)/'Com-Ind Equations'!$B$26),'Chemical Info'!H135*'Chemical Info'!AD135*'Com-Ind Equations'!$B$17*'Com-Ind Equations'!$B$22*('Com-Ind Equations'!$B$24*'Com-Ind Equations'!$B$25/'Com-Ind Equations'!$B$26)))</f>
        <v>NA</v>
      </c>
      <c r="I134" s="108" t="str">
        <f>IF('Chemical Info'!H135="NA","NA",IF('Chemical Info'!E135="Yes",0,('Chemical Info'!H135/'Chemical Info'!AF135)*'Com-Ind Equations'!$B$19*'Chemical Info'!AB135*'Com-Ind Equations'!$B$22*(('Com-Ind Equations'!$B$24*'Com-Ind Equations'!$B$29*'Com-Ind Equations'!$B$30)/'Com-Ind Equations'!$B$26)))</f>
        <v>NA</v>
      </c>
      <c r="J134" s="115" t="str">
        <f>IF('Chemical Info'!J135="NA","NA",IF(E134="NA",'Com-Ind Equations'!$B$20*1000*'Com-Ind Equations'!$B$24*'Com-Ind Equations'!$B$21*'Chemical Info'!J135*'Com-Ind Calculations'!C134,IF('Chemical Info'!E135="Yes",'Com-Ind Equations'!$B$20*1000*'Com-Ind Equations'!$B$24*'Com-Ind Equations'!$B$21*'Chemical Info'!J135*'Com-Ind Calculations'!E134,'Com-Ind Equations'!$B$20*1000*'Com-Ind Equations'!$B$24*'Com-Ind Equations'!$B$21*'Chemical Info'!J135*('Com-Ind Calculations'!C134+'Com-Ind Calculations'!E134))))</f>
        <v>NA</v>
      </c>
      <c r="K134" s="117" t="str">
        <f>IF('Chemical Info'!J135="NA","NA",IF(F134="NA",'Com-Ind Equations'!$B$20*1000*'Com-Ind Equations'!$B$24*'Com-Ind Equations'!$B$21*'Chemical Info'!J135*'Com-Ind Calculations'!C134,IF('Chemical Info'!E135="Yes",'Com-Ind Equations'!$B$20*1000*'Com-Ind Equations'!$B$24*'Com-Ind Equations'!$B$21*'Chemical Info'!J135*'Com-Ind Calculations'!F134,'Com-Ind Equations'!$B$20*1000*'Com-Ind Equations'!$B$24*'Com-Ind Equations'!$B$21*'Chemical Info'!J135*('Com-Ind Calculations'!C134+'Com-Ind Calculations'!F134))))</f>
        <v>NA</v>
      </c>
      <c r="L134" s="95" t="str">
        <f>IF(AND(H134="NA",I134="NA",J134="NA"),"NA",IF(H134="NA",'Com-Ind Equations'!$B$13*'Com-Ind Equations'!$B$14/J134,IF(J134="NA",'Com-Ind Equations'!$B$13*'Com-Ind Equations'!$B$14/(H134+I134),'Com-Ind Equations'!$B$13*'Com-Ind Equations'!$B$14/(H134+I134+J134))))</f>
        <v>NA</v>
      </c>
      <c r="M134" s="95" t="str">
        <f>IF(AND(H134="NA",I134="NA",K134="NA"),"NA",IF(H134="NA",'Com-Ind Equations'!$B$13*'Com-Ind Equations'!$B$14/K134,IF(K134="NA",'Com-Ind Equations'!$B$13*'Com-Ind Equations'!$B$14/(H134+I134),'Com-Ind Equations'!$B$13*'Com-Ind Equations'!$B$14/(H134+I134+K134))))</f>
        <v>NA</v>
      </c>
      <c r="N134" s="95" t="str">
        <f t="shared" si="100"/>
        <v>NA</v>
      </c>
      <c r="O134" s="94">
        <f>IF('Chemical Info'!L135="NA","NA",IF('Chemical Info'!E135="Yes",(('Com-Ind Equations'!$B$46*'Chemical Info'!AD135*'Com-Ind Equations'!$B$48*'Com-Ind Equations'!$B$49*'Com-Ind Equations'!$B$51)/('Com-Ind Equations'!$B$55*'Com-Ind Equations'!$B$56))/'Chemical Info'!L135,(('Com-Ind Equations'!$B$46*'Chemical Info'!AD135*'Com-Ind Equations'!$B$48*'Com-Ind Equations'!$B$49*'Com-Ind Equations'!$B$50)/('Com-Ind Equations'!$B$55*'Com-Ind Equations'!$B$56))/'Chemical Info'!L135))</f>
        <v>1.0273972602739725E-4</v>
      </c>
      <c r="P134" s="90">
        <f>IF('Chemical Info'!L135="NA","NA", IF('Chemical Info'!E135="Yes",0,((('Com-Ind Equations'!$B$58*'Com-Ind Equations'!$B$59*'Com-Ind Equations'!$B$48*'Com-Ind Equations'!$B$52*'Com-Ind Equations'!$B$49*'Chemical Info'!AB135)/('Com-Ind Equations'!$B$55*'Com-Ind Equations'!$B$56))/('Chemical Info'!L135*'Chemical Info'!AF135))))</f>
        <v>0</v>
      </c>
      <c r="Q134" s="90">
        <f>IF('Chemical Info'!N135="NA","NA",IF('Com-Ind Calculations'!E134="NA",(('Com-Ind Equations'!$B$53*'Com-Ind Equations'!$B$49*'Com-Ind Equations'!$B$54*'Com-Ind Calculations'!C134)/('Com-Ind Equations'!$B$56))/('Chemical Info'!N135),IF('Chemical Info'!E135="Yes",(('Com-Ind Equations'!$B$53*'Com-Ind Equations'!$B$49*'Com-Ind Equations'!$B$54*'Com-Ind Calculations'!E134)/('Com-Ind Equations'!$B$56))/('Chemical Info'!N135),(('Com-Ind Equations'!$B$53*'Com-Ind Equations'!$B$49*'Com-Ind Equations'!$B$54*('Com-Ind Calculations'!C134+'Com-Ind Calculations'!E134))/('Com-Ind Equations'!$B$56))/('Chemical Info'!N135))))</f>
        <v>7.9912105222893784E-2</v>
      </c>
      <c r="R134" s="90">
        <f>IF('Chemical Info'!N135="NA","NA",IF('Com-Ind Calculations'!F134="NA",(('Com-Ind Equations'!$B$53*'Com-Ind Equations'!$B$49*'Com-Ind Equations'!$B$54*'Com-Ind Calculations'!C134)/('Com-Ind Equations'!$B$56))/('Chemical Info'!N135),IF('Chemical Info'!E135="Yes",(('Com-Ind Equations'!$B$53*'Com-Ind Equations'!$B$49*'Com-Ind Equations'!$B$54*'Com-Ind Calculations'!F134)/('Com-Ind Equations'!$B$56))/('Chemical Info'!N135),(('Com-Ind Equations'!$B$53*'Com-Ind Equations'!$B$49*'Com-Ind Equations'!$B$54*('Com-Ind Calculations'!C134+'Com-Ind Calculations'!F134))/('Com-Ind Equations'!$B$56))/('Chemical Info'!N135))))</f>
        <v>6.3610695863029976E-2</v>
      </c>
      <c r="S134" s="90">
        <f>IF(AND(O134="NA",P134="NA",Q134="NA"),"NA",IF(O134="NA",'Com-Ind Equations'!$B$45/'Com-Ind Calculations'!Q134,IF('Com-Ind Calculations'!Q134="NA",'Com-Ind Equations'!$B$45/('Com-Ind Calculations'!O134+'Com-Ind Calculations'!P134),'Com-Ind Equations'!$B$45/('Com-Ind Calculations'!O134+'Com-Ind Calculations'!P134+'Com-Ind Calculations'!Q134))))</f>
        <v>2.4995361814132537</v>
      </c>
      <c r="T134" s="95">
        <f>IF(AND(O134="NA",P134="NA",R134="NA"),"NA",IF(O134="NA",'Com-Ind Equations'!$B$45/R134,IF(R134="NA",'Com-Ind Equations'!$B$45/(O134+P134),'Com-Ind Equations'!$B$45/(O134+P134+R134))))</f>
        <v>3.1390553366164662</v>
      </c>
      <c r="U134" s="97">
        <f t="shared" si="101"/>
        <v>3.1390553366164662</v>
      </c>
      <c r="V134" s="101">
        <f t="shared" si="102"/>
        <v>3.1390553366164662</v>
      </c>
      <c r="W134" s="105">
        <f t="shared" si="104"/>
        <v>3.1</v>
      </c>
      <c r="X134" s="100" t="str">
        <f t="shared" si="103"/>
        <v>Noncancer</v>
      </c>
      <c r="Y134" s="70"/>
    </row>
    <row r="135" spans="1:25" ht="12">
      <c r="A135" s="413" t="s">
        <v>1224</v>
      </c>
      <c r="B135" s="566" t="s">
        <v>1170</v>
      </c>
      <c r="C135" s="85">
        <f>1/(('Com-Ind Equations'!$B$123*3600)/(0.036*(1-'Com-Ind Equations'!$B$124)*(('Com-Ind Equations'!$B$125/'Com-Ind Equations'!$B$126)^3)*'Com-Ind Equations'!$B$127))</f>
        <v>1.4713536180231943E-9</v>
      </c>
      <c r="D135" s="90">
        <f>(('Com-Ind Equations'!$B$103^(10/3)*'Chemical Info'!AH136*'Chemical Info'!AN136*41+'Com-Ind Equations'!$B$106^(10/3)*'Chemical Info'!AJ136)/'Com-Ind Equations'!$B$108^2)/('Com-Ind Equations'!$B$110*'Chemical Info'!AL136*'Com-Ind Equations'!$B$113+'Com-Ind Equations'!$B$106+'Com-Ind Equations'!$B$103*'Chemical Info'!AN136*41)</f>
        <v>1.9860309436120583E-4</v>
      </c>
      <c r="E135" s="65">
        <f>IF(D135=0,"NA",1/(('Com-Ind Equations'!$B$74*(3.14*D135*'Com-Ind Equations'!$B$76)^(1/2)*0.0001)/(2*'Com-Ind Equations'!$B$77*D135)))</f>
        <v>8.2722107288831246E-5</v>
      </c>
      <c r="F135" s="65">
        <f>IF(D135=0,"NA",(1/('Com-Ind Equations'!$B$88*('Com-Ind Equations'!$B$89*(31500000))/('Com-Ind Equations'!$B$90*'Com-Ind Equations'!$B$91*1000000))))</f>
        <v>6.1914410640015851E-5</v>
      </c>
      <c r="G135" s="120"/>
      <c r="H135" s="112">
        <f>IF('Chemical Info'!H136="NA","NA",IF('Chemical Info'!E136="Yes",'Chemical Info'!H136*'Chemical Info'!AD136*'Com-Ind Equations'!$B$18*'Com-Ind Equations'!$B$22*(('Com-Ind Equations'!$B$24*'Com-Ind Equations'!$B$25)/'Com-Ind Equations'!$B$26),'Chemical Info'!H136*'Chemical Info'!AD136*'Com-Ind Equations'!$B$17*'Com-Ind Equations'!$B$22*('Com-Ind Equations'!$B$24*'Com-Ind Equations'!$B$25/'Com-Ind Equations'!$B$26)))</f>
        <v>2.2499999999999999E-4</v>
      </c>
      <c r="I135" s="108">
        <f>IF('Chemical Info'!H136="NA","NA",IF('Chemical Info'!E136="Yes",0,('Chemical Info'!H136/'Chemical Info'!AF136)*'Com-Ind Equations'!$B$19*'Chemical Info'!AB136*'Com-Ind Equations'!$B$22*(('Com-Ind Equations'!$B$24*'Com-Ind Equations'!$B$29*'Com-Ind Equations'!$B$30)/'Com-Ind Equations'!$B$26)))</f>
        <v>0</v>
      </c>
      <c r="J135" s="115">
        <f>IF('Chemical Info'!J136="NA","NA",IF(E135="NA",'Com-Ind Equations'!$B$20*1000*'Com-Ind Equations'!$B$24*'Com-Ind Equations'!$B$21*'Chemical Info'!J136*'Com-Ind Calculations'!C135,IF('Chemical Info'!E136="Yes",'Com-Ind Equations'!$B$20*1000*'Com-Ind Equations'!$B$24*'Com-Ind Equations'!$B$21*'Chemical Info'!J136*'Com-Ind Calculations'!E135,'Com-Ind Equations'!$B$20*1000*'Com-Ind Equations'!$B$24*'Com-Ind Equations'!$B$21*'Chemical Info'!J136*('Com-Ind Calculations'!C135+'Com-Ind Calculations'!E135))))</f>
        <v>1.7061434628321444E-3</v>
      </c>
      <c r="K135" s="117">
        <f>IF('Chemical Info'!J136="NA","NA",IF(F135="NA",'Com-Ind Equations'!$B$20*1000*'Com-Ind Equations'!$B$24*'Com-Ind Equations'!$B$21*'Chemical Info'!J136*'Com-Ind Calculations'!C135,IF('Chemical Info'!E136="Yes",'Com-Ind Equations'!$B$20*1000*'Com-Ind Equations'!$B$24*'Com-Ind Equations'!$B$21*'Chemical Info'!J136*'Com-Ind Calculations'!F135,'Com-Ind Equations'!$B$20*1000*'Com-Ind Equations'!$B$24*'Com-Ind Equations'!$B$21*'Chemical Info'!J136*('Com-Ind Calculations'!C135+'Com-Ind Calculations'!F135))))</f>
        <v>1.2769847194503269E-3</v>
      </c>
      <c r="L135" s="95">
        <f>IF(AND(H135="NA",I135="NA",J135="NA"),"NA",IF(H135="NA",'Com-Ind Equations'!$B$13*'Com-Ind Equations'!$B$14/J135,IF(J135="NA",'Com-Ind Equations'!$B$13*'Com-Ind Equations'!$B$14/(H135+I135),'Com-Ind Equations'!$B$13*'Com-Ind Equations'!$B$14/(H135+I135+J135))))</f>
        <v>132.30503321865743</v>
      </c>
      <c r="M135" s="95">
        <f>IF(AND(H135="NA",I135="NA",K135="NA"),"NA",IF(H135="NA",'Com-Ind Equations'!$B$13*'Com-Ind Equations'!$B$14/K135,IF(K135="NA",'Com-Ind Equations'!$B$13*'Com-Ind Equations'!$B$14/(H135+I135),'Com-Ind Equations'!$B$13*'Com-Ind Equations'!$B$14/(H135+I135+K135))))</f>
        <v>170.10825522479612</v>
      </c>
      <c r="N135" s="95">
        <f t="shared" ref="N135" si="140">IF(AND(L135="NA",M135="NA"),"NA",MAX(L135,M135))</f>
        <v>170.10825522479612</v>
      </c>
      <c r="O135" s="94">
        <f>IF('Chemical Info'!L136="NA","NA",IF('Chemical Info'!E136="Yes",(('Com-Ind Equations'!$B$46*'Chemical Info'!AD136*'Com-Ind Equations'!$B$48*'Com-Ind Equations'!$B$49*'Com-Ind Equations'!$B$51)/('Com-Ind Equations'!$B$55*'Com-Ind Equations'!$B$56))/'Chemical Info'!L136,(('Com-Ind Equations'!$B$46*'Chemical Info'!AD136*'Com-Ind Equations'!$B$48*'Com-Ind Equations'!$B$49*'Com-Ind Equations'!$B$50)/('Com-Ind Equations'!$B$55*'Com-Ind Equations'!$B$56))/'Chemical Info'!L136))</f>
        <v>8.8062622309197645E-4</v>
      </c>
      <c r="P135" s="90">
        <f>IF('Chemical Info'!L136="NA","NA", IF('Chemical Info'!E136="Yes",0,((('Com-Ind Equations'!$B$58*'Com-Ind Equations'!$B$59*'Com-Ind Equations'!$B$48*'Com-Ind Equations'!$B$52*'Com-Ind Equations'!$B$49*'Chemical Info'!AB136)/('Com-Ind Equations'!$B$55*'Com-Ind Equations'!$B$56))/('Chemical Info'!L136*'Chemical Info'!AF136))))</f>
        <v>0</v>
      </c>
      <c r="Q135" s="90">
        <f>IF('Chemical Info'!N136="NA","NA",IF('Com-Ind Calculations'!E135="NA",(('Com-Ind Equations'!$B$53*'Com-Ind Equations'!$B$49*'Com-Ind Equations'!$B$54*'Com-Ind Calculations'!C135)/('Com-Ind Equations'!$B$56))/('Chemical Info'!N136),IF('Chemical Info'!E136="Yes",(('Com-Ind Equations'!$B$53*'Com-Ind Equations'!$B$49*'Com-Ind Equations'!$B$54*'Com-Ind Calculations'!E135)/('Com-Ind Equations'!$B$56))/('Chemical Info'!N136),(('Com-Ind Equations'!$B$53*'Com-Ind Equations'!$B$49*'Com-Ind Equations'!$B$54*('Com-Ind Calculations'!C135+'Com-Ind Calculations'!E135))/('Com-Ind Equations'!$B$56))/('Chemical Info'!N136))))</f>
        <v>5.6658977595089907E-4</v>
      </c>
      <c r="R135" s="90">
        <f>IF('Chemical Info'!N136="NA","NA",IF('Com-Ind Calculations'!F135="NA",(('Com-Ind Equations'!$B$53*'Com-Ind Equations'!$B$49*'Com-Ind Equations'!$B$54*'Com-Ind Calculations'!C135)/('Com-Ind Equations'!$B$56))/('Chemical Info'!N136),IF('Chemical Info'!E136="Yes",(('Com-Ind Equations'!$B$53*'Com-Ind Equations'!$B$49*'Com-Ind Equations'!$B$54*'Com-Ind Calculations'!F135)/('Com-Ind Equations'!$B$56))/('Chemical Info'!N136),(('Com-Ind Equations'!$B$53*'Com-Ind Equations'!$B$49*'Com-Ind Equations'!$B$54*('Com-Ind Calculations'!C135+'Com-Ind Calculations'!F135))/('Com-Ind Equations'!$B$56))/('Chemical Info'!N136))))</f>
        <v>4.2407130575353326E-4</v>
      </c>
      <c r="S135" s="90">
        <f>IF(AND(O135="NA",P135="NA",Q135="NA"),"NA",IF(O135="NA",'Com-Ind Equations'!$B$45/'Com-Ind Calculations'!Q135,IF('Com-Ind Calculations'!Q135="NA",'Com-Ind Equations'!$B$45/('Com-Ind Calculations'!O135+'Com-Ind Calculations'!P135),'Com-Ind Equations'!$B$45/('Com-Ind Calculations'!O135+'Com-Ind Calculations'!P135+'Com-Ind Calculations'!Q135))))</f>
        <v>138.19637160746643</v>
      </c>
      <c r="T135" s="95">
        <f>IF(AND(O135="NA",P135="NA",R135="NA"),"NA",IF(O135="NA",'Com-Ind Equations'!$B$45/R135,IF(R135="NA",'Com-Ind Equations'!$B$45/(O135+P135),'Com-Ind Equations'!$B$45/(O135+P135+R135))))</f>
        <v>153.2922348499996</v>
      </c>
      <c r="U135" s="97">
        <f t="shared" ref="U135" si="141">IF(AND(S135="NA",T135="NA"),"NA",MAX(S135,T135))</f>
        <v>153.2922348499996</v>
      </c>
      <c r="V135" s="101">
        <f t="shared" ref="V135" si="142">IF(AND(N135="NA",U135="NA",G135="NA"),"NA",MIN(N135,U135,G135))</f>
        <v>153.2922348499996</v>
      </c>
      <c r="W135" s="105">
        <f t="shared" ref="W135" si="143">IF(V135&gt;100000,100000,IF(ISNUMBER(ROUND(V135*1000000,2-LEN(INT(V135*1000000)))/1000000),ROUND(V135*1000000,2-LEN(INT(V135*1000000)))/1000000,"NA"))</f>
        <v>150</v>
      </c>
      <c r="X135" s="100" t="str">
        <f t="shared" ref="X135" si="144">IF(W135=100000,"Max Limit",IF(V135=G135,"Csat",IF(V135=N135,"Cancer",IF(V135=U135,"Noncancer",""))))</f>
        <v>Noncancer</v>
      </c>
      <c r="Y135" s="70"/>
    </row>
    <row r="136" spans="1:25">
      <c r="A136" s="413" t="s">
        <v>1189</v>
      </c>
      <c r="B136" s="566" t="s">
        <v>1190</v>
      </c>
      <c r="C136" s="85">
        <f>1/(('Com-Ind Equations'!$B$123*3600)/(0.036*(1-'Com-Ind Equations'!$B$124)*(('Com-Ind Equations'!$B$125/'Com-Ind Equations'!$B$126)^3)*'Com-Ind Equations'!$B$127))</f>
        <v>1.4713536180231943E-9</v>
      </c>
      <c r="D136" s="90">
        <f>(('Com-Ind Equations'!$B$103^(10/3)*'Chemical Info'!AH137*'Chemical Info'!AN137*41+'Com-Ind Equations'!$B$106^(10/3)*'Chemical Info'!AJ137)/'Com-Ind Equations'!$B$108^2)/('Com-Ind Equations'!$B$110*'Chemical Info'!AL137*'Com-Ind Equations'!$B$113+'Com-Ind Equations'!$B$106+'Com-Ind Equations'!$B$103*'Chemical Info'!AN137*41)</f>
        <v>2.7258302967262944E-7</v>
      </c>
      <c r="E136" s="65">
        <f>IF(D136=0,"NA",1/(('Com-Ind Equations'!$B$74*(3.14*D136*'Com-Ind Equations'!$B$76)^(1/2)*0.0001)/(2*'Com-Ind Equations'!$B$77*D136)))</f>
        <v>3.0646295932475352E-6</v>
      </c>
      <c r="F136" s="65">
        <f>IF(D136=0,"NA",(1/('Com-Ind Equations'!$B$88*('Com-Ind Equations'!$B$89*(31500000))/('Com-Ind Equations'!$B$90*'Com-Ind Equations'!$B$91*1000000))))</f>
        <v>6.1914410640015851E-5</v>
      </c>
      <c r="G136" s="95" t="str">
        <f>IF('Chemical Info'!E137="Yes",('Chemical Info'!AP137/'Com-Ind Equations'!$B$139)*((('Chemical Info'!AL137*'Com-Ind Equations'!$B$141)*'Com-Ind Equations'!$B$139)+'Com-Ind Equations'!$B$142+('Chemical Info'!AN137*41)*'Com-Ind Equations'!$B$144),"NA")</f>
        <v>NA</v>
      </c>
      <c r="H136" s="112" t="str">
        <f>IF('Chemical Info'!H137="NA","NA",IF('Chemical Info'!E137="Yes",'Chemical Info'!H137*'Chemical Info'!AD137*'Com-Ind Equations'!$B$18*'Com-Ind Equations'!$B$22*(('Com-Ind Equations'!$B$24*'Com-Ind Equations'!$B$25)/'Com-Ind Equations'!$B$26),'Chemical Info'!H137*'Chemical Info'!AD137*'Com-Ind Equations'!$B$17*'Com-Ind Equations'!$B$22*('Com-Ind Equations'!$B$24*'Com-Ind Equations'!$B$25/'Com-Ind Equations'!$B$26)))</f>
        <v>NA</v>
      </c>
      <c r="I136" s="108" t="str">
        <f>IF('Chemical Info'!H137="NA","NA",IF('Chemical Info'!E137="Yes",0,('Chemical Info'!H137/'Chemical Info'!AF137)*'Com-Ind Equations'!$B$19*'Chemical Info'!AB137*'Com-Ind Equations'!$B$22*(('Com-Ind Equations'!$B$24*'Com-Ind Equations'!$B$29*'Com-Ind Equations'!$B$30)/'Com-Ind Equations'!$B$26)))</f>
        <v>NA</v>
      </c>
      <c r="J136" s="115" t="str">
        <f>IF('Chemical Info'!J137="NA","NA",IF(E136="NA",'Com-Ind Equations'!$B$20*1000*'Com-Ind Equations'!$B$24*'Com-Ind Equations'!$B$21*'Chemical Info'!J137*'Com-Ind Calculations'!C136,IF('Chemical Info'!E137="Yes",'Com-Ind Equations'!$B$20*1000*'Com-Ind Equations'!$B$24*'Com-Ind Equations'!$B$21*'Chemical Info'!J137*'Com-Ind Calculations'!E136,'Com-Ind Equations'!$B$20*1000*'Com-Ind Equations'!$B$24*'Com-Ind Equations'!$B$21*'Chemical Info'!J137*('Com-Ind Calculations'!C136+'Com-Ind Calculations'!E136))))</f>
        <v>NA</v>
      </c>
      <c r="K136" s="117" t="str">
        <f>IF('Chemical Info'!J137="NA","NA",IF(F136="NA",'Com-Ind Equations'!$B$20*1000*'Com-Ind Equations'!$B$24*'Com-Ind Equations'!$B$21*'Chemical Info'!J137*'Com-Ind Calculations'!C136,IF('Chemical Info'!E137="Yes",'Com-Ind Equations'!$B$20*1000*'Com-Ind Equations'!$B$24*'Com-Ind Equations'!$B$21*'Chemical Info'!J137*'Com-Ind Calculations'!F136,'Com-Ind Equations'!$B$20*1000*'Com-Ind Equations'!$B$24*'Com-Ind Equations'!$B$21*'Chemical Info'!J137*('Com-Ind Calculations'!C136+'Com-Ind Calculations'!F136))))</f>
        <v>NA</v>
      </c>
      <c r="L136" s="95" t="str">
        <f>IF(AND(H136="NA",I136="NA",J136="NA"),"NA",IF(H136="NA",'Com-Ind Equations'!$B$13*'Com-Ind Equations'!$B$14/J136,IF(J136="NA",'Com-Ind Equations'!$B$13*'Com-Ind Equations'!$B$14/(H136+I136),'Com-Ind Equations'!$B$13*'Com-Ind Equations'!$B$14/(H136+I136+J136))))</f>
        <v>NA</v>
      </c>
      <c r="M136" s="95" t="str">
        <f>IF(AND(H136="NA",I136="NA",K136="NA"),"NA",IF(H136="NA",'Com-Ind Equations'!$B$13*'Com-Ind Equations'!$B$14/K136,IF(K136="NA",'Com-Ind Equations'!$B$13*'Com-Ind Equations'!$B$14/(H136+I136),'Com-Ind Equations'!$B$13*'Com-Ind Equations'!$B$14/(H136+I136+K136))))</f>
        <v>NA</v>
      </c>
      <c r="N136" s="95" t="str">
        <f t="shared" ref="N136" si="145">IF(AND(L136="NA",M136="NA"),"NA",MAX(L136,M136))</f>
        <v>NA</v>
      </c>
      <c r="O136" s="94">
        <f>IF('Chemical Info'!L137="NA","NA",IF('Chemical Info'!E137="Yes",(('Com-Ind Equations'!$B$46*'Chemical Info'!AD137*'Com-Ind Equations'!$B$48*'Com-Ind Equations'!$B$49*'Com-Ind Equations'!$B$51)/('Com-Ind Equations'!$B$55*'Com-Ind Equations'!$B$56))/'Chemical Info'!L137,(('Com-Ind Equations'!$B$46*'Chemical Info'!AD137*'Com-Ind Equations'!$B$48*'Com-Ind Equations'!$B$49*'Com-Ind Equations'!$B$50)/('Com-Ind Equations'!$B$55*'Com-Ind Equations'!$B$56))/'Chemical Info'!L137))</f>
        <v>2.140410958904109E-3</v>
      </c>
      <c r="P136" s="90">
        <f>IF('Chemical Info'!L137="NA","NA", IF('Chemical Info'!E137="Yes",0,((('Com-Ind Equations'!$B$58*'Com-Ind Equations'!$B$59*'Com-Ind Equations'!$B$48*'Com-Ind Equations'!$B$52*'Com-Ind Equations'!$B$49*'Chemical Info'!AB137)/('Com-Ind Equations'!$B$55*'Com-Ind Equations'!$B$56))/('Chemical Info'!L137*'Chemical Info'!AF137))))</f>
        <v>6.5225342465753406E-4</v>
      </c>
      <c r="Q136" s="90" t="str">
        <f>IF('Chemical Info'!N137="NA","NA",IF('Com-Ind Calculations'!E136="NA",(('Com-Ind Equations'!$B$53*'Com-Ind Equations'!$B$49*'Com-Ind Equations'!$B$54*'Com-Ind Calculations'!C136)/('Com-Ind Equations'!$B$56))/('Chemical Info'!N137),IF('Chemical Info'!E137="Yes",(('Com-Ind Equations'!$B$53*'Com-Ind Equations'!$B$49*'Com-Ind Equations'!$B$54*'Com-Ind Calculations'!E136)/('Com-Ind Equations'!$B$56))/('Chemical Info'!N137),(('Com-Ind Equations'!$B$53*'Com-Ind Equations'!$B$49*'Com-Ind Equations'!$B$54*('Com-Ind Calculations'!C136+'Com-Ind Calculations'!E136))/('Com-Ind Equations'!$B$56))/('Chemical Info'!N137))))</f>
        <v>NA</v>
      </c>
      <c r="R136" s="90" t="str">
        <f>IF('Chemical Info'!N137="NA","NA",IF('Com-Ind Calculations'!F136="NA",(('Com-Ind Equations'!$B$53*'Com-Ind Equations'!$B$49*'Com-Ind Equations'!$B$54*'Com-Ind Calculations'!C136)/('Com-Ind Equations'!$B$56))/('Chemical Info'!N137),IF('Chemical Info'!E137="Yes",(('Com-Ind Equations'!$B$53*'Com-Ind Equations'!$B$49*'Com-Ind Equations'!$B$54*'Com-Ind Calculations'!F136)/('Com-Ind Equations'!$B$56))/('Chemical Info'!N137),(('Com-Ind Equations'!$B$53*'Com-Ind Equations'!$B$49*'Com-Ind Equations'!$B$54*('Com-Ind Calculations'!C136+'Com-Ind Calculations'!F136))/('Com-Ind Equations'!$B$56))/('Chemical Info'!N137))))</f>
        <v>NA</v>
      </c>
      <c r="S136" s="90">
        <f>IF(AND(O136="NA",P136="NA",Q136="NA"),"NA",IF(O136="NA",'Com-Ind Equations'!$B$45/'Com-Ind Calculations'!Q136,IF('Com-Ind Calculations'!Q136="NA",'Com-Ind Equations'!$B$45/('Com-Ind Calculations'!O136+'Com-Ind Calculations'!P136),'Com-Ind Equations'!$B$45/('Com-Ind Calculations'!O136+'Com-Ind Calculations'!P136+'Com-Ind Calculations'!Q136))))</f>
        <v>71.616196051789316</v>
      </c>
      <c r="T136" s="95">
        <f>IF(AND(O136="NA",P136="NA",R136="NA"),"NA",IF(O136="NA",'Com-Ind Equations'!$B$45/R136,IF(R136="NA",'Com-Ind Equations'!$B$45/(O136+P136),'Com-Ind Equations'!$B$45/(O136+P136+R136))))</f>
        <v>71.616196051789316</v>
      </c>
      <c r="U136" s="97">
        <f t="shared" ref="U136" si="146">IF(AND(S136="NA",T136="NA"),"NA",MAX(S136,T136))</f>
        <v>71.616196051789316</v>
      </c>
      <c r="V136" s="101">
        <f t="shared" ref="V136" si="147">IF(AND(N136="NA",U136="NA",G136="NA"),"NA",MIN(N136,U136,G136))</f>
        <v>71.616196051789316</v>
      </c>
      <c r="W136" s="105">
        <f t="shared" ref="W136" si="148">IF(V136&gt;100000,100000,IF(ISNUMBER(ROUND(V136*1000000,2-LEN(INT(V136*1000000)))/1000000),ROUND(V136*1000000,2-LEN(INT(V136*1000000)))/1000000,"NA"))</f>
        <v>72</v>
      </c>
      <c r="X136" s="100" t="str">
        <f t="shared" ref="X136" si="149">IF(W136=100000,"Max Limit",IF(V136=G136,"Csat",IF(V136=N136,"Cancer",IF(V136=U136,"Noncancer",""))))</f>
        <v>Noncancer</v>
      </c>
      <c r="Y136" s="70"/>
    </row>
    <row r="137" spans="1:25">
      <c r="A137" s="413" t="s">
        <v>235</v>
      </c>
      <c r="B137" s="566" t="s">
        <v>236</v>
      </c>
      <c r="C137" s="85">
        <f>1/(('Com-Ind Equations'!$B$123*3600)/(0.036*(1-'Com-Ind Equations'!$B$124)*(('Com-Ind Equations'!$B$125/'Com-Ind Equations'!$B$126)^3)*'Com-Ind Equations'!$B$127))</f>
        <v>1.4713536180231943E-9</v>
      </c>
      <c r="D137" s="90">
        <f>(('Com-Ind Equations'!$B$103^(10/3)*'Chemical Info'!AH138*'Chemical Info'!AN138*41+'Com-Ind Equations'!$B$106^(10/3)*'Chemical Info'!AJ138)/'Com-Ind Equations'!$B$108^2)/('Com-Ind Equations'!$B$110*'Chemical Info'!AL138*'Com-Ind Equations'!$B$113+'Com-Ind Equations'!$B$106+'Com-Ind Equations'!$B$103*'Chemical Info'!AN138*41)</f>
        <v>1.5775276867327726E-6</v>
      </c>
      <c r="E137" s="65">
        <f>IF(D137=0,"NA",1/(('Com-Ind Equations'!$B$74*(3.14*D137*'Com-Ind Equations'!$B$76)^(1/2)*0.0001)/(2*'Com-Ind Equations'!$B$77*D137)))</f>
        <v>7.3725390054816857E-6</v>
      </c>
      <c r="F137" s="65">
        <f>IF(D137=0,"NA",(1/('Com-Ind Equations'!$B$88*('Com-Ind Equations'!$B$89*(31500000))/('Com-Ind Equations'!$B$90*'Com-Ind Equations'!$B$91*1000000))))</f>
        <v>6.1914410640015851E-5</v>
      </c>
      <c r="G137" s="95" t="str">
        <f>IF('Chemical Info'!E138="Yes",('Chemical Info'!AP138/'Com-Ind Equations'!$B$139)*((('Chemical Info'!AL138*'Com-Ind Equations'!$B$141)*'Com-Ind Equations'!$B$139)+'Com-Ind Equations'!$B$142+('Chemical Info'!AN138*41)*'Com-Ind Equations'!$B$144),"NA")</f>
        <v>NA</v>
      </c>
      <c r="H137" s="112">
        <f>IF('Chemical Info'!H138="NA","NA",IF('Chemical Info'!E138="Yes",'Chemical Info'!H138*'Chemical Info'!AD138*'Com-Ind Equations'!$B$18*'Com-Ind Equations'!$B$22*(('Com-Ind Equations'!$B$24*'Com-Ind Equations'!$B$25)/'Com-Ind Equations'!$B$26),'Chemical Info'!H138*'Chemical Info'!AD138*'Com-Ind Equations'!$B$17*'Com-Ind Equations'!$B$22*('Com-Ind Equations'!$B$24*'Com-Ind Equations'!$B$25/'Com-Ind Equations'!$B$26)))</f>
        <v>7.4218749999999991E-6</v>
      </c>
      <c r="I137" s="108">
        <f>IF('Chemical Info'!H138="NA","NA",IF('Chemical Info'!E138="Yes",0,('Chemical Info'!H138/'Chemical Info'!AF138)*'Com-Ind Equations'!$B$19*'Chemical Info'!AB138*'Com-Ind Equations'!$B$22*(('Com-Ind Equations'!$B$24*'Com-Ind Equations'!$B$29*'Com-Ind Equations'!$B$30)/'Com-Ind Equations'!$B$26)))</f>
        <v>2.2616887499999999E-6</v>
      </c>
      <c r="J137" s="115" t="str">
        <f>IF('Chemical Info'!J138="NA","NA",IF(E137="NA",'Com-Ind Equations'!$B$20*1000*'Com-Ind Equations'!$B$24*'Com-Ind Equations'!$B$21*'Chemical Info'!J138*'Com-Ind Calculations'!C137,IF('Chemical Info'!E138="Yes",'Com-Ind Equations'!$B$20*1000*'Com-Ind Equations'!$B$24*'Com-Ind Equations'!$B$21*'Chemical Info'!J138*'Com-Ind Calculations'!E137,'Com-Ind Equations'!$B$20*1000*'Com-Ind Equations'!$B$24*'Com-Ind Equations'!$B$21*'Chemical Info'!J138*('Com-Ind Calculations'!C137+'Com-Ind Calculations'!E137))))</f>
        <v>NA</v>
      </c>
      <c r="K137" s="117" t="str">
        <f>IF('Chemical Info'!J138="NA","NA",IF(F137="NA",'Com-Ind Equations'!$B$20*1000*'Com-Ind Equations'!$B$24*'Com-Ind Equations'!$B$21*'Chemical Info'!J138*'Com-Ind Calculations'!C137,IF('Chemical Info'!E138="Yes",'Com-Ind Equations'!$B$20*1000*'Com-Ind Equations'!$B$24*'Com-Ind Equations'!$B$21*'Chemical Info'!J138*'Com-Ind Calculations'!F137,'Com-Ind Equations'!$B$20*1000*'Com-Ind Equations'!$B$24*'Com-Ind Equations'!$B$21*'Chemical Info'!J138*('Com-Ind Calculations'!C137+'Com-Ind Calculations'!F137))))</f>
        <v>NA</v>
      </c>
      <c r="L137" s="95">
        <f>IF(AND(H137="NA",I137="NA",J137="NA"),"NA",IF(H137="NA",'Com-Ind Equations'!$B$13*'Com-Ind Equations'!$B$14/J137,IF(J137="NA",'Com-Ind Equations'!$B$13*'Com-Ind Equations'!$B$14/(H137+I137),'Com-Ind Equations'!$B$13*'Com-Ind Equations'!$B$14/(H137+I137+J137))))</f>
        <v>26384.914334869747</v>
      </c>
      <c r="M137" s="95">
        <f>IF(AND(H137="NA",I137="NA",K137="NA"),"NA",IF(H137="NA",'Com-Ind Equations'!$B$13*'Com-Ind Equations'!$B$14/K137,IF(K137="NA",'Com-Ind Equations'!$B$13*'Com-Ind Equations'!$B$14/(H137+I137),'Com-Ind Equations'!$B$13*'Com-Ind Equations'!$B$14/(H137+I137+K137))))</f>
        <v>26384.914334869747</v>
      </c>
      <c r="N137" s="95">
        <f t="shared" si="100"/>
        <v>26384.914334869747</v>
      </c>
      <c r="O137" s="94">
        <f>IF('Chemical Info'!L138="NA","NA",IF('Chemical Info'!E138="Yes",(('Com-Ind Equations'!$B$46*'Chemical Info'!AD138*'Com-Ind Equations'!$B$48*'Com-Ind Equations'!$B$49*'Com-Ind Equations'!$B$51)/('Com-Ind Equations'!$B$55*'Com-Ind Equations'!$B$56))/'Chemical Info'!L138,(('Com-Ind Equations'!$B$46*'Chemical Info'!AD138*'Com-Ind Equations'!$B$48*'Com-Ind Equations'!$B$49*'Com-Ind Equations'!$B$50)/('Com-Ind Equations'!$B$55*'Com-Ind Equations'!$B$56))/'Chemical Info'!L138))</f>
        <v>4.280821917808218E-6</v>
      </c>
      <c r="P137" s="90">
        <f>IF('Chemical Info'!L138="NA","NA", IF('Chemical Info'!E138="Yes",0,((('Com-Ind Equations'!$B$58*'Com-Ind Equations'!$B$59*'Com-Ind Equations'!$B$48*'Com-Ind Equations'!$B$52*'Com-Ind Equations'!$B$49*'Chemical Info'!AB138)/('Com-Ind Equations'!$B$55*'Com-Ind Equations'!$B$56))/('Chemical Info'!L138*'Chemical Info'!AF138))))</f>
        <v>1.3045068493150682E-6</v>
      </c>
      <c r="Q137" s="90">
        <f>IF('Chemical Info'!N138="NA","NA",IF('Com-Ind Calculations'!E137="NA",(('Com-Ind Equations'!$B$53*'Com-Ind Equations'!$B$49*'Com-Ind Equations'!$B$54*'Com-Ind Calculations'!C137)/('Com-Ind Equations'!$B$56))/('Chemical Info'!N138),IF('Chemical Info'!E138="Yes",(('Com-Ind Equations'!$B$53*'Com-Ind Equations'!$B$49*'Com-Ind Equations'!$B$54*'Com-Ind Calculations'!E137)/('Com-Ind Equations'!$B$56))/('Chemical Info'!N138),(('Com-Ind Equations'!$B$53*'Com-Ind Equations'!$B$49*'Com-Ind Equations'!$B$54*('Com-Ind Calculations'!C137+'Com-Ind Calculations'!E137))/('Com-Ind Equations'!$B$56))/('Chemical Info'!N138))))</f>
        <v>7.5760380401709333E-7</v>
      </c>
      <c r="R137" s="90">
        <f>IF('Chemical Info'!N138="NA","NA",IF('Com-Ind Calculations'!F137="NA",(('Com-Ind Equations'!$B$53*'Com-Ind Equations'!$B$49*'Com-Ind Equations'!$B$54*'Com-Ind Calculations'!C137)/('Com-Ind Equations'!$B$56))/('Chemical Info'!N138),IF('Chemical Info'!E138="Yes",(('Com-Ind Equations'!$B$53*'Com-Ind Equations'!$B$49*'Com-Ind Equations'!$B$54*'Com-Ind Calculations'!F137)/('Com-Ind Equations'!$B$56))/('Chemical Info'!N138),(('Com-Ind Equations'!$B$53*'Com-Ind Equations'!$B$49*'Com-Ind Equations'!$B$54*('Com-Ind Calculations'!C137+'Com-Ind Calculations'!F137))/('Com-Ind Equations'!$B$56))/('Chemical Info'!N138))))</f>
        <v>6.3612207527706027E-6</v>
      </c>
      <c r="S137" s="90">
        <f>IF(AND(O137="NA",P137="NA",Q137="NA"),"NA",IF(O137="NA",'Com-Ind Equations'!$B$45/'Com-Ind Calculations'!Q137,IF('Com-Ind Calculations'!Q137="NA",'Com-Ind Equations'!$B$45/('Com-Ind Calculations'!O137+'Com-Ind Calculations'!P137),'Com-Ind Equations'!$B$45/('Com-Ind Calculations'!O137+'Com-Ind Calculations'!P137+'Com-Ind Calculations'!Q137))))</f>
        <v>31531.156567859041</v>
      </c>
      <c r="T137" s="95">
        <f>IF(AND(O137="NA",P137="NA",R137="NA"),"NA",IF(O137="NA",'Com-Ind Equations'!$B$45/R137,IF(R137="NA",'Com-Ind Equations'!$B$45/(O137+P137),'Com-Ind Equations'!$B$45/(O137+P137+R137))))</f>
        <v>16741.235589987864</v>
      </c>
      <c r="U137" s="97">
        <f t="shared" si="101"/>
        <v>31531.156567859041</v>
      </c>
      <c r="V137" s="101">
        <f t="shared" si="102"/>
        <v>26384.914334869747</v>
      </c>
      <c r="W137" s="105">
        <f t="shared" si="104"/>
        <v>26000</v>
      </c>
      <c r="X137" s="100" t="str">
        <f t="shared" si="103"/>
        <v>Cancer</v>
      </c>
      <c r="Y137" s="70"/>
    </row>
    <row r="138" spans="1:25">
      <c r="A138" s="413" t="s">
        <v>1171</v>
      </c>
      <c r="B138" s="566" t="s">
        <v>1172</v>
      </c>
      <c r="C138" s="85">
        <f>1/(('Com-Ind Equations'!$B$123*3600)/(0.036*(1-'Com-Ind Equations'!$B$124)*(('Com-Ind Equations'!$B$125/'Com-Ind Equations'!$B$126)^3)*'Com-Ind Equations'!$B$127))</f>
        <v>1.4713536180231943E-9</v>
      </c>
      <c r="D138" s="90">
        <f>(('Com-Ind Equations'!$B$103^(10/3)*'Chemical Info'!AH139*'Chemical Info'!AN139*41+'Com-Ind Equations'!$B$106^(10/3)*'Chemical Info'!AJ139)/'Com-Ind Equations'!$B$108^2)/('Com-Ind Equations'!$B$110*'Chemical Info'!AL139*'Com-Ind Equations'!$B$113+'Com-Ind Equations'!$B$106+'Com-Ind Equations'!$B$103*'Chemical Info'!AN139*41)</f>
        <v>7.5128093052841792E-6</v>
      </c>
      <c r="E138" s="65">
        <f>IF(D138=0,"NA",1/(('Com-Ind Equations'!$B$74*(3.14*D138*'Com-Ind Equations'!$B$76)^(1/2)*0.0001)/(2*'Com-Ind Equations'!$B$77*D138)))</f>
        <v>1.6089026484070275E-5</v>
      </c>
      <c r="F138" s="65">
        <f>IF(D138=0,"NA",(1/('Com-Ind Equations'!$B$88*('Com-Ind Equations'!$B$89*(31500000))/('Com-Ind Equations'!$B$90*'Com-Ind Equations'!$B$91*1000000))))</f>
        <v>6.1914410640015851E-5</v>
      </c>
      <c r="G138" s="95" t="str">
        <f>IF('Chemical Info'!E139="Yes",('Chemical Info'!AP139/'Com-Ind Equations'!$B$139)*((('Chemical Info'!AL139*'Com-Ind Equations'!$B$141)*'Com-Ind Equations'!$B$139)+'Com-Ind Equations'!$B$142+('Chemical Info'!AN139*41)*'Com-Ind Equations'!$B$144),"NA")</f>
        <v>NA</v>
      </c>
      <c r="H138" s="112" t="str">
        <f>IF('Chemical Info'!H139="NA","NA",IF('Chemical Info'!E139="Yes",'Chemical Info'!H139*'Chemical Info'!AD139*'Com-Ind Equations'!$B$18*'Com-Ind Equations'!$B$22*(('Com-Ind Equations'!$B$24*'Com-Ind Equations'!$B$25)/'Com-Ind Equations'!$B$26),'Chemical Info'!H139*'Chemical Info'!AD139*'Com-Ind Equations'!$B$17*'Com-Ind Equations'!$B$22*('Com-Ind Equations'!$B$24*'Com-Ind Equations'!$B$25/'Com-Ind Equations'!$B$26)))</f>
        <v>NA</v>
      </c>
      <c r="I138" s="108" t="str">
        <f>IF('Chemical Info'!H139="NA","NA",IF('Chemical Info'!E139="Yes",0,('Chemical Info'!H139/'Chemical Info'!AF139)*'Com-Ind Equations'!$B$19*'Chemical Info'!AB139*'Com-Ind Equations'!$B$22*(('Com-Ind Equations'!$B$24*'Com-Ind Equations'!$B$29*'Com-Ind Equations'!$B$30)/'Com-Ind Equations'!$B$26)))</f>
        <v>NA</v>
      </c>
      <c r="J138" s="115" t="str">
        <f>IF('Chemical Info'!J139="NA","NA",IF(E138="NA",'Com-Ind Equations'!$B$20*1000*'Com-Ind Equations'!$B$24*'Com-Ind Equations'!$B$21*'Chemical Info'!J139*'Com-Ind Calculations'!C138,IF('Chemical Info'!E139="Yes",'Com-Ind Equations'!$B$20*1000*'Com-Ind Equations'!$B$24*'Com-Ind Equations'!$B$21*'Chemical Info'!J139*'Com-Ind Calculations'!E138,'Com-Ind Equations'!$B$20*1000*'Com-Ind Equations'!$B$24*'Com-Ind Equations'!$B$21*'Chemical Info'!J139*('Com-Ind Calculations'!C138+'Com-Ind Calculations'!E138))))</f>
        <v>NA</v>
      </c>
      <c r="K138" s="117" t="str">
        <f>IF('Chemical Info'!J139="NA","NA",IF(F138="NA",'Com-Ind Equations'!$B$20*1000*'Com-Ind Equations'!$B$24*'Com-Ind Equations'!$B$21*'Chemical Info'!J139*'Com-Ind Calculations'!C138,IF('Chemical Info'!E139="Yes",'Com-Ind Equations'!$B$20*1000*'Com-Ind Equations'!$B$24*'Com-Ind Equations'!$B$21*'Chemical Info'!J139*'Com-Ind Calculations'!F138,'Com-Ind Equations'!$B$20*1000*'Com-Ind Equations'!$B$24*'Com-Ind Equations'!$B$21*'Chemical Info'!J139*('Com-Ind Calculations'!C138+'Com-Ind Calculations'!F138))))</f>
        <v>NA</v>
      </c>
      <c r="L138" s="95" t="str">
        <f>IF(AND(H138="NA",I138="NA",J138="NA"),"NA",IF(H138="NA",'Com-Ind Equations'!$B$13*'Com-Ind Equations'!$B$14/J138,IF(J138="NA",'Com-Ind Equations'!$B$13*'Com-Ind Equations'!$B$14/(H138+I138),'Com-Ind Equations'!$B$13*'Com-Ind Equations'!$B$14/(H138+I138+J138))))</f>
        <v>NA</v>
      </c>
      <c r="M138" s="95" t="str">
        <f>IF(AND(H138="NA",I138="NA",K138="NA"),"NA",IF(H138="NA",'Com-Ind Equations'!$B$13*'Com-Ind Equations'!$B$14/K138,IF(K138="NA",'Com-Ind Equations'!$B$13*'Com-Ind Equations'!$B$14/(H138+I138),'Com-Ind Equations'!$B$13*'Com-Ind Equations'!$B$14/(H138+I138+K138))))</f>
        <v>NA</v>
      </c>
      <c r="N138" s="95" t="str">
        <f t="shared" ref="N138" si="150">IF(AND(L138="NA",M138="NA"),"NA",MAX(L138,M138))</f>
        <v>NA</v>
      </c>
      <c r="O138" s="94">
        <f>IF('Chemical Info'!L139="NA","NA",IF('Chemical Info'!E139="Yes",(('Com-Ind Equations'!$B$46*'Chemical Info'!AD139*'Com-Ind Equations'!$B$48*'Com-Ind Equations'!$B$49*'Com-Ind Equations'!$B$51)/('Com-Ind Equations'!$B$55*'Com-Ind Equations'!$B$56))/'Chemical Info'!L139,(('Com-Ind Equations'!$B$46*'Chemical Info'!AD139*'Com-Ind Equations'!$B$48*'Com-Ind Equations'!$B$49*'Com-Ind Equations'!$B$50)/('Com-Ind Equations'!$B$55*'Com-Ind Equations'!$B$56))/'Chemical Info'!L139))</f>
        <v>8.5616438356164361E-6</v>
      </c>
      <c r="P138" s="90">
        <f>IF('Chemical Info'!L139="NA","NA", IF('Chemical Info'!E139="Yes",0,((('Com-Ind Equations'!$B$58*'Com-Ind Equations'!$B$59*'Com-Ind Equations'!$B$48*'Com-Ind Equations'!$B$52*'Com-Ind Equations'!$B$49*'Chemical Info'!AB139)/('Com-Ind Equations'!$B$55*'Com-Ind Equations'!$B$56))/('Chemical Info'!L139*'Chemical Info'!AF139))))</f>
        <v>2.6090136986301365E-6</v>
      </c>
      <c r="Q138" s="90">
        <f>IF('Chemical Info'!N139="NA","NA",IF('Com-Ind Calculations'!E138="NA",(('Com-Ind Equations'!$B$53*'Com-Ind Equations'!$B$49*'Com-Ind Equations'!$B$54*'Com-Ind Calculations'!C138)/('Com-Ind Equations'!$B$56))/('Chemical Info'!N139),IF('Chemical Info'!E139="Yes",(('Com-Ind Equations'!$B$53*'Com-Ind Equations'!$B$49*'Com-Ind Equations'!$B$54*'Com-Ind Calculations'!E138)/('Com-Ind Equations'!$B$56))/('Chemical Info'!N139),(('Com-Ind Equations'!$B$53*'Com-Ind Equations'!$B$49*'Com-Ind Equations'!$B$54*('Com-Ind Calculations'!C138+'Com-Ind Calculations'!E138))/('Com-Ind Equations'!$B$56))/('Chemical Info'!N139))))</f>
        <v>4.7232381128243543E-3</v>
      </c>
      <c r="R138" s="90">
        <f>IF('Chemical Info'!N139="NA","NA",IF('Com-Ind Calculations'!F138="NA",(('Com-Ind Equations'!$B$53*'Com-Ind Equations'!$B$49*'Com-Ind Equations'!$B$54*'Com-Ind Calculations'!C138)/('Com-Ind Equations'!$B$56))/('Chemical Info'!N139),IF('Chemical Info'!E139="Yes",(('Com-Ind Equations'!$B$53*'Com-Ind Equations'!$B$49*'Com-Ind Equations'!$B$54*'Com-Ind Calculations'!F138)/('Com-Ind Equations'!$B$56))/('Chemical Info'!N139),(('Com-Ind Equations'!$B$53*'Com-Ind Equations'!$B$49*'Com-Ind Equations'!$B$54*('Com-Ind Calculations'!C138+'Com-Ind Calculations'!F138))/('Com-Ind Equations'!$B$56))/('Chemical Info'!N139))))</f>
        <v>1.8174916436487436E-2</v>
      </c>
      <c r="S138" s="90">
        <f>IF(AND(O138="NA",P138="NA",Q138="NA"),"NA",IF(O138="NA",'Com-Ind Equations'!$B$45/'Com-Ind Calculations'!Q138,IF('Com-Ind Calculations'!Q138="NA",'Com-Ind Equations'!$B$45/('Com-Ind Calculations'!O138+'Com-Ind Calculations'!P138),'Com-Ind Equations'!$B$45/('Com-Ind Calculations'!O138+'Com-Ind Calculations'!P138+'Com-Ind Calculations'!Q138))))</f>
        <v>42.243923095988038</v>
      </c>
      <c r="T138" s="95">
        <f>IF(AND(O138="NA",P138="NA",R138="NA"),"NA",IF(O138="NA",'Com-Ind Equations'!$B$45/R138,IF(R138="NA",'Com-Ind Equations'!$B$45/(O138+P138),'Com-Ind Equations'!$B$45/(O138+P138+R138))))</f>
        <v>10.997417914365212</v>
      </c>
      <c r="U138" s="97">
        <f t="shared" ref="U138" si="151">IF(AND(S138="NA",T138="NA"),"NA",MAX(S138,T138))</f>
        <v>42.243923095988038</v>
      </c>
      <c r="V138" s="101">
        <f t="shared" ref="V138" si="152">IF(AND(N138="NA",U138="NA",G138="NA"),"NA",MIN(N138,U138,G138))</f>
        <v>42.243923095988038</v>
      </c>
      <c r="W138" s="105">
        <f t="shared" ref="W138" si="153">IF(V138&gt;100000,100000,IF(ISNUMBER(ROUND(V138*1000000,2-LEN(INT(V138*1000000)))/1000000),ROUND(V138*1000000,2-LEN(INT(V138*1000000)))/1000000,"NA"))</f>
        <v>42</v>
      </c>
      <c r="X138" s="100" t="str">
        <f t="shared" ref="X138" si="154">IF(W138=100000,"Max Limit",IF(V138=G138,"Csat",IF(V138=N138,"Cancer",IF(V138=U138,"Noncancer",""))))</f>
        <v>Noncancer</v>
      </c>
      <c r="Y138" s="70"/>
    </row>
    <row r="139" spans="1:25">
      <c r="A139" s="413" t="s">
        <v>1191</v>
      </c>
      <c r="B139" s="566" t="s">
        <v>1192</v>
      </c>
      <c r="C139" s="85">
        <f>1/(('Com-Ind Equations'!$B$123*3600)/(0.036*(1-'Com-Ind Equations'!$B$124)*(('Com-Ind Equations'!$B$125/'Com-Ind Equations'!$B$126)^3)*'Com-Ind Equations'!$B$127))</f>
        <v>1.4713536180231943E-9</v>
      </c>
      <c r="D139" s="90">
        <f>(('Com-Ind Equations'!$B$103^(10/3)*'Chemical Info'!AH140*'Chemical Info'!AN140*41+'Com-Ind Equations'!$B$106^(10/3)*'Chemical Info'!AJ140)/'Com-Ind Equations'!$B$108^2)/('Com-Ind Equations'!$B$110*'Chemical Info'!AL140*'Com-Ind Equations'!$B$113+'Com-Ind Equations'!$B$106+'Com-Ind Equations'!$B$103*'Chemical Info'!AN140*41)</f>
        <v>7.4697274818433908E-7</v>
      </c>
      <c r="E139" s="65">
        <f>IF(D139=0,"NA",1/(('Com-Ind Equations'!$B$74*(3.14*D139*'Com-Ind Equations'!$B$76)^(1/2)*0.0001)/(2*'Com-Ind Equations'!$B$77*D139)))</f>
        <v>5.0731880724511178E-6</v>
      </c>
      <c r="F139" s="65">
        <f>IF(D139=0,"NA",(1/('Com-Ind Equations'!$B$88*('Com-Ind Equations'!$B$89*(31500000))/('Com-Ind Equations'!$B$90*'Com-Ind Equations'!$B$91*1000000))))</f>
        <v>6.1914410640015851E-5</v>
      </c>
      <c r="G139" s="95" t="str">
        <f>IF('Chemical Info'!E140="Yes",('Chemical Info'!AP140/'Com-Ind Equations'!$B$139)*((('Chemical Info'!AL140*'Com-Ind Equations'!$B$141)*'Com-Ind Equations'!$B$139)+'Com-Ind Equations'!$B$142+('Chemical Info'!AN140*41)*'Com-Ind Equations'!$B$144),"NA")</f>
        <v>NA</v>
      </c>
      <c r="H139" s="112" t="str">
        <f>IF('Chemical Info'!H140="NA","NA",IF('Chemical Info'!E140="Yes",'Chemical Info'!H140*'Chemical Info'!AD140*'Com-Ind Equations'!$B$18*'Com-Ind Equations'!$B$22*(('Com-Ind Equations'!$B$24*'Com-Ind Equations'!$B$25)/'Com-Ind Equations'!$B$26),'Chemical Info'!H140*'Chemical Info'!AD140*'Com-Ind Equations'!$B$17*'Com-Ind Equations'!$B$22*('Com-Ind Equations'!$B$24*'Com-Ind Equations'!$B$25/'Com-Ind Equations'!$B$26)))</f>
        <v>NA</v>
      </c>
      <c r="I139" s="108" t="str">
        <f>IF('Chemical Info'!H140="NA","NA",IF('Chemical Info'!E140="Yes",0,('Chemical Info'!H140/'Chemical Info'!AF140)*'Com-Ind Equations'!$B$19*'Chemical Info'!AB140*'Com-Ind Equations'!$B$22*(('Com-Ind Equations'!$B$24*'Com-Ind Equations'!$B$29*'Com-Ind Equations'!$B$30)/'Com-Ind Equations'!$B$26)))</f>
        <v>NA</v>
      </c>
      <c r="J139" s="115" t="str">
        <f>IF('Chemical Info'!J140="NA","NA",IF(E139="NA",'Com-Ind Equations'!$B$20*1000*'Com-Ind Equations'!$B$24*'Com-Ind Equations'!$B$21*'Chemical Info'!J140*'Com-Ind Calculations'!C139,IF('Chemical Info'!E140="Yes",'Com-Ind Equations'!$B$20*1000*'Com-Ind Equations'!$B$24*'Com-Ind Equations'!$B$21*'Chemical Info'!J140*'Com-Ind Calculations'!E139,'Com-Ind Equations'!$B$20*1000*'Com-Ind Equations'!$B$24*'Com-Ind Equations'!$B$21*'Chemical Info'!J140*('Com-Ind Calculations'!C139+'Com-Ind Calculations'!E139))))</f>
        <v>NA</v>
      </c>
      <c r="K139" s="117" t="str">
        <f>IF('Chemical Info'!J140="NA","NA",IF(F139="NA",'Com-Ind Equations'!$B$20*1000*'Com-Ind Equations'!$B$24*'Com-Ind Equations'!$B$21*'Chemical Info'!J140*'Com-Ind Calculations'!C139,IF('Chemical Info'!E140="Yes",'Com-Ind Equations'!$B$20*1000*'Com-Ind Equations'!$B$24*'Com-Ind Equations'!$B$21*'Chemical Info'!J140*'Com-Ind Calculations'!F139,'Com-Ind Equations'!$B$20*1000*'Com-Ind Equations'!$B$24*'Com-Ind Equations'!$B$21*'Chemical Info'!J140*('Com-Ind Calculations'!C139+'Com-Ind Calculations'!F139))))</f>
        <v>NA</v>
      </c>
      <c r="L139" s="95" t="str">
        <f>IF(AND(H139="NA",I139="NA",J139="NA"),"NA",IF(H139="NA",'Com-Ind Equations'!$B$13*'Com-Ind Equations'!$B$14/J139,IF(J139="NA",'Com-Ind Equations'!$B$13*'Com-Ind Equations'!$B$14/(H139+I139),'Com-Ind Equations'!$B$13*'Com-Ind Equations'!$B$14/(H139+I139+J139))))</f>
        <v>NA</v>
      </c>
      <c r="M139" s="95" t="str">
        <f>IF(AND(H139="NA",I139="NA",K139="NA"),"NA",IF(H139="NA",'Com-Ind Equations'!$B$13*'Com-Ind Equations'!$B$14/K139,IF(K139="NA",'Com-Ind Equations'!$B$13*'Com-Ind Equations'!$B$14/(H139+I139),'Com-Ind Equations'!$B$13*'Com-Ind Equations'!$B$14/(H139+I139+K139))))</f>
        <v>NA</v>
      </c>
      <c r="N139" s="95" t="str">
        <f t="shared" ref="N139" si="155">IF(AND(L139="NA",M139="NA"),"NA",MAX(L139,M139))</f>
        <v>NA</v>
      </c>
      <c r="O139" s="94">
        <f>IF('Chemical Info'!L140="NA","NA",IF('Chemical Info'!E140="Yes",(('Com-Ind Equations'!$B$46*'Chemical Info'!AD140*'Com-Ind Equations'!$B$48*'Com-Ind Equations'!$B$49*'Com-Ind Equations'!$B$51)/('Com-Ind Equations'!$B$55*'Com-Ind Equations'!$B$56))/'Chemical Info'!L140,(('Com-Ind Equations'!$B$46*'Chemical Info'!AD140*'Com-Ind Equations'!$B$48*'Com-Ind Equations'!$B$49*'Com-Ind Equations'!$B$50)/('Com-Ind Equations'!$B$55*'Com-Ind Equations'!$B$56))/'Chemical Info'!L140))</f>
        <v>8.5616438356164361E-3</v>
      </c>
      <c r="P139" s="90">
        <f>IF('Chemical Info'!L140="NA","NA", IF('Chemical Info'!E140="Yes",0,((('Com-Ind Equations'!$B$58*'Com-Ind Equations'!$B$59*'Com-Ind Equations'!$B$48*'Com-Ind Equations'!$B$52*'Com-Ind Equations'!$B$49*'Chemical Info'!AB140)/('Com-Ind Equations'!$B$55*'Com-Ind Equations'!$B$56))/('Chemical Info'!L140*'Chemical Info'!AF140))))</f>
        <v>2.6090136986301363E-3</v>
      </c>
      <c r="Q139" s="90" t="str">
        <f>IF('Chemical Info'!N140="NA","NA",IF('Com-Ind Calculations'!E139="NA",(('Com-Ind Equations'!$B$53*'Com-Ind Equations'!$B$49*'Com-Ind Equations'!$B$54*'Com-Ind Calculations'!C139)/('Com-Ind Equations'!$B$56))/('Chemical Info'!N140),IF('Chemical Info'!E140="Yes",(('Com-Ind Equations'!$B$53*'Com-Ind Equations'!$B$49*'Com-Ind Equations'!$B$54*'Com-Ind Calculations'!E139)/('Com-Ind Equations'!$B$56))/('Chemical Info'!N140),(('Com-Ind Equations'!$B$53*'Com-Ind Equations'!$B$49*'Com-Ind Equations'!$B$54*('Com-Ind Calculations'!C139+'Com-Ind Calculations'!E139))/('Com-Ind Equations'!$B$56))/('Chemical Info'!N140))))</f>
        <v>NA</v>
      </c>
      <c r="R139" s="90" t="str">
        <f>IF('Chemical Info'!N140="NA","NA",IF('Com-Ind Calculations'!F139="NA",(('Com-Ind Equations'!$B$53*'Com-Ind Equations'!$B$49*'Com-Ind Equations'!$B$54*'Com-Ind Calculations'!C139)/('Com-Ind Equations'!$B$56))/('Chemical Info'!N140),IF('Chemical Info'!E140="Yes",(('Com-Ind Equations'!$B$53*'Com-Ind Equations'!$B$49*'Com-Ind Equations'!$B$54*'Com-Ind Calculations'!F139)/('Com-Ind Equations'!$B$56))/('Chemical Info'!N140),(('Com-Ind Equations'!$B$53*'Com-Ind Equations'!$B$49*'Com-Ind Equations'!$B$54*('Com-Ind Calculations'!C139+'Com-Ind Calculations'!F139))/('Com-Ind Equations'!$B$56))/('Chemical Info'!N140))))</f>
        <v>NA</v>
      </c>
      <c r="S139" s="90">
        <f>IF(AND(O139="NA",P139="NA",Q139="NA"),"NA",IF(O139="NA",'Com-Ind Equations'!$B$45/'Com-Ind Calculations'!Q139,IF('Com-Ind Calculations'!Q139="NA",'Com-Ind Equations'!$B$45/('Com-Ind Calculations'!O139+'Com-Ind Calculations'!P139),'Com-Ind Equations'!$B$45/('Com-Ind Calculations'!O139+'Com-Ind Calculations'!P139+'Com-Ind Calculations'!Q139))))</f>
        <v>17.904049012947329</v>
      </c>
      <c r="T139" s="95">
        <f>IF(AND(O139="NA",P139="NA",R139="NA"),"NA",IF(O139="NA",'Com-Ind Equations'!$B$45/R139,IF(R139="NA",'Com-Ind Equations'!$B$45/(O139+P139),'Com-Ind Equations'!$B$45/(O139+P139+R139))))</f>
        <v>17.904049012947329</v>
      </c>
      <c r="U139" s="97">
        <f t="shared" ref="U139" si="156">IF(AND(S139="NA",T139="NA"),"NA",MAX(S139,T139))</f>
        <v>17.904049012947329</v>
      </c>
      <c r="V139" s="101">
        <f t="shared" ref="V139" si="157">IF(AND(N139="NA",U139="NA",G139="NA"),"NA",MIN(N139,U139,G139))</f>
        <v>17.904049012947329</v>
      </c>
      <c r="W139" s="105">
        <f t="shared" ref="W139" si="158">IF(V139&gt;100000,100000,IF(ISNUMBER(ROUND(V139*1000000,2-LEN(INT(V139*1000000)))/1000000),ROUND(V139*1000000,2-LEN(INT(V139*1000000)))/1000000,"NA"))</f>
        <v>18</v>
      </c>
      <c r="X139" s="100" t="str">
        <f t="shared" ref="X139" si="159">IF(W139=100000,"Max Limit",IF(V139=G139,"Csat",IF(V139=N139,"Cancer",IF(V139=U139,"Noncancer",""))))</f>
        <v>Noncancer</v>
      </c>
      <c r="Y139" s="70"/>
    </row>
    <row r="140" spans="1:25">
      <c r="A140" s="413" t="s">
        <v>222</v>
      </c>
      <c r="B140" s="566" t="s">
        <v>223</v>
      </c>
      <c r="C140" s="85">
        <f>1/(('Com-Ind Equations'!$B$123*3600)/(0.036*(1-'Com-Ind Equations'!$B$124)*(('Com-Ind Equations'!$B$125/'Com-Ind Equations'!$B$126)^3)*'Com-Ind Equations'!$B$127))</f>
        <v>1.4713536180231943E-9</v>
      </c>
      <c r="D140" s="90">
        <f>(('Com-Ind Equations'!$B$103^(10/3)*'Chemical Info'!AH141*'Chemical Info'!AN141*41+'Com-Ind Equations'!$B$106^(10/3)*'Chemical Info'!AJ141)/'Com-Ind Equations'!$B$108^2)/('Com-Ind Equations'!$B$110*'Chemical Info'!AL141*'Com-Ind Equations'!$B$113+'Com-Ind Equations'!$B$106+'Com-Ind Equations'!$B$103*'Chemical Info'!AN141*41)</f>
        <v>1.5144866857949862E-5</v>
      </c>
      <c r="E140" s="65">
        <f>IF(D140=0,"NA",1/(('Com-Ind Equations'!$B$74*(3.14*D140*'Com-Ind Equations'!$B$76)^(1/2)*0.0001)/(2*'Com-Ind Equations'!$B$77*D140)))</f>
        <v>2.2843429936379729E-5</v>
      </c>
      <c r="F140" s="65">
        <f>IF(D140=0,"NA",(1/('Com-Ind Equations'!$B$88*('Com-Ind Equations'!$B$89*(31500000))/('Com-Ind Equations'!$B$90*'Com-Ind Equations'!$B$91*1000000))))</f>
        <v>6.1914410640015851E-5</v>
      </c>
      <c r="G140" s="95">
        <f>IF('Chemical Info'!E141="Yes",('Chemical Info'!AP141/'Com-Ind Equations'!$B$139)*((('Chemical Info'!AL141*'Com-Ind Equations'!$B$141)*'Com-Ind Equations'!$B$139)+'Com-Ind Equations'!$B$142+('Chemical Info'!AN141*41)*'Com-Ind Equations'!$B$144),"NA")</f>
        <v>106034.82266666667</v>
      </c>
      <c r="H140" s="112" t="str">
        <f>IF('Chemical Info'!H141="NA","NA",IF('Chemical Info'!E141="Yes",'Chemical Info'!H141*'Chemical Info'!AD141*'Com-Ind Equations'!$B$18*'Com-Ind Equations'!$B$22*(('Com-Ind Equations'!$B$24*'Com-Ind Equations'!$B$25)/'Com-Ind Equations'!$B$26),'Chemical Info'!H141*'Chemical Info'!AD141*'Com-Ind Equations'!$B$17*'Com-Ind Equations'!$B$22*('Com-Ind Equations'!$B$24*'Com-Ind Equations'!$B$25/'Com-Ind Equations'!$B$26)))</f>
        <v>NA</v>
      </c>
      <c r="I140" s="108" t="str">
        <f>IF('Chemical Info'!H141="NA","NA",IF('Chemical Info'!E141="Yes",0,('Chemical Info'!H141/'Chemical Info'!AF141)*'Com-Ind Equations'!$B$19*'Chemical Info'!AB141*'Com-Ind Equations'!$B$22*(('Com-Ind Equations'!$B$24*'Com-Ind Equations'!$B$29*'Com-Ind Equations'!$B$30)/'Com-Ind Equations'!$B$26)))</f>
        <v>NA</v>
      </c>
      <c r="J140" s="115" t="str">
        <f>IF('Chemical Info'!J141="NA","NA",IF(E140="NA",'Com-Ind Equations'!$B$20*1000*'Com-Ind Equations'!$B$24*'Com-Ind Equations'!$B$21*'Chemical Info'!J141*'Com-Ind Calculations'!C140,IF('Chemical Info'!E141="Yes",'Com-Ind Equations'!$B$20*1000*'Com-Ind Equations'!$B$24*'Com-Ind Equations'!$B$21*'Chemical Info'!J141*'Com-Ind Calculations'!E140,'Com-Ind Equations'!$B$20*1000*'Com-Ind Equations'!$B$24*'Com-Ind Equations'!$B$21*'Chemical Info'!J141*('Com-Ind Calculations'!C140+'Com-Ind Calculations'!E140))))</f>
        <v>NA</v>
      </c>
      <c r="K140" s="117" t="str">
        <f>IF('Chemical Info'!J141="NA","NA",IF(F140="NA",'Com-Ind Equations'!$B$20*1000*'Com-Ind Equations'!$B$24*'Com-Ind Equations'!$B$21*'Chemical Info'!J141*'Com-Ind Calculations'!C140,IF('Chemical Info'!E141="Yes",'Com-Ind Equations'!$B$20*1000*'Com-Ind Equations'!$B$24*'Com-Ind Equations'!$B$21*'Chemical Info'!J141*'Com-Ind Calculations'!F140,'Com-Ind Equations'!$B$20*1000*'Com-Ind Equations'!$B$24*'Com-Ind Equations'!$B$21*'Chemical Info'!J141*('Com-Ind Calculations'!C140+'Com-Ind Calculations'!F140))))</f>
        <v>NA</v>
      </c>
      <c r="L140" s="95" t="str">
        <f>IF(AND(H140="NA",I140="NA",J140="NA"),"NA",IF(H140="NA",'Com-Ind Equations'!$B$13*'Com-Ind Equations'!$B$14/J140,IF(J140="NA",'Com-Ind Equations'!$B$13*'Com-Ind Equations'!$B$14/(H140+I140),'Com-Ind Equations'!$B$13*'Com-Ind Equations'!$B$14/(H140+I140+J140))))</f>
        <v>NA</v>
      </c>
      <c r="M140" s="95" t="str">
        <f>IF(AND(H140="NA",I140="NA",K140="NA"),"NA",IF(H140="NA",'Com-Ind Equations'!$B$13*'Com-Ind Equations'!$B$14/K140,IF(K140="NA",'Com-Ind Equations'!$B$13*'Com-Ind Equations'!$B$14/(H140+I140),'Com-Ind Equations'!$B$13*'Com-Ind Equations'!$B$14/(H140+I140+K140))))</f>
        <v>NA</v>
      </c>
      <c r="N140" s="95" t="str">
        <f t="shared" si="100"/>
        <v>NA</v>
      </c>
      <c r="O140" s="94">
        <f>IF('Chemical Info'!L141="NA","NA",IF('Chemical Info'!E141="Yes",(('Com-Ind Equations'!$B$46*'Chemical Info'!AD141*'Com-Ind Equations'!$B$48*'Com-Ind Equations'!$B$49*'Com-Ind Equations'!$B$51)/('Com-Ind Equations'!$B$55*'Com-Ind Equations'!$B$56))/'Chemical Info'!L141,(('Com-Ind Equations'!$B$46*'Chemical Info'!AD141*'Com-Ind Equations'!$B$48*'Com-Ind Equations'!$B$49*'Com-Ind Equations'!$B$50)/('Com-Ind Equations'!$B$55*'Com-Ind Equations'!$B$56))/'Chemical Info'!L141))</f>
        <v>3.0821917808219176E-7</v>
      </c>
      <c r="P140" s="90">
        <f>IF('Chemical Info'!L141="NA","NA", IF('Chemical Info'!E141="Yes",0,((('Com-Ind Equations'!$B$58*'Com-Ind Equations'!$B$59*'Com-Ind Equations'!$B$48*'Com-Ind Equations'!$B$52*'Com-Ind Equations'!$B$49*'Chemical Info'!AB141)/('Com-Ind Equations'!$B$55*'Com-Ind Equations'!$B$56))/('Chemical Info'!L141*'Chemical Info'!AF141))))</f>
        <v>0</v>
      </c>
      <c r="Q140" s="90">
        <f>IF('Chemical Info'!N141="NA","NA",IF('Com-Ind Calculations'!E140="NA",(('Com-Ind Equations'!$B$53*'Com-Ind Equations'!$B$49*'Com-Ind Equations'!$B$54*'Com-Ind Calculations'!C140)/('Com-Ind Equations'!$B$56))/('Chemical Info'!N141),IF('Chemical Info'!E141="Yes",(('Com-Ind Equations'!$B$53*'Com-Ind Equations'!$B$49*'Com-Ind Equations'!$B$54*'Com-Ind Calculations'!E140)/('Com-Ind Equations'!$B$56))/('Chemical Info'!N141),(('Com-Ind Equations'!$B$53*'Com-Ind Equations'!$B$49*'Com-Ind Equations'!$B$54*('Com-Ind Calculations'!C140+'Com-Ind Calculations'!E140))/('Com-Ind Equations'!$B$56))/('Chemical Info'!N141))))</f>
        <v>2.3469277331896981E-7</v>
      </c>
      <c r="R140" s="90">
        <f>IF('Chemical Info'!N141="NA","NA",IF('Com-Ind Calculations'!F140="NA",(('Com-Ind Equations'!$B$53*'Com-Ind Equations'!$B$49*'Com-Ind Equations'!$B$54*'Com-Ind Calculations'!C140)/('Com-Ind Equations'!$B$56))/('Chemical Info'!N141),IF('Chemical Info'!E141="Yes",(('Com-Ind Equations'!$B$53*'Com-Ind Equations'!$B$49*'Com-Ind Equations'!$B$54*'Com-Ind Calculations'!F140)/('Com-Ind Equations'!$B$56))/('Chemical Info'!N141),(('Com-Ind Equations'!$B$53*'Com-Ind Equations'!$B$49*'Com-Ind Equations'!$B$54*('Com-Ind Calculations'!C140+'Com-Ind Calculations'!F140))/('Com-Ind Equations'!$B$56))/('Chemical Info'!N141))))</f>
        <v>6.3610695863029985E-7</v>
      </c>
      <c r="S140" s="90">
        <f>IF(AND(O140="NA",P140="NA",Q140="NA"),"NA",IF(O140="NA",'Com-Ind Equations'!$B$45/'Com-Ind Calculations'!Q140,IF('Com-Ind Calculations'!Q140="NA",'Com-Ind Equations'!$B$45/('Com-Ind Calculations'!O140+'Com-Ind Calculations'!P140),'Com-Ind Equations'!$B$45/('Com-Ind Calculations'!O140+'Com-Ind Calculations'!P140+'Com-Ind Calculations'!Q140))))</f>
        <v>368383.85945241159</v>
      </c>
      <c r="T140" s="95">
        <f>IF(AND(O140="NA",P140="NA",R140="NA"),"NA",IF(O140="NA",'Com-Ind Equations'!$B$45/R140,IF(R140="NA",'Com-Ind Equations'!$B$45/(O140+P140),'Com-Ind Equations'!$B$45/(O140+P140+R140))))</f>
        <v>211791.23633733729</v>
      </c>
      <c r="U140" s="97">
        <f t="shared" si="101"/>
        <v>368383.85945241159</v>
      </c>
      <c r="V140" s="101">
        <f t="shared" si="102"/>
        <v>106034.82266666667</v>
      </c>
      <c r="W140" s="105">
        <f t="shared" si="104"/>
        <v>100000</v>
      </c>
      <c r="X140" s="100" t="str">
        <f t="shared" si="103"/>
        <v>Max Limit</v>
      </c>
      <c r="Y140" s="70"/>
    </row>
    <row r="141" spans="1:25">
      <c r="A141" s="413" t="s">
        <v>1185</v>
      </c>
      <c r="B141" s="566" t="s">
        <v>1186</v>
      </c>
      <c r="C141" s="85">
        <f>1/(('Com-Ind Equations'!$B$123*3600)/(0.036*(1-'Com-Ind Equations'!$B$124)*(('Com-Ind Equations'!$B$125/'Com-Ind Equations'!$B$126)^3)*'Com-Ind Equations'!$B$127))</f>
        <v>1.4713536180231943E-9</v>
      </c>
      <c r="D141" s="90">
        <f>(('Com-Ind Equations'!$B$103^(10/3)*'Chemical Info'!AH142*'Chemical Info'!AN142*41+'Com-Ind Equations'!$B$106^(10/3)*'Chemical Info'!AJ142)/'Com-Ind Equations'!$B$108^2)/('Com-Ind Equations'!$B$110*'Chemical Info'!AL142*'Com-Ind Equations'!$B$113+'Com-Ind Equations'!$B$106+'Com-Ind Equations'!$B$103*'Chemical Info'!AN142*41)</f>
        <v>9.909361846554815E-10</v>
      </c>
      <c r="E141" s="65">
        <f>IF(D141=0,"NA",1/(('Com-Ind Equations'!$B$74*(3.14*D141*'Com-Ind Equations'!$B$76)^(1/2)*0.0001)/(2*'Com-Ind Equations'!$B$77*D141)))</f>
        <v>1.8477849583276469E-7</v>
      </c>
      <c r="F141" s="65">
        <f>IF(D141=0,"NA",(1/('Com-Ind Equations'!$B$88*('Com-Ind Equations'!$B$89*(31500000))/('Com-Ind Equations'!$B$90*'Com-Ind Equations'!$B$91*1000000))))</f>
        <v>6.1914410640015851E-5</v>
      </c>
      <c r="G141" s="95" t="str">
        <f>IF('Chemical Info'!E142="Yes",('Chemical Info'!AP142/'Com-Ind Equations'!$B$139)*((('Chemical Info'!AL142*'Com-Ind Equations'!$B$141)*'Com-Ind Equations'!$B$139)+'Com-Ind Equations'!$B$142+('Chemical Info'!AN142*41)*'Com-Ind Equations'!$B$144),"NA")</f>
        <v>NA</v>
      </c>
      <c r="H141" s="112">
        <f>IF('Chemical Info'!H142="NA","NA",IF('Chemical Info'!E142="Yes",'Chemical Info'!H142*'Chemical Info'!AD142*'Com-Ind Equations'!$B$18*'Com-Ind Equations'!$B$22*(('Com-Ind Equations'!$B$24*'Com-Ind Equations'!$B$25)/'Com-Ind Equations'!$B$26),'Chemical Info'!H142*'Chemical Info'!AD142*'Com-Ind Equations'!$B$17*'Com-Ind Equations'!$B$22*('Com-Ind Equations'!$B$24*'Com-Ind Equations'!$B$25/'Com-Ind Equations'!$B$26)))</f>
        <v>7.8124999999999993E-4</v>
      </c>
      <c r="I141" s="108">
        <f>IF('Chemical Info'!H142="NA","NA",IF('Chemical Info'!E142="Yes",0,('Chemical Info'!H142/'Chemical Info'!AF142)*'Com-Ind Equations'!$B$19*'Chemical Info'!AB142*'Com-Ind Equations'!$B$22*(('Com-Ind Equations'!$B$24*'Com-Ind Equations'!$B$29*'Com-Ind Equations'!$B$30)/'Com-Ind Equations'!$B$26)))</f>
        <v>2.3807249999999996E-4</v>
      </c>
      <c r="J141" s="115">
        <f>IF('Chemical Info'!J142="NA","NA",IF(E141="NA",'Com-Ind Equations'!$B$20*1000*'Com-Ind Equations'!$B$24*'Com-Ind Equations'!$B$21*'Chemical Info'!J142*'Com-Ind Calculations'!C141,IF('Chemical Info'!E142="Yes",'Com-Ind Equations'!$B$20*1000*'Com-Ind Equations'!$B$24*'Com-Ind Equations'!$B$21*'Chemical Info'!J142*'Com-Ind Calculations'!E141,'Com-Ind Equations'!$B$20*1000*'Com-Ind Equations'!$B$24*'Com-Ind Equations'!$B$21*'Chemical Info'!J142*('Com-Ind Calculations'!C141+'Com-Ind Calculations'!E141))))</f>
        <v>1.5016394111969775E-4</v>
      </c>
      <c r="K141" s="117">
        <f>IF('Chemical Info'!J142="NA","NA",IF(F141="NA",'Com-Ind Equations'!$B$20*1000*'Com-Ind Equations'!$B$24*'Com-Ind Equations'!$B$21*'Chemical Info'!J142*'Com-Ind Calculations'!C141,IF('Chemical Info'!E142="Yes",'Com-Ind Equations'!$B$20*1000*'Com-Ind Equations'!$B$24*'Com-Ind Equations'!$B$21*'Chemical Info'!J142*'Com-Ind Calculations'!F141,'Com-Ind Equations'!$B$20*1000*'Com-Ind Equations'!$B$24*'Com-Ind Equations'!$B$21*'Chemical Info'!J142*('Com-Ind Calculations'!C141+'Com-Ind Calculations'!F141))))</f>
        <v>4.9919679857367304E-2</v>
      </c>
      <c r="L141" s="95">
        <f>IF(AND(H141="NA",I141="NA",J141="NA"),"NA",IF(H141="NA",'Com-Ind Equations'!$B$13*'Com-Ind Equations'!$B$14/J141,IF(J141="NA",'Com-Ind Equations'!$B$13*'Com-Ind Equations'!$B$14/(H141+I141),'Com-Ind Equations'!$B$13*'Com-Ind Equations'!$B$14/(H141+I141+J141))))</f>
        <v>218.47196428833962</v>
      </c>
      <c r="M141" s="95">
        <f>IF(AND(H141="NA",I141="NA",K141="NA"),"NA",IF(H141="NA",'Com-Ind Equations'!$B$13*'Com-Ind Equations'!$B$14/K141,IF(K141="NA",'Com-Ind Equations'!$B$13*'Com-Ind Equations'!$B$14/(H141+I141),'Com-Ind Equations'!$B$13*'Com-Ind Equations'!$B$14/(H141+I141+K141))))</f>
        <v>5.0158029834882907</v>
      </c>
      <c r="N141" s="95">
        <f t="shared" ref="N141" si="160">IF(AND(L141="NA",M141="NA"),"NA",MAX(L141,M141))</f>
        <v>218.47196428833962</v>
      </c>
      <c r="O141" s="94">
        <f>IF('Chemical Info'!L142="NA","NA",IF('Chemical Info'!E142="Yes",(('Com-Ind Equations'!$B$46*'Chemical Info'!AD142*'Com-Ind Equations'!$B$48*'Com-Ind Equations'!$B$49*'Com-Ind Equations'!$B$51)/('Com-Ind Equations'!$B$55*'Com-Ind Equations'!$B$56))/'Chemical Info'!L142,(('Com-Ind Equations'!$B$46*'Chemical Info'!AD142*'Com-Ind Equations'!$B$48*'Com-Ind Equations'!$B$49*'Com-Ind Equations'!$B$50)/('Com-Ind Equations'!$B$55*'Com-Ind Equations'!$B$56))/'Chemical Info'!L142))</f>
        <v>4.2808219178082184E-4</v>
      </c>
      <c r="P141" s="90">
        <f>IF('Chemical Info'!L142="NA","NA", IF('Chemical Info'!E142="Yes",0,((('Com-Ind Equations'!$B$58*'Com-Ind Equations'!$B$59*'Com-Ind Equations'!$B$48*'Com-Ind Equations'!$B$52*'Com-Ind Equations'!$B$49*'Chemical Info'!AB142)/('Com-Ind Equations'!$B$55*'Com-Ind Equations'!$B$56))/('Chemical Info'!L142*'Chemical Info'!AF142))))</f>
        <v>1.3045068493150683E-4</v>
      </c>
      <c r="Q141" s="90" t="str">
        <f>IF('Chemical Info'!N142="NA","NA",IF('Com-Ind Calculations'!E141="NA",(('Com-Ind Equations'!$B$53*'Com-Ind Equations'!$B$49*'Com-Ind Equations'!$B$54*'Com-Ind Calculations'!C141)/('Com-Ind Equations'!$B$56))/('Chemical Info'!N142),IF('Chemical Info'!E142="Yes",(('Com-Ind Equations'!$B$53*'Com-Ind Equations'!$B$49*'Com-Ind Equations'!$B$54*'Com-Ind Calculations'!E141)/('Com-Ind Equations'!$B$56))/('Chemical Info'!N142),(('Com-Ind Equations'!$B$53*'Com-Ind Equations'!$B$49*'Com-Ind Equations'!$B$54*('Com-Ind Calculations'!C141+'Com-Ind Calculations'!E141))/('Com-Ind Equations'!$B$56))/('Chemical Info'!N142))))</f>
        <v>NA</v>
      </c>
      <c r="R141" s="90" t="str">
        <f>IF('Chemical Info'!N142="NA","NA",IF('Com-Ind Calculations'!F141="NA",(('Com-Ind Equations'!$B$53*'Com-Ind Equations'!$B$49*'Com-Ind Equations'!$B$54*'Com-Ind Calculations'!C141)/('Com-Ind Equations'!$B$56))/('Chemical Info'!N142),IF('Chemical Info'!E142="Yes",(('Com-Ind Equations'!$B$53*'Com-Ind Equations'!$B$49*'Com-Ind Equations'!$B$54*'Com-Ind Calculations'!F141)/('Com-Ind Equations'!$B$56))/('Chemical Info'!N142),(('Com-Ind Equations'!$B$53*'Com-Ind Equations'!$B$49*'Com-Ind Equations'!$B$54*('Com-Ind Calculations'!C141+'Com-Ind Calculations'!F141))/('Com-Ind Equations'!$B$56))/('Chemical Info'!N142))))</f>
        <v>NA</v>
      </c>
      <c r="S141" s="90">
        <f>IF(AND(O141="NA",P141="NA",Q141="NA"),"NA",IF(O141="NA",'Com-Ind Equations'!$B$45/'Com-Ind Calculations'!Q141,IF('Com-Ind Calculations'!Q141="NA",'Com-Ind Equations'!$B$45/('Com-Ind Calculations'!O141+'Com-Ind Calculations'!P141),'Com-Ind Equations'!$B$45/('Com-Ind Calculations'!O141+'Com-Ind Calculations'!P141+'Com-Ind Calculations'!Q141))))</f>
        <v>358.08098025894662</v>
      </c>
      <c r="T141" s="95">
        <f>IF(AND(O141="NA",P141="NA",R141="NA"),"NA",IF(O141="NA",'Com-Ind Equations'!$B$45/R141,IF(R141="NA",'Com-Ind Equations'!$B$45/(O141+P141),'Com-Ind Equations'!$B$45/(O141+P141+R141))))</f>
        <v>358.08098025894662</v>
      </c>
      <c r="U141" s="97">
        <f t="shared" ref="U141" si="161">IF(AND(S141="NA",T141="NA"),"NA",MAX(S141,T141))</f>
        <v>358.08098025894662</v>
      </c>
      <c r="V141" s="101">
        <f t="shared" ref="V141" si="162">IF(AND(N141="NA",U141="NA",G141="NA"),"NA",MIN(N141,U141,G141))</f>
        <v>218.47196428833962</v>
      </c>
      <c r="W141" s="105">
        <f t="shared" ref="W141" si="163">IF(V141&gt;100000,100000,IF(ISNUMBER(ROUND(V141*1000000,2-LEN(INT(V141*1000000)))/1000000),ROUND(V141*1000000,2-LEN(INT(V141*1000000)))/1000000,"NA"))</f>
        <v>220</v>
      </c>
      <c r="X141" s="100" t="str">
        <f t="shared" ref="X141" si="164">IF(W141=100000,"Max Limit",IF(V141=G141,"Csat",IF(V141=N141,"Cancer",IF(V141=U141,"Noncancer",""))))</f>
        <v>Cancer</v>
      </c>
      <c r="Y141" s="70"/>
    </row>
    <row r="142" spans="1:25">
      <c r="A142" s="373" t="s">
        <v>1092</v>
      </c>
      <c r="B142" s="566" t="s">
        <v>224</v>
      </c>
      <c r="C142" s="85">
        <f>1/(('Com-Ind Equations'!$B$123*3600)/(0.036*(1-'Com-Ind Equations'!$B$124)*(('Com-Ind Equations'!$B$125/'Com-Ind Equations'!$B$126)^3)*'Com-Ind Equations'!$B$127))</f>
        <v>1.4713536180231943E-9</v>
      </c>
      <c r="D142" s="90">
        <f>(('Com-Ind Equations'!$B$103^(10/3)*'Chemical Info'!AH143*'Chemical Info'!AN143*41+'Com-Ind Equations'!$B$106^(10/3)*'Chemical Info'!AJ143)/'Com-Ind Equations'!$B$108^2)/('Com-Ind Equations'!$B$110*'Chemical Info'!AL143*'Com-Ind Equations'!$B$113+'Com-Ind Equations'!$B$106+'Com-Ind Equations'!$B$103*'Chemical Info'!AN143*41)</f>
        <v>1.2445786787322576E-7</v>
      </c>
      <c r="E142" s="65">
        <f>IF(D142=0,"NA",1/(('Com-Ind Equations'!$B$74*(3.14*D142*'Com-Ind Equations'!$B$76)^(1/2)*0.0001)/(2*'Com-Ind Equations'!$B$77*D142)))</f>
        <v>2.0708076571425796E-6</v>
      </c>
      <c r="F142" s="65">
        <f>IF(D142=0,"NA",(1/('Com-Ind Equations'!$B$88*('Com-Ind Equations'!$B$89*(31500000))/('Com-Ind Equations'!$B$90*'Com-Ind Equations'!$B$91*1000000))))</f>
        <v>6.1914410640015851E-5</v>
      </c>
      <c r="G142" s="95" t="str">
        <f>IF('Chemical Info'!E143="Yes",('Chemical Info'!AP143/'Com-Ind Equations'!$B$139)*((('Chemical Info'!AL143*'Com-Ind Equations'!$B$141)*'Com-Ind Equations'!$B$139)+'Com-Ind Equations'!$B$142+('Chemical Info'!AN143*41)*'Com-Ind Equations'!$B$144),"NA")</f>
        <v>NA</v>
      </c>
      <c r="H142" s="112" t="str">
        <f>IF('Chemical Info'!H143="NA","NA",IF('Chemical Info'!E143="Yes",'Chemical Info'!H143*'Chemical Info'!AD143*'Com-Ind Equations'!$B$18*'Com-Ind Equations'!$B$22*(('Com-Ind Equations'!$B$24*'Com-Ind Equations'!$B$25)/'Com-Ind Equations'!$B$26),'Chemical Info'!H143*'Chemical Info'!AD143*'Com-Ind Equations'!$B$17*'Com-Ind Equations'!$B$22*('Com-Ind Equations'!$B$24*'Com-Ind Equations'!$B$25/'Com-Ind Equations'!$B$26)))</f>
        <v>NA</v>
      </c>
      <c r="I142" s="108" t="str">
        <f>IF('Chemical Info'!H143="NA","NA",IF('Chemical Info'!E143="Yes",0,('Chemical Info'!H143/'Chemical Info'!AF143)*'Com-Ind Equations'!$B$19*'Chemical Info'!AB143*'Com-Ind Equations'!$B$22*(('Com-Ind Equations'!$B$24*'Com-Ind Equations'!$B$29*'Com-Ind Equations'!$B$30)/'Com-Ind Equations'!$B$26)))</f>
        <v>NA</v>
      </c>
      <c r="J142" s="115" t="str">
        <f>IF('Chemical Info'!J143="NA","NA",IF(E142="NA",'Com-Ind Equations'!$B$20*1000*'Com-Ind Equations'!$B$24*'Com-Ind Equations'!$B$21*'Chemical Info'!J143*'Com-Ind Calculations'!C142,IF('Chemical Info'!E143="Yes",'Com-Ind Equations'!$B$20*1000*'Com-Ind Equations'!$B$24*'Com-Ind Equations'!$B$21*'Chemical Info'!J143*'Com-Ind Calculations'!E142,'Com-Ind Equations'!$B$20*1000*'Com-Ind Equations'!$B$24*'Com-Ind Equations'!$B$21*'Chemical Info'!J143*('Com-Ind Calculations'!C142+'Com-Ind Calculations'!E142))))</f>
        <v>NA</v>
      </c>
      <c r="K142" s="117" t="str">
        <f>IF('Chemical Info'!J143="NA","NA",IF(F142="NA",'Com-Ind Equations'!$B$20*1000*'Com-Ind Equations'!$B$24*'Com-Ind Equations'!$B$21*'Chemical Info'!J143*'Com-Ind Calculations'!C142,IF('Chemical Info'!E143="Yes",'Com-Ind Equations'!$B$20*1000*'Com-Ind Equations'!$B$24*'Com-Ind Equations'!$B$21*'Chemical Info'!J143*'Com-Ind Calculations'!F142,'Com-Ind Equations'!$B$20*1000*'Com-Ind Equations'!$B$24*'Com-Ind Equations'!$B$21*'Chemical Info'!J143*('Com-Ind Calculations'!C142+'Com-Ind Calculations'!F142))))</f>
        <v>NA</v>
      </c>
      <c r="L142" s="95" t="str">
        <f>IF(AND(H142="NA",I142="NA",J142="NA"),"NA",IF(H142="NA",'Com-Ind Equations'!$B$13*'Com-Ind Equations'!$B$14/J142,IF(J142="NA",'Com-Ind Equations'!$B$13*'Com-Ind Equations'!$B$14/(H142+I142),'Com-Ind Equations'!$B$13*'Com-Ind Equations'!$B$14/(H142+I142+J142))))</f>
        <v>NA</v>
      </c>
      <c r="M142" s="95" t="str">
        <f>IF(AND(H142="NA",I142="NA",K142="NA"),"NA",IF(H142="NA",'Com-Ind Equations'!$B$13*'Com-Ind Equations'!$B$14/K142,IF(K142="NA",'Com-Ind Equations'!$B$13*'Com-Ind Equations'!$B$14/(H142+I142),'Com-Ind Equations'!$B$13*'Com-Ind Equations'!$B$14/(H142+I142+K142))))</f>
        <v>NA</v>
      </c>
      <c r="N142" s="95" t="str">
        <f t="shared" si="100"/>
        <v>NA</v>
      </c>
      <c r="O142" s="94">
        <f>IF('Chemical Info'!L143="NA","NA",IF('Chemical Info'!E143="Yes",(('Com-Ind Equations'!$B$46*'Chemical Info'!AD143*'Com-Ind Equations'!$B$48*'Com-Ind Equations'!$B$49*'Com-Ind Equations'!$B$51)/('Com-Ind Equations'!$B$55*'Com-Ind Equations'!$B$56))/'Chemical Info'!L143,(('Com-Ind Equations'!$B$46*'Chemical Info'!AD143*'Com-Ind Equations'!$B$48*'Com-Ind Equations'!$B$49*'Com-Ind Equations'!$B$50)/('Com-Ind Equations'!$B$55*'Com-Ind Equations'!$B$56))/'Chemical Info'!L143))</f>
        <v>1.7123287671232872E-5</v>
      </c>
      <c r="P142" s="90">
        <f>IF('Chemical Info'!L143="NA","NA", IF('Chemical Info'!E143="Yes",0,((('Com-Ind Equations'!$B$58*'Com-Ind Equations'!$B$59*'Com-Ind Equations'!$B$48*'Com-Ind Equations'!$B$52*'Com-Ind Equations'!$B$49*'Chemical Info'!AB143)/('Com-Ind Equations'!$B$55*'Com-Ind Equations'!$B$56))/('Chemical Info'!L143*'Chemical Info'!AF143))))</f>
        <v>5.2180273972602729E-6</v>
      </c>
      <c r="Q142" s="90">
        <f>IF('Chemical Info'!N143="NA","NA",IF('Com-Ind Calculations'!E142="NA",(('Com-Ind Equations'!$B$53*'Com-Ind Equations'!$B$49*'Com-Ind Equations'!$B$54*'Com-Ind Calculations'!C142)/('Com-Ind Equations'!$B$56))/('Chemical Info'!N143),IF('Chemical Info'!E143="Yes",(('Com-Ind Equations'!$B$53*'Com-Ind Equations'!$B$49*'Com-Ind Equations'!$B$54*'Com-Ind Calculations'!E142)/('Com-Ind Equations'!$B$56))/('Chemical Info'!N143),(('Com-Ind Equations'!$B$53*'Com-Ind Equations'!$B$49*'Com-Ind Equations'!$B$54*('Com-Ind Calculations'!C142+'Com-Ind Calculations'!E142))/('Com-Ind Equations'!$B$56))/('Chemical Info'!N143))))</f>
        <v>7.0968459272623395E-7</v>
      </c>
      <c r="R142" s="90">
        <f>IF('Chemical Info'!N143="NA","NA",IF('Com-Ind Calculations'!F142="NA",(('Com-Ind Equations'!$B$53*'Com-Ind Equations'!$B$49*'Com-Ind Equations'!$B$54*'Com-Ind Calculations'!C142)/('Com-Ind Equations'!$B$56))/('Chemical Info'!N143),IF('Chemical Info'!E143="Yes",(('Com-Ind Equations'!$B$53*'Com-Ind Equations'!$B$49*'Com-Ind Equations'!$B$54*'Com-Ind Calculations'!F142)/('Com-Ind Equations'!$B$56))/('Chemical Info'!N143),(('Com-Ind Equations'!$B$53*'Com-Ind Equations'!$B$49*'Com-Ind Equations'!$B$54*('Com-Ind Calculations'!C142+'Com-Ind Calculations'!F142))/('Com-Ind Equations'!$B$56))/('Chemical Info'!N143))))</f>
        <v>2.1204069175902008E-5</v>
      </c>
      <c r="S142" s="90">
        <f>IF(AND(O142="NA",P142="NA",Q142="NA"),"NA",IF(O142="NA",'Com-Ind Equations'!$B$45/'Com-Ind Calculations'!Q142,IF('Com-Ind Calculations'!Q142="NA",'Com-Ind Equations'!$B$45/('Com-Ind Calculations'!O142+'Com-Ind Calculations'!P142),'Com-Ind Equations'!$B$45/('Com-Ind Calculations'!O142+'Com-Ind Calculations'!P142+'Com-Ind Calculations'!Q142))))</f>
        <v>8676.4132983124691</v>
      </c>
      <c r="T142" s="95">
        <f>IF(AND(O142="NA",P142="NA",R142="NA"),"NA",IF(O142="NA",'Com-Ind Equations'!$B$45/R142,IF(R142="NA",'Com-Ind Equations'!$B$45/(O142+P142),'Com-Ind Equations'!$B$45/(O142+P142+R142))))</f>
        <v>4592.9092938419208</v>
      </c>
      <c r="U142" s="97">
        <f t="shared" si="101"/>
        <v>8676.4132983124691</v>
      </c>
      <c r="V142" s="101">
        <f t="shared" si="102"/>
        <v>8676.4132983124691</v>
      </c>
      <c r="W142" s="105">
        <f t="shared" si="104"/>
        <v>8700</v>
      </c>
      <c r="X142" s="100" t="str">
        <f t="shared" si="103"/>
        <v>Noncancer</v>
      </c>
      <c r="Y142" s="70"/>
    </row>
    <row r="143" spans="1:25">
      <c r="A143" s="373" t="s">
        <v>387</v>
      </c>
      <c r="B143" s="566" t="s">
        <v>138</v>
      </c>
      <c r="C143" s="85">
        <f>1/(('Com-Ind Equations'!$B$123*3600)/(0.036*(1-'Com-Ind Equations'!$B$124)*(('Com-Ind Equations'!$B$125/'Com-Ind Equations'!$B$126)^3)*'Com-Ind Equations'!$B$127))</f>
        <v>1.4713536180231943E-9</v>
      </c>
      <c r="D143" s="90">
        <f>(('Com-Ind Equations'!$B$103^(10/3)*'Chemical Info'!AH144*'Chemical Info'!AN144*41+'Com-Ind Equations'!$B$106^(10/3)*'Chemical Info'!AJ144)/'Com-Ind Equations'!$B$108^2)/('Com-Ind Equations'!$B$110*'Chemical Info'!AL144*'Com-Ind Equations'!$B$113+'Com-Ind Equations'!$B$106+'Com-Ind Equations'!$B$103*'Chemical Info'!AN144*41)</f>
        <v>9.9456399061239363E-8</v>
      </c>
      <c r="E143" s="65">
        <f>IF(D143=0,"NA",1/(('Com-Ind Equations'!$B$74*(3.14*D143*'Com-Ind Equations'!$B$76)^(1/2)*0.0001)/(2*'Com-Ind Equations'!$B$77*D143)))</f>
        <v>1.8511642280097883E-6</v>
      </c>
      <c r="F143" s="65">
        <f>IF(D143=0,"NA",(1/('Com-Ind Equations'!$B$88*('Com-Ind Equations'!$B$89*(31500000))/('Com-Ind Equations'!$B$90*'Com-Ind Equations'!$B$91*1000000))))</f>
        <v>6.1914410640015851E-5</v>
      </c>
      <c r="G143" s="95" t="str">
        <f>IF('Chemical Info'!E144="Yes",('Chemical Info'!AP144/'Com-Ind Equations'!$B$139)*((('Chemical Info'!AL144*'Com-Ind Equations'!$B$141)*'Com-Ind Equations'!$B$139)+'Com-Ind Equations'!$B$142+('Chemical Info'!AN144*41)*'Com-Ind Equations'!$B$144),"NA")</f>
        <v>NA</v>
      </c>
      <c r="H143" s="112" t="str">
        <f>IF('Chemical Info'!H144="NA","NA",IF('Chemical Info'!E144="Yes",'Chemical Info'!H144*'Chemical Info'!AD144*'Com-Ind Equations'!$B$18*'Com-Ind Equations'!$B$22*(('Com-Ind Equations'!$B$24*'Com-Ind Equations'!$B$25)/'Com-Ind Equations'!$B$26),'Chemical Info'!H144*'Chemical Info'!AD144*'Com-Ind Equations'!$B$17*'Com-Ind Equations'!$B$22*('Com-Ind Equations'!$B$24*'Com-Ind Equations'!$B$25/'Com-Ind Equations'!$B$26)))</f>
        <v>NA</v>
      </c>
      <c r="I143" s="108" t="str">
        <f>IF('Chemical Info'!H144="NA","NA",IF('Chemical Info'!E144="Yes",0,('Chemical Info'!H144/'Chemical Info'!AF144)*'Com-Ind Equations'!$B$19*'Chemical Info'!AB144*'Com-Ind Equations'!$B$22*(('Com-Ind Equations'!$B$24*'Com-Ind Equations'!$B$29*'Com-Ind Equations'!$B$30)/'Com-Ind Equations'!$B$26)))</f>
        <v>NA</v>
      </c>
      <c r="J143" s="115" t="str">
        <f>IF('Chemical Info'!J144="NA","NA",IF(E143="NA",'Com-Ind Equations'!$B$20*1000*'Com-Ind Equations'!$B$24*'Com-Ind Equations'!$B$21*'Chemical Info'!J144*'Com-Ind Calculations'!C143,IF('Chemical Info'!E144="Yes",'Com-Ind Equations'!$B$20*1000*'Com-Ind Equations'!$B$24*'Com-Ind Equations'!$B$21*'Chemical Info'!J144*'Com-Ind Calculations'!E143,'Com-Ind Equations'!$B$20*1000*'Com-Ind Equations'!$B$24*'Com-Ind Equations'!$B$21*'Chemical Info'!J144*('Com-Ind Calculations'!C143+'Com-Ind Calculations'!E143))))</f>
        <v>NA</v>
      </c>
      <c r="K143" s="117" t="str">
        <f>IF('Chemical Info'!J144="NA","NA",IF(F143="NA",'Com-Ind Equations'!$B$20*1000*'Com-Ind Equations'!$B$24*'Com-Ind Equations'!$B$21*'Chemical Info'!J144*'Com-Ind Calculations'!C143,IF('Chemical Info'!E144="Yes",'Com-Ind Equations'!$B$20*1000*'Com-Ind Equations'!$B$24*'Com-Ind Equations'!$B$21*'Chemical Info'!J144*'Com-Ind Calculations'!F143,'Com-Ind Equations'!$B$20*1000*'Com-Ind Equations'!$B$24*'Com-Ind Equations'!$B$21*'Chemical Info'!J144*('Com-Ind Calculations'!C143+'Com-Ind Calculations'!F143))))</f>
        <v>NA</v>
      </c>
      <c r="L143" s="95" t="str">
        <f>IF(AND(H143="NA",I143="NA",J143="NA"),"NA",IF(H143="NA",'Com-Ind Equations'!$B$13*'Com-Ind Equations'!$B$14/J143,IF(J143="NA",'Com-Ind Equations'!$B$13*'Com-Ind Equations'!$B$14/(H143+I143),'Com-Ind Equations'!$B$13*'Com-Ind Equations'!$B$14/(H143+I143+J143))))</f>
        <v>NA</v>
      </c>
      <c r="M143" s="95" t="str">
        <f>IF(AND(H143="NA",I143="NA",K143="NA"),"NA",IF(H143="NA",'Com-Ind Equations'!$B$13*'Com-Ind Equations'!$B$14/K143,IF(K143="NA",'Com-Ind Equations'!$B$13*'Com-Ind Equations'!$B$14/(H143+I143),'Com-Ind Equations'!$B$13*'Com-Ind Equations'!$B$14/(H143+I143+K143))))</f>
        <v>NA</v>
      </c>
      <c r="N143" s="95" t="str">
        <f t="shared" si="100"/>
        <v>NA</v>
      </c>
      <c r="O143" s="94">
        <f>IF('Chemical Info'!L144="NA","NA",IF('Chemical Info'!E144="Yes",(('Com-Ind Equations'!$B$46*'Chemical Info'!AD144*'Com-Ind Equations'!$B$48*'Com-Ind Equations'!$B$49*'Com-Ind Equations'!$B$51)/('Com-Ind Equations'!$B$55*'Com-Ind Equations'!$B$56))/'Chemical Info'!L144,(('Com-Ind Equations'!$B$46*'Chemical Info'!AD144*'Com-Ind Equations'!$B$48*'Com-Ind Equations'!$B$49*'Com-Ind Equations'!$B$50)/('Com-Ind Equations'!$B$55*'Com-Ind Equations'!$B$56))/'Chemical Info'!L144))</f>
        <v>1.7123287671232872E-5</v>
      </c>
      <c r="P143" s="90">
        <f>IF('Chemical Info'!L144="NA","NA", IF('Chemical Info'!E144="Yes",0,((('Com-Ind Equations'!$B$58*'Com-Ind Equations'!$B$59*'Com-Ind Equations'!$B$48*'Com-Ind Equations'!$B$52*'Com-Ind Equations'!$B$49*'Chemical Info'!AB144)/('Com-Ind Equations'!$B$55*'Com-Ind Equations'!$B$56))/('Chemical Info'!L144*'Chemical Info'!AF144))))</f>
        <v>5.2180273972602729E-6</v>
      </c>
      <c r="Q143" s="90">
        <f>IF('Chemical Info'!N144="NA","NA",IF('Com-Ind Calculations'!E143="NA",(('Com-Ind Equations'!$B$53*'Com-Ind Equations'!$B$49*'Com-Ind Equations'!$B$54*'Com-Ind Calculations'!C143)/('Com-Ind Equations'!$B$56))/('Chemical Info'!N144),IF('Chemical Info'!E144="Yes",(('Com-Ind Equations'!$B$53*'Com-Ind Equations'!$B$49*'Com-Ind Equations'!$B$54*'Com-Ind Calculations'!E143)/('Com-Ind Equations'!$B$56))/('Chemical Info'!N144),(('Com-Ind Equations'!$B$53*'Com-Ind Equations'!$B$49*'Com-Ind Equations'!$B$54*('Com-Ind Calculations'!C143+'Com-Ind Calculations'!E143))/('Com-Ind Equations'!$B$56))/('Chemical Info'!N144))))</f>
        <v>6.3446424028349706E-7</v>
      </c>
      <c r="R143" s="90">
        <f>IF('Chemical Info'!N144="NA","NA",IF('Com-Ind Calculations'!F143="NA",(('Com-Ind Equations'!$B$53*'Com-Ind Equations'!$B$49*'Com-Ind Equations'!$B$54*'Com-Ind Calculations'!C143)/('Com-Ind Equations'!$B$56))/('Chemical Info'!N144),IF('Chemical Info'!E144="Yes",(('Com-Ind Equations'!$B$53*'Com-Ind Equations'!$B$49*'Com-Ind Equations'!$B$54*'Com-Ind Calculations'!F143)/('Com-Ind Equations'!$B$56))/('Chemical Info'!N144),(('Com-Ind Equations'!$B$53*'Com-Ind Equations'!$B$49*'Com-Ind Equations'!$B$54*('Com-Ind Calculations'!C143+'Com-Ind Calculations'!F143))/('Com-Ind Equations'!$B$56))/('Chemical Info'!N144))))</f>
        <v>2.1204069175902008E-5</v>
      </c>
      <c r="S143" s="90">
        <f>IF(AND(O143="NA",P143="NA",Q143="NA"),"NA",IF(O143="NA",'Com-Ind Equations'!$B$45/'Com-Ind Calculations'!Q143,IF('Com-Ind Calculations'!Q143="NA",'Com-Ind Equations'!$B$45/('Com-Ind Calculations'!O143+'Com-Ind Calculations'!P143),'Com-Ind Equations'!$B$45/('Com-Ind Calculations'!O143+'Com-Ind Calculations'!P143+'Com-Ind Calculations'!Q143))))</f>
        <v>8704.8189883857794</v>
      </c>
      <c r="T143" s="95">
        <f>IF(AND(O143="NA",P143="NA",R143="NA"),"NA",IF(O143="NA",'Com-Ind Equations'!$B$45/R143,IF(R143="NA",'Com-Ind Equations'!$B$45/(O143+P143),'Com-Ind Equations'!$B$45/(O143+P143+R143))))</f>
        <v>4592.9092938419208</v>
      </c>
      <c r="U143" s="97">
        <f t="shared" si="101"/>
        <v>8704.8189883857794</v>
      </c>
      <c r="V143" s="101">
        <f t="shared" si="102"/>
        <v>8704.8189883857794</v>
      </c>
      <c r="W143" s="105">
        <f t="shared" si="104"/>
        <v>8700</v>
      </c>
      <c r="X143" s="100" t="str">
        <f t="shared" si="103"/>
        <v>Noncancer</v>
      </c>
      <c r="Y143" s="70"/>
    </row>
    <row r="144" spans="1:25">
      <c r="A144" s="373" t="s">
        <v>388</v>
      </c>
      <c r="B144" s="566" t="s">
        <v>139</v>
      </c>
      <c r="C144" s="85">
        <f>1/(('Com-Ind Equations'!$B$123*3600)/(0.036*(1-'Com-Ind Equations'!$B$124)*(('Com-Ind Equations'!$B$125/'Com-Ind Equations'!$B$126)^3)*'Com-Ind Equations'!$B$127))</f>
        <v>1.4713536180231943E-9</v>
      </c>
      <c r="D144" s="90">
        <f>(('Com-Ind Equations'!$B$103^(10/3)*'Chemical Info'!AH145*'Chemical Info'!AN145*41+'Com-Ind Equations'!$B$106^(10/3)*'Chemical Info'!AJ145)/'Com-Ind Equations'!$B$108^2)/('Com-Ind Equations'!$B$110*'Chemical Info'!AL145*'Com-Ind Equations'!$B$113+'Com-Ind Equations'!$B$106+'Com-Ind Equations'!$B$103*'Chemical Info'!AN145*41)</f>
        <v>1.1015112596508791E-7</v>
      </c>
      <c r="E144" s="65">
        <f>IF(D144=0,"NA",1/(('Com-Ind Equations'!$B$74*(3.14*D144*'Com-Ind Equations'!$B$76)^(1/2)*0.0001)/(2*'Com-Ind Equations'!$B$77*D144)))</f>
        <v>1.9481529671665711E-6</v>
      </c>
      <c r="F144" s="65">
        <f>IF(D144=0,"NA",(1/('Com-Ind Equations'!$B$88*('Com-Ind Equations'!$B$89*(31500000))/('Com-Ind Equations'!$B$90*'Com-Ind Equations'!$B$91*1000000))))</f>
        <v>6.1914410640015851E-5</v>
      </c>
      <c r="G144" s="95" t="str">
        <f>IF('Chemical Info'!E145="Yes",('Chemical Info'!AP145/'Com-Ind Equations'!$B$139)*((('Chemical Info'!AL145*'Com-Ind Equations'!$B$141)*'Com-Ind Equations'!$B$139)+'Com-Ind Equations'!$B$142+('Chemical Info'!AN145*41)*'Com-Ind Equations'!$B$144),"NA")</f>
        <v>NA</v>
      </c>
      <c r="H144" s="112" t="str">
        <f>IF('Chemical Info'!H145="NA","NA",IF('Chemical Info'!E145="Yes",'Chemical Info'!H145*'Chemical Info'!AD145*'Com-Ind Equations'!$B$18*'Com-Ind Equations'!$B$22*(('Com-Ind Equations'!$B$24*'Com-Ind Equations'!$B$25)/'Com-Ind Equations'!$B$26),'Chemical Info'!H145*'Chemical Info'!AD145*'Com-Ind Equations'!$B$17*'Com-Ind Equations'!$B$22*('Com-Ind Equations'!$B$24*'Com-Ind Equations'!$B$25/'Com-Ind Equations'!$B$26)))</f>
        <v>NA</v>
      </c>
      <c r="I144" s="108" t="str">
        <f>IF('Chemical Info'!H145="NA","NA",IF('Chemical Info'!E145="Yes",0,('Chemical Info'!H145/'Chemical Info'!AF145)*'Com-Ind Equations'!$B$19*'Chemical Info'!AB145*'Com-Ind Equations'!$B$22*(('Com-Ind Equations'!$B$24*'Com-Ind Equations'!$B$29*'Com-Ind Equations'!$B$30)/'Com-Ind Equations'!$B$26)))</f>
        <v>NA</v>
      </c>
      <c r="J144" s="115" t="str">
        <f>IF('Chemical Info'!J145="NA","NA",IF(E144="NA",'Com-Ind Equations'!$B$20*1000*'Com-Ind Equations'!$B$24*'Com-Ind Equations'!$B$21*'Chemical Info'!J145*'Com-Ind Calculations'!C144,IF('Chemical Info'!E145="Yes",'Com-Ind Equations'!$B$20*1000*'Com-Ind Equations'!$B$24*'Com-Ind Equations'!$B$21*'Chemical Info'!J145*'Com-Ind Calculations'!E144,'Com-Ind Equations'!$B$20*1000*'Com-Ind Equations'!$B$24*'Com-Ind Equations'!$B$21*'Chemical Info'!J145*('Com-Ind Calculations'!C144+'Com-Ind Calculations'!E144))))</f>
        <v>NA</v>
      </c>
      <c r="K144" s="117" t="str">
        <f>IF('Chemical Info'!J145="NA","NA",IF(F144="NA",'Com-Ind Equations'!$B$20*1000*'Com-Ind Equations'!$B$24*'Com-Ind Equations'!$B$21*'Chemical Info'!J145*'Com-Ind Calculations'!C144,IF('Chemical Info'!E145="Yes",'Com-Ind Equations'!$B$20*1000*'Com-Ind Equations'!$B$24*'Com-Ind Equations'!$B$21*'Chemical Info'!J145*'Com-Ind Calculations'!F144,'Com-Ind Equations'!$B$20*1000*'Com-Ind Equations'!$B$24*'Com-Ind Equations'!$B$21*'Chemical Info'!J145*('Com-Ind Calculations'!C144+'Com-Ind Calculations'!F144))))</f>
        <v>NA</v>
      </c>
      <c r="L144" s="95" t="str">
        <f>IF(AND(H144="NA",I144="NA",J144="NA"),"NA",IF(H144="NA",'Com-Ind Equations'!$B$13*'Com-Ind Equations'!$B$14/J144,IF(J144="NA",'Com-Ind Equations'!$B$13*'Com-Ind Equations'!$B$14/(H144+I144),'Com-Ind Equations'!$B$13*'Com-Ind Equations'!$B$14/(H144+I144+J144))))</f>
        <v>NA</v>
      </c>
      <c r="M144" s="95" t="str">
        <f>IF(AND(H144="NA",I144="NA",K144="NA"),"NA",IF(H144="NA",'Com-Ind Equations'!$B$13*'Com-Ind Equations'!$B$14/K144,IF(K144="NA",'Com-Ind Equations'!$B$13*'Com-Ind Equations'!$B$14/(H144+I144),'Com-Ind Equations'!$B$13*'Com-Ind Equations'!$B$14/(H144+I144+K144))))</f>
        <v>NA</v>
      </c>
      <c r="N144" s="95" t="str">
        <f t="shared" si="100"/>
        <v>NA</v>
      </c>
      <c r="O144" s="94">
        <f>IF('Chemical Info'!L145="NA","NA",IF('Chemical Info'!E145="Yes",(('Com-Ind Equations'!$B$46*'Chemical Info'!AD145*'Com-Ind Equations'!$B$48*'Com-Ind Equations'!$B$49*'Com-Ind Equations'!$B$51)/('Com-Ind Equations'!$B$55*'Com-Ind Equations'!$B$56))/'Chemical Info'!L145,(('Com-Ind Equations'!$B$46*'Chemical Info'!AD145*'Com-Ind Equations'!$B$48*'Com-Ind Equations'!$B$49*'Com-Ind Equations'!$B$50)/('Com-Ind Equations'!$B$55*'Com-Ind Equations'!$B$56))/'Chemical Info'!L145))</f>
        <v>4.2808219178082179E-5</v>
      </c>
      <c r="P144" s="90">
        <f>IF('Chemical Info'!L145="NA","NA", IF('Chemical Info'!E145="Yes",0,((('Com-Ind Equations'!$B$58*'Com-Ind Equations'!$B$59*'Com-Ind Equations'!$B$48*'Com-Ind Equations'!$B$52*'Com-Ind Equations'!$B$49*'Chemical Info'!AB145)/('Com-Ind Equations'!$B$55*'Com-Ind Equations'!$B$56))/('Chemical Info'!L145*'Chemical Info'!AF145))))</f>
        <v>1.3045068493150682E-5</v>
      </c>
      <c r="Q144" s="90">
        <f>IF('Chemical Info'!N145="NA","NA",IF('Com-Ind Calculations'!E144="NA",(('Com-Ind Equations'!$B$53*'Com-Ind Equations'!$B$49*'Com-Ind Equations'!$B$54*'Com-Ind Calculations'!C144)/('Com-Ind Equations'!$B$56))/('Chemical Info'!N145),IF('Chemical Info'!E145="Yes",(('Com-Ind Equations'!$B$53*'Com-Ind Equations'!$B$49*'Com-Ind Equations'!$B$54*'Com-Ind Calculations'!E144)/('Com-Ind Equations'!$B$56))/('Chemical Info'!N145),(('Com-Ind Equations'!$B$53*'Com-Ind Equations'!$B$49*'Com-Ind Equations'!$B$54*('Com-Ind Calculations'!C144+'Com-Ind Calculations'!E144))/('Com-Ind Equations'!$B$56))/('Chemical Info'!N145))))</f>
        <v>6.6767956191253237E-7</v>
      </c>
      <c r="R144" s="90">
        <f>IF('Chemical Info'!N145="NA","NA",IF('Com-Ind Calculations'!F144="NA",(('Com-Ind Equations'!$B$53*'Com-Ind Equations'!$B$49*'Com-Ind Equations'!$B$54*'Com-Ind Calculations'!C144)/('Com-Ind Equations'!$B$56))/('Chemical Info'!N145),IF('Chemical Info'!E145="Yes",(('Com-Ind Equations'!$B$53*'Com-Ind Equations'!$B$49*'Com-Ind Equations'!$B$54*'Com-Ind Calculations'!F144)/('Com-Ind Equations'!$B$56))/('Chemical Info'!N145),(('Com-Ind Equations'!$B$53*'Com-Ind Equations'!$B$49*'Com-Ind Equations'!$B$54*('Com-Ind Calculations'!C144+'Com-Ind Calculations'!F144))/('Com-Ind Equations'!$B$56))/('Chemical Info'!N145))))</f>
        <v>2.1204069175902008E-5</v>
      </c>
      <c r="S144" s="90">
        <f>IF(AND(O144="NA",P144="NA",Q144="NA"),"NA",IF(O144="NA",'Com-Ind Equations'!$B$45/'Com-Ind Calculations'!Q144,IF('Com-Ind Calculations'!Q144="NA",'Com-Ind Equations'!$B$45/('Com-Ind Calculations'!O144+'Com-Ind Calculations'!P144),'Com-Ind Equations'!$B$45/('Com-Ind Calculations'!O144+'Com-Ind Calculations'!P144+'Com-Ind Calculations'!Q144))))</f>
        <v>3538.5098626322642</v>
      </c>
      <c r="T144" s="95">
        <f>IF(AND(O144="NA",P144="NA",R144="NA"),"NA",IF(O144="NA",'Com-Ind Equations'!$B$45/R144,IF(R144="NA",'Com-Ind Equations'!$B$45/(O144+P144),'Com-Ind Equations'!$B$45/(O144+P144+R144))))</f>
        <v>2595.4692476249447</v>
      </c>
      <c r="U144" s="97">
        <f t="shared" si="101"/>
        <v>3538.5098626322642</v>
      </c>
      <c r="V144" s="101">
        <f t="shared" si="102"/>
        <v>3538.5098626322642</v>
      </c>
      <c r="W144" s="105">
        <f t="shared" si="104"/>
        <v>3500</v>
      </c>
      <c r="X144" s="100" t="str">
        <f t="shared" si="103"/>
        <v>Noncancer</v>
      </c>
      <c r="Y144" s="70"/>
    </row>
    <row r="145" spans="1:25">
      <c r="A145" s="373" t="s">
        <v>1107</v>
      </c>
      <c r="B145" s="566" t="s">
        <v>1108</v>
      </c>
      <c r="C145" s="85">
        <f>1/(('Com-Ind Equations'!$B$123*3600)/(0.036*(1-'Com-Ind Equations'!$B$124)*(('Com-Ind Equations'!$B$125/'Com-Ind Equations'!$B$126)^3)*'Com-Ind Equations'!$B$127))</f>
        <v>1.4713536180231943E-9</v>
      </c>
      <c r="D145" s="90">
        <f>(('Com-Ind Equations'!$B$103^(10/3)*'Chemical Info'!AH146*'Chemical Info'!AN146*41+'Com-Ind Equations'!$B$106^(10/3)*'Chemical Info'!AJ146)/'Com-Ind Equations'!$B$108^2)/('Com-Ind Equations'!$B$110*'Chemical Info'!AL146*'Com-Ind Equations'!$B$113+'Com-Ind Equations'!$B$106+'Com-Ind Equations'!$B$103*'Chemical Info'!AN146*41)</f>
        <v>2.3752058500635601E-6</v>
      </c>
      <c r="E145" s="65">
        <f>IF(D145=0,"NA",1/(('Com-Ind Equations'!$B$74*(3.14*D145*'Com-Ind Equations'!$B$76)^(1/2)*0.0001)/(2*'Com-Ind Equations'!$B$77*D145)))</f>
        <v>9.0464713258991515E-6</v>
      </c>
      <c r="F145" s="65">
        <f>IF(D145=0,"NA",(1/('Com-Ind Equations'!$B$88*('Com-Ind Equations'!$B$89*(31500000))/('Com-Ind Equations'!$B$90*'Com-Ind Equations'!$B$91*1000000))))</f>
        <v>6.1914410640015851E-5</v>
      </c>
      <c r="G145" s="95">
        <f>IF('Chemical Info'!E146="Yes",('Chemical Info'!AP146/'Com-Ind Equations'!$B$139)*((('Chemical Info'!AL146*'Com-Ind Equations'!$B$141)*'Com-Ind Equations'!$B$139)+'Com-Ind Equations'!$B$142+('Chemical Info'!AN146*41)*'Com-Ind Equations'!$B$144),"NA")</f>
        <v>3048.4398912000006</v>
      </c>
      <c r="H145" s="112" t="str">
        <f>IF('Chemical Info'!H146="NA","NA",IF('Chemical Info'!E146="Yes",'Chemical Info'!H146*'Chemical Info'!AD146*'Com-Ind Equations'!$B$18*'Com-Ind Equations'!$B$22*(('Com-Ind Equations'!$B$24*'Com-Ind Equations'!$B$25)/'Com-Ind Equations'!$B$26),'Chemical Info'!H146*'Chemical Info'!AD146*'Com-Ind Equations'!$B$17*'Com-Ind Equations'!$B$22*('Com-Ind Equations'!$B$24*'Com-Ind Equations'!$B$25/'Com-Ind Equations'!$B$26)))</f>
        <v>NA</v>
      </c>
      <c r="I145" s="108" t="str">
        <f>IF('Chemical Info'!H146="NA","NA",IF('Chemical Info'!E146="Yes",0,('Chemical Info'!H146/'Chemical Info'!AF146)*'Com-Ind Equations'!$B$19*'Chemical Info'!AB146*'Com-Ind Equations'!$B$22*(('Com-Ind Equations'!$B$24*'Com-Ind Equations'!$B$29*'Com-Ind Equations'!$B$30)/'Com-Ind Equations'!$B$26)))</f>
        <v>NA</v>
      </c>
      <c r="J145" s="115">
        <f>IF('Chemical Info'!J146="NA","NA",IF(E145="NA",'Com-Ind Equations'!$B$20*1000*'Com-Ind Equations'!$B$24*'Com-Ind Equations'!$B$21*'Chemical Info'!J146*'Com-Ind Calculations'!C145,IF('Chemical Info'!E146="Yes",'Com-Ind Equations'!$B$20*1000*'Com-Ind Equations'!$B$24*'Com-Ind Equations'!$B$21*'Chemical Info'!J146*'Com-Ind Calculations'!E145,'Com-Ind Equations'!$B$20*1000*'Com-Ind Equations'!$B$24*'Com-Ind Equations'!$B$21*'Chemical Info'!J146*('Com-Ind Calculations'!C145+'Com-Ind Calculations'!E145))))</f>
        <v>6.7848534944243641E-4</v>
      </c>
      <c r="K145" s="117">
        <f>IF('Chemical Info'!J146="NA","NA",IF(F145="NA",'Com-Ind Equations'!$B$20*1000*'Com-Ind Equations'!$B$24*'Com-Ind Equations'!$B$21*'Chemical Info'!J146*'Com-Ind Calculations'!C145,IF('Chemical Info'!E146="Yes",'Com-Ind Equations'!$B$20*1000*'Com-Ind Equations'!$B$24*'Com-Ind Equations'!$B$21*'Chemical Info'!J146*'Com-Ind Calculations'!F145,'Com-Ind Equations'!$B$20*1000*'Com-Ind Equations'!$B$24*'Com-Ind Equations'!$B$21*'Chemical Info'!J146*('Com-Ind Calculations'!C145+'Com-Ind Calculations'!F145))))</f>
        <v>4.643580798001189E-3</v>
      </c>
      <c r="L145" s="95">
        <f>IF(AND(H145="NA",I145="NA",J145="NA"),"NA",IF(H145="NA",'Com-Ind Equations'!$B$13*'Com-Ind Equations'!$B$14/J145,IF(J145="NA",'Com-Ind Equations'!$B$13*'Com-Ind Equations'!$B$14/(H145+I145),'Com-Ind Equations'!$B$13*'Com-Ind Equations'!$B$14/(H145+I145+J145))))</f>
        <v>376.57408551262603</v>
      </c>
      <c r="M145" s="95">
        <f>IF(AND(H145="NA",I145="NA",K145="NA"),"NA",IF(H145="NA",'Com-Ind Equations'!$B$13*'Com-Ind Equations'!$B$14/K145,IF(K145="NA",'Com-Ind Equations'!$B$13*'Com-Ind Equations'!$B$14/(H145+I145),'Com-Ind Equations'!$B$13*'Com-Ind Equations'!$B$14/(H145+I145+K145))))</f>
        <v>55.022193241469807</v>
      </c>
      <c r="N145" s="95">
        <f t="shared" ref="N145" si="165">IF(AND(L145="NA",M145="NA"),"NA",MAX(L145,M145))</f>
        <v>376.57408551262603</v>
      </c>
      <c r="O145" s="94">
        <f>IF('Chemical Info'!L146="NA","NA",IF('Chemical Info'!E146="Yes",(('Com-Ind Equations'!$B$46*'Chemical Info'!AD146*'Com-Ind Equations'!$B$48*'Com-Ind Equations'!$B$49*'Com-Ind Equations'!$B$51)/('Com-Ind Equations'!$B$55*'Com-Ind Equations'!$B$56))/'Chemical Info'!L146,(('Com-Ind Equations'!$B$46*'Chemical Info'!AD146*'Com-Ind Equations'!$B$48*'Com-Ind Equations'!$B$49*'Com-Ind Equations'!$B$50)/('Com-Ind Equations'!$B$55*'Com-Ind Equations'!$B$56))/'Chemical Info'!L146))</f>
        <v>3.0821917808219177E-4</v>
      </c>
      <c r="P145" s="90">
        <f>IF('Chemical Info'!L146="NA","NA", IF('Chemical Info'!E146="Yes",0,((('Com-Ind Equations'!$B$58*'Com-Ind Equations'!$B$59*'Com-Ind Equations'!$B$48*'Com-Ind Equations'!$B$52*'Com-Ind Equations'!$B$49*'Chemical Info'!AB146)/('Com-Ind Equations'!$B$55*'Com-Ind Equations'!$B$56))/('Chemical Info'!L146*'Chemical Info'!AF146))))</f>
        <v>0</v>
      </c>
      <c r="Q145" s="90">
        <f>IF('Chemical Info'!N146="NA","NA",IF('Com-Ind Calculations'!E145="NA",(('Com-Ind Equations'!$B$53*'Com-Ind Equations'!$B$49*'Com-Ind Equations'!$B$54*'Com-Ind Calculations'!C145)/('Com-Ind Equations'!$B$56))/('Chemical Info'!N146),IF('Chemical Info'!E146="Yes",(('Com-Ind Equations'!$B$53*'Com-Ind Equations'!$B$49*'Com-Ind Equations'!$B$54*'Com-Ind Calculations'!E145)/('Com-Ind Equations'!$B$56))/('Chemical Info'!N146),(('Com-Ind Equations'!$B$53*'Com-Ind Equations'!$B$49*'Com-Ind Equations'!$B$54*('Com-Ind Calculations'!C145+'Com-Ind Calculations'!E145))/('Com-Ind Equations'!$B$56))/('Chemical Info'!N146))))</f>
        <v>2.0654044123057422E-4</v>
      </c>
      <c r="R145" s="90">
        <f>IF('Chemical Info'!N146="NA","NA",IF('Com-Ind Calculations'!F145="NA",(('Com-Ind Equations'!$B$53*'Com-Ind Equations'!$B$49*'Com-Ind Equations'!$B$54*'Com-Ind Calculations'!C145)/('Com-Ind Equations'!$B$56))/('Chemical Info'!N146),IF('Chemical Info'!E146="Yes",(('Com-Ind Equations'!$B$53*'Com-Ind Equations'!$B$49*'Com-Ind Equations'!$B$54*'Com-Ind Calculations'!F145)/('Com-Ind Equations'!$B$56))/('Chemical Info'!N146),(('Com-Ind Equations'!$B$53*'Com-Ind Equations'!$B$49*'Com-Ind Equations'!$B$54*('Com-Ind Calculations'!C145+'Com-Ind Calculations'!F145))/('Com-Ind Equations'!$B$56))/('Chemical Info'!N146))))</f>
        <v>1.4135710191784442E-3</v>
      </c>
      <c r="S145" s="90">
        <f>IF(AND(O145="NA",P145="NA",Q145="NA"),"NA",IF(O145="NA",'Com-Ind Equations'!$B$45/'Com-Ind Calculations'!Q145,IF('Com-Ind Calculations'!Q145="NA",'Com-Ind Equations'!$B$45/('Com-Ind Calculations'!O145+'Com-Ind Calculations'!P145),'Com-Ind Equations'!$B$45/('Com-Ind Calculations'!O145+'Com-Ind Calculations'!P145+'Com-Ind Calculations'!Q145))))</f>
        <v>388.53086469177907</v>
      </c>
      <c r="T145" s="95">
        <f>IF(AND(O145="NA",P145="NA",R145="NA"),"NA",IF(O145="NA",'Com-Ind Equations'!$B$45/R145,IF(R145="NA",'Com-Ind Equations'!$B$45/(O145+P145),'Com-Ind Equations'!$B$45/(O145+P145+R145))))</f>
        <v>116.15817090734953</v>
      </c>
      <c r="U145" s="97">
        <f t="shared" ref="U145" si="166">IF(AND(S145="NA",T145="NA"),"NA",MAX(S145,T145))</f>
        <v>388.53086469177907</v>
      </c>
      <c r="V145" s="101">
        <f t="shared" ref="V145" si="167">IF(AND(N145="NA",U145="NA",G145="NA"),"NA",MIN(N145,U145,G145))</f>
        <v>376.57408551262603</v>
      </c>
      <c r="W145" s="105">
        <f t="shared" ref="W145" si="168">IF(V145&gt;100000,100000,IF(ISNUMBER(ROUND(V145*1000000,2-LEN(INT(V145*1000000)))/1000000),ROUND(V145*1000000,2-LEN(INT(V145*1000000)))/1000000,"NA"))</f>
        <v>380</v>
      </c>
      <c r="X145" s="100" t="str">
        <f t="shared" ref="X145" si="169">IF(W145=100000,"Max Limit",IF(V145=G145,"Csat",IF(V145=N145,"Cancer",IF(V145=U145,"Noncancer",""))))</f>
        <v>Cancer</v>
      </c>
      <c r="Y145" s="70"/>
    </row>
    <row r="146" spans="1:25">
      <c r="A146" s="373" t="s">
        <v>396</v>
      </c>
      <c r="B146" s="566" t="s">
        <v>140</v>
      </c>
      <c r="C146" s="85">
        <f>1/(('Com-Ind Equations'!$B$123*3600)/(0.036*(1-'Com-Ind Equations'!$B$124)*(('Com-Ind Equations'!$B$125/'Com-Ind Equations'!$B$126)^3)*'Com-Ind Equations'!$B$127))</f>
        <v>1.4713536180231943E-9</v>
      </c>
      <c r="D146" s="90">
        <f>(('Com-Ind Equations'!$B$103^(10/3)*'Chemical Info'!AH147*'Chemical Info'!AN147*41+'Com-Ind Equations'!$B$106^(10/3)*'Chemical Info'!AJ147)/'Com-Ind Equations'!$B$108^2)/('Com-Ind Equations'!$B$110*'Chemical Info'!AL147*'Com-Ind Equations'!$B$113+'Com-Ind Equations'!$B$106+'Com-Ind Equations'!$B$103*'Chemical Info'!AN147*41)</f>
        <v>0</v>
      </c>
      <c r="E146" s="65" t="str">
        <f>IF(D146=0,"NA",1/(('Com-Ind Equations'!$B$74*(3.14*D146*'Com-Ind Equations'!$B$76)^(1/2)*0.0001)/(2*'Com-Ind Equations'!$B$77*D146)))</f>
        <v>NA</v>
      </c>
      <c r="F146" s="65" t="str">
        <f>IF(D146=0,"NA",(1/('Com-Ind Equations'!$B$88*('Com-Ind Equations'!$B$89*(31500000))/('Com-Ind Equations'!$B$90*'Com-Ind Equations'!$B$91*1000000))))</f>
        <v>NA</v>
      </c>
      <c r="G146" s="95" t="str">
        <f>IF('Chemical Info'!E147="Yes",('Chemical Info'!AP147/'Com-Ind Equations'!$B$139)*((('Chemical Info'!AL147*'Com-Ind Equations'!$B$141)*'Com-Ind Equations'!$B$139)+'Com-Ind Equations'!$B$142+('Chemical Info'!AN147*41)*'Com-Ind Equations'!$B$144),"NA")</f>
        <v>NA</v>
      </c>
      <c r="H146" s="112" t="str">
        <f>IF('Chemical Info'!H147="NA","NA",IF('Chemical Info'!E147="Yes",'Chemical Info'!H147*'Chemical Info'!AD147*'Com-Ind Equations'!$B$18*'Com-Ind Equations'!$B$22*(('Com-Ind Equations'!$B$24*'Com-Ind Equations'!$B$25)/'Com-Ind Equations'!$B$26),'Chemical Info'!H147*'Chemical Info'!AD147*'Com-Ind Equations'!$B$17*'Com-Ind Equations'!$B$22*('Com-Ind Equations'!$B$24*'Com-Ind Equations'!$B$25/'Com-Ind Equations'!$B$26)))</f>
        <v>NA</v>
      </c>
      <c r="I146" s="108" t="str">
        <f>IF('Chemical Info'!H147="NA","NA",IF('Chemical Info'!E147="Yes",0,('Chemical Info'!H147/'Chemical Info'!AF147)*'Com-Ind Equations'!$B$19*'Chemical Info'!AB147*'Com-Ind Equations'!$B$22*(('Com-Ind Equations'!$B$24*'Com-Ind Equations'!$B$29*'Com-Ind Equations'!$B$30)/'Com-Ind Equations'!$B$26)))</f>
        <v>NA</v>
      </c>
      <c r="J146" s="115" t="str">
        <f>IF('Chemical Info'!J147="NA","NA",IF(E146="NA",'Com-Ind Equations'!$B$20*1000*'Com-Ind Equations'!$B$24*'Com-Ind Equations'!$B$21*'Chemical Info'!J147*'Com-Ind Calculations'!C146,IF('Chemical Info'!E147="Yes",'Com-Ind Equations'!$B$20*1000*'Com-Ind Equations'!$B$24*'Com-Ind Equations'!$B$21*'Chemical Info'!J147*'Com-Ind Calculations'!E146,'Com-Ind Equations'!$B$20*1000*'Com-Ind Equations'!$B$24*'Com-Ind Equations'!$B$21*'Chemical Info'!J147*('Com-Ind Calculations'!C146+'Com-Ind Calculations'!E146))))</f>
        <v>NA</v>
      </c>
      <c r="K146" s="117" t="str">
        <f>IF('Chemical Info'!J147="NA","NA",IF(F146="NA",'Com-Ind Equations'!$B$20*1000*'Com-Ind Equations'!$B$24*'Com-Ind Equations'!$B$21*'Chemical Info'!J147*'Com-Ind Calculations'!C146,IF('Chemical Info'!E147="Yes",'Com-Ind Equations'!$B$20*1000*'Com-Ind Equations'!$B$24*'Com-Ind Equations'!$B$21*'Chemical Info'!J147*'Com-Ind Calculations'!F146,'Com-Ind Equations'!$B$20*1000*'Com-Ind Equations'!$B$24*'Com-Ind Equations'!$B$21*'Chemical Info'!J147*('Com-Ind Calculations'!C146+'Com-Ind Calculations'!F146))))</f>
        <v>NA</v>
      </c>
      <c r="L146" s="95" t="str">
        <f>IF(AND(H146="NA",I146="NA",J146="NA"),"NA",IF(H146="NA",'Com-Ind Equations'!$B$13*'Com-Ind Equations'!$B$14/J146,IF(J146="NA",'Com-Ind Equations'!$B$13*'Com-Ind Equations'!$B$14/(H146+I146),'Com-Ind Equations'!$B$13*'Com-Ind Equations'!$B$14/(H146+I146+J146))))</f>
        <v>NA</v>
      </c>
      <c r="M146" s="95" t="str">
        <f>IF(AND(H146="NA",I146="NA",K146="NA"),"NA",IF(H146="NA",'Com-Ind Equations'!$B$13*'Com-Ind Equations'!$B$14/K146,IF(K146="NA",'Com-Ind Equations'!$B$13*'Com-Ind Equations'!$B$14/(H146+I146),'Com-Ind Equations'!$B$13*'Com-Ind Equations'!$B$14/(H146+I146+K146))))</f>
        <v>NA</v>
      </c>
      <c r="N146" s="95" t="str">
        <f>IF(AND(L146="NA",M146="NA"),"NA",MAX(L146,M146))</f>
        <v>NA</v>
      </c>
      <c r="O146" s="94">
        <f>IF('Chemical Info'!L147="NA","NA",IF('Chemical Info'!E147="Yes",(('Com-Ind Equations'!$B$46*'Chemical Info'!AD147*'Com-Ind Equations'!$B$48*'Com-Ind Equations'!$B$49*'Com-Ind Equations'!$B$51)/('Com-Ind Equations'!$B$55*'Com-Ind Equations'!$B$56))/'Chemical Info'!L147,(('Com-Ind Equations'!$B$46*'Chemical Info'!AD147*'Com-Ind Equations'!$B$48*'Com-Ind Equations'!$B$49*'Com-Ind Equations'!$B$50)/('Com-Ind Equations'!$B$55*'Com-Ind Equations'!$B$56))/'Chemical Info'!L147))</f>
        <v>1.0702054794520546E-4</v>
      </c>
      <c r="P146" s="90">
        <f>IF('Chemical Info'!L147="NA","NA", IF('Chemical Info'!E147="Yes",0,((('Com-Ind Equations'!$B$58*'Com-Ind Equations'!$B$59*'Com-Ind Equations'!$B$48*'Com-Ind Equations'!$B$52*'Com-Ind Equations'!$B$49*'Chemical Info'!AB147)/('Com-Ind Equations'!$B$55*'Com-Ind Equations'!$B$56))/('Chemical Info'!L147*'Chemical Info'!AF147))))</f>
        <v>3.2612671232876707E-5</v>
      </c>
      <c r="Q146" s="90" t="str">
        <f>IF('Chemical Info'!N147="NA","NA",IF('Com-Ind Calculations'!E146="NA",(('Com-Ind Equations'!$B$53*'Com-Ind Equations'!$B$49*'Com-Ind Equations'!$B$54*'Com-Ind Calculations'!C146)/('Com-Ind Equations'!$B$56))/('Chemical Info'!N147),IF('Chemical Info'!E147="Yes",(('Com-Ind Equations'!$B$53*'Com-Ind Equations'!$B$49*'Com-Ind Equations'!$B$54*'Com-Ind Calculations'!E146)/('Com-Ind Equations'!$B$56))/('Chemical Info'!N147),(('Com-Ind Equations'!$B$53*'Com-Ind Equations'!$B$49*'Com-Ind Equations'!$B$54*('Com-Ind Calculations'!C146+'Com-Ind Calculations'!E146))/('Com-Ind Equations'!$B$56))/('Chemical Info'!N147))))</f>
        <v>NA</v>
      </c>
      <c r="R146" s="90" t="str">
        <f>IF('Chemical Info'!N147="NA","NA",IF('Com-Ind Calculations'!F146="NA",(('Com-Ind Equations'!$B$53*'Com-Ind Equations'!$B$49*'Com-Ind Equations'!$B$54*'Com-Ind Calculations'!C146)/('Com-Ind Equations'!$B$56))/('Chemical Info'!N147),IF('Chemical Info'!E147="Yes",(('Com-Ind Equations'!$B$53*'Com-Ind Equations'!$B$49*'Com-Ind Equations'!$B$54*'Com-Ind Calculations'!F146)/('Com-Ind Equations'!$B$56))/('Chemical Info'!N147),(('Com-Ind Equations'!$B$53*'Com-Ind Equations'!$B$49*'Com-Ind Equations'!$B$54*('Com-Ind Calculations'!C146+'Com-Ind Calculations'!F146))/('Com-Ind Equations'!$B$56))/('Chemical Info'!N147))))</f>
        <v>NA</v>
      </c>
      <c r="S146" s="90">
        <f>IF(AND(O146="NA",P146="NA",Q146="NA"),"NA",IF(O146="NA",'Com-Ind Equations'!$B$45/'Com-Ind Calculations'!Q146,IF('Com-Ind Calculations'!Q146="NA",'Com-Ind Equations'!$B$45/('Com-Ind Calculations'!O146+'Com-Ind Calculations'!P146),'Com-Ind Equations'!$B$45/('Com-Ind Calculations'!O146+'Com-Ind Calculations'!P146+'Com-Ind Calculations'!Q146))))</f>
        <v>1432.3239210357865</v>
      </c>
      <c r="T146" s="95">
        <f>IF(AND(O146="NA",P146="NA",R146="NA"),"NA",IF(O146="NA",'Com-Ind Equations'!$B$45/R146,IF(R146="NA",'Com-Ind Equations'!$B$45/(O146+P146),'Com-Ind Equations'!$B$45/(O146+P146+R146))))</f>
        <v>1432.3239210357865</v>
      </c>
      <c r="U146" s="97">
        <f>IF(AND(S146="NA",T146="NA"),"NA",MAX(S146,T146))</f>
        <v>1432.3239210357865</v>
      </c>
      <c r="V146" s="101">
        <f t="shared" si="102"/>
        <v>1432.3239210357865</v>
      </c>
      <c r="W146" s="105">
        <f t="shared" si="104"/>
        <v>1400</v>
      </c>
      <c r="X146" s="100" t="str">
        <f t="shared" si="103"/>
        <v>Noncancer</v>
      </c>
      <c r="Y146" s="70"/>
    </row>
    <row r="147" spans="1:25">
      <c r="A147" s="413" t="s">
        <v>143</v>
      </c>
      <c r="B147" s="566" t="s">
        <v>60</v>
      </c>
      <c r="C147" s="85">
        <f>1/(('Com-Ind Equations'!$B$123*3600)/(0.036*(1-'Com-Ind Equations'!$B$124)*(('Com-Ind Equations'!$B$125/'Com-Ind Equations'!$B$126)^3)*'Com-Ind Equations'!$B$127))</f>
        <v>1.4713536180231943E-9</v>
      </c>
      <c r="D147" s="90">
        <f>(('Com-Ind Equations'!$B$103^(10/3)*'Chemical Info'!AH148*'Chemical Info'!AN148*41+'Com-Ind Equations'!$B$106^(10/3)*'Chemical Info'!AJ148)/'Com-Ind Equations'!$B$108^2)/('Com-Ind Equations'!$B$110*'Chemical Info'!AL148*'Com-Ind Equations'!$B$113+'Com-Ind Equations'!$B$106+'Com-Ind Equations'!$B$103*'Chemical Info'!AN148*41)</f>
        <v>3.8926899436967005E-7</v>
      </c>
      <c r="E147" s="65">
        <f>IF(D147=0,"NA",1/(('Com-Ind Equations'!$B$74*(3.14*D147*'Com-Ind Equations'!$B$76)^(1/2)*0.0001)/(2*'Com-Ind Equations'!$B$77*D147)))</f>
        <v>3.6622964029640886E-6</v>
      </c>
      <c r="F147" s="65">
        <f>IF(D147=0,"NA",(1/('Com-Ind Equations'!$B$88*('Com-Ind Equations'!$B$89*(31500000))/('Com-Ind Equations'!$B$90*'Com-Ind Equations'!$B$91*1000000))))</f>
        <v>6.1914410640015851E-5</v>
      </c>
      <c r="G147" s="95" t="str">
        <f>IF('Chemical Info'!E148="Yes",('Chemical Info'!AP148/'Com-Ind Equations'!$B$139)*((('Chemical Info'!AL148*'Com-Ind Equations'!$B$141)*'Com-Ind Equations'!$B$139)+'Com-Ind Equations'!$B$142+('Chemical Info'!AN148*41)*'Com-Ind Equations'!$B$144),"NA")</f>
        <v>NA</v>
      </c>
      <c r="H147" s="112">
        <f>IF('Chemical Info'!H148="NA","NA",IF('Chemical Info'!E148="Yes",'Chemical Info'!H148*'Chemical Info'!AD148*'Com-Ind Equations'!$B$18*'Com-Ind Equations'!$B$22*(('Com-Ind Equations'!$B$24*'Com-Ind Equations'!$B$25)/'Com-Ind Equations'!$B$26),'Chemical Info'!H148*'Chemical Info'!AD148*'Com-Ind Equations'!$B$17*'Com-Ind Equations'!$B$22*('Com-Ind Equations'!$B$24*'Com-Ind Equations'!$B$25/'Com-Ind Equations'!$B$26)))</f>
        <v>5.4687499999999993E-2</v>
      </c>
      <c r="I147" s="108">
        <f>IF('Chemical Info'!H148="NA","NA",IF('Chemical Info'!E148="Yes",0,('Chemical Info'!H148/'Chemical Info'!AF148)*'Com-Ind Equations'!$B$19*'Chemical Info'!AB148*'Com-Ind Equations'!$B$22*(('Com-Ind Equations'!$B$24*'Com-Ind Equations'!$B$29*'Com-Ind Equations'!$B$30)/'Com-Ind Equations'!$B$26)))</f>
        <v>1.6665074999999998E-2</v>
      </c>
      <c r="J147" s="115">
        <f>IF('Chemical Info'!J148="NA","NA",IF(E147="NA",'Com-Ind Equations'!$B$20*1000*'Com-Ind Equations'!$B$24*'Com-Ind Equations'!$B$21*'Chemical Info'!J148*'Com-Ind Calculations'!C147,IF('Chemical Info'!E148="Yes",'Com-Ind Equations'!$B$20*1000*'Com-Ind Equations'!$B$24*'Com-Ind Equations'!$B$21*'Chemical Info'!J148*'Com-Ind Calculations'!E147,'Com-Ind Equations'!$B$20*1000*'Com-Ind Equations'!$B$24*'Com-Ind Equations'!$B$21*'Chemical Info'!J148*('Com-Ind Calculations'!C147+'Com-Ind Calculations'!E147))))</f>
        <v>1.373912908718292E-2</v>
      </c>
      <c r="K147" s="117">
        <f>IF('Chemical Info'!J148="NA","NA",IF(F147="NA",'Com-Ind Equations'!$B$20*1000*'Com-Ind Equations'!$B$24*'Com-Ind Equations'!$B$21*'Chemical Info'!J148*'Com-Ind Calculations'!C147,IF('Chemical Info'!E148="Yes",'Com-Ind Equations'!$B$20*1000*'Com-Ind Equations'!$B$24*'Com-Ind Equations'!$B$21*'Chemical Info'!J148*'Com-Ind Calculations'!F147,'Com-Ind Equations'!$B$20*1000*'Com-Ind Equations'!$B$24*'Com-Ind Equations'!$B$21*'Chemical Info'!J148*('Com-Ind Calculations'!C147+'Com-Ind Calculations'!F147))))</f>
        <v>0.23218455747612701</v>
      </c>
      <c r="L147" s="95">
        <f>IF(AND(H147="NA",I147="NA",J147="NA"),"NA",IF(H147="NA",'Com-Ind Equations'!$B$13*'Com-Ind Equations'!$B$14/J147,IF(J147="NA",'Com-Ind Equations'!$B$13*'Com-Ind Equations'!$B$14/(H147+I147),'Com-Ind Equations'!$B$13*'Com-Ind Equations'!$B$14/(H147+I147+J147))))</f>
        <v>3.0026428867639186</v>
      </c>
      <c r="M147" s="95">
        <f>IF(AND(H147="NA",I147="NA",K147="NA"),"NA",IF(H147="NA",'Com-Ind Equations'!$B$13*'Com-Ind Equations'!$B$14/K147,IF(K147="NA",'Com-Ind Equations'!$B$13*'Com-Ind Equations'!$B$14/(H147+I147),'Com-Ind Equations'!$B$13*'Com-Ind Equations'!$B$14/(H147+I147+K147))))</f>
        <v>0.84174215495725191</v>
      </c>
      <c r="N147" s="95">
        <f t="shared" si="100"/>
        <v>3.0026428867639186</v>
      </c>
      <c r="O147" s="94" t="str">
        <f>IF('Chemical Info'!L148="NA","NA",IF('Chemical Info'!E148="Yes",(('Com-Ind Equations'!$B$46*'Chemical Info'!AD148*'Com-Ind Equations'!$B$48*'Com-Ind Equations'!$B$49*'Com-Ind Equations'!$B$51)/('Com-Ind Equations'!$B$55*'Com-Ind Equations'!$B$56))/'Chemical Info'!L148,(('Com-Ind Equations'!$B$46*'Chemical Info'!AD148*'Com-Ind Equations'!$B$48*'Com-Ind Equations'!$B$49*'Com-Ind Equations'!$B$50)/('Com-Ind Equations'!$B$55*'Com-Ind Equations'!$B$56))/'Chemical Info'!L148))</f>
        <v>NA</v>
      </c>
      <c r="P147" s="90" t="str">
        <f>IF('Chemical Info'!L148="NA","NA", IF('Chemical Info'!E148="Yes",0,((('Com-Ind Equations'!$B$58*'Com-Ind Equations'!$B$59*'Com-Ind Equations'!$B$48*'Com-Ind Equations'!$B$52*'Com-Ind Equations'!$B$49*'Chemical Info'!AB148)/('Com-Ind Equations'!$B$55*'Com-Ind Equations'!$B$56))/('Chemical Info'!L148*'Chemical Info'!AF148))))</f>
        <v>NA</v>
      </c>
      <c r="Q147" s="90" t="str">
        <f>IF('Chemical Info'!N148="NA","NA",IF('Com-Ind Calculations'!E147="NA",(('Com-Ind Equations'!$B$53*'Com-Ind Equations'!$B$49*'Com-Ind Equations'!$B$54*'Com-Ind Calculations'!C147)/('Com-Ind Equations'!$B$56))/('Chemical Info'!N148),IF('Chemical Info'!E148="Yes",(('Com-Ind Equations'!$B$53*'Com-Ind Equations'!$B$49*'Com-Ind Equations'!$B$54*'Com-Ind Calculations'!E147)/('Com-Ind Equations'!$B$56))/('Chemical Info'!N148),(('Com-Ind Equations'!$B$53*'Com-Ind Equations'!$B$49*'Com-Ind Equations'!$B$54*('Com-Ind Calculations'!C147+'Com-Ind Calculations'!E147))/('Com-Ind Equations'!$B$56))/('Chemical Info'!N148))))</f>
        <v>NA</v>
      </c>
      <c r="R147" s="90" t="str">
        <f>IF('Chemical Info'!N148="NA","NA",IF('Com-Ind Calculations'!F147="NA",(('Com-Ind Equations'!$B$53*'Com-Ind Equations'!$B$49*'Com-Ind Equations'!$B$54*'Com-Ind Calculations'!C147)/('Com-Ind Equations'!$B$56))/('Chemical Info'!N148),IF('Chemical Info'!E148="Yes",(('Com-Ind Equations'!$B$53*'Com-Ind Equations'!$B$49*'Com-Ind Equations'!$B$54*'Com-Ind Calculations'!F147)/('Com-Ind Equations'!$B$56))/('Chemical Info'!N148),(('Com-Ind Equations'!$B$53*'Com-Ind Equations'!$B$49*'Com-Ind Equations'!$B$54*('Com-Ind Calculations'!C147+'Com-Ind Calculations'!F147))/('Com-Ind Equations'!$B$56))/('Chemical Info'!N148))))</f>
        <v>NA</v>
      </c>
      <c r="S147" s="90" t="str">
        <f>IF(AND(O147="NA",P147="NA",Q147="NA"),"NA",IF(O147="NA",'Com-Ind Equations'!$B$45/'Com-Ind Calculations'!Q147,IF('Com-Ind Calculations'!Q147="NA",'Com-Ind Equations'!$B$45/('Com-Ind Calculations'!O147+'Com-Ind Calculations'!P147),'Com-Ind Equations'!$B$45/('Com-Ind Calculations'!O147+'Com-Ind Calculations'!P147+'Com-Ind Calculations'!Q147))))</f>
        <v>NA</v>
      </c>
      <c r="T147" s="95" t="str">
        <f>IF(AND(O147="NA",P147="NA",R147="NA"),"NA",IF(O147="NA",'Com-Ind Equations'!$B$45/R147,IF(R147="NA",'Com-Ind Equations'!$B$45/(O147+P147),'Com-Ind Equations'!$B$45/(O147+P147+R147))))</f>
        <v>NA</v>
      </c>
      <c r="U147" s="97" t="str">
        <f t="shared" si="101"/>
        <v>NA</v>
      </c>
      <c r="V147" s="101">
        <f t="shared" si="102"/>
        <v>3.0026428867639186</v>
      </c>
      <c r="W147" s="105">
        <f t="shared" si="104"/>
        <v>3</v>
      </c>
      <c r="X147" s="100" t="str">
        <f t="shared" si="103"/>
        <v>Cancer</v>
      </c>
      <c r="Y147" s="70"/>
    </row>
    <row r="148" spans="1:25">
      <c r="A148" s="413" t="s">
        <v>1137</v>
      </c>
      <c r="B148" s="566" t="s">
        <v>1138</v>
      </c>
      <c r="C148" s="85">
        <f>1/(('Com-Ind Equations'!$B$123*3600)/(0.036*(1-'Com-Ind Equations'!$B$124)*(('Com-Ind Equations'!$B$125/'Com-Ind Equations'!$B$126)^3)*'Com-Ind Equations'!$B$127))</f>
        <v>1.4713536180231943E-9</v>
      </c>
      <c r="D148" s="90">
        <f>(('Com-Ind Equations'!$B$103^(10/3)*'Chemical Info'!AH149*'Chemical Info'!AN149*41+'Com-Ind Equations'!$B$106^(10/3)*'Chemical Info'!AJ149)/'Com-Ind Equations'!$B$108^2)/('Com-Ind Equations'!$B$110*'Chemical Info'!AL149*'Com-Ind Equations'!$B$113+'Com-Ind Equations'!$B$106+'Com-Ind Equations'!$B$103*'Chemical Info'!AN149*41)</f>
        <v>1.0319461980777535E-6</v>
      </c>
      <c r="E148" s="65">
        <f>IF(D148=0,"NA",1/(('Com-Ind Equations'!$B$74*(3.14*D148*'Com-Ind Equations'!$B$76)^(1/2)*0.0001)/(2*'Com-Ind Equations'!$B$77*D148)))</f>
        <v>5.9628943073749187E-6</v>
      </c>
      <c r="F148" s="65">
        <f>IF(D148=0,"NA",(1/('Com-Ind Equations'!$B$88*('Com-Ind Equations'!$B$89*(31500000))/('Com-Ind Equations'!$B$90*'Com-Ind Equations'!$B$91*1000000))))</f>
        <v>6.1914410640015851E-5</v>
      </c>
      <c r="G148" s="95" t="str">
        <f>IF('Chemical Info'!E149="Yes",('Chemical Info'!AP149/'Com-Ind Equations'!$B$139)*((('Chemical Info'!AL149*'Com-Ind Equations'!$B$141)*'Com-Ind Equations'!$B$139)+'Com-Ind Equations'!$B$142+('Chemical Info'!AN149*41)*'Com-Ind Equations'!$B$144),"NA")</f>
        <v>NA</v>
      </c>
      <c r="H148" s="112">
        <f>IF('Chemical Info'!H149="NA","NA",IF('Chemical Info'!E149="Yes",'Chemical Info'!H149*'Chemical Info'!AD149*'Com-Ind Equations'!$B$18*'Com-Ind Equations'!$B$22*(('Com-Ind Equations'!$B$24*'Com-Ind Equations'!$B$25)/'Com-Ind Equations'!$B$26),'Chemical Info'!H149*'Chemical Info'!AD149*'Com-Ind Equations'!$B$17*'Com-Ind Equations'!$B$22*('Com-Ind Equations'!$B$24*'Com-Ind Equations'!$B$25/'Com-Ind Equations'!$B$26)))</f>
        <v>1.171875</v>
      </c>
      <c r="I148" s="108">
        <f>IF('Chemical Info'!H149="NA","NA",IF('Chemical Info'!E149="Yes",0,('Chemical Info'!H149/'Chemical Info'!AF149)*'Com-Ind Equations'!$B$19*'Chemical Info'!AB149*'Com-Ind Equations'!$B$22*(('Com-Ind Equations'!$B$24*'Com-Ind Equations'!$B$29*'Com-Ind Equations'!$B$30)/'Com-Ind Equations'!$B$26)))</f>
        <v>0.35710874999999992</v>
      </c>
      <c r="J148" s="115">
        <f>IF('Chemical Info'!J149="NA","NA",IF(E148="NA",'Com-Ind Equations'!$B$20*1000*'Com-Ind Equations'!$B$24*'Com-Ind Equations'!$B$21*'Chemical Info'!J149*'Com-Ind Calculations'!C148,IF('Chemical Info'!E149="Yes",'Com-Ind Equations'!$B$20*1000*'Com-Ind Equations'!$B$24*'Com-Ind Equations'!$B$21*'Chemical Info'!J149*'Com-Ind Calculations'!E148,'Com-Ind Equations'!$B$20*1000*'Com-Ind Equations'!$B$24*'Com-Ind Equations'!$B$21*'Chemical Info'!J149*('Com-Ind Calculations'!C148+'Com-Ind Calculations'!E148))))</f>
        <v>0.48087698141755592</v>
      </c>
      <c r="K148" s="117">
        <f>IF('Chemical Info'!J149="NA","NA",IF(F148="NA",'Com-Ind Equations'!$B$20*1000*'Com-Ind Equations'!$B$24*'Com-Ind Equations'!$B$21*'Chemical Info'!J149*'Com-Ind Calculations'!C148,IF('Chemical Info'!E149="Yes",'Com-Ind Equations'!$B$20*1000*'Com-Ind Equations'!$B$24*'Com-Ind Equations'!$B$21*'Chemical Info'!J149*'Com-Ind Calculations'!F148,'Com-Ind Equations'!$B$20*1000*'Com-Ind Equations'!$B$24*'Com-Ind Equations'!$B$21*'Chemical Info'!J149*('Com-Ind Calculations'!C148+'Com-Ind Calculations'!F148))))</f>
        <v>4.9919679857367303</v>
      </c>
      <c r="L148" s="95">
        <f>IF(AND(H148="NA",I148="NA",J148="NA"),"NA",IF(H148="NA",'Com-Ind Equations'!$B$13*'Com-Ind Equations'!$B$14/J148,IF(J148="NA",'Com-Ind Equations'!$B$13*'Com-Ind Equations'!$B$14/(H148+I148),'Com-Ind Equations'!$B$13*'Com-Ind Equations'!$B$14/(H148+I148+J148))))</f>
        <v>0.12712323595665045</v>
      </c>
      <c r="M148" s="95">
        <f>IF(AND(H148="NA",I148="NA",K148="NA"),"NA",IF(H148="NA",'Com-Ind Equations'!$B$13*'Com-Ind Equations'!$B$14/K148,IF(K148="NA",'Com-Ind Equations'!$B$13*'Com-Ind Equations'!$B$14/(H148+I148),'Com-Ind Equations'!$B$13*'Com-Ind Equations'!$B$14/(H148+I148+K148))))</f>
        <v>3.9181397187742543E-2</v>
      </c>
      <c r="N148" s="95">
        <f t="shared" ref="N148" si="170">IF(AND(L148="NA",M148="NA"),"NA",MAX(L148,M148))</f>
        <v>0.12712323595665045</v>
      </c>
      <c r="O148" s="94" t="str">
        <f>IF('Chemical Info'!L149="NA","NA",IF('Chemical Info'!E149="Yes",(('Com-Ind Equations'!$B$46*'Chemical Info'!AD149*'Com-Ind Equations'!$B$48*'Com-Ind Equations'!$B$49*'Com-Ind Equations'!$B$51)/('Com-Ind Equations'!$B$55*'Com-Ind Equations'!$B$56))/'Chemical Info'!L149,(('Com-Ind Equations'!$B$46*'Chemical Info'!AD149*'Com-Ind Equations'!$B$48*'Com-Ind Equations'!$B$49*'Com-Ind Equations'!$B$50)/('Com-Ind Equations'!$B$55*'Com-Ind Equations'!$B$56))/'Chemical Info'!L149))</f>
        <v>NA</v>
      </c>
      <c r="P148" s="90" t="str">
        <f>IF('Chemical Info'!L149="NA","NA", IF('Chemical Info'!E149="Yes",0,((('Com-Ind Equations'!$B$58*'Com-Ind Equations'!$B$59*'Com-Ind Equations'!$B$48*'Com-Ind Equations'!$B$52*'Com-Ind Equations'!$B$49*'Chemical Info'!AB149)/('Com-Ind Equations'!$B$55*'Com-Ind Equations'!$B$56))/('Chemical Info'!L149*'Chemical Info'!AF149))))</f>
        <v>NA</v>
      </c>
      <c r="Q148" s="90" t="str">
        <f>IF('Chemical Info'!N149="NA","NA",IF('Com-Ind Calculations'!E148="NA",(('Com-Ind Equations'!$B$53*'Com-Ind Equations'!$B$49*'Com-Ind Equations'!$B$54*'Com-Ind Calculations'!C148)/('Com-Ind Equations'!$B$56))/('Chemical Info'!N149),IF('Chemical Info'!E149="Yes",(('Com-Ind Equations'!$B$53*'Com-Ind Equations'!$B$49*'Com-Ind Equations'!$B$54*'Com-Ind Calculations'!E148)/('Com-Ind Equations'!$B$56))/('Chemical Info'!N149),(('Com-Ind Equations'!$B$53*'Com-Ind Equations'!$B$49*'Com-Ind Equations'!$B$54*('Com-Ind Calculations'!C148+'Com-Ind Calculations'!E148))/('Com-Ind Equations'!$B$56))/('Chemical Info'!N149))))</f>
        <v>NA</v>
      </c>
      <c r="R148" s="90" t="str">
        <f>IF('Chemical Info'!N149="NA","NA",IF('Com-Ind Calculations'!F148="NA",(('Com-Ind Equations'!$B$53*'Com-Ind Equations'!$B$49*'Com-Ind Equations'!$B$54*'Com-Ind Calculations'!C148)/('Com-Ind Equations'!$B$56))/('Chemical Info'!N149),IF('Chemical Info'!E149="Yes",(('Com-Ind Equations'!$B$53*'Com-Ind Equations'!$B$49*'Com-Ind Equations'!$B$54*'Com-Ind Calculations'!F148)/('Com-Ind Equations'!$B$56))/('Chemical Info'!N149),(('Com-Ind Equations'!$B$53*'Com-Ind Equations'!$B$49*'Com-Ind Equations'!$B$54*('Com-Ind Calculations'!C148+'Com-Ind Calculations'!F148))/('Com-Ind Equations'!$B$56))/('Chemical Info'!N149))))</f>
        <v>NA</v>
      </c>
      <c r="S148" s="90" t="str">
        <f>IF(AND(O148="NA",P148="NA",Q148="NA"),"NA",IF(O148="NA",'Com-Ind Equations'!$B$45/'Com-Ind Calculations'!Q148,IF('Com-Ind Calculations'!Q148="NA",'Com-Ind Equations'!$B$45/('Com-Ind Calculations'!O148+'Com-Ind Calculations'!P148),'Com-Ind Equations'!$B$45/('Com-Ind Calculations'!O148+'Com-Ind Calculations'!P148+'Com-Ind Calculations'!Q148))))</f>
        <v>NA</v>
      </c>
      <c r="T148" s="95" t="str">
        <f>IF(AND(O148="NA",P148="NA",R148="NA"),"NA",IF(O148="NA",'Com-Ind Equations'!$B$45/R148,IF(R148="NA",'Com-Ind Equations'!$B$45/(O148+P148),'Com-Ind Equations'!$B$45/(O148+P148+R148))))</f>
        <v>NA</v>
      </c>
      <c r="U148" s="97" t="str">
        <f t="shared" ref="U148" si="171">IF(AND(S148="NA",T148="NA"),"NA",MAX(S148,T148))</f>
        <v>NA</v>
      </c>
      <c r="V148" s="101">
        <f t="shared" ref="V148" si="172">IF(AND(N148="NA",U148="NA",G148="NA"),"NA",MIN(N148,U148,G148))</f>
        <v>0.12712323595665045</v>
      </c>
      <c r="W148" s="105">
        <f t="shared" ref="W148" si="173">IF(V148&gt;100000,100000,IF(ISNUMBER(ROUND(V148*1000000,2-LEN(INT(V148*1000000)))/1000000),ROUND(V148*1000000,2-LEN(INT(V148*1000000)))/1000000,"NA"))</f>
        <v>0.13</v>
      </c>
      <c r="X148" s="100" t="str">
        <f t="shared" ref="X148" si="174">IF(W148=100000,"Max Limit",IF(V148=G148,"Csat",IF(V148=N148,"Cancer",IF(V148=U148,"Noncancer",""))))</f>
        <v>Cancer</v>
      </c>
      <c r="Y148" s="70"/>
    </row>
    <row r="149" spans="1:25">
      <c r="A149" s="413" t="s">
        <v>1157</v>
      </c>
      <c r="B149" s="566" t="s">
        <v>1158</v>
      </c>
      <c r="C149" s="85">
        <f>1/(('Com-Ind Equations'!$B$123*3600)/(0.036*(1-'Com-Ind Equations'!$B$124)*(('Com-Ind Equations'!$B$125/'Com-Ind Equations'!$B$126)^3)*'Com-Ind Equations'!$B$127))</f>
        <v>1.4713536180231943E-9</v>
      </c>
      <c r="D149" s="90">
        <f>(('Com-Ind Equations'!$B$103^(10/3)*'Chemical Info'!AH150*'Chemical Info'!AN150*41+'Com-Ind Equations'!$B$106^(10/3)*'Chemical Info'!AJ150)/'Com-Ind Equations'!$B$108^2)/('Com-Ind Equations'!$B$110*'Chemical Info'!AL150*'Com-Ind Equations'!$B$113+'Com-Ind Equations'!$B$106+'Com-Ind Equations'!$B$103*'Chemical Info'!AN150*41)</f>
        <v>1.2474952968284772E-6</v>
      </c>
      <c r="E149" s="65">
        <f>IF(D149=0,"NA",1/(('Com-Ind Equations'!$B$74*(3.14*D149*'Com-Ind Equations'!$B$76)^(1/2)*0.0001)/(2*'Com-Ind Equations'!$B$77*D149)))</f>
        <v>6.5561373339981678E-6</v>
      </c>
      <c r="F149" s="65">
        <f>IF(D149=0,"NA",(1/('Com-Ind Equations'!$B$88*('Com-Ind Equations'!$B$89*(31500000))/('Com-Ind Equations'!$B$90*'Com-Ind Equations'!$B$91*1000000))))</f>
        <v>6.1914410640015851E-5</v>
      </c>
      <c r="G149" s="95">
        <f>IF('Chemical Info'!E150="Yes",('Chemical Info'!AP150/'Com-Ind Equations'!$B$139)*((('Chemical Info'!AL150*'Com-Ind Equations'!$B$141)*'Com-Ind Equations'!$B$139)+'Com-Ind Equations'!$B$142+('Chemical Info'!AN150*41)*'Com-Ind Equations'!$B$144),"NA")</f>
        <v>236748.26560000001</v>
      </c>
      <c r="H149" s="112">
        <f>IF('Chemical Info'!H150="NA","NA",IF('Chemical Info'!E150="Yes",'Chemical Info'!H150*'Chemical Info'!AD150*'Com-Ind Equations'!$B$18*'Com-Ind Equations'!$B$22*(('Com-Ind Equations'!$B$24*'Com-Ind Equations'!$B$25)/'Com-Ind Equations'!$B$26),'Chemical Info'!H150*'Chemical Info'!AD150*'Com-Ind Equations'!$B$17*'Com-Ind Equations'!$B$22*('Com-Ind Equations'!$B$24*'Com-Ind Equations'!$B$25/'Com-Ind Equations'!$B$26)))</f>
        <v>0.11812499999999999</v>
      </c>
      <c r="I149" s="108">
        <f>IF('Chemical Info'!H150="NA","NA",IF('Chemical Info'!E150="Yes",0,('Chemical Info'!H150/'Chemical Info'!AF150)*'Com-Ind Equations'!$B$19*'Chemical Info'!AB150*'Com-Ind Equations'!$B$22*(('Com-Ind Equations'!$B$24*'Com-Ind Equations'!$B$29*'Com-Ind Equations'!$B$30)/'Com-Ind Equations'!$B$26)))</f>
        <v>0</v>
      </c>
      <c r="J149" s="115">
        <f>IF('Chemical Info'!J150="NA","NA",IF(E149="NA",'Com-Ind Equations'!$B$20*1000*'Com-Ind Equations'!$B$24*'Com-Ind Equations'!$B$21*'Chemical Info'!J150*'Com-Ind Calculations'!C149,IF('Chemical Info'!E150="Yes",'Com-Ind Equations'!$B$20*1000*'Com-Ind Equations'!$B$24*'Com-Ind Equations'!$B$21*'Chemical Info'!J150*'Com-Ind Calculations'!E149,'Com-Ind Equations'!$B$20*1000*'Com-Ind Equations'!$B$24*'Com-Ind Equations'!$B$21*'Chemical Info'!J150*('Com-Ind Calculations'!C149+'Com-Ind Calculations'!E149))))</f>
        <v>0.17209860501745192</v>
      </c>
      <c r="K149" s="117">
        <f>IF('Chemical Info'!J150="NA","NA",IF(F149="NA",'Com-Ind Equations'!$B$20*1000*'Com-Ind Equations'!$B$24*'Com-Ind Equations'!$B$21*'Chemical Info'!J150*'Com-Ind Calculations'!C149,IF('Chemical Info'!E150="Yes",'Com-Ind Equations'!$B$20*1000*'Com-Ind Equations'!$B$24*'Com-Ind Equations'!$B$21*'Chemical Info'!J150*'Com-Ind Calculations'!F149,'Com-Ind Equations'!$B$20*1000*'Com-Ind Equations'!$B$24*'Com-Ind Equations'!$B$21*'Chemical Info'!J150*('Com-Ind Calculations'!C149+'Com-Ind Calculations'!F149))))</f>
        <v>1.6252532793004162</v>
      </c>
      <c r="L149" s="95">
        <f>IF(AND(H149="NA",I149="NA",J149="NA"),"NA",IF(H149="NA",'Com-Ind Equations'!$B$13*'Com-Ind Equations'!$B$14/J149,IF(J149="NA",'Com-Ind Equations'!$B$13*'Com-Ind Equations'!$B$14/(H149+I149),'Com-Ind Equations'!$B$13*'Com-Ind Equations'!$B$14/(H149+I149+J149))))</f>
        <v>0.88035568293845745</v>
      </c>
      <c r="M149" s="95">
        <f>IF(AND(H149="NA",I149="NA",K149="NA"),"NA",IF(H149="NA",'Com-Ind Equations'!$B$13*'Com-Ind Equations'!$B$14/K149,IF(K149="NA",'Com-Ind Equations'!$B$13*'Com-Ind Equations'!$B$14/(H149+I149),'Com-Ind Equations'!$B$13*'Com-Ind Equations'!$B$14/(H149+I149+K149))))</f>
        <v>0.1465545389853814</v>
      </c>
      <c r="N149" s="95">
        <f t="shared" ref="N149" si="175">IF(AND(L149="NA",M149="NA"),"NA",MAX(L149,M149))</f>
        <v>0.88035568293845745</v>
      </c>
      <c r="O149" s="94">
        <f>IF('Chemical Info'!L150="NA","NA",IF('Chemical Info'!E150="Yes",(('Com-Ind Equations'!$B$46*'Chemical Info'!AD150*'Com-Ind Equations'!$B$48*'Com-Ind Equations'!$B$49*'Com-Ind Equations'!$B$51)/('Com-Ind Equations'!$B$55*'Com-Ind Equations'!$B$56))/'Chemical Info'!L150,(('Com-Ind Equations'!$B$46*'Chemical Info'!AD150*'Com-Ind Equations'!$B$48*'Com-Ind Equations'!$B$49*'Com-Ind Equations'!$B$50)/('Com-Ind Equations'!$B$55*'Com-Ind Equations'!$B$56))/'Chemical Info'!L150))</f>
        <v>7.7054794520547948E-2</v>
      </c>
      <c r="P149" s="90">
        <f>IF('Chemical Info'!L150="NA","NA", IF('Chemical Info'!E150="Yes",0,((('Com-Ind Equations'!$B$58*'Com-Ind Equations'!$B$59*'Com-Ind Equations'!$B$48*'Com-Ind Equations'!$B$52*'Com-Ind Equations'!$B$49*'Chemical Info'!AB150)/('Com-Ind Equations'!$B$55*'Com-Ind Equations'!$B$56))/('Chemical Info'!L150*'Chemical Info'!AF150))))</f>
        <v>0</v>
      </c>
      <c r="Q149" s="90">
        <f>IF('Chemical Info'!N150="NA","NA",IF('Com-Ind Calculations'!E149="NA",(('Com-Ind Equations'!$B$53*'Com-Ind Equations'!$B$49*'Com-Ind Equations'!$B$54*'Com-Ind Calculations'!C149)/('Com-Ind Equations'!$B$56))/('Chemical Info'!N150),IF('Chemical Info'!E150="Yes",(('Com-Ind Equations'!$B$53*'Com-Ind Equations'!$B$49*'Com-Ind Equations'!$B$54*'Com-Ind Calculations'!E149)/('Com-Ind Equations'!$B$56))/('Chemical Info'!N150),(('Com-Ind Equations'!$B$53*'Com-Ind Equations'!$B$49*'Com-Ind Equations'!$B$54*('Com-Ind Calculations'!C149+'Com-Ind Calculations'!E149))/('Com-Ind Equations'!$B$56))/('Chemical Info'!N150))))</f>
        <v>3.3678787674648117E-2</v>
      </c>
      <c r="R149" s="90">
        <f>IF('Chemical Info'!N150="NA","NA",IF('Com-Ind Calculations'!F149="NA",(('Com-Ind Equations'!$B$53*'Com-Ind Equations'!$B$49*'Com-Ind Equations'!$B$54*'Com-Ind Calculations'!C149)/('Com-Ind Equations'!$B$56))/('Chemical Info'!N150),IF('Chemical Info'!E150="Yes",(('Com-Ind Equations'!$B$53*'Com-Ind Equations'!$B$49*'Com-Ind Equations'!$B$54*'Com-Ind Calculations'!F149)/('Com-Ind Equations'!$B$56))/('Chemical Info'!N150),(('Com-Ind Equations'!$B$53*'Com-Ind Equations'!$B$49*'Com-Ind Equations'!$B$54*('Com-Ind Calculations'!C149+'Com-Ind Calculations'!F149))/('Com-Ind Equations'!$B$56))/('Chemical Info'!N150))))</f>
        <v>0.31805347931514988</v>
      </c>
      <c r="S149" s="90">
        <f>IF(AND(O149="NA",P149="NA",Q149="NA"),"NA",IF(O149="NA",'Com-Ind Equations'!$B$45/'Com-Ind Calculations'!Q149,IF('Com-Ind Calculations'!Q149="NA",'Com-Ind Equations'!$B$45/('Com-Ind Calculations'!O149+'Com-Ind Calculations'!P149),'Com-Ind Equations'!$B$45/('Com-Ind Calculations'!O149+'Com-Ind Calculations'!P149+'Com-Ind Calculations'!Q149))))</f>
        <v>1.8061368198804335</v>
      </c>
      <c r="T149" s="95">
        <f>IF(AND(O149="NA",P149="NA",R149="NA"),"NA",IF(O149="NA",'Com-Ind Equations'!$B$45/R149,IF(R149="NA",'Com-Ind Equations'!$B$45/(O149+P149),'Com-Ind Equations'!$B$45/(O149+P149+R149))))</f>
        <v>0.5061903615897656</v>
      </c>
      <c r="U149" s="97">
        <f t="shared" ref="U149" si="176">IF(AND(S149="NA",T149="NA"),"NA",MAX(S149,T149))</f>
        <v>1.8061368198804335</v>
      </c>
      <c r="V149" s="101">
        <f t="shared" ref="V149" si="177">IF(AND(N149="NA",U149="NA",G149="NA"),"NA",MIN(N149,U149,G149))</f>
        <v>0.88035568293845745</v>
      </c>
      <c r="W149" s="105">
        <f t="shared" ref="W149" si="178">IF(V149&gt;100000,100000,IF(ISNUMBER(ROUND(V149*1000000,2-LEN(INT(V149*1000000)))/1000000),ROUND(V149*1000000,2-LEN(INT(V149*1000000)))/1000000,"NA"))</f>
        <v>0.88</v>
      </c>
      <c r="X149" s="100" t="str">
        <f t="shared" ref="X149" si="179">IF(W149=100000,"Max Limit",IF(V149=G149,"Csat",IF(V149=N149,"Cancer",IF(V149=U149,"Noncancer",""))))</f>
        <v>Cancer</v>
      </c>
      <c r="Y149" s="70"/>
    </row>
    <row r="150" spans="1:25">
      <c r="A150" s="413" t="s">
        <v>141</v>
      </c>
      <c r="B150" s="566" t="s">
        <v>142</v>
      </c>
      <c r="C150" s="85">
        <f>1/(('Com-Ind Equations'!$B$123*3600)/(0.036*(1-'Com-Ind Equations'!$B$124)*(('Com-Ind Equations'!$B$125/'Com-Ind Equations'!$B$126)^3)*'Com-Ind Equations'!$B$127))</f>
        <v>1.4713536180231943E-9</v>
      </c>
      <c r="D150" s="90">
        <f>(('Com-Ind Equations'!$B$103^(10/3)*'Chemical Info'!AH151*'Chemical Info'!AN151*41+'Com-Ind Equations'!$B$106^(10/3)*'Chemical Info'!AJ151)/'Com-Ind Equations'!$B$108^2)/('Com-Ind Equations'!$B$110*'Chemical Info'!AL151*'Com-Ind Equations'!$B$113+'Com-Ind Equations'!$B$106+'Com-Ind Equations'!$B$103*'Chemical Info'!AN151*41)</f>
        <v>1.1477818293883367E-8</v>
      </c>
      <c r="E150" s="65">
        <f>IF(D150=0,"NA",1/(('Com-Ind Equations'!$B$74*(3.14*D150*'Com-Ind Equations'!$B$76)^(1/2)*0.0001)/(2*'Com-Ind Equations'!$B$77*D150)))</f>
        <v>6.2886620478427579E-7</v>
      </c>
      <c r="F150" s="65">
        <f>IF(D150=0,"NA",(1/('Com-Ind Equations'!$B$88*('Com-Ind Equations'!$B$89*(31500000))/('Com-Ind Equations'!$B$90*'Com-Ind Equations'!$B$91*1000000))))</f>
        <v>6.1914410640015851E-5</v>
      </c>
      <c r="G150" s="95" t="str">
        <f>IF('Chemical Info'!E151="Yes",('Chemical Info'!AP151/'Com-Ind Equations'!$B$139)*((('Chemical Info'!AL151*'Com-Ind Equations'!$B$141)*'Com-Ind Equations'!$B$139)+'Com-Ind Equations'!$B$142+('Chemical Info'!AN151*41)*'Com-Ind Equations'!$B$144),"NA")</f>
        <v>NA</v>
      </c>
      <c r="H150" s="112">
        <f>IF('Chemical Info'!H151="NA","NA",IF('Chemical Info'!E151="Yes",'Chemical Info'!H151*'Chemical Info'!AD151*'Com-Ind Equations'!$B$18*'Com-Ind Equations'!$B$22*(('Com-Ind Equations'!$B$24*'Com-Ind Equations'!$B$25)/'Com-Ind Equations'!$B$26),'Chemical Info'!H151*'Chemical Info'!AD151*'Com-Ind Equations'!$B$17*'Com-Ind Equations'!$B$22*('Com-Ind Equations'!$B$24*'Com-Ind Equations'!$B$25/'Com-Ind Equations'!$B$26)))</f>
        <v>3.8281249999999992E-5</v>
      </c>
      <c r="I150" s="108">
        <f>IF('Chemical Info'!H151="NA","NA",IF('Chemical Info'!E151="Yes",0,('Chemical Info'!H151/'Chemical Info'!AF151)*'Com-Ind Equations'!$B$19*'Chemical Info'!AB151*'Com-Ind Equations'!$B$22*(('Com-Ind Equations'!$B$24*'Com-Ind Equations'!$B$29*'Com-Ind Equations'!$B$30)/'Com-Ind Equations'!$B$26)))</f>
        <v>1.1665552499999999E-5</v>
      </c>
      <c r="J150" s="115">
        <f>IF('Chemical Info'!J151="NA","NA",IF(E150="NA",'Com-Ind Equations'!$B$20*1000*'Com-Ind Equations'!$B$24*'Com-Ind Equations'!$B$21*'Chemical Info'!J151*'Com-Ind Calculations'!C150,IF('Chemical Info'!E151="Yes",'Com-Ind Equations'!$B$20*1000*'Com-Ind Equations'!$B$24*'Com-Ind Equations'!$B$21*'Chemical Info'!J151*'Com-Ind Calculations'!E150,'Com-Ind Equations'!$B$20*1000*'Com-Ind Equations'!$B$24*'Com-Ind Equations'!$B$21*'Chemical Info'!J151*('Com-Ind Calculations'!C150+'Com-Ind Calculations'!E150))))</f>
        <v>3.0728955972112075E-6</v>
      </c>
      <c r="K150" s="117">
        <f>IF('Chemical Info'!J151="NA","NA",IF(F150="NA",'Com-Ind Equations'!$B$20*1000*'Com-Ind Equations'!$B$24*'Com-Ind Equations'!$B$21*'Chemical Info'!J151*'Com-Ind Calculations'!C150,IF('Chemical Info'!E151="Yes",'Com-Ind Equations'!$B$20*1000*'Com-Ind Equations'!$B$24*'Com-Ind Equations'!$B$21*'Chemical Info'!J151*'Com-Ind Calculations'!F150,'Com-Ind Equations'!$B$20*1000*'Com-Ind Equations'!$B$24*'Com-Ind Equations'!$B$21*'Chemical Info'!J151*('Com-Ind Calculations'!C150+'Com-Ind Calculations'!F150))))</f>
        <v>3.0183992471896512E-4</v>
      </c>
      <c r="L150" s="95">
        <f>IF(AND(H150="NA",I150="NA",J150="NA"),"NA",IF(H150="NA",'Com-Ind Equations'!$B$13*'Com-Ind Equations'!$B$14/J150,IF(J150="NA",'Com-Ind Equations'!$B$13*'Com-Ind Equations'!$B$14/(H150+I150),'Com-Ind Equations'!$B$13*'Com-Ind Equations'!$B$14/(H150+I150+J150))))</f>
        <v>4818.9636902787106</v>
      </c>
      <c r="M150" s="95">
        <f>IF(AND(H150="NA",I150="NA",K150="NA"),"NA",IF(H150="NA",'Com-Ind Equations'!$B$13*'Com-Ind Equations'!$B$14/K150,IF(K150="NA",'Com-Ind Equations'!$B$13*'Com-Ind Equations'!$B$14/(H150+I150),'Com-Ind Equations'!$B$13*'Com-Ind Equations'!$B$14/(H150+I150+K150))))</f>
        <v>726.29232495450958</v>
      </c>
      <c r="N150" s="95">
        <f t="shared" si="100"/>
        <v>4818.9636902787106</v>
      </c>
      <c r="O150" s="94" t="str">
        <f>IF('Chemical Info'!L151="NA","NA",IF('Chemical Info'!E151="Yes",(('Com-Ind Equations'!$B$46*'Chemical Info'!AD151*'Com-Ind Equations'!$B$48*'Com-Ind Equations'!$B$49*'Com-Ind Equations'!$B$51)/('Com-Ind Equations'!$B$55*'Com-Ind Equations'!$B$56))/'Chemical Info'!L151,(('Com-Ind Equations'!$B$46*'Chemical Info'!AD151*'Com-Ind Equations'!$B$48*'Com-Ind Equations'!$B$49*'Com-Ind Equations'!$B$50)/('Com-Ind Equations'!$B$55*'Com-Ind Equations'!$B$56))/'Chemical Info'!L151))</f>
        <v>NA</v>
      </c>
      <c r="P150" s="90" t="str">
        <f>IF('Chemical Info'!L151="NA","NA", IF('Chemical Info'!E151="Yes",0,((('Com-Ind Equations'!$B$58*'Com-Ind Equations'!$B$59*'Com-Ind Equations'!$B$48*'Com-Ind Equations'!$B$52*'Com-Ind Equations'!$B$49*'Chemical Info'!AB151)/('Com-Ind Equations'!$B$55*'Com-Ind Equations'!$B$56))/('Chemical Info'!L151*'Chemical Info'!AF151))))</f>
        <v>NA</v>
      </c>
      <c r="Q150" s="90" t="str">
        <f>IF('Chemical Info'!N151="NA","NA",IF('Com-Ind Calculations'!E150="NA",(('Com-Ind Equations'!$B$53*'Com-Ind Equations'!$B$49*'Com-Ind Equations'!$B$54*'Com-Ind Calculations'!C150)/('Com-Ind Equations'!$B$56))/('Chemical Info'!N151),IF('Chemical Info'!E151="Yes",(('Com-Ind Equations'!$B$53*'Com-Ind Equations'!$B$49*'Com-Ind Equations'!$B$54*'Com-Ind Calculations'!E150)/('Com-Ind Equations'!$B$56))/('Chemical Info'!N151),(('Com-Ind Equations'!$B$53*'Com-Ind Equations'!$B$49*'Com-Ind Equations'!$B$54*('Com-Ind Calculations'!C150+'Com-Ind Calculations'!E150))/('Com-Ind Equations'!$B$56))/('Chemical Info'!N151))))</f>
        <v>NA</v>
      </c>
      <c r="R150" s="90" t="str">
        <f>IF('Chemical Info'!N151="NA","NA",IF('Com-Ind Calculations'!F150="NA",(('Com-Ind Equations'!$B$53*'Com-Ind Equations'!$B$49*'Com-Ind Equations'!$B$54*'Com-Ind Calculations'!C150)/('Com-Ind Equations'!$B$56))/('Chemical Info'!N151),IF('Chemical Info'!E151="Yes",(('Com-Ind Equations'!$B$53*'Com-Ind Equations'!$B$49*'Com-Ind Equations'!$B$54*'Com-Ind Calculations'!F150)/('Com-Ind Equations'!$B$56))/('Chemical Info'!N151),(('Com-Ind Equations'!$B$53*'Com-Ind Equations'!$B$49*'Com-Ind Equations'!$B$54*('Com-Ind Calculations'!C150+'Com-Ind Calculations'!F150))/('Com-Ind Equations'!$B$56))/('Chemical Info'!N151))))</f>
        <v>NA</v>
      </c>
      <c r="S150" s="90" t="str">
        <f>IF(AND(O150="NA",P150="NA",Q150="NA"),"NA",IF(O150="NA",'Com-Ind Equations'!$B$45/'Com-Ind Calculations'!Q150,IF('Com-Ind Calculations'!Q150="NA",'Com-Ind Equations'!$B$45/('Com-Ind Calculations'!O150+'Com-Ind Calculations'!P150),'Com-Ind Equations'!$B$45/('Com-Ind Calculations'!O150+'Com-Ind Calculations'!P150+'Com-Ind Calculations'!Q150))))</f>
        <v>NA</v>
      </c>
      <c r="T150" s="95" t="str">
        <f>IF(AND(O150="NA",P150="NA",R150="NA"),"NA",IF(O150="NA",'Com-Ind Equations'!$B$45/R150,IF(R150="NA",'Com-Ind Equations'!$B$45/(O150+P150),'Com-Ind Equations'!$B$45/(O150+P150+R150))))</f>
        <v>NA</v>
      </c>
      <c r="U150" s="97" t="str">
        <f t="shared" si="101"/>
        <v>NA</v>
      </c>
      <c r="V150" s="101">
        <f t="shared" si="102"/>
        <v>4818.9636902787106</v>
      </c>
      <c r="W150" s="105">
        <f t="shared" si="104"/>
        <v>4800</v>
      </c>
      <c r="X150" s="100" t="str">
        <f t="shared" si="103"/>
        <v>Cancer</v>
      </c>
      <c r="Y150" s="70"/>
    </row>
    <row r="151" spans="1:25" ht="12">
      <c r="A151" s="413" t="s">
        <v>1226</v>
      </c>
      <c r="B151" s="596" t="s">
        <v>1178</v>
      </c>
      <c r="C151" s="85">
        <f>1/(('Com-Ind Equations'!$B$123*3600)/(0.036*(1-'Com-Ind Equations'!$B$124)*(('Com-Ind Equations'!$B$125/'Com-Ind Equations'!$B$126)^3)*'Com-Ind Equations'!$B$127))</f>
        <v>1.4713536180231943E-9</v>
      </c>
      <c r="D151" s="90">
        <f>(('Com-Ind Equations'!$B$103^(10/3)*'Chemical Info'!AH152*'Chemical Info'!AN152*41+'Com-Ind Equations'!$B$106^(10/3)*'Chemical Info'!AJ152)/'Com-Ind Equations'!$B$108^2)/('Com-Ind Equations'!$B$110*'Chemical Info'!AL152*'Com-Ind Equations'!$B$113+'Com-Ind Equations'!$B$106+'Com-Ind Equations'!$B$103*'Chemical Info'!AN152*41)</f>
        <v>1.9316999636897513E-6</v>
      </c>
      <c r="E151" s="65">
        <f>IF(D151=0,"NA",1/(('Com-Ind Equations'!$B$74*(3.14*D151*'Com-Ind Equations'!$B$76)^(1/2)*0.0001)/(2*'Com-Ind Equations'!$B$77*D151)))</f>
        <v>8.1582764877698168E-6</v>
      </c>
      <c r="F151" s="65">
        <f>IF(D151=0,"NA",(1/('Com-Ind Equations'!$B$88*('Com-Ind Equations'!$B$89*(31500000))/('Com-Ind Equations'!$B$90*'Com-Ind Equations'!$B$91*1000000))))</f>
        <v>6.1914410640015851E-5</v>
      </c>
      <c r="G151" s="120"/>
      <c r="H151" s="112" t="str">
        <f>IF('Chemical Info'!H152="NA","NA",IF('Chemical Info'!E152="Yes",'Chemical Info'!H152*'Chemical Info'!AD152*'Com-Ind Equations'!$B$18*'Com-Ind Equations'!$B$22*(('Com-Ind Equations'!$B$24*'Com-Ind Equations'!$B$25)/'Com-Ind Equations'!$B$26),'Chemical Info'!H152*'Chemical Info'!AD152*'Com-Ind Equations'!$B$17*'Com-Ind Equations'!$B$22*('Com-Ind Equations'!$B$24*'Com-Ind Equations'!$B$25/'Com-Ind Equations'!$B$26)))</f>
        <v>NA</v>
      </c>
      <c r="I151" s="108" t="str">
        <f>IF('Chemical Info'!H152="NA","NA",IF('Chemical Info'!E152="Yes",0,('Chemical Info'!H152/'Chemical Info'!AF152)*'Com-Ind Equations'!$B$19*'Chemical Info'!AB152*'Com-Ind Equations'!$B$22*(('Com-Ind Equations'!$B$24*'Com-Ind Equations'!$B$29*'Com-Ind Equations'!$B$30)/'Com-Ind Equations'!$B$26)))</f>
        <v>NA</v>
      </c>
      <c r="J151" s="115" t="str">
        <f>IF('Chemical Info'!J152="NA","NA",IF(E151="NA",'Com-Ind Equations'!$B$20*1000*'Com-Ind Equations'!$B$24*'Com-Ind Equations'!$B$21*'Chemical Info'!J152*'Com-Ind Calculations'!C151,IF('Chemical Info'!E152="Yes",'Com-Ind Equations'!$B$20*1000*'Com-Ind Equations'!$B$24*'Com-Ind Equations'!$B$21*'Chemical Info'!J152*'Com-Ind Calculations'!E151,'Com-Ind Equations'!$B$20*1000*'Com-Ind Equations'!$B$24*'Com-Ind Equations'!$B$21*'Chemical Info'!J152*('Com-Ind Calculations'!C151+'Com-Ind Calculations'!E151))))</f>
        <v>NA</v>
      </c>
      <c r="K151" s="117" t="str">
        <f>IF('Chemical Info'!J152="NA","NA",IF(F151="NA",'Com-Ind Equations'!$B$20*1000*'Com-Ind Equations'!$B$24*'Com-Ind Equations'!$B$21*'Chemical Info'!J152*'Com-Ind Calculations'!C151,IF('Chemical Info'!E152="Yes",'Com-Ind Equations'!$B$20*1000*'Com-Ind Equations'!$B$24*'Com-Ind Equations'!$B$21*'Chemical Info'!J152*'Com-Ind Calculations'!F151,'Com-Ind Equations'!$B$20*1000*'Com-Ind Equations'!$B$24*'Com-Ind Equations'!$B$21*'Chemical Info'!J152*('Com-Ind Calculations'!C151+'Com-Ind Calculations'!F151))))</f>
        <v>NA</v>
      </c>
      <c r="L151" s="95" t="str">
        <f>IF(AND(H151="NA",I151="NA",J151="NA"),"NA",IF(H151="NA",'Com-Ind Equations'!$B$13*'Com-Ind Equations'!$B$14/J151,IF(J151="NA",'Com-Ind Equations'!$B$13*'Com-Ind Equations'!$B$14/(H151+I151),'Com-Ind Equations'!$B$13*'Com-Ind Equations'!$B$14/(H151+I151+J151))))</f>
        <v>NA</v>
      </c>
      <c r="M151" s="95" t="str">
        <f>IF(AND(H151="NA",I151="NA",K151="NA"),"NA",IF(H151="NA",'Com-Ind Equations'!$B$13*'Com-Ind Equations'!$B$14/K151,IF(K151="NA",'Com-Ind Equations'!$B$13*'Com-Ind Equations'!$B$14/(H151+I151),'Com-Ind Equations'!$B$13*'Com-Ind Equations'!$B$14/(H151+I151+K151))))</f>
        <v>NA</v>
      </c>
      <c r="N151" s="95" t="str">
        <f t="shared" ref="N151" si="180">IF(AND(L151="NA",M151="NA"),"NA",MAX(L151,M151))</f>
        <v>NA</v>
      </c>
      <c r="O151" s="94">
        <f>IF('Chemical Info'!L152="NA","NA",IF('Chemical Info'!E152="Yes",(('Com-Ind Equations'!$B$46*'Chemical Info'!AD152*'Com-Ind Equations'!$B$48*'Com-Ind Equations'!$B$49*'Com-Ind Equations'!$B$51)/('Com-Ind Equations'!$B$55*'Com-Ind Equations'!$B$56))/'Chemical Info'!L152,(('Com-Ind Equations'!$B$46*'Chemical Info'!AD152*'Com-Ind Equations'!$B$48*'Com-Ind Equations'!$B$49*'Com-Ind Equations'!$B$50)/('Com-Ind Equations'!$B$55*'Com-Ind Equations'!$B$56))/'Chemical Info'!L152))</f>
        <v>7.7054794520547932E-4</v>
      </c>
      <c r="P151" s="90">
        <f>IF('Chemical Info'!L152="NA","NA", IF('Chemical Info'!E152="Yes",0,((('Com-Ind Equations'!$B$58*'Com-Ind Equations'!$B$59*'Com-Ind Equations'!$B$48*'Com-Ind Equations'!$B$52*'Com-Ind Equations'!$B$49*'Chemical Info'!AB152)/('Com-Ind Equations'!$B$55*'Com-Ind Equations'!$B$56))/('Chemical Info'!L152*'Chemical Info'!AF152))))</f>
        <v>0</v>
      </c>
      <c r="Q151" s="90" t="str">
        <f>IF('Chemical Info'!N152="NA","NA",IF('Com-Ind Calculations'!E151="NA",(('Com-Ind Equations'!$B$53*'Com-Ind Equations'!$B$49*'Com-Ind Equations'!$B$54*'Com-Ind Calculations'!C151)/('Com-Ind Equations'!$B$56))/('Chemical Info'!N152),IF('Chemical Info'!E152="Yes",(('Com-Ind Equations'!$B$53*'Com-Ind Equations'!$B$49*'Com-Ind Equations'!$B$54*'Com-Ind Calculations'!E151)/('Com-Ind Equations'!$B$56))/('Chemical Info'!N152),(('Com-Ind Equations'!$B$53*'Com-Ind Equations'!$B$49*'Com-Ind Equations'!$B$54*('Com-Ind Calculations'!C151+'Com-Ind Calculations'!E151))/('Com-Ind Equations'!$B$56))/('Chemical Info'!N152))))</f>
        <v>NA</v>
      </c>
      <c r="R151" s="90" t="str">
        <f>IF('Chemical Info'!N152="NA","NA",IF('Com-Ind Calculations'!F151="NA",(('Com-Ind Equations'!$B$53*'Com-Ind Equations'!$B$49*'Com-Ind Equations'!$B$54*'Com-Ind Calculations'!C151)/('Com-Ind Equations'!$B$56))/('Chemical Info'!N152),IF('Chemical Info'!E152="Yes",(('Com-Ind Equations'!$B$53*'Com-Ind Equations'!$B$49*'Com-Ind Equations'!$B$54*'Com-Ind Calculations'!F151)/('Com-Ind Equations'!$B$56))/('Chemical Info'!N152),(('Com-Ind Equations'!$B$53*'Com-Ind Equations'!$B$49*'Com-Ind Equations'!$B$54*('Com-Ind Calculations'!C151+'Com-Ind Calculations'!F151))/('Com-Ind Equations'!$B$56))/('Chemical Info'!N152))))</f>
        <v>NA</v>
      </c>
      <c r="S151" s="90">
        <f>IF(AND(O151="NA",P151="NA",Q151="NA"),"NA",IF(O151="NA",'Com-Ind Equations'!$B$45/'Com-Ind Calculations'!Q151,IF('Com-Ind Calculations'!Q151="NA",'Com-Ind Equations'!$B$45/('Com-Ind Calculations'!O151+'Com-Ind Calculations'!P151),'Com-Ind Equations'!$B$45/('Com-Ind Calculations'!O151+'Com-Ind Calculations'!P151+'Com-Ind Calculations'!Q151))))</f>
        <v>259.5555555555556</v>
      </c>
      <c r="T151" s="95">
        <f>IF(AND(O151="NA",P151="NA",R151="NA"),"NA",IF(O151="NA",'Com-Ind Equations'!$B$45/R151,IF(R151="NA",'Com-Ind Equations'!$B$45/(O151+P151),'Com-Ind Equations'!$B$45/(O151+P151+R151))))</f>
        <v>259.5555555555556</v>
      </c>
      <c r="U151" s="97">
        <f t="shared" ref="U151" si="181">IF(AND(S151="NA",T151="NA"),"NA",MAX(S151,T151))</f>
        <v>259.5555555555556</v>
      </c>
      <c r="V151" s="101">
        <f t="shared" ref="V151" si="182">IF(AND(N151="NA",U151="NA",G151="NA"),"NA",MIN(N151,U151,G151))</f>
        <v>259.5555555555556</v>
      </c>
      <c r="W151" s="105">
        <f t="shared" ref="W151" si="183">IF(V151&gt;100000,100000,IF(ISNUMBER(ROUND(V151*1000000,2-LEN(INT(V151*1000000)))/1000000),ROUND(V151*1000000,2-LEN(INT(V151*1000000)))/1000000,"NA"))</f>
        <v>260</v>
      </c>
      <c r="X151" s="100" t="str">
        <f t="shared" ref="X151" si="184">IF(W151=100000,"Max Limit",IF(V151=G151,"Csat",IF(V151=N151,"Cancer",IF(V151=U151,"Noncancer",""))))</f>
        <v>Noncancer</v>
      </c>
      <c r="Y151" s="70"/>
    </row>
    <row r="152" spans="1:25">
      <c r="A152" s="413" t="s">
        <v>686</v>
      </c>
      <c r="B152" s="596" t="s">
        <v>238</v>
      </c>
      <c r="C152" s="85">
        <f>1/(('Com-Ind Equations'!$B$123*3600)/(0.036*(1-'Com-Ind Equations'!$B$124)*(('Com-Ind Equations'!$B$125/'Com-Ind Equations'!$B$126)^3)*'Com-Ind Equations'!$B$127))</f>
        <v>1.4713536180231943E-9</v>
      </c>
      <c r="D152" s="90">
        <f>(('Com-Ind Equations'!$B$103^(10/3)*'Chemical Info'!AH153*'Chemical Info'!AN153*41+'Com-Ind Equations'!$B$106^(10/3)*'Chemical Info'!AJ153)/'Com-Ind Equations'!$B$108^2)/('Com-Ind Equations'!$B$110*'Chemical Info'!AL153*'Com-Ind Equations'!$B$113+'Com-Ind Equations'!$B$106+'Com-Ind Equations'!$B$103*'Chemical Info'!AN153*41)</f>
        <v>1.7541687875246731E-9</v>
      </c>
      <c r="E152" s="65">
        <f>IF(D152=0,"NA",1/(('Com-Ind Equations'!$B$74*(3.14*D152*'Com-Ind Equations'!$B$76)^(1/2)*0.0001)/(2*'Com-Ind Equations'!$B$77*D152)))</f>
        <v>2.4584663791101636E-7</v>
      </c>
      <c r="F152" s="65">
        <f>IF(D152=0,"NA",(1/('Com-Ind Equations'!$B$88*('Com-Ind Equations'!$B$89*(31500000))/('Com-Ind Equations'!$B$90*'Com-Ind Equations'!$B$91*1000000))))</f>
        <v>6.1914410640015851E-5</v>
      </c>
      <c r="G152" s="95" t="str">
        <f>IF('Chemical Info'!E153="Yes",('Chemical Info'!AP153/'Com-Ind Equations'!$B$139)*((('Chemical Info'!AL153*'Com-Ind Equations'!$B$141)*'Com-Ind Equations'!$B$139)+'Com-Ind Equations'!$B$142+('Chemical Info'!AN153*41)*'Com-Ind Equations'!$B$144),"NA")</f>
        <v>NA</v>
      </c>
      <c r="H152" s="112">
        <f>IF('Chemical Info'!H153="NA","NA",IF('Chemical Info'!E153="Yes",'Chemical Info'!H153*'Chemical Info'!AD153*'Com-Ind Equations'!$B$18*'Com-Ind Equations'!$B$22*(('Com-Ind Equations'!$B$24*'Com-Ind Equations'!$B$25)/'Com-Ind Equations'!$B$26),'Chemical Info'!H153*'Chemical Info'!AD153*'Com-Ind Equations'!$B$17*'Com-Ind Equations'!$B$22*('Com-Ind Equations'!$B$24*'Com-Ind Equations'!$B$25/'Com-Ind Equations'!$B$26)))</f>
        <v>3.1249999999999997E-3</v>
      </c>
      <c r="I152" s="108">
        <f>IF('Chemical Info'!H153="NA","NA",IF('Chemical Info'!E153="Yes",0,('Chemical Info'!H153/'Chemical Info'!AF153)*'Com-Ind Equations'!$B$19*'Chemical Info'!AB153*'Com-Ind Equations'!$B$22*(('Com-Ind Equations'!$B$24*'Com-Ind Equations'!$B$29*'Com-Ind Equations'!$B$30)/'Com-Ind Equations'!$B$26)))</f>
        <v>2.3807249999999998E-3</v>
      </c>
      <c r="J152" s="115">
        <f>IF('Chemical Info'!J153="NA","NA",IF(E152="NA",'Com-Ind Equations'!$B$20*1000*'Com-Ind Equations'!$B$24*'Com-Ind Equations'!$B$21*'Chemical Info'!J153*'Com-Ind Calculations'!C152,IF('Chemical Info'!E153="Yes",'Com-Ind Equations'!$B$20*1000*'Com-Ind Equations'!$B$24*'Com-Ind Equations'!$B$21*'Chemical Info'!J153*'Com-Ind Calculations'!E152,'Com-Ind Equations'!$B$20*1000*'Com-Ind Equations'!$B$24*'Com-Ind Equations'!$B$21*'Chemical Info'!J153*('Com-Ind Calculations'!C152+'Com-Ind Calculations'!E152))))</f>
        <v>2.3649782939964408E-6</v>
      </c>
      <c r="K152" s="117">
        <f>IF('Chemical Info'!J153="NA","NA",IF(F152="NA",'Com-Ind Equations'!$B$20*1000*'Com-Ind Equations'!$B$24*'Com-Ind Equations'!$B$21*'Chemical Info'!J153*'Com-Ind Calculations'!C152,IF('Chemical Info'!E153="Yes",'Com-Ind Equations'!$B$20*1000*'Com-Ind Equations'!$B$24*'Com-Ind Equations'!$B$21*'Chemical Info'!J153*'Com-Ind Calculations'!F152,'Com-Ind Equations'!$B$20*1000*'Com-Ind Equations'!$B$24*'Com-Ind Equations'!$B$21*'Chemical Info'!J153*('Com-Ind Calculations'!C152+'Com-Ind Calculations'!F152))))</f>
        <v>5.9207062156412383E-4</v>
      </c>
      <c r="L152" s="95">
        <f>IF(AND(H152="NA",I152="NA",J152="NA"),"NA",IF(H152="NA",'Com-Ind Equations'!$B$13*'Com-Ind Equations'!$B$14/J152,IF(J152="NA",'Com-Ind Equations'!$B$13*'Com-Ind Equations'!$B$14/(H152+I152),'Com-Ind Equations'!$B$13*'Com-Ind Equations'!$B$14/(H152+I152+J152))))</f>
        <v>46.386315584324429</v>
      </c>
      <c r="M152" s="95">
        <f>IF(AND(H152="NA",I152="NA",K152="NA"),"NA",IF(H152="NA",'Com-Ind Equations'!$B$13*'Com-Ind Equations'!$B$14/K152,IF(K152="NA",'Com-Ind Equations'!$B$13*'Com-Ind Equations'!$B$14/(H152+I152),'Com-Ind Equations'!$B$13*'Com-Ind Equations'!$B$14/(H152+I152+K152))))</f>
        <v>41.900387591944678</v>
      </c>
      <c r="N152" s="95">
        <f t="shared" si="100"/>
        <v>46.386315584324429</v>
      </c>
      <c r="O152" s="94">
        <f>IF('Chemical Info'!L153="NA","NA",IF('Chemical Info'!E153="Yes",(('Com-Ind Equations'!$B$46*'Chemical Info'!AD153*'Com-Ind Equations'!$B$48*'Com-Ind Equations'!$B$49*'Com-Ind Equations'!$B$51)/('Com-Ind Equations'!$B$55*'Com-Ind Equations'!$B$56))/'Chemical Info'!L153,(('Com-Ind Equations'!$B$46*'Chemical Info'!AD153*'Com-Ind Equations'!$B$48*'Com-Ind Equations'!$B$49*'Com-Ind Equations'!$B$50)/('Com-Ind Equations'!$B$55*'Com-Ind Equations'!$B$56))/'Chemical Info'!L153))</f>
        <v>2.7618205921343345E-4</v>
      </c>
      <c r="P152" s="90">
        <f>IF('Chemical Info'!L153="NA","NA", IF('Chemical Info'!E153="Yes",0,((('Com-Ind Equations'!$B$58*'Com-Ind Equations'!$B$59*'Com-Ind Equations'!$B$48*'Com-Ind Equations'!$B$52*'Com-Ind Equations'!$B$49*'Chemical Info'!AB153)/('Com-Ind Equations'!$B$55*'Com-Ind Equations'!$B$56))/('Chemical Info'!L153*'Chemical Info'!AF153))))</f>
        <v>2.1040433053468843E-4</v>
      </c>
      <c r="Q152" s="90" t="str">
        <f>IF('Chemical Info'!N153="NA","NA",IF('Com-Ind Calculations'!E152="NA",(('Com-Ind Equations'!$B$53*'Com-Ind Equations'!$B$49*'Com-Ind Equations'!$B$54*'Com-Ind Calculations'!C152)/('Com-Ind Equations'!$B$56))/('Chemical Info'!N153),IF('Chemical Info'!E153="Yes",(('Com-Ind Equations'!$B$53*'Com-Ind Equations'!$B$49*'Com-Ind Equations'!$B$54*'Com-Ind Calculations'!E152)/('Com-Ind Equations'!$B$56))/('Chemical Info'!N153),(('Com-Ind Equations'!$B$53*'Com-Ind Equations'!$B$49*'Com-Ind Equations'!$B$54*('Com-Ind Calculations'!C152+'Com-Ind Calculations'!E152))/('Com-Ind Equations'!$B$56))/('Chemical Info'!N153))))</f>
        <v>NA</v>
      </c>
      <c r="R152" s="90" t="str">
        <f>IF('Chemical Info'!N153="NA","NA",IF('Com-Ind Calculations'!F152="NA",(('Com-Ind Equations'!$B$53*'Com-Ind Equations'!$B$49*'Com-Ind Equations'!$B$54*'Com-Ind Calculations'!C152)/('Com-Ind Equations'!$B$56))/('Chemical Info'!N153),IF('Chemical Info'!E153="Yes",(('Com-Ind Equations'!$B$53*'Com-Ind Equations'!$B$49*'Com-Ind Equations'!$B$54*'Com-Ind Calculations'!F152)/('Com-Ind Equations'!$B$56))/('Chemical Info'!N153),(('Com-Ind Equations'!$B$53*'Com-Ind Equations'!$B$49*'Com-Ind Equations'!$B$54*('Com-Ind Calculations'!C152+'Com-Ind Calculations'!F152))/('Com-Ind Equations'!$B$56))/('Chemical Info'!N153))))</f>
        <v>NA</v>
      </c>
      <c r="S152" s="90">
        <f>IF(AND(O152="NA",P152="NA",Q152="NA"),"NA",IF(O152="NA",'Com-Ind Equations'!$B$45/'Com-Ind Calculations'!Q152,IF('Com-Ind Calculations'!Q152="NA",'Com-Ind Equations'!$B$45/('Com-Ind Calculations'!O152+'Com-Ind Calculations'!P152),'Com-Ind Equations'!$B$45/('Com-Ind Calculations'!O152+'Com-Ind Calculations'!P152+'Com-Ind Calculations'!Q152))))</f>
        <v>411.02670402172294</v>
      </c>
      <c r="T152" s="95">
        <f>IF(AND(O152="NA",P152="NA",R152="NA"),"NA",IF(O152="NA",'Com-Ind Equations'!$B$45/R152,IF(R152="NA",'Com-Ind Equations'!$B$45/(O152+P152),'Com-Ind Equations'!$B$45/(O152+P152+R152))))</f>
        <v>411.02670402172294</v>
      </c>
      <c r="U152" s="97">
        <f t="shared" si="101"/>
        <v>411.02670402172294</v>
      </c>
      <c r="V152" s="101">
        <f t="shared" si="102"/>
        <v>46.386315584324429</v>
      </c>
      <c r="W152" s="105">
        <f t="shared" si="104"/>
        <v>46</v>
      </c>
      <c r="X152" s="100" t="str">
        <f t="shared" si="103"/>
        <v>Cancer</v>
      </c>
      <c r="Y152" s="70"/>
    </row>
    <row r="153" spans="1:25">
      <c r="A153" s="676" t="s">
        <v>1263</v>
      </c>
      <c r="B153" s="566" t="s">
        <v>242</v>
      </c>
      <c r="C153" s="85">
        <f>1/(('Com-Ind Equations'!$B$123*3600)/(0.036*(1-'Com-Ind Equations'!$B$124)*(('Com-Ind Equations'!$B$125/'Com-Ind Equations'!$B$126)^3)*'Com-Ind Equations'!$B$127))</f>
        <v>1.4713536180231943E-9</v>
      </c>
      <c r="D153" s="90">
        <f>(('Com-Ind Equations'!$B$103^(10/3)*'Chemical Info'!AH154*'Chemical Info'!AN154*41+'Com-Ind Equations'!$B$106^(10/3)*'Chemical Info'!AJ154)/'Com-Ind Equations'!$B$108^2)/('Com-Ind Equations'!$B$110*'Chemical Info'!AL154*'Com-Ind Equations'!$B$113+'Com-Ind Equations'!$B$106+'Com-Ind Equations'!$B$103*'Chemical Info'!AN154*41)</f>
        <v>9.6754934617000604E-8</v>
      </c>
      <c r="E153" s="65">
        <f>IF(D153=0,"NA",1/(('Com-Ind Equations'!$B$74*(3.14*D153*'Com-Ind Equations'!$B$76)^(1/2)*0.0001)/(2*'Com-Ind Equations'!$B$77*D153)))</f>
        <v>1.82585020978463E-6</v>
      </c>
      <c r="F153" s="65">
        <f>IF(D153=0,"NA",(1/('Com-Ind Equations'!$B$88*('Com-Ind Equations'!$B$89*(31500000))/('Com-Ind Equations'!$B$90*'Com-Ind Equations'!$B$91*1000000))))</f>
        <v>6.1914410640015851E-5</v>
      </c>
      <c r="G153" s="95" t="str">
        <f>IF('Chemical Info'!E154="Yes",('Chemical Info'!AP154/'Com-Ind Equations'!$B$139)*((('Chemical Info'!AL154*'Com-Ind Equations'!$B$141)*'Com-Ind Equations'!$B$139)+'Com-Ind Equations'!$B$142+('Chemical Info'!AN154*41)*'Com-Ind Equations'!$B$144),"NA")</f>
        <v>NA</v>
      </c>
      <c r="H153" s="112" t="str">
        <f>IF('Chemical Info'!H154="NA","NA",IF('Chemical Info'!E154="Yes",'Chemical Info'!H154*'Chemical Info'!AD154*'Com-Ind Equations'!$B$18*'Com-Ind Equations'!$B$22*(('Com-Ind Equations'!$B$24*'Com-Ind Equations'!$B$25)/'Com-Ind Equations'!$B$26),'Chemical Info'!H154*'Chemical Info'!AD154*'Com-Ind Equations'!$B$17*'Com-Ind Equations'!$B$22*('Com-Ind Equations'!$B$24*'Com-Ind Equations'!$B$25/'Com-Ind Equations'!$B$26)))</f>
        <v>NA</v>
      </c>
      <c r="I153" s="108" t="str">
        <f>IF('Chemical Info'!H154="NA","NA",IF('Chemical Info'!E154="Yes",0,('Chemical Info'!H154/'Chemical Info'!AF154)*'Com-Ind Equations'!$B$19*'Chemical Info'!AB154*'Com-Ind Equations'!$B$22*(('Com-Ind Equations'!$B$24*'Com-Ind Equations'!$B$29*'Com-Ind Equations'!$B$30)/'Com-Ind Equations'!$B$26)))</f>
        <v>NA</v>
      </c>
      <c r="J153" s="115" t="str">
        <f>IF('Chemical Info'!J154="NA","NA",IF(E153="NA",'Com-Ind Equations'!$B$20*1000*'Com-Ind Equations'!$B$24*'Com-Ind Equations'!$B$21*'Chemical Info'!J154*'Com-Ind Calculations'!C153,IF('Chemical Info'!E154="Yes",'Com-Ind Equations'!$B$20*1000*'Com-Ind Equations'!$B$24*'Com-Ind Equations'!$B$21*'Chemical Info'!J154*'Com-Ind Calculations'!E153,'Com-Ind Equations'!$B$20*1000*'Com-Ind Equations'!$B$24*'Com-Ind Equations'!$B$21*'Chemical Info'!J154*('Com-Ind Calculations'!C153+'Com-Ind Calculations'!E153))))</f>
        <v>NA</v>
      </c>
      <c r="K153" s="117" t="str">
        <f>IF('Chemical Info'!J154="NA","NA",IF(F153="NA",'Com-Ind Equations'!$B$20*1000*'Com-Ind Equations'!$B$24*'Com-Ind Equations'!$B$21*'Chemical Info'!J154*'Com-Ind Calculations'!C153,IF('Chemical Info'!E154="Yes",'Com-Ind Equations'!$B$20*1000*'Com-Ind Equations'!$B$24*'Com-Ind Equations'!$B$21*'Chemical Info'!J154*'Com-Ind Calculations'!F153,'Com-Ind Equations'!$B$20*1000*'Com-Ind Equations'!$B$24*'Com-Ind Equations'!$B$21*'Chemical Info'!J154*('Com-Ind Calculations'!C153+'Com-Ind Calculations'!F153))))</f>
        <v>NA</v>
      </c>
      <c r="L153" s="95" t="str">
        <f>IF(AND(H153="NA",I153="NA",J153="NA"),"NA",IF(H153="NA",'Com-Ind Equations'!$B$13*'Com-Ind Equations'!$B$14/J153,IF(J153="NA",'Com-Ind Equations'!$B$13*'Com-Ind Equations'!$B$14/(H153+I153),'Com-Ind Equations'!$B$13*'Com-Ind Equations'!$B$14/(H153+I153+J153))))</f>
        <v>NA</v>
      </c>
      <c r="M153" s="95" t="str">
        <f>IF(AND(H153="NA",I153="NA",K153="NA"),"NA",IF(H153="NA",'Com-Ind Equations'!$B$13*'Com-Ind Equations'!$B$14/K153,IF(K153="NA",'Com-Ind Equations'!$B$13*'Com-Ind Equations'!$B$14/(H153+I153),'Com-Ind Equations'!$B$13*'Com-Ind Equations'!$B$14/(H153+I153+K153))))</f>
        <v>NA</v>
      </c>
      <c r="N153" s="95" t="str">
        <f t="shared" si="100"/>
        <v>NA</v>
      </c>
      <c r="O153" s="94">
        <f>IF('Chemical Info'!L154="NA","NA",IF('Chemical Info'!E154="Yes",(('Com-Ind Equations'!$B$46*'Chemical Info'!AD154*'Com-Ind Equations'!$B$48*'Com-Ind Equations'!$B$49*'Com-Ind Equations'!$B$51)/('Com-Ind Equations'!$B$55*'Com-Ind Equations'!$B$56))/'Chemical Info'!L154,(('Com-Ind Equations'!$B$46*'Chemical Info'!AD154*'Com-Ind Equations'!$B$48*'Com-Ind Equations'!$B$49*'Com-Ind Equations'!$B$50)/('Com-Ind Equations'!$B$55*'Com-Ind Equations'!$B$56))/'Chemical Info'!L154))</f>
        <v>1.0192433137638615E-2</v>
      </c>
      <c r="P153" s="90">
        <f>IF('Chemical Info'!L154="NA","NA", IF('Chemical Info'!E154="Yes",0,((('Com-Ind Equations'!$B$58*'Com-Ind Equations'!$B$59*'Com-Ind Equations'!$B$48*'Com-Ind Equations'!$B$52*'Com-Ind Equations'!$B$49*'Chemical Info'!AB154)/('Com-Ind Equations'!$B$55*'Com-Ind Equations'!$B$56))/('Chemical Info'!L154*'Chemical Info'!AF154))))</f>
        <v>3.105968688845401E-3</v>
      </c>
      <c r="Q153" s="90">
        <f>IF('Chemical Info'!N154="NA","NA",IF('Com-Ind Calculations'!E153="NA",(('Com-Ind Equations'!$B$53*'Com-Ind Equations'!$B$49*'Com-Ind Equations'!$B$54*'Com-Ind Calculations'!C153)/('Com-Ind Equations'!$B$56))/('Chemical Info'!N154),IF('Chemical Info'!E154="Yes",(('Com-Ind Equations'!$B$53*'Com-Ind Equations'!$B$49*'Com-Ind Equations'!$B$54*'Com-Ind Calculations'!E153)/('Com-Ind Equations'!$B$56))/('Chemical Info'!N154),(('Com-Ind Equations'!$B$53*'Com-Ind Equations'!$B$49*'Com-Ind Equations'!$B$54*('Com-Ind Calculations'!C153+'Com-Ind Calculations'!E153))/('Com-Ind Equations'!$B$56))/('Chemical Info'!N154))))</f>
        <v>1.2515901119196256E-3</v>
      </c>
      <c r="R153" s="90">
        <f>IF('Chemical Info'!N154="NA","NA",IF('Com-Ind Calculations'!F153="NA",(('Com-Ind Equations'!$B$53*'Com-Ind Equations'!$B$49*'Com-Ind Equations'!$B$54*'Com-Ind Calculations'!C153)/('Com-Ind Equations'!$B$56))/('Chemical Info'!N154),IF('Chemical Info'!E154="Yes",(('Com-Ind Equations'!$B$53*'Com-Ind Equations'!$B$49*'Com-Ind Equations'!$B$54*'Com-Ind Calculations'!F153)/('Com-Ind Equations'!$B$56))/('Chemical Info'!N154),(('Com-Ind Equations'!$B$53*'Com-Ind Equations'!$B$49*'Com-Ind Equations'!$B$54*('Com-Ind Calculations'!C153+'Com-Ind Calculations'!F153))/('Com-Ind Equations'!$B$56))/('Chemical Info'!N154))))</f>
        <v>4.2408138351804021E-2</v>
      </c>
      <c r="S153" s="90">
        <f>IF(AND(O153="NA",P153="NA",Q153="NA"),"NA",IF(O153="NA",'Com-Ind Equations'!$B$45/'Com-Ind Calculations'!Q153,IF('Com-Ind Calculations'!Q153="NA",'Com-Ind Equations'!$B$45/('Com-Ind Calculations'!O153+'Com-Ind Calculations'!P153),'Com-Ind Equations'!$B$45/('Com-Ind Calculations'!O153+'Com-Ind Calculations'!P153+'Com-Ind Calculations'!Q153))))</f>
        <v>13.745712083325257</v>
      </c>
      <c r="T153" s="95">
        <f>IF(AND(O153="NA",P153="NA",R153="NA"),"NA",IF(O153="NA",'Com-Ind Equations'!$B$45/R153,IF(R153="NA",'Com-Ind Equations'!$B$45/(O153+P153),'Com-Ind Equations'!$B$45/(O153+P153+R153))))</f>
        <v>3.5902427140494222</v>
      </c>
      <c r="U153" s="97">
        <f t="shared" si="101"/>
        <v>13.745712083325257</v>
      </c>
      <c r="V153" s="101">
        <f t="shared" si="102"/>
        <v>13.745712083325257</v>
      </c>
      <c r="W153" s="105">
        <f t="shared" si="104"/>
        <v>14</v>
      </c>
      <c r="X153" s="100" t="str">
        <f t="shared" si="103"/>
        <v>Noncancer</v>
      </c>
      <c r="Y153" s="70"/>
    </row>
    <row r="154" spans="1:25">
      <c r="A154" s="413" t="s">
        <v>1264</v>
      </c>
      <c r="B154" s="566" t="s">
        <v>234</v>
      </c>
      <c r="C154" s="85">
        <f>1/(('Com-Ind Equations'!$B$123*3600)/(0.036*(1-'Com-Ind Equations'!$B$124)*(('Com-Ind Equations'!$B$125/'Com-Ind Equations'!$B$126)^3)*'Com-Ind Equations'!$B$127))</f>
        <v>1.4713536180231943E-9</v>
      </c>
      <c r="D154" s="90">
        <f>(('Com-Ind Equations'!$B$103^(10/3)*'Chemical Info'!AH155*'Chemical Info'!AN155*41+'Com-Ind Equations'!$B$106^(10/3)*'Chemical Info'!AJ155)/'Com-Ind Equations'!$B$108^2)/('Com-Ind Equations'!$B$110*'Chemical Info'!AL155*'Com-Ind Equations'!$B$113+'Com-Ind Equations'!$B$106+'Com-Ind Equations'!$B$103*'Chemical Info'!AN155*41)</f>
        <v>5.6605861256991749E-6</v>
      </c>
      <c r="E154" s="65">
        <f>IF(D154=0,"NA",1/(('Com-Ind Equations'!$B$74*(3.14*D154*'Com-Ind Equations'!$B$76)^(1/2)*0.0001)/(2*'Com-Ind Equations'!$B$77*D154)))</f>
        <v>1.3965589909904927E-5</v>
      </c>
      <c r="F154" s="65">
        <f>IF(D154=0,"NA",(1/('Com-Ind Equations'!$B$88*('Com-Ind Equations'!$B$89*(31500000))/('Com-Ind Equations'!$B$90*'Com-Ind Equations'!$B$91*1000000))))</f>
        <v>6.1914410640015851E-5</v>
      </c>
      <c r="G154" s="95">
        <f>IF('Chemical Info'!E155="Yes",('Chemical Info'!AP155/'Com-Ind Equations'!$B$139)*((('Chemical Info'!AL155*'Com-Ind Equations'!$B$141)*'Com-Ind Equations'!$B$139)+'Com-Ind Equations'!$B$142+('Chemical Info'!AN155*41)*'Com-Ind Equations'!$B$144),"NA")</f>
        <v>248.49457713360002</v>
      </c>
      <c r="H154" s="112" t="str">
        <f>IF('Chemical Info'!H155="NA","NA",IF('Chemical Info'!E155="Yes",'Chemical Info'!H155*'Chemical Info'!AD155*'Com-Ind Equations'!$B$18*'Com-Ind Equations'!$B$22*(('Com-Ind Equations'!$B$24*'Com-Ind Equations'!$B$25)/'Com-Ind Equations'!$B$26),'Chemical Info'!H155*'Chemical Info'!AD155*'Com-Ind Equations'!$B$17*'Com-Ind Equations'!$B$22*('Com-Ind Equations'!$B$24*'Com-Ind Equations'!$B$25/'Com-Ind Equations'!$B$26)))</f>
        <v>NA</v>
      </c>
      <c r="I154" s="108" t="str">
        <f>IF('Chemical Info'!H155="NA","NA",IF('Chemical Info'!E155="Yes",0,('Chemical Info'!H155/'Chemical Info'!AF155)*'Com-Ind Equations'!$B$19*'Chemical Info'!AB155*'Com-Ind Equations'!$B$22*(('Com-Ind Equations'!$B$24*'Com-Ind Equations'!$B$29*'Com-Ind Equations'!$B$30)/'Com-Ind Equations'!$B$26)))</f>
        <v>NA</v>
      </c>
      <c r="J154" s="115" t="str">
        <f>IF('Chemical Info'!J155="NA","NA",IF(E154="NA",'Com-Ind Equations'!$B$20*1000*'Com-Ind Equations'!$B$24*'Com-Ind Equations'!$B$21*'Chemical Info'!J155*'Com-Ind Calculations'!C154,IF('Chemical Info'!E155="Yes",'Com-Ind Equations'!$B$20*1000*'Com-Ind Equations'!$B$24*'Com-Ind Equations'!$B$21*'Chemical Info'!J155*'Com-Ind Calculations'!E154,'Com-Ind Equations'!$B$20*1000*'Com-Ind Equations'!$B$24*'Com-Ind Equations'!$B$21*'Chemical Info'!J155*('Com-Ind Calculations'!C154+'Com-Ind Calculations'!E154))))</f>
        <v>NA</v>
      </c>
      <c r="K154" s="117" t="str">
        <f>IF('Chemical Info'!J155="NA","NA",IF(F154="NA",'Com-Ind Equations'!$B$20*1000*'Com-Ind Equations'!$B$24*'Com-Ind Equations'!$B$21*'Chemical Info'!J155*'Com-Ind Calculations'!C154,IF('Chemical Info'!E155="Yes",'Com-Ind Equations'!$B$20*1000*'Com-Ind Equations'!$B$24*'Com-Ind Equations'!$B$21*'Chemical Info'!J155*'Com-Ind Calculations'!F154,'Com-Ind Equations'!$B$20*1000*'Com-Ind Equations'!$B$24*'Com-Ind Equations'!$B$21*'Chemical Info'!J155*('Com-Ind Calculations'!C154+'Com-Ind Calculations'!F154))))</f>
        <v>NA</v>
      </c>
      <c r="L154" s="95" t="str">
        <f>IF(AND(H154="NA",I154="NA",J154="NA"),"NA",IF(H154="NA",'Com-Ind Equations'!$B$13*'Com-Ind Equations'!$B$14/J154,IF(J154="NA",'Com-Ind Equations'!$B$13*'Com-Ind Equations'!$B$14/(H154+I154),'Com-Ind Equations'!$B$13*'Com-Ind Equations'!$B$14/(H154+I154+J154))))</f>
        <v>NA</v>
      </c>
      <c r="M154" s="95" t="str">
        <f>IF(AND(H154="NA",I154="NA",K154="NA"),"NA",IF(H154="NA",'Com-Ind Equations'!$B$13*'Com-Ind Equations'!$B$14/K154,IF(K154="NA",'Com-Ind Equations'!$B$13*'Com-Ind Equations'!$B$14/(H154+I154),'Com-Ind Equations'!$B$13*'Com-Ind Equations'!$B$14/(H154+I154+K154))))</f>
        <v>NA</v>
      </c>
      <c r="N154" s="95" t="str">
        <f t="shared" si="100"/>
        <v>NA</v>
      </c>
      <c r="O154" s="94">
        <f>IF('Chemical Info'!L155="NA","NA",IF('Chemical Info'!E155="Yes",(('Com-Ind Equations'!$B$46*'Chemical Info'!AD155*'Com-Ind Equations'!$B$48*'Com-Ind Equations'!$B$49*'Com-Ind Equations'!$B$51)/('Com-Ind Equations'!$B$55*'Com-Ind Equations'!$B$56))/'Chemical Info'!L155,(('Com-Ind Equations'!$B$46*'Chemical Info'!AD155*'Com-Ind Equations'!$B$48*'Com-Ind Equations'!$B$49*'Com-Ind Equations'!$B$50)/('Com-Ind Equations'!$B$55*'Com-Ind Equations'!$B$56))/'Chemical Info'!L155))</f>
        <v>2.1256495040151158E-4</v>
      </c>
      <c r="P154" s="90">
        <f>IF('Chemical Info'!L155="NA","NA", IF('Chemical Info'!E155="Yes",0,((('Com-Ind Equations'!$B$58*'Com-Ind Equations'!$B$59*'Com-Ind Equations'!$B$48*'Com-Ind Equations'!$B$52*'Com-Ind Equations'!$B$49*'Chemical Info'!AB155)/('Com-Ind Equations'!$B$55*'Com-Ind Equations'!$B$56))/('Chemical Info'!L155*'Chemical Info'!AF155))))</f>
        <v>0</v>
      </c>
      <c r="Q154" s="90">
        <f>IF('Chemical Info'!N155="NA","NA",IF('Com-Ind Calculations'!E154="NA",(('Com-Ind Equations'!$B$53*'Com-Ind Equations'!$B$49*'Com-Ind Equations'!$B$54*'Com-Ind Calculations'!C154)/('Com-Ind Equations'!$B$56))/('Chemical Info'!N155),IF('Chemical Info'!E155="Yes",(('Com-Ind Equations'!$B$53*'Com-Ind Equations'!$B$49*'Com-Ind Equations'!$B$54*'Com-Ind Calculations'!E154)/('Com-Ind Equations'!$B$56))/('Chemical Info'!N155),(('Com-Ind Equations'!$B$53*'Com-Ind Equations'!$B$49*'Com-Ind Equations'!$B$54*('Com-Ind Calculations'!C154+'Com-Ind Calculations'!E154))/('Com-Ind Equations'!$B$56))/('Chemical Info'!N155))))</f>
        <v>2.869641762309232E-4</v>
      </c>
      <c r="R154" s="90">
        <f>IF('Chemical Info'!N155="NA","NA",IF('Com-Ind Calculations'!F154="NA",(('Com-Ind Equations'!$B$53*'Com-Ind Equations'!$B$49*'Com-Ind Equations'!$B$54*'Com-Ind Calculations'!C154)/('Com-Ind Equations'!$B$56))/('Chemical Info'!N155),IF('Chemical Info'!E155="Yes",(('Com-Ind Equations'!$B$53*'Com-Ind Equations'!$B$49*'Com-Ind Equations'!$B$54*'Com-Ind Calculations'!F154)/('Com-Ind Equations'!$B$56))/('Chemical Info'!N155),(('Com-Ind Equations'!$B$53*'Com-Ind Equations'!$B$49*'Com-Ind Equations'!$B$54*('Com-Ind Calculations'!C154+'Com-Ind Calculations'!F154))/('Com-Ind Equations'!$B$56))/('Chemical Info'!N155))))</f>
        <v>1.2722139172605996E-3</v>
      </c>
      <c r="S154" s="90">
        <f>IF(AND(O154="NA",P154="NA",Q154="NA"),"NA",IF(O154="NA",'Com-Ind Equations'!$B$45/'Com-Ind Calculations'!Q154,IF('Com-Ind Calculations'!Q154="NA",'Com-Ind Equations'!$B$45/('Com-Ind Calculations'!O154+'Com-Ind Calculations'!P154),'Com-Ind Equations'!$B$45/('Com-Ind Calculations'!O154+'Com-Ind Calculations'!P154+'Com-Ind Calculations'!Q154))))</f>
        <v>400.37705378322153</v>
      </c>
      <c r="T154" s="95">
        <f>IF(AND(O154="NA",P154="NA",R154="NA"),"NA",IF(O154="NA",'Com-Ind Equations'!$B$45/R154,IF(R154="NA",'Com-Ind Equations'!$B$45/(O154+P154),'Com-Ind Equations'!$B$45/(O154+P154+R154))))</f>
        <v>134.7001929754793</v>
      </c>
      <c r="U154" s="97">
        <f t="shared" si="101"/>
        <v>400.37705378322153</v>
      </c>
      <c r="V154" s="101">
        <f t="shared" si="102"/>
        <v>248.49457713360002</v>
      </c>
      <c r="W154" s="105">
        <f t="shared" si="104"/>
        <v>250</v>
      </c>
      <c r="X154" s="100" t="str">
        <f t="shared" si="103"/>
        <v>Csat</v>
      </c>
      <c r="Y154" s="70"/>
    </row>
    <row r="155" spans="1:25">
      <c r="A155" s="413" t="s">
        <v>1265</v>
      </c>
      <c r="B155" s="566" t="s">
        <v>58</v>
      </c>
      <c r="C155" s="85">
        <f>1/(('Com-Ind Equations'!$B$123*3600)/(0.036*(1-'Com-Ind Equations'!$B$124)*(('Com-Ind Equations'!$B$125/'Com-Ind Equations'!$B$126)^3)*'Com-Ind Equations'!$B$127))</f>
        <v>1.4713536180231943E-9</v>
      </c>
      <c r="D155" s="90">
        <f>(('Com-Ind Equations'!$B$103^(10/3)*'Chemical Info'!AH156*'Chemical Info'!AN156*41+'Com-Ind Equations'!$B$106^(10/3)*'Chemical Info'!AJ156)/'Com-Ind Equations'!$B$108^2)/('Com-Ind Equations'!$B$110*'Chemical Info'!AL156*'Com-Ind Equations'!$B$113+'Com-Ind Equations'!$B$106+'Com-Ind Equations'!$B$103*'Chemical Info'!AN156*41)</f>
        <v>1.3420497169460671E-8</v>
      </c>
      <c r="E155" s="65">
        <f>IF(D155=0,"NA",1/(('Com-Ind Equations'!$B$74*(3.14*D155*'Com-Ind Equations'!$B$76)^(1/2)*0.0001)/(2*'Com-Ind Equations'!$B$77*D155)))</f>
        <v>6.8000622163292458E-7</v>
      </c>
      <c r="F155" s="65">
        <f>IF(D155=0,"NA",(1/('Com-Ind Equations'!$B$88*('Com-Ind Equations'!$B$89*(31500000))/('Com-Ind Equations'!$B$90*'Com-Ind Equations'!$B$91*1000000))))</f>
        <v>6.1914410640015851E-5</v>
      </c>
      <c r="G155" s="95" t="str">
        <f>IF('Chemical Info'!E156="Yes",('Chemical Info'!AP156/'Com-Ind Equations'!$B$139)*((('Chemical Info'!AL156*'Com-Ind Equations'!$B$141)*'Com-Ind Equations'!$B$139)+'Com-Ind Equations'!$B$142+('Chemical Info'!AN156*41)*'Com-Ind Equations'!$B$144),"NA")</f>
        <v>NA</v>
      </c>
      <c r="H155" s="112">
        <f>IF('Chemical Info'!H156="NA","NA",IF('Chemical Info'!E156="Yes",'Chemical Info'!H156*'Chemical Info'!AD156*'Com-Ind Equations'!$B$18*'Com-Ind Equations'!$B$22*(('Com-Ind Equations'!$B$24*'Com-Ind Equations'!$B$25)/'Com-Ind Equations'!$B$26),'Chemical Info'!H156*'Chemical Info'!AD156*'Com-Ind Equations'!$B$17*'Com-Ind Equations'!$B$22*('Com-Ind Equations'!$B$24*'Com-Ind Equations'!$B$25/'Com-Ind Equations'!$B$26)))</f>
        <v>0.1015625</v>
      </c>
      <c r="I155" s="108">
        <f>IF('Chemical Info'!H156="NA","NA",IF('Chemical Info'!E156="Yes",0,('Chemical Info'!H156/'Chemical Info'!AF156)*'Com-Ind Equations'!$B$19*'Chemical Info'!AB156*'Com-Ind Equations'!$B$22*(('Com-Ind Equations'!$B$24*'Com-Ind Equations'!$B$29*'Com-Ind Equations'!$B$30)/'Com-Ind Equations'!$B$26)))</f>
        <v>3.0949424999999996E-2</v>
      </c>
      <c r="J155" s="115" t="str">
        <f>IF('Chemical Info'!J156="NA","NA",IF(E155="NA",'Com-Ind Equations'!$B$20*1000*'Com-Ind Equations'!$B$24*'Com-Ind Equations'!$B$21*'Chemical Info'!J156*'Com-Ind Calculations'!C155,IF('Chemical Info'!E156="Yes",'Com-Ind Equations'!$B$20*1000*'Com-Ind Equations'!$B$24*'Com-Ind Equations'!$B$21*'Chemical Info'!J156*'Com-Ind Calculations'!E155,'Com-Ind Equations'!$B$20*1000*'Com-Ind Equations'!$B$24*'Com-Ind Equations'!$B$21*'Chemical Info'!J156*('Com-Ind Calculations'!C155+'Com-Ind Calculations'!E155))))</f>
        <v>NA</v>
      </c>
      <c r="K155" s="117" t="str">
        <f>IF('Chemical Info'!J156="NA","NA",IF(F155="NA",'Com-Ind Equations'!$B$20*1000*'Com-Ind Equations'!$B$24*'Com-Ind Equations'!$B$21*'Chemical Info'!J156*'Com-Ind Calculations'!C155,IF('Chemical Info'!E156="Yes",'Com-Ind Equations'!$B$20*1000*'Com-Ind Equations'!$B$24*'Com-Ind Equations'!$B$21*'Chemical Info'!J156*'Com-Ind Calculations'!F155,'Com-Ind Equations'!$B$20*1000*'Com-Ind Equations'!$B$24*'Com-Ind Equations'!$B$21*'Chemical Info'!J156*('Com-Ind Calculations'!C155+'Com-Ind Calculations'!F155))))</f>
        <v>NA</v>
      </c>
      <c r="L155" s="95">
        <f>IF(AND(H155="NA",I155="NA",J155="NA"),"NA",IF(H155="NA",'Com-Ind Equations'!$B$13*'Com-Ind Equations'!$B$14/J155,IF(J155="NA",'Com-Ind Equations'!$B$13*'Com-Ind Equations'!$B$14/(H155+I155),'Com-Ind Equations'!$B$13*'Com-Ind Equations'!$B$14/(H155+I155+J155))))</f>
        <v>1.9281283552404811</v>
      </c>
      <c r="M155" s="95">
        <f>IF(AND(H155="NA",I155="NA",K155="NA"),"NA",IF(H155="NA",'Com-Ind Equations'!$B$13*'Com-Ind Equations'!$B$14/K155,IF(K155="NA",'Com-Ind Equations'!$B$13*'Com-Ind Equations'!$B$14/(H155+I155),'Com-Ind Equations'!$B$13*'Com-Ind Equations'!$B$14/(H155+I155+K155))))</f>
        <v>1.9281283552404811</v>
      </c>
      <c r="N155" s="95">
        <f t="shared" si="100"/>
        <v>1.9281283552404811</v>
      </c>
      <c r="O155" s="94">
        <f>IF('Chemical Info'!L156="NA","NA",IF('Chemical Info'!E156="Yes",(('Com-Ind Equations'!$B$46*'Chemical Info'!AD156*'Com-Ind Equations'!$B$48*'Com-Ind Equations'!$B$49*'Com-Ind Equations'!$B$51)/('Com-Ind Equations'!$B$55*'Com-Ind Equations'!$B$56))/'Chemical Info'!L156,(('Com-Ind Equations'!$B$46*'Chemical Info'!AD156*'Com-Ind Equations'!$B$48*'Com-Ind Equations'!$B$49*'Com-Ind Equations'!$B$50)/('Com-Ind Equations'!$B$55*'Com-Ind Equations'!$B$56))/'Chemical Info'!L156))</f>
        <v>0.8561643835616437</v>
      </c>
      <c r="P155" s="90">
        <f>IF('Chemical Info'!L156="NA","NA", IF('Chemical Info'!E156="Yes",0,((('Com-Ind Equations'!$B$58*'Com-Ind Equations'!$B$59*'Com-Ind Equations'!$B$48*'Com-Ind Equations'!$B$52*'Com-Ind Equations'!$B$49*'Chemical Info'!AB156)/('Com-Ind Equations'!$B$55*'Com-Ind Equations'!$B$56))/('Chemical Info'!L156*'Chemical Info'!AF156))))</f>
        <v>0.26090136986301365</v>
      </c>
      <c r="Q155" s="90">
        <f>IF('Chemical Info'!N156="NA","NA",IF('Com-Ind Calculations'!E155="NA",(('Com-Ind Equations'!$B$53*'Com-Ind Equations'!$B$49*'Com-Ind Equations'!$B$54*'Com-Ind Calculations'!C155)/('Com-Ind Equations'!$B$56))/('Chemical Info'!N156),IF('Chemical Info'!E156="Yes",(('Com-Ind Equations'!$B$53*'Com-Ind Equations'!$B$49*'Com-Ind Equations'!$B$54*'Com-Ind Calculations'!E155)/('Com-Ind Equations'!$B$56))/('Chemical Info'!N156),(('Com-Ind Equations'!$B$53*'Com-Ind Equations'!$B$49*'Com-Ind Equations'!$B$54*('Com-Ind Calculations'!C155+'Com-Ind Calculations'!E155))/('Com-Ind Equations'!$B$56))/('Chemical Info'!N156))))</f>
        <v>1.2729967159108613E-2</v>
      </c>
      <c r="R155" s="90">
        <f>IF('Chemical Info'!N156="NA","NA",IF('Com-Ind Calculations'!F155="NA",(('Com-Ind Equations'!$B$53*'Com-Ind Equations'!$B$49*'Com-Ind Equations'!$B$54*'Com-Ind Calculations'!C155)/('Com-Ind Equations'!$B$56))/('Chemical Info'!N156),IF('Chemical Info'!E156="Yes",(('Com-Ind Equations'!$B$53*'Com-Ind Equations'!$B$49*'Com-Ind Equations'!$B$54*'Com-Ind Calculations'!F155)/('Com-Ind Equations'!$B$56))/('Chemical Info'!N156),(('Com-Ind Equations'!$B$53*'Com-Ind Equations'!$B$49*'Com-Ind Equations'!$B$54*('Com-Ind Calculations'!C155+'Com-Ind Calculations'!F155))/('Com-Ind Equations'!$B$56))/('Chemical Info'!N156))))</f>
        <v>1.1565855914128369</v>
      </c>
      <c r="S155" s="90">
        <f>IF(AND(O155="NA",P155="NA",Q155="NA"),"NA",IF(O155="NA",'Com-Ind Equations'!$B$45/'Com-Ind Calculations'!Q155,IF('Com-Ind Calculations'!Q155="NA",'Com-Ind Equations'!$B$45/('Com-Ind Calculations'!O155+'Com-Ind Calculations'!P155),'Com-Ind Equations'!$B$45/('Com-Ind Calculations'!O155+'Com-Ind Calculations'!P155+'Com-Ind Calculations'!Q155))))</f>
        <v>0.17702315237719252</v>
      </c>
      <c r="T155" s="95">
        <f>IF(AND(O155="NA",P155="NA",R155="NA"),"NA",IF(O155="NA",'Com-Ind Equations'!$B$45/R155,IF(R155="NA",'Com-Ind Equations'!$B$45/(O155+P155),'Com-Ind Equations'!$B$45/(O155+P155+R155))))</f>
        <v>8.7964234469860944E-2</v>
      </c>
      <c r="U155" s="97">
        <f t="shared" si="101"/>
        <v>0.17702315237719252</v>
      </c>
      <c r="V155" s="101">
        <f t="shared" si="102"/>
        <v>0.17702315237719252</v>
      </c>
      <c r="W155" s="105">
        <f t="shared" si="104"/>
        <v>0.18</v>
      </c>
      <c r="X155" s="100" t="str">
        <f t="shared" si="103"/>
        <v>Noncancer</v>
      </c>
      <c r="Y155" s="70"/>
    </row>
    <row r="156" spans="1:25" ht="13.5" customHeight="1">
      <c r="A156" s="413" t="s">
        <v>57</v>
      </c>
      <c r="B156" s="566" t="s">
        <v>59</v>
      </c>
      <c r="C156" s="85">
        <f>1/(('Com-Ind Equations'!$B$123*3600)/(0.036*(1-'Com-Ind Equations'!$B$124)*(('Com-Ind Equations'!$B$125/'Com-Ind Equations'!$B$126)^3)*'Com-Ind Equations'!$B$127))</f>
        <v>1.4713536180231943E-9</v>
      </c>
      <c r="D156" s="90">
        <f>(('Com-Ind Equations'!$B$103^(10/3)*'Chemical Info'!AH157*'Chemical Info'!AN157*41+'Com-Ind Equations'!$B$106^(10/3)*'Chemical Info'!AJ157)/'Com-Ind Equations'!$B$108^2)/('Com-Ind Equations'!$B$110*'Chemical Info'!AL157*'Com-Ind Equations'!$B$113+'Com-Ind Equations'!$B$106+'Com-Ind Equations'!$B$103*'Chemical Info'!AN157*41)</f>
        <v>6.5213231285429398E-8</v>
      </c>
      <c r="E156" s="65">
        <f>IF(D156=0,"NA",1/(('Com-Ind Equations'!$B$74*(3.14*D156*'Com-Ind Equations'!$B$76)^(1/2)*0.0001)/(2*'Com-Ind Equations'!$B$77*D156)))</f>
        <v>1.4989820895900888E-6</v>
      </c>
      <c r="F156" s="65">
        <f>IF(D156=0,"NA",(1/('Com-Ind Equations'!$B$88*('Com-Ind Equations'!$B$89*(31500000))/('Com-Ind Equations'!$B$90*'Com-Ind Equations'!$B$91*1000000))))</f>
        <v>6.1914410640015851E-5</v>
      </c>
      <c r="G156" s="95" t="str">
        <f>IF('Chemical Info'!E157="Yes",('Chemical Info'!AP157/'Com-Ind Equations'!$B$139)*((('Chemical Info'!AL157*'Com-Ind Equations'!$B$141)*'Com-Ind Equations'!$B$139)+'Com-Ind Equations'!$B$142+('Chemical Info'!AN157*41)*'Com-Ind Equations'!$B$144),"NA")</f>
        <v>NA</v>
      </c>
      <c r="H156" s="112">
        <f>IF('Chemical Info'!H157="NA","NA",IF('Chemical Info'!E157="Yes",'Chemical Info'!H157*'Chemical Info'!AD157*'Com-Ind Equations'!$B$18*'Com-Ind Equations'!$B$22*(('Com-Ind Equations'!$B$24*'Com-Ind Equations'!$B$25)/'Com-Ind Equations'!$B$26),'Chemical Info'!H157*'Chemical Info'!AD157*'Com-Ind Equations'!$B$17*'Com-Ind Equations'!$B$22*('Com-Ind Equations'!$B$24*'Com-Ind Equations'!$B$25/'Com-Ind Equations'!$B$26)))</f>
        <v>98.4375</v>
      </c>
      <c r="I156" s="108">
        <f>IF('Chemical Info'!H157="NA","NA",IF('Chemical Info'!E157="Yes",0,('Chemical Info'!H157/'Chemical Info'!AF157)*'Com-Ind Equations'!$B$19*'Chemical Info'!AB157*'Com-Ind Equations'!$B$22*(('Com-Ind Equations'!$B$24*'Com-Ind Equations'!$B$29*'Com-Ind Equations'!$B$30)/'Com-Ind Equations'!$B$26)))</f>
        <v>29.997134999999997</v>
      </c>
      <c r="J156" s="115" t="str">
        <f>IF('Chemical Info'!J157="NA","NA",IF(E156="NA",'Com-Ind Equations'!$B$20*1000*'Com-Ind Equations'!$B$24*'Com-Ind Equations'!$B$21*'Chemical Info'!J157*'Com-Ind Calculations'!C156,IF('Chemical Info'!E157="Yes",'Com-Ind Equations'!$B$20*1000*'Com-Ind Equations'!$B$24*'Com-Ind Equations'!$B$21*'Chemical Info'!J157*'Com-Ind Calculations'!E156,'Com-Ind Equations'!$B$20*1000*'Com-Ind Equations'!$B$24*'Com-Ind Equations'!$B$21*'Chemical Info'!J157*('Com-Ind Calculations'!C156+'Com-Ind Calculations'!E156))))</f>
        <v>NA</v>
      </c>
      <c r="K156" s="117" t="str">
        <f>IF('Chemical Info'!J157="NA","NA",IF(F156="NA",'Com-Ind Equations'!$B$20*1000*'Com-Ind Equations'!$B$24*'Com-Ind Equations'!$B$21*'Chemical Info'!J157*'Com-Ind Calculations'!C156,IF('Chemical Info'!E157="Yes",'Com-Ind Equations'!$B$20*1000*'Com-Ind Equations'!$B$24*'Com-Ind Equations'!$B$21*'Chemical Info'!J157*'Com-Ind Calculations'!F156,'Com-Ind Equations'!$B$20*1000*'Com-Ind Equations'!$B$24*'Com-Ind Equations'!$B$21*'Chemical Info'!J157*('Com-Ind Calculations'!C156+'Com-Ind Calculations'!F156))))</f>
        <v>NA</v>
      </c>
      <c r="L156" s="95">
        <f>IF(AND(H156="NA",I156="NA",J156="NA"),"NA",IF(H156="NA",'Com-Ind Equations'!$B$13*'Com-Ind Equations'!$B$14/J156,IF(J156="NA",'Com-Ind Equations'!$B$13*'Com-Ind Equations'!$B$14/(H156+I156),'Com-Ind Equations'!$B$13*'Com-Ind Equations'!$B$14/(H156+I156+J156))))</f>
        <v>1.9893387792163696E-3</v>
      </c>
      <c r="M156" s="95">
        <f>IF(AND(H156="NA",I156="NA",K156="NA"),"NA",IF(H156="NA",'Com-Ind Equations'!$B$13*'Com-Ind Equations'!$B$14/K156,IF(K156="NA",'Com-Ind Equations'!$B$13*'Com-Ind Equations'!$B$14/(H156+I156),'Com-Ind Equations'!$B$13*'Com-Ind Equations'!$B$14/(H156+I156+K156))))</f>
        <v>1.9893387792163696E-3</v>
      </c>
      <c r="N156" s="95">
        <f t="shared" si="100"/>
        <v>1.9893387792163696E-3</v>
      </c>
      <c r="O156" s="94">
        <f>IF('Chemical Info'!L157="NA","NA",IF('Chemical Info'!E157="Yes",(('Com-Ind Equations'!$B$46*'Chemical Info'!AD157*'Com-Ind Equations'!$B$48*'Com-Ind Equations'!$B$49*'Com-Ind Equations'!$B$51)/('Com-Ind Equations'!$B$55*'Com-Ind Equations'!$B$56))/'Chemical Info'!L157,(('Com-Ind Equations'!$B$46*'Chemical Info'!AD157*'Com-Ind Equations'!$B$48*'Com-Ind Equations'!$B$49*'Com-Ind Equations'!$B$50)/('Com-Ind Equations'!$B$55*'Com-Ind Equations'!$B$56))/'Chemical Info'!L157))</f>
        <v>3.2929399367755523</v>
      </c>
      <c r="P156" s="90">
        <f>IF('Chemical Info'!L157="NA","NA", IF('Chemical Info'!E157="Yes",0,((('Com-Ind Equations'!$B$58*'Com-Ind Equations'!$B$59*'Com-Ind Equations'!$B$48*'Com-Ind Equations'!$B$52*'Com-Ind Equations'!$B$49*'Chemical Info'!AB157)/('Com-Ind Equations'!$B$55*'Com-Ind Equations'!$B$56))/('Chemical Info'!L157*'Chemical Info'!AF157))))</f>
        <v>1.0034668071654371</v>
      </c>
      <c r="Q156" s="90">
        <f>IF('Chemical Info'!N157="NA","NA",IF('Com-Ind Calculations'!E156="NA",(('Com-Ind Equations'!$B$53*'Com-Ind Equations'!$B$49*'Com-Ind Equations'!$B$54*'Com-Ind Calculations'!C156)/('Com-Ind Equations'!$B$56))/('Chemical Info'!N157),IF('Chemical Info'!E157="Yes",(('Com-Ind Equations'!$B$53*'Com-Ind Equations'!$B$49*'Com-Ind Equations'!$B$54*'Com-Ind Calculations'!E156)/('Com-Ind Equations'!$B$56))/('Chemical Info'!N157),(('Com-Ind Equations'!$B$53*'Com-Ind Equations'!$B$49*'Com-Ind Equations'!$B$54*('Com-Ind Calculations'!C156+'Com-Ind Calculations'!E156))/('Com-Ind Equations'!$B$56))/('Chemical Info'!N157))))</f>
        <v>4.8938468467322645E-3</v>
      </c>
      <c r="R156" s="90">
        <f>IF('Chemical Info'!N157="NA","NA",IF('Com-Ind Calculations'!F156="NA",(('Com-Ind Equations'!$B$53*'Com-Ind Equations'!$B$49*'Com-Ind Equations'!$B$54*'Com-Ind Calculations'!C156)/('Com-Ind Equations'!$B$56))/('Chemical Info'!N157),IF('Chemical Info'!E157="Yes",(('Com-Ind Equations'!$B$53*'Com-Ind Equations'!$B$49*'Com-Ind Equations'!$B$54*'Com-Ind Calculations'!F156)/('Com-Ind Equations'!$B$56))/('Chemical Info'!N157),(('Com-Ind Equations'!$B$53*'Com-Ind Equations'!$B$49*'Com-Ind Equations'!$B$54*('Com-Ind Calculations'!C156+'Com-Ind Calculations'!F156))/('Com-Ind Equations'!$B$56))/('Chemical Info'!N157))))</f>
        <v>0.20194351596097151</v>
      </c>
      <c r="S156" s="90">
        <f>IF(AND(O156="NA",P156="NA",Q156="NA"),"NA",IF(O156="NA",'Com-Ind Equations'!$B$45/'Com-Ind Calculations'!Q156,IF('Com-Ind Calculations'!Q156="NA",'Com-Ind Equations'!$B$45/('Com-Ind Calculations'!O156+'Com-Ind Calculations'!P156),'Com-Ind Equations'!$B$45/('Com-Ind Calculations'!O156+'Com-Ind Calculations'!P156+'Com-Ind Calculations'!Q156))))</f>
        <v>4.6497564115455796E-2</v>
      </c>
      <c r="T156" s="95">
        <f>IF(AND(O156="NA",P156="NA",R156="NA"),"NA",IF(O156="NA",'Com-Ind Equations'!$B$45/R156,IF(R156="NA",'Com-Ind Equations'!$B$45/(O156+P156),'Com-Ind Equations'!$B$45/(O156+P156+R156))))</f>
        <v>4.4460744149424879E-2</v>
      </c>
      <c r="U156" s="97">
        <f t="shared" si="101"/>
        <v>4.6497564115455796E-2</v>
      </c>
      <c r="V156" s="101">
        <f t="shared" si="102"/>
        <v>1.9893387792163696E-3</v>
      </c>
      <c r="W156" s="105">
        <f t="shared" si="104"/>
        <v>2E-3</v>
      </c>
      <c r="X156" s="100" t="str">
        <f t="shared" si="103"/>
        <v>Cancer</v>
      </c>
      <c r="Y156" s="70"/>
    </row>
    <row r="157" spans="1:25" ht="13.5" customHeight="1">
      <c r="A157" s="413" t="s">
        <v>1266</v>
      </c>
      <c r="B157" s="566" t="s">
        <v>998</v>
      </c>
      <c r="C157" s="85">
        <f>1/(('Com-Ind Equations'!$B$123*3600)/(0.036*(1-'Com-Ind Equations'!$B$124)*(('Com-Ind Equations'!$B$125/'Com-Ind Equations'!$B$126)^3)*'Com-Ind Equations'!$B$127))</f>
        <v>1.4713536180231943E-9</v>
      </c>
      <c r="D157" s="90">
        <f>(('Com-Ind Equations'!$B$103^(10/3)*'Chemical Info'!AH158*'Chemical Info'!AN158*41+'Com-Ind Equations'!$B$106^(10/3)*'Chemical Info'!AJ158)/'Com-Ind Equations'!$B$108^2)/('Com-Ind Equations'!$B$110*'Chemical Info'!AL158*'Com-Ind Equations'!$B$113+'Com-Ind Equations'!$B$106+'Com-Ind Equations'!$B$103*'Chemical Info'!AN158*41)</f>
        <v>4.935286402129486E-8</v>
      </c>
      <c r="E157" s="65">
        <f>IF(D157=0,"NA",1/(('Com-Ind Equations'!$B$74*(3.14*D157*'Com-Ind Equations'!$B$76)^(1/2)*0.0001)/(2*'Com-Ind Equations'!$B$77*D157)))</f>
        <v>1.3040215367266942E-6</v>
      </c>
      <c r="F157" s="65">
        <f>IF(D157=0,"NA",(1/('Com-Ind Equations'!$B$88*('Com-Ind Equations'!$B$89*(31500000))/('Com-Ind Equations'!$B$90*'Com-Ind Equations'!$B$91*1000000))))</f>
        <v>6.1914410640015851E-5</v>
      </c>
      <c r="G157" s="95" t="str">
        <f>IF('Chemical Info'!E158="Yes",('Chemical Info'!AP158/'Com-Ind Equations'!$B$139)*((('Chemical Info'!AL158*'Com-Ind Equations'!$B$141)*'Com-Ind Equations'!$B$139)+'Com-Ind Equations'!$B$142+('Chemical Info'!AN158*41)*'Com-Ind Equations'!$B$144),"NA")</f>
        <v>NA</v>
      </c>
      <c r="H157" s="112" t="str">
        <f>IF('Chemical Info'!H158="NA","NA",IF('Chemical Info'!E158="Yes",'Chemical Info'!H158*'Chemical Info'!AD158*'Com-Ind Equations'!$B$18*'Com-Ind Equations'!$B$22*(('Com-Ind Equations'!$B$24*'Com-Ind Equations'!$B$25)/'Com-Ind Equations'!$B$26),'Chemical Info'!H158*'Chemical Info'!AD158*'Com-Ind Equations'!$B$17*'Com-Ind Equations'!$B$22*('Com-Ind Equations'!$B$24*'Com-Ind Equations'!$B$25/'Com-Ind Equations'!$B$26)))</f>
        <v>NA</v>
      </c>
      <c r="I157" s="108" t="str">
        <f>IF('Chemical Info'!H158="NA","NA",IF('Chemical Info'!E158="Yes",0,('Chemical Info'!H158/'Chemical Info'!AF158)*'Com-Ind Equations'!$B$19*'Chemical Info'!AB158*'Com-Ind Equations'!$B$22*(('Com-Ind Equations'!$B$24*'Com-Ind Equations'!$B$29*'Com-Ind Equations'!$B$30)/'Com-Ind Equations'!$B$26)))</f>
        <v>NA</v>
      </c>
      <c r="J157" s="115" t="str">
        <f>IF('Chemical Info'!J158="NA","NA",IF(E157="NA",'Com-Ind Equations'!$B$20*1000*'Com-Ind Equations'!$B$24*'Com-Ind Equations'!$B$21*'Chemical Info'!J158*'Com-Ind Calculations'!C157,IF('Chemical Info'!E158="Yes",'Com-Ind Equations'!$B$20*1000*'Com-Ind Equations'!$B$24*'Com-Ind Equations'!$B$21*'Chemical Info'!J158*'Com-Ind Calculations'!E157,'Com-Ind Equations'!$B$20*1000*'Com-Ind Equations'!$B$24*'Com-Ind Equations'!$B$21*'Chemical Info'!J158*('Com-Ind Calculations'!C157+'Com-Ind Calculations'!E157))))</f>
        <v>NA</v>
      </c>
      <c r="K157" s="117" t="str">
        <f>IF('Chemical Info'!J158="NA","NA",IF(F157="NA",'Com-Ind Equations'!$B$20*1000*'Com-Ind Equations'!$B$24*'Com-Ind Equations'!$B$21*'Chemical Info'!J158*'Com-Ind Calculations'!C157,IF('Chemical Info'!E158="Yes",'Com-Ind Equations'!$B$20*1000*'Com-Ind Equations'!$B$24*'Com-Ind Equations'!$B$21*'Chemical Info'!J158*'Com-Ind Calculations'!F157,'Com-Ind Equations'!$B$20*1000*'Com-Ind Equations'!$B$24*'Com-Ind Equations'!$B$21*'Chemical Info'!J158*('Com-Ind Calculations'!C157+'Com-Ind Calculations'!F157))))</f>
        <v>NA</v>
      </c>
      <c r="L157" s="95" t="str">
        <f>IF(AND(H157="NA",I157="NA",J157="NA"),"NA",IF(H157="NA",'Com-Ind Equations'!$B$13*'Com-Ind Equations'!$B$14/J157,IF(J157="NA",'Com-Ind Equations'!$B$13*'Com-Ind Equations'!$B$14/(H157+I157),'Com-Ind Equations'!$B$13*'Com-Ind Equations'!$B$14/(H157+I157+J157))))</f>
        <v>NA</v>
      </c>
      <c r="M157" s="95" t="str">
        <f>IF(AND(H157="NA",I157="NA",K157="NA"),"NA",IF(H157="NA",'Com-Ind Equations'!$B$13*'Com-Ind Equations'!$B$14/K157,IF(K157="NA",'Com-Ind Equations'!$B$13*'Com-Ind Equations'!$B$14/(H157+I157),'Com-Ind Equations'!$B$13*'Com-Ind Equations'!$B$14/(H157+I157+K157))))</f>
        <v>NA</v>
      </c>
      <c r="N157" s="95" t="str">
        <f>IF(AND(L157="NA",M157="NA"),"NA",MAX(L157,M157))</f>
        <v>NA</v>
      </c>
      <c r="O157" s="94">
        <f>IF('Chemical Info'!L158="NA","NA",IF('Chemical Info'!E158="Yes",(('Com-Ind Equations'!$B$46*'Chemical Info'!AD158*'Com-Ind Equations'!$B$48*'Com-Ind Equations'!$B$49*'Com-Ind Equations'!$B$51)/('Com-Ind Equations'!$B$55*'Com-Ind Equations'!$B$56))/'Chemical Info'!L158,(('Com-Ind Equations'!$B$46*'Chemical Info'!AD158*'Com-Ind Equations'!$B$48*'Com-Ind Equations'!$B$49*'Com-Ind Equations'!$B$50)/('Com-Ind Equations'!$B$55*'Com-Ind Equations'!$B$56))/'Chemical Info'!L158))</f>
        <v>8.8264369439344709E-2</v>
      </c>
      <c r="P157" s="90">
        <f>IF('Chemical Info'!L158="NA","NA", IF('Chemical Info'!E158="Yes",0,((('Com-Ind Equations'!$B$58*'Com-Ind Equations'!$B$59*'Com-Ind Equations'!$B$48*'Com-Ind Equations'!$B$52*'Com-Ind Equations'!$B$49*'Chemical Info'!AB158)/('Com-Ind Equations'!$B$55*'Com-Ind Equations'!$B$56))/('Chemical Info'!L158*'Chemical Info'!AF158))))</f>
        <v>2.6897048439485944E-2</v>
      </c>
      <c r="Q157" s="90">
        <f>IF('Chemical Info'!N158="NA","NA",IF('Com-Ind Calculations'!E157="NA",(('Com-Ind Equations'!$B$53*'Com-Ind Equations'!$B$49*'Com-Ind Equations'!$B$54*'Com-Ind Calculations'!C157)/('Com-Ind Equations'!$B$56))/('Chemical Info'!N158),IF('Chemical Info'!E158="Yes",(('Com-Ind Equations'!$B$53*'Com-Ind Equations'!$B$49*'Com-Ind Equations'!$B$54*'Com-Ind Calculations'!E157)/('Com-Ind Equations'!$B$56))/('Chemical Info'!N158),(('Com-Ind Equations'!$B$53*'Com-Ind Equations'!$B$49*'Com-Ind Equations'!$B$54*('Com-Ind Calculations'!C157+'Com-Ind Calculations'!E157))/('Com-Ind Equations'!$B$56))/('Chemical Info'!N158))))</f>
        <v>7.8897636402783088E-3</v>
      </c>
      <c r="R157" s="90">
        <f>IF('Chemical Info'!N158="NA","NA",IF('Com-Ind Calculations'!F157="NA",(('Com-Ind Equations'!$B$53*'Com-Ind Equations'!$B$49*'Com-Ind Equations'!$B$54*'Com-Ind Calculations'!C157)/('Com-Ind Equations'!$B$56))/('Chemical Info'!N158),IF('Chemical Info'!E158="Yes",(('Com-Ind Equations'!$B$53*'Com-Ind Equations'!$B$49*'Com-Ind Equations'!$B$54*'Com-Ind Calculations'!F157)/('Com-Ind Equations'!$B$56))/('Chemical Info'!N158),(('Com-Ind Equations'!$B$53*'Com-Ind Equations'!$B$49*'Com-Ind Equations'!$B$54*('Com-Ind Calculations'!C157+'Com-Ind Calculations'!F157))/('Com-Ind Equations'!$B$56))/('Chemical Info'!N158))))</f>
        <v>0.37418945604532955</v>
      </c>
      <c r="S157" s="90">
        <f>IF(AND(O157="NA",P157="NA",Q157="NA"),"NA",IF(O157="NA",'Com-Ind Equations'!$B$45/'Com-Ind Calculations'!Q157,IF('Com-Ind Calculations'!Q157="NA",'Com-Ind Equations'!$B$45/('Com-Ind Calculations'!O157+'Com-Ind Calculations'!P157),'Com-Ind Equations'!$B$45/('Com-Ind Calculations'!O157+'Com-Ind Calculations'!P157+'Com-Ind Calculations'!Q157))))</f>
        <v>1.6253399401040409</v>
      </c>
      <c r="T157" s="95">
        <f>IF(AND(O157="NA",P157="NA",R157="NA"),"NA",IF(O157="NA",'Com-Ind Equations'!$B$45/R157,IF(R157="NA",'Com-Ind Equations'!$B$45/(O157+P157),'Com-Ind Equations'!$B$45/(O157+P157+R157))))</f>
        <v>0.40870469566382361</v>
      </c>
      <c r="U157" s="97">
        <f>IF(AND(S157="NA",T157="NA"),"NA",MAX(S157,T157))</f>
        <v>1.6253399401040409</v>
      </c>
      <c r="V157" s="101">
        <f>IF(AND(N157="NA",U157="NA",G157="NA"),"NA",MIN(N157,U157,G157))</f>
        <v>1.6253399401040409</v>
      </c>
      <c r="W157" s="105">
        <f>IF(V157&gt;100000,100000,IF(ISNUMBER(ROUND(V157*1000000,2-LEN(INT(V157*1000000)))/1000000),ROUND(V157*1000000,2-LEN(INT(V157*1000000)))/1000000,"NA"))</f>
        <v>1.6</v>
      </c>
      <c r="X157" s="100" t="str">
        <f>IF(W157=100000,"Max Limit",IF(V157=G157,"Csat",IF(V157=N157,"Cancer",IF(V157=U157,"Noncancer",""))))</f>
        <v>Noncancer</v>
      </c>
      <c r="Y157" s="70"/>
    </row>
    <row r="158" spans="1:25" ht="13.5" customHeight="1">
      <c r="A158" s="413" t="s">
        <v>1267</v>
      </c>
      <c r="B158" s="566" t="s">
        <v>1209</v>
      </c>
      <c r="C158" s="85">
        <f>1/(('Com-Ind Equations'!$B$123*3600)/(0.036*(1-'Com-Ind Equations'!$B$124)*(('Com-Ind Equations'!$B$125/'Com-Ind Equations'!$B$126)^3)*'Com-Ind Equations'!$B$127))</f>
        <v>1.4713536180231943E-9</v>
      </c>
      <c r="D158" s="90">
        <f>(('Com-Ind Equations'!$B$103^(10/3)*'Chemical Info'!AH159*'Chemical Info'!AN159*41+'Com-Ind Equations'!$B$106^(10/3)*'Chemical Info'!AJ159)/'Com-Ind Equations'!$B$108^2)/('Com-Ind Equations'!$B$110*'Chemical Info'!AL159*'Com-Ind Equations'!$B$113+'Com-Ind Equations'!$B$106+'Com-Ind Equations'!$B$103*'Chemical Info'!AN159*41)</f>
        <v>1.8843628972717887E-7</v>
      </c>
      <c r="E158" s="65">
        <f>IF(D158=0,"NA",1/(('Com-Ind Equations'!$B$74*(3.14*D158*'Com-Ind Equations'!$B$76)^(1/2)*0.0001)/(2*'Com-Ind Equations'!$B$77*D158)))</f>
        <v>2.5480670747619248E-6</v>
      </c>
      <c r="F158" s="65">
        <f>IF(D158=0,"NA",(1/('Com-Ind Equations'!$B$88*('Com-Ind Equations'!$B$89*(31500000))/('Com-Ind Equations'!$B$90*'Com-Ind Equations'!$B$91*1000000))))</f>
        <v>6.1914410640015851E-5</v>
      </c>
      <c r="G158" s="95" t="str">
        <f>IF('Chemical Info'!E159="Yes",('Chemical Info'!AP159/'Com-Ind Equations'!$B$139)*((('Chemical Info'!AL159*'Com-Ind Equations'!$B$141)*'Com-Ind Equations'!$B$139)+'Com-Ind Equations'!$B$142+('Chemical Info'!AN159*41)*'Com-Ind Equations'!$B$144),"NA")</f>
        <v>NA</v>
      </c>
      <c r="H158" s="112" t="str">
        <f>IF('Chemical Info'!H159="NA","NA",IF('Chemical Info'!E159="Yes",'Chemical Info'!H159*'Chemical Info'!AD159*'Com-Ind Equations'!$B$18*'Com-Ind Equations'!$B$22*(('Com-Ind Equations'!$B$24*'Com-Ind Equations'!$B$25)/'Com-Ind Equations'!$B$26),'Chemical Info'!H159*'Chemical Info'!AD159*'Com-Ind Equations'!$B$17*'Com-Ind Equations'!$B$22*('Com-Ind Equations'!$B$24*'Com-Ind Equations'!$B$25/'Com-Ind Equations'!$B$26)))</f>
        <v>NA</v>
      </c>
      <c r="I158" s="108" t="str">
        <f>IF('Chemical Info'!H159="NA","NA",IF('Chemical Info'!E159="Yes",0,('Chemical Info'!H159/'Chemical Info'!AF159)*'Com-Ind Equations'!$B$19*'Chemical Info'!AB159*'Com-Ind Equations'!$B$22*(('Com-Ind Equations'!$B$24*'Com-Ind Equations'!$B$29*'Com-Ind Equations'!$B$30)/'Com-Ind Equations'!$B$26)))</f>
        <v>NA</v>
      </c>
      <c r="J158" s="115" t="str">
        <f>IF('Chemical Info'!J159="NA","NA",IF(E158="NA",'Com-Ind Equations'!$B$20*1000*'Com-Ind Equations'!$B$24*'Com-Ind Equations'!$B$21*'Chemical Info'!J159*'Com-Ind Calculations'!C158,IF('Chemical Info'!E159="Yes",'Com-Ind Equations'!$B$20*1000*'Com-Ind Equations'!$B$24*'Com-Ind Equations'!$B$21*'Chemical Info'!J159*'Com-Ind Calculations'!E158,'Com-Ind Equations'!$B$20*1000*'Com-Ind Equations'!$B$24*'Com-Ind Equations'!$B$21*'Chemical Info'!J159*('Com-Ind Calculations'!C158+'Com-Ind Calculations'!E158))))</f>
        <v>NA</v>
      </c>
      <c r="K158" s="117" t="str">
        <f>IF('Chemical Info'!J159="NA","NA",IF(F158="NA",'Com-Ind Equations'!$B$20*1000*'Com-Ind Equations'!$B$24*'Com-Ind Equations'!$B$21*'Chemical Info'!J159*'Com-Ind Calculations'!C158,IF('Chemical Info'!E159="Yes",'Com-Ind Equations'!$B$20*1000*'Com-Ind Equations'!$B$24*'Com-Ind Equations'!$B$21*'Chemical Info'!J159*'Com-Ind Calculations'!F158,'Com-Ind Equations'!$B$20*1000*'Com-Ind Equations'!$B$24*'Com-Ind Equations'!$B$21*'Chemical Info'!J159*('Com-Ind Calculations'!C158+'Com-Ind Calculations'!F158))))</f>
        <v>NA</v>
      </c>
      <c r="L158" s="95" t="str">
        <f>IF(AND(H158="NA",I158="NA",J158="NA"),"NA",IF(H158="NA",'Com-Ind Equations'!$B$13*'Com-Ind Equations'!$B$14/J158,IF(J158="NA",'Com-Ind Equations'!$B$13*'Com-Ind Equations'!$B$14/(H158+I158),'Com-Ind Equations'!$B$13*'Com-Ind Equations'!$B$14/(H158+I158+J158))))</f>
        <v>NA</v>
      </c>
      <c r="M158" s="95" t="str">
        <f>IF(AND(H158="NA",I158="NA",K158="NA"),"NA",IF(H158="NA",'Com-Ind Equations'!$B$13*'Com-Ind Equations'!$B$14/K158,IF(K158="NA",'Com-Ind Equations'!$B$13*'Com-Ind Equations'!$B$14/(H158+I158),'Com-Ind Equations'!$B$13*'Com-Ind Equations'!$B$14/(H158+I158+K158))))</f>
        <v>NA</v>
      </c>
      <c r="N158" s="95" t="str">
        <f>IF(AND(L158="NA",M158="NA"),"NA",MAX(L158,M158))</f>
        <v>NA</v>
      </c>
      <c r="O158" s="94">
        <f>IF('Chemical Info'!L159="NA","NA",IF('Chemical Info'!E159="Yes",(('Com-Ind Equations'!$B$46*'Chemical Info'!AD159*'Com-Ind Equations'!$B$48*'Com-Ind Equations'!$B$49*'Com-Ind Equations'!$B$51)/('Com-Ind Equations'!$B$55*'Com-Ind Equations'!$B$56))/'Chemical Info'!L159,(('Com-Ind Equations'!$B$46*'Chemical Info'!AD159*'Com-Ind Equations'!$B$48*'Com-Ind Equations'!$B$49*'Com-Ind Equations'!$B$50)/('Com-Ind Equations'!$B$55*'Com-Ind Equations'!$B$56))/'Chemical Info'!L159))</f>
        <v>5.7077625570776244E-3</v>
      </c>
      <c r="P158" s="90">
        <f>IF('Chemical Info'!L159="NA","NA", IF('Chemical Info'!E159="Yes",0,((('Com-Ind Equations'!$B$58*'Com-Ind Equations'!$B$59*'Com-Ind Equations'!$B$48*'Com-Ind Equations'!$B$52*'Com-Ind Equations'!$B$49*'Chemical Info'!AB159)/('Com-Ind Equations'!$B$55*'Com-Ind Equations'!$B$56))/('Chemical Info'!L159*'Chemical Info'!AF159))))</f>
        <v>1.7393424657534246E-3</v>
      </c>
      <c r="Q158" s="90">
        <f>IF('Chemical Info'!N159="NA","NA",IF('Com-Ind Calculations'!E158="NA",(('Com-Ind Equations'!$B$53*'Com-Ind Equations'!$B$49*'Com-Ind Equations'!$B$54*'Com-Ind Calculations'!C158)/('Com-Ind Equations'!$B$56))/('Chemical Info'!N159),IF('Chemical Info'!E159="Yes",(('Com-Ind Equations'!$B$53*'Com-Ind Equations'!$B$49*'Com-Ind Equations'!$B$54*'Com-Ind Calculations'!E158)/('Com-Ind Equations'!$B$56))/('Chemical Info'!N159),(('Com-Ind Equations'!$B$53*'Com-Ind Equations'!$B$49*'Com-Ind Equations'!$B$54*('Com-Ind Calculations'!C158+'Com-Ind Calculations'!E158))/('Com-Ind Equations'!$B$56))/('Chemical Info'!N159))))</f>
        <v>1.0477555185123076E-3</v>
      </c>
      <c r="R158" s="90">
        <f>IF('Chemical Info'!N159="NA","NA",IF('Com-Ind Calculations'!F158="NA",(('Com-Ind Equations'!$B$53*'Com-Ind Equations'!$B$49*'Com-Ind Equations'!$B$54*'Com-Ind Calculations'!C158)/('Com-Ind Equations'!$B$56))/('Chemical Info'!N159),IF('Chemical Info'!E159="Yes",(('Com-Ind Equations'!$B$53*'Com-Ind Equations'!$B$49*'Com-Ind Equations'!$B$54*'Com-Ind Calculations'!F158)/('Com-Ind Equations'!$B$56))/('Chemical Info'!N159),(('Com-Ind Equations'!$B$53*'Com-Ind Equations'!$B$49*'Com-Ind Equations'!$B$54*('Com-Ind Calculations'!C158+'Com-Ind Calculations'!F158))/('Com-Ind Equations'!$B$56))/('Chemical Info'!N159))))</f>
        <v>2.5444883011082411E-2</v>
      </c>
      <c r="S158" s="90">
        <f>IF(AND(O158="NA",P158="NA",Q158="NA"),"NA",IF(O158="NA",'Com-Ind Equations'!$B$45/'Com-Ind Calculations'!Q158,IF('Com-Ind Calculations'!Q158="NA",'Com-Ind Equations'!$B$45/('Com-Ind Calculations'!O158+'Com-Ind Calculations'!P158),'Com-Ind Equations'!$B$45/('Com-Ind Calculations'!O158+'Com-Ind Calculations'!P158+'Com-Ind Calculations'!Q158))))</f>
        <v>23.5436472472534</v>
      </c>
      <c r="T158" s="95">
        <f>IF(AND(O158="NA",P158="NA",R158="NA"),"NA",IF(O158="NA",'Com-Ind Equations'!$B$45/R158,IF(R158="NA",'Com-Ind Equations'!$B$45/(O158+P158),'Com-Ind Equations'!$B$45/(O158+P158+R158))))</f>
        <v>6.0805081101753089</v>
      </c>
      <c r="U158" s="97">
        <f>IF(AND(S158="NA",T158="NA"),"NA",MAX(S158,T158))</f>
        <v>23.5436472472534</v>
      </c>
      <c r="V158" s="101">
        <f>IF(AND(N158="NA",U158="NA",G158="NA"),"NA",MIN(N158,U158,G158))</f>
        <v>23.5436472472534</v>
      </c>
      <c r="W158" s="105">
        <f>IF(V158&gt;100000,100000,IF(ISNUMBER(ROUND(V158*1000000,2-LEN(INT(V158*1000000)))/1000000),ROUND(V158*1000000,2-LEN(INT(V158*1000000)))/1000000,"NA"))</f>
        <v>24</v>
      </c>
      <c r="X158" s="100" t="str">
        <f>IF(W158=100000,"Max Limit",IF(V158=G158,"Csat",IF(V158=N158,"Cancer",IF(V158=U158,"Noncancer",""))))</f>
        <v>Noncancer</v>
      </c>
      <c r="Y158" s="70"/>
    </row>
    <row r="159" spans="1:25" ht="13.5" customHeight="1">
      <c r="A159" s="727" t="s">
        <v>1323</v>
      </c>
      <c r="B159" s="728" t="s">
        <v>1324</v>
      </c>
      <c r="C159" s="85">
        <f>1/(('Com-Ind Equations'!$B$123*3600)/(0.036*(1-'Com-Ind Equations'!$B$124)*(('Com-Ind Equations'!$B$125/'Com-Ind Equations'!$B$126)^3)*'Com-Ind Equations'!$B$127))</f>
        <v>1.4713536180231943E-9</v>
      </c>
      <c r="D159" s="90">
        <f>(('Com-Ind Equations'!$B$103^(10/3)*'Chemical Info'!AH160*'Chemical Info'!AN160*41+'Com-Ind Equations'!$B$106^(10/3)*'Chemical Info'!AJ160)/'Com-Ind Equations'!$B$108^2)/('Com-Ind Equations'!$B$110*'Chemical Info'!AL160*'Com-Ind Equations'!$B$113+'Com-Ind Equations'!$B$106+'Com-Ind Equations'!$B$103*'Chemical Info'!AN160*41)</f>
        <v>5.6324911140998492E-9</v>
      </c>
      <c r="E159" s="65">
        <f>IF(D159=0,"NA",1/(('Com-Ind Equations'!$B$74*(3.14*D159*'Com-Ind Equations'!$B$76)^(1/2)*0.0001)/(2*'Com-Ind Equations'!$B$77*D159)))</f>
        <v>4.4053340049896301E-7</v>
      </c>
      <c r="F159" s="65">
        <f>IF(D159=0,"NA",(1/('Com-Ind Equations'!$B$88*('Com-Ind Equations'!$B$89*(31500000))/('Com-Ind Equations'!$B$90*'Com-Ind Equations'!$B$91*1000000))))</f>
        <v>6.1914410640015851E-5</v>
      </c>
      <c r="G159" s="95" t="str">
        <f>IF('Chemical Info'!E160="Yes",('Chemical Info'!AP160/'Com-Ind Equations'!$B$139)*((('Chemical Info'!AL160*'Com-Ind Equations'!$B$141)*'Com-Ind Equations'!$B$139)+'Com-Ind Equations'!$B$142+('Chemical Info'!AN160*41)*'Com-Ind Equations'!$B$144),"NA")</f>
        <v>NA</v>
      </c>
      <c r="H159" s="112" t="str">
        <f>IF('Chemical Info'!H160="NA","NA",IF('Chemical Info'!E160="Yes",'Chemical Info'!H160*'Chemical Info'!AD160*'Com-Ind Equations'!$B$18*'Com-Ind Equations'!$B$22*(('Com-Ind Equations'!$B$24*'Com-Ind Equations'!$B$25)/'Com-Ind Equations'!$B$26),'Chemical Info'!H160*'Chemical Info'!AD160*'Com-Ind Equations'!$B$17*'Com-Ind Equations'!$B$22*('Com-Ind Equations'!$B$24*'Com-Ind Equations'!$B$25/'Com-Ind Equations'!$B$26)))</f>
        <v>NA</v>
      </c>
      <c r="I159" s="108" t="str">
        <f>IF('Chemical Info'!H160="NA","NA",IF('Chemical Info'!E160="Yes",0,('Chemical Info'!H160/'Chemical Info'!AF160)*'Com-Ind Equations'!$B$19*'Chemical Info'!AB160*'Com-Ind Equations'!$B$22*(('Com-Ind Equations'!$B$24*'Com-Ind Equations'!$B$29*'Com-Ind Equations'!$B$30)/'Com-Ind Equations'!$B$26)))</f>
        <v>NA</v>
      </c>
      <c r="J159" s="115" t="str">
        <f>IF('Chemical Info'!J160="NA","NA",IF(E159="NA",'Com-Ind Equations'!$B$20*1000*'Com-Ind Equations'!$B$24*'Com-Ind Equations'!$B$21*'Chemical Info'!J160*'Com-Ind Calculations'!C159,IF('Chemical Info'!E160="Yes",'Com-Ind Equations'!$B$20*1000*'Com-Ind Equations'!$B$24*'Com-Ind Equations'!$B$21*'Chemical Info'!J160*'Com-Ind Calculations'!E159,'Com-Ind Equations'!$B$20*1000*'Com-Ind Equations'!$B$24*'Com-Ind Equations'!$B$21*'Chemical Info'!J160*('Com-Ind Calculations'!C159+'Com-Ind Calculations'!E159))))</f>
        <v>NA</v>
      </c>
      <c r="K159" s="117" t="str">
        <f>IF('Chemical Info'!J160="NA","NA",IF(F159="NA",'Com-Ind Equations'!$B$20*1000*'Com-Ind Equations'!$B$24*'Com-Ind Equations'!$B$21*'Chemical Info'!J160*'Com-Ind Calculations'!C159,IF('Chemical Info'!E160="Yes",'Com-Ind Equations'!$B$20*1000*'Com-Ind Equations'!$B$24*'Com-Ind Equations'!$B$21*'Chemical Info'!J160*'Com-Ind Calculations'!F159,'Com-Ind Equations'!$B$20*1000*'Com-Ind Equations'!$B$24*'Com-Ind Equations'!$B$21*'Chemical Info'!J160*('Com-Ind Calculations'!C159+'Com-Ind Calculations'!F159))))</f>
        <v>NA</v>
      </c>
      <c r="L159" s="95" t="str">
        <f>IF(AND(H159="NA",I159="NA",J159="NA"),"NA",IF(H159="NA",'Com-Ind Equations'!$B$13*'Com-Ind Equations'!$B$14/J159,IF(J159="NA",'Com-Ind Equations'!$B$13*'Com-Ind Equations'!$B$14/(H159+I159),'Com-Ind Equations'!$B$13*'Com-Ind Equations'!$B$14/(H159+I159+J159))))</f>
        <v>NA</v>
      </c>
      <c r="M159" s="95" t="str">
        <f>IF(AND(H159="NA",I159="NA",K159="NA"),"NA",IF(H159="NA",'Com-Ind Equations'!$B$13*'Com-Ind Equations'!$B$14/K159,IF(K159="NA",'Com-Ind Equations'!$B$13*'Com-Ind Equations'!$B$14/(H159+I159),'Com-Ind Equations'!$B$13*'Com-Ind Equations'!$B$14/(H159+I159+K159))))</f>
        <v>NA</v>
      </c>
      <c r="N159" s="95" t="str">
        <f t="shared" ref="N159" si="185">IF(AND(L159="NA",M159="NA"),"NA",MAX(L159,M159))</f>
        <v>NA</v>
      </c>
      <c r="O159" s="94">
        <f>IF('Chemical Info'!L160="NA","NA",IF('Chemical Info'!E160="Yes",(('Com-Ind Equations'!$B$46*'Chemical Info'!AD160*'Com-Ind Equations'!$B$48*'Com-Ind Equations'!$B$49*'Com-Ind Equations'!$B$51)/('Com-Ind Equations'!$B$55*'Com-Ind Equations'!$B$56))/'Chemical Info'!L160,(('Com-Ind Equations'!$B$46*'Chemical Info'!AD160*'Com-Ind Equations'!$B$48*'Com-Ind Equations'!$B$49*'Com-Ind Equations'!$B$50)/('Com-Ind Equations'!$B$55*'Com-Ind Equations'!$B$56))/'Chemical Info'!L160))</f>
        <v>428.0821917808218</v>
      </c>
      <c r="P159" s="90">
        <f>IF('Chemical Info'!L160="NA","NA", IF('Chemical Info'!E160="Yes",0,((('Com-Ind Equations'!$B$58*'Com-Ind Equations'!$B$59*'Com-Ind Equations'!$B$48*'Com-Ind Equations'!$B$52*'Com-Ind Equations'!$B$49*'Chemical Info'!AB160)/('Com-Ind Equations'!$B$55*'Com-Ind Equations'!$B$56))/('Chemical Info'!L160*'Chemical Info'!AF160))))</f>
        <v>130.45068493150683</v>
      </c>
      <c r="Q159" s="90" t="str">
        <f>IF('Chemical Info'!N160="NA","NA",IF('Com-Ind Calculations'!E159="NA",(('Com-Ind Equations'!$B$53*'Com-Ind Equations'!$B$49*'Com-Ind Equations'!$B$54*'Com-Ind Calculations'!C159)/('Com-Ind Equations'!$B$56))/('Chemical Info'!N160),IF('Chemical Info'!E160="Yes",(('Com-Ind Equations'!$B$53*'Com-Ind Equations'!$B$49*'Com-Ind Equations'!$B$54*'Com-Ind Calculations'!E159)/('Com-Ind Equations'!$B$56))/('Chemical Info'!N160),(('Com-Ind Equations'!$B$53*'Com-Ind Equations'!$B$49*'Com-Ind Equations'!$B$54*('Com-Ind Calculations'!C159+'Com-Ind Calculations'!E159))/('Com-Ind Equations'!$B$56))/('Chemical Info'!N160))))</f>
        <v>NA</v>
      </c>
      <c r="R159" s="90" t="str">
        <f>IF('Chemical Info'!N160="NA","NA",IF('Com-Ind Calculations'!F159="NA",(('Com-Ind Equations'!$B$53*'Com-Ind Equations'!$B$49*'Com-Ind Equations'!$B$54*'Com-Ind Calculations'!C159)/('Com-Ind Equations'!$B$56))/('Chemical Info'!N160),IF('Chemical Info'!E160="Yes",(('Com-Ind Equations'!$B$53*'Com-Ind Equations'!$B$49*'Com-Ind Equations'!$B$54*'Com-Ind Calculations'!F159)/('Com-Ind Equations'!$B$56))/('Chemical Info'!N160),(('Com-Ind Equations'!$B$53*'Com-Ind Equations'!$B$49*'Com-Ind Equations'!$B$54*('Com-Ind Calculations'!C159+'Com-Ind Calculations'!F159))/('Com-Ind Equations'!$B$56))/('Chemical Info'!N160))))</f>
        <v>NA</v>
      </c>
      <c r="S159" s="90">
        <f>IF(AND(O159="NA",P159="NA",Q159="NA"),"NA",IF(O159="NA",'Com-Ind Equations'!$B$45/'Com-Ind Calculations'!Q159,IF('Com-Ind Calculations'!Q159="NA",'Com-Ind Equations'!$B$45/('Com-Ind Calculations'!O159+'Com-Ind Calculations'!P159),'Com-Ind Equations'!$B$45/('Com-Ind Calculations'!O159+'Com-Ind Calculations'!P159+'Com-Ind Calculations'!Q159))))</f>
        <v>3.5808098025894659E-4</v>
      </c>
      <c r="T159" s="95">
        <f>IF(AND(O159="NA",P159="NA",R159="NA"),"NA",IF(O159="NA",'Com-Ind Equations'!$B$45/R159,IF(R159="NA",'Com-Ind Equations'!$B$45/(O159+P159),'Com-Ind Equations'!$B$45/(O159+P159+R159))))</f>
        <v>3.5808098025894659E-4</v>
      </c>
      <c r="U159" s="97">
        <f t="shared" ref="U159" si="186">IF(AND(S159="NA",T159="NA"),"NA",MAX(S159,T159))</f>
        <v>3.5808098025894659E-4</v>
      </c>
      <c r="V159" s="101">
        <f t="shared" ref="V159" si="187">IF(AND(N159="NA",U159="NA",G159="NA"),"NA",MIN(N159,U159,G159))</f>
        <v>3.5808098025894659E-4</v>
      </c>
      <c r="W159" s="105">
        <f t="shared" ref="W159" si="188">IF(V159&gt;100000,100000,IF(ISNUMBER(ROUND(V159*1000000,2-LEN(INT(V159*1000000)))/1000000),ROUND(V159*1000000,2-LEN(INT(V159*1000000)))/1000000,"NA"))</f>
        <v>3.6000000000000002E-4</v>
      </c>
      <c r="X159" s="100" t="str">
        <f t="shared" ref="X159" si="189">IF(W159=100000,"Max Limit",IF(V159=G159,"Csat",IF(V159=N159,"Cancer",IF(V159=U159,"Noncancer",""))))</f>
        <v>Noncancer</v>
      </c>
      <c r="Y159" s="70"/>
    </row>
    <row r="160" spans="1:25" ht="13.5" customHeight="1">
      <c r="A160" s="727" t="s">
        <v>1734</v>
      </c>
      <c r="B160" s="728" t="s">
        <v>1735</v>
      </c>
      <c r="C160" s="85">
        <f>1/(('Com-Ind Equations'!$B$123*3600)/(0.036*(1-'Com-Ind Equations'!$B$124)*(('Com-Ind Equations'!$B$125/'Com-Ind Equations'!$B$126)^3)*'Com-Ind Equations'!$B$127))</f>
        <v>1.4713536180231943E-9</v>
      </c>
      <c r="D160" s="90">
        <f>(('Com-Ind Equations'!$B$103^(10/3)*'Chemical Info'!AH161*'Chemical Info'!AN161*41+'Com-Ind Equations'!$B$106^(10/3)*'Chemical Info'!AJ161)/'Com-Ind Equations'!$B$108^2)/('Com-Ind Equations'!$B$110*'Chemical Info'!AL161*'Com-Ind Equations'!$B$113+'Com-Ind Equations'!$B$106+'Com-Ind Equations'!$B$103*'Chemical Info'!AN161*41)</f>
        <v>1.5429909491434709E-8</v>
      </c>
      <c r="E160" s="65">
        <f>IF(D160=0,"NA",1/(('Com-Ind Equations'!$B$74*(3.14*D160*'Com-Ind Equations'!$B$76)^(1/2)*0.0001)/(2*'Com-Ind Equations'!$B$77*D160)))</f>
        <v>7.2913890741638851E-7</v>
      </c>
      <c r="F160" s="65">
        <f>IF(D160=0,"NA",(1/('Com-Ind Equations'!$B$88*('Com-Ind Equations'!$B$89*(31500000))/('Com-Ind Equations'!$B$90*'Com-Ind Equations'!$B$91*1000000))))</f>
        <v>6.1914410640015851E-5</v>
      </c>
      <c r="G160" s="95" t="str">
        <f>IF('Chemical Info'!E161="Yes",('Chemical Info'!AP161/'Com-Ind Equations'!$B$139)*((('Chemical Info'!AL161*'Com-Ind Equations'!$B$141)*'Com-Ind Equations'!$B$139)+'Com-Ind Equations'!$B$142+('Chemical Info'!AN161*41)*'Com-Ind Equations'!$B$144),"NA")</f>
        <v>NA</v>
      </c>
      <c r="H160" s="112" t="str">
        <f>IF('Chemical Info'!H161="NA","NA",IF('Chemical Info'!E161="Yes",'Chemical Info'!H161*'Chemical Info'!AD161*'Com-Ind Equations'!$B$18*'Com-Ind Equations'!$B$22*(('Com-Ind Equations'!$B$24*'Com-Ind Equations'!$B$25)/'Com-Ind Equations'!$B$26),'Chemical Info'!H161*'Chemical Info'!AD161*'Com-Ind Equations'!$B$17*'Com-Ind Equations'!$B$22*('Com-Ind Equations'!$B$24*'Com-Ind Equations'!$B$25/'Com-Ind Equations'!$B$26)))</f>
        <v>NA</v>
      </c>
      <c r="I160" s="108" t="str">
        <f>IF('Chemical Info'!H161="NA","NA",IF('Chemical Info'!E161="Yes",0,('Chemical Info'!H161/'Chemical Info'!AF161)*'Com-Ind Equations'!$B$19*'Chemical Info'!AB161*'Com-Ind Equations'!$B$22*(('Com-Ind Equations'!$B$24*'Com-Ind Equations'!$B$29*'Com-Ind Equations'!$B$30)/'Com-Ind Equations'!$B$26)))</f>
        <v>NA</v>
      </c>
      <c r="J160" s="115" t="str">
        <f>IF('Chemical Info'!J161="NA","NA",IF(E160="NA",'Com-Ind Equations'!$B$20*1000*'Com-Ind Equations'!$B$24*'Com-Ind Equations'!$B$21*'Chemical Info'!J161*'Com-Ind Calculations'!C160,IF('Chemical Info'!E161="Yes",'Com-Ind Equations'!$B$20*1000*'Com-Ind Equations'!$B$24*'Com-Ind Equations'!$B$21*'Chemical Info'!J161*'Com-Ind Calculations'!E160,'Com-Ind Equations'!$B$20*1000*'Com-Ind Equations'!$B$24*'Com-Ind Equations'!$B$21*'Chemical Info'!J161*('Com-Ind Calculations'!C160+'Com-Ind Calculations'!E160))))</f>
        <v>NA</v>
      </c>
      <c r="K160" s="117" t="str">
        <f>IF('Chemical Info'!J161="NA","NA",IF(F160="NA",'Com-Ind Equations'!$B$20*1000*'Com-Ind Equations'!$B$24*'Com-Ind Equations'!$B$21*'Chemical Info'!J161*'Com-Ind Calculations'!C160,IF('Chemical Info'!E161="Yes",'Com-Ind Equations'!$B$20*1000*'Com-Ind Equations'!$B$24*'Com-Ind Equations'!$B$21*'Chemical Info'!J161*'Com-Ind Calculations'!F160,'Com-Ind Equations'!$B$20*1000*'Com-Ind Equations'!$B$24*'Com-Ind Equations'!$B$21*'Chemical Info'!J161*('Com-Ind Calculations'!C160+'Com-Ind Calculations'!F160))))</f>
        <v>NA</v>
      </c>
      <c r="L160" s="95" t="str">
        <f>IF(AND(H160="NA",I160="NA",J160="NA"),"NA",IF(H160="NA",'Com-Ind Equations'!$B$13*'Com-Ind Equations'!$B$14/J160,IF(J160="NA",'Com-Ind Equations'!$B$13*'Com-Ind Equations'!$B$14/(H160+I160),'Com-Ind Equations'!$B$13*'Com-Ind Equations'!$B$14/(H160+I160+J160))))</f>
        <v>NA</v>
      </c>
      <c r="M160" s="95" t="str">
        <f>IF(AND(H160="NA",I160="NA",K160="NA"),"NA",IF(H160="NA",'Com-Ind Equations'!$B$13*'Com-Ind Equations'!$B$14/K160,IF(K160="NA",'Com-Ind Equations'!$B$13*'Com-Ind Equations'!$B$14/(H160+I160),'Com-Ind Equations'!$B$13*'Com-Ind Equations'!$B$14/(H160+I160+K160))))</f>
        <v>NA</v>
      </c>
      <c r="N160" s="95" t="str">
        <f t="shared" ref="N160" si="190">IF(AND(L160="NA",M160="NA"),"NA",MAX(L160,M160))</f>
        <v>NA</v>
      </c>
      <c r="O160" s="94">
        <f>IF('Chemical Info'!L161="NA","NA",IF('Chemical Info'!E161="Yes",(('Com-Ind Equations'!$B$46*'Chemical Info'!AD161*'Com-Ind Equations'!$B$48*'Com-Ind Equations'!$B$49*'Com-Ind Equations'!$B$51)/('Com-Ind Equations'!$B$55*'Com-Ind Equations'!$B$56))/'Chemical Info'!L161,(('Com-Ind Equations'!$B$46*'Chemical Info'!AD161*'Com-Ind Equations'!$B$48*'Com-Ind Equations'!$B$49*'Com-Ind Equations'!$B$50)/('Com-Ind Equations'!$B$55*'Com-Ind Equations'!$B$56))/'Chemical Info'!L161))</f>
        <v>0.28538812785388123</v>
      </c>
      <c r="P160" s="90">
        <f>IF('Chemical Info'!L161="NA","NA", IF('Chemical Info'!E161="Yes",0,((('Com-Ind Equations'!$B$58*'Com-Ind Equations'!$B$59*'Com-Ind Equations'!$B$48*'Com-Ind Equations'!$B$52*'Com-Ind Equations'!$B$49*'Chemical Info'!AB161)/('Com-Ind Equations'!$B$55*'Com-Ind Equations'!$B$56))/('Chemical Info'!L161*'Chemical Info'!AF161))))</f>
        <v>8.6967123287671214E-2</v>
      </c>
      <c r="Q160" s="90" t="str">
        <f>IF('Chemical Info'!N161="NA","NA",IF('Com-Ind Calculations'!E160="NA",(('Com-Ind Equations'!$B$53*'Com-Ind Equations'!$B$49*'Com-Ind Equations'!$B$54*'Com-Ind Calculations'!C160)/('Com-Ind Equations'!$B$56))/('Chemical Info'!N161),IF('Chemical Info'!E161="Yes",(('Com-Ind Equations'!$B$53*'Com-Ind Equations'!$B$49*'Com-Ind Equations'!$B$54*'Com-Ind Calculations'!E160)/('Com-Ind Equations'!$B$56))/('Chemical Info'!N161),(('Com-Ind Equations'!$B$53*'Com-Ind Equations'!$B$49*'Com-Ind Equations'!$B$54*('Com-Ind Calculations'!C160+'Com-Ind Calculations'!E160))/('Com-Ind Equations'!$B$56))/('Chemical Info'!N161))))</f>
        <v>NA</v>
      </c>
      <c r="R160" s="90" t="str">
        <f>IF('Chemical Info'!N161="NA","NA",IF('Com-Ind Calculations'!F160="NA",(('Com-Ind Equations'!$B$53*'Com-Ind Equations'!$B$49*'Com-Ind Equations'!$B$54*'Com-Ind Calculations'!C160)/('Com-Ind Equations'!$B$56))/('Chemical Info'!N161),IF('Chemical Info'!E161="Yes",(('Com-Ind Equations'!$B$53*'Com-Ind Equations'!$B$49*'Com-Ind Equations'!$B$54*'Com-Ind Calculations'!F160)/('Com-Ind Equations'!$B$56))/('Chemical Info'!N161),(('Com-Ind Equations'!$B$53*'Com-Ind Equations'!$B$49*'Com-Ind Equations'!$B$54*('Com-Ind Calculations'!C160+'Com-Ind Calculations'!F160))/('Com-Ind Equations'!$B$56))/('Chemical Info'!N161))))</f>
        <v>NA</v>
      </c>
      <c r="S160" s="90">
        <f>IF(AND(O160="NA",P160="NA",Q160="NA"),"NA",IF(O160="NA",'Com-Ind Equations'!$B$45/'Com-Ind Calculations'!Q160,IF('Com-Ind Calculations'!Q160="NA",'Com-Ind Equations'!$B$45/('Com-Ind Calculations'!O160+'Com-Ind Calculations'!P160),'Com-Ind Equations'!$B$45/('Com-Ind Calculations'!O160+'Com-Ind Calculations'!P160+'Com-Ind Calculations'!Q160))))</f>
        <v>0.53712147038841995</v>
      </c>
      <c r="T160" s="95">
        <f>IF(AND(O160="NA",P160="NA",R160="NA"),"NA",IF(O160="NA",'Com-Ind Equations'!$B$45/R160,IF(R160="NA",'Com-Ind Equations'!$B$45/(O160+P160),'Com-Ind Equations'!$B$45/(O160+P160+R160))))</f>
        <v>0.53712147038841995</v>
      </c>
      <c r="U160" s="97">
        <f t="shared" ref="U160" si="191">IF(AND(S160="NA",T160="NA"),"NA",MAX(S160,T160))</f>
        <v>0.53712147038841995</v>
      </c>
      <c r="V160" s="101">
        <f t="shared" ref="V160" si="192">IF(AND(N160="NA",U160="NA",G160="NA"),"NA",MIN(N160,U160,G160))</f>
        <v>0.53712147038841995</v>
      </c>
      <c r="W160" s="105">
        <f t="shared" ref="W160" si="193">IF(V160&gt;100000,100000,IF(ISNUMBER(ROUND(V160*1000000,2-LEN(INT(V160*1000000)))/1000000),ROUND(V160*1000000,2-LEN(INT(V160*1000000)))/1000000,"NA"))</f>
        <v>0.54</v>
      </c>
      <c r="X160" s="100" t="str">
        <f t="shared" ref="X160" si="194">IF(W160=100000,"Max Limit",IF(V160=G160,"Csat",IF(V160=N160,"Cancer",IF(V160=U160,"Noncancer",""))))</f>
        <v>Noncancer</v>
      </c>
      <c r="Y160" s="70"/>
    </row>
    <row r="161" spans="1:26" ht="13.5" customHeight="1">
      <c r="A161" s="413" t="s">
        <v>1269</v>
      </c>
      <c r="B161" s="566" t="s">
        <v>1270</v>
      </c>
      <c r="C161" s="85">
        <f>1/(('Com-Ind Equations'!$B$123*3600)/(0.036*(1-'Com-Ind Equations'!$B$124)*(('Com-Ind Equations'!$B$125/'Com-Ind Equations'!$B$126)^3)*'Com-Ind Equations'!$B$127))</f>
        <v>1.4713536180231943E-9</v>
      </c>
      <c r="D161" s="90">
        <f>(('Com-Ind Equations'!$B$103^(10/3)*'Chemical Info'!AH162*'Chemical Info'!AN162*41+'Com-Ind Equations'!$B$106^(10/3)*'Chemical Info'!AJ162)/'Com-Ind Equations'!$B$108^2)/('Com-Ind Equations'!$B$110*'Chemical Info'!AL162*'Com-Ind Equations'!$B$113+'Com-Ind Equations'!$B$106+'Com-Ind Equations'!$B$103*'Chemical Info'!AN162*41)</f>
        <v>2.4164280739050506E-7</v>
      </c>
      <c r="E161" s="65">
        <f>IF(D161=0,"NA",1/(('Com-Ind Equations'!$B$74*(3.14*D161*'Com-Ind Equations'!$B$76)^(1/2)*0.0001)/(2*'Com-Ind Equations'!$B$77*D161)))</f>
        <v>2.8854630692791299E-6</v>
      </c>
      <c r="F161" s="65">
        <f>IF(D161=0,"NA",(1/('Com-Ind Equations'!$B$88*('Com-Ind Equations'!$B$89*(31500000))/('Com-Ind Equations'!$B$90*'Com-Ind Equations'!$B$91*1000000))))</f>
        <v>6.1914410640015851E-5</v>
      </c>
      <c r="G161" s="425"/>
      <c r="H161" s="112" t="str">
        <f>IF('Chemical Info'!H162="NA","NA",IF('Chemical Info'!E162="Yes",'Chemical Info'!H162*'Chemical Info'!AD162*'Com-Ind Equations'!$B$18*'Com-Ind Equations'!$B$22*(('Com-Ind Equations'!$B$24*'Com-Ind Equations'!$B$25)/'Com-Ind Equations'!$B$26),'Chemical Info'!H162*'Chemical Info'!AD162*'Com-Ind Equations'!$B$17*'Com-Ind Equations'!$B$22*('Com-Ind Equations'!$B$24*'Com-Ind Equations'!$B$25/'Com-Ind Equations'!$B$26)))</f>
        <v>NA</v>
      </c>
      <c r="I161" s="108" t="str">
        <f>IF('Chemical Info'!H162="NA","NA",IF('Chemical Info'!E162="Yes",0,('Chemical Info'!H162/'Chemical Info'!AF162)*'Com-Ind Equations'!$B$19*'Chemical Info'!AB162*'Com-Ind Equations'!$B$22*(('Com-Ind Equations'!$B$24*'Com-Ind Equations'!$B$29*'Com-Ind Equations'!$B$30)/'Com-Ind Equations'!$B$26)))</f>
        <v>NA</v>
      </c>
      <c r="J161" s="115" t="str">
        <f>IF('Chemical Info'!J162="NA","NA",IF(E161="NA",'Com-Ind Equations'!$B$20*1000*'Com-Ind Equations'!$B$24*'Com-Ind Equations'!$B$21*'Chemical Info'!J162*'Com-Ind Calculations'!C161,IF('Chemical Info'!E162="Yes",'Com-Ind Equations'!$B$20*1000*'Com-Ind Equations'!$B$24*'Com-Ind Equations'!$B$21*'Chemical Info'!J162*'Com-Ind Calculations'!E161,'Com-Ind Equations'!$B$20*1000*'Com-Ind Equations'!$B$24*'Com-Ind Equations'!$B$21*'Chemical Info'!J162*('Com-Ind Calculations'!C161+'Com-Ind Calculations'!E161))))</f>
        <v>NA</v>
      </c>
      <c r="K161" s="117" t="str">
        <f>IF('Chemical Info'!J162="NA","NA",IF(F161="NA",'Com-Ind Equations'!$B$20*1000*'Com-Ind Equations'!$B$24*'Com-Ind Equations'!$B$21*'Chemical Info'!J162*'Com-Ind Calculations'!C161,IF('Chemical Info'!E162="Yes",'Com-Ind Equations'!$B$20*1000*'Com-Ind Equations'!$B$24*'Com-Ind Equations'!$B$21*'Chemical Info'!J162*'Com-Ind Calculations'!F161,'Com-Ind Equations'!$B$20*1000*'Com-Ind Equations'!$B$24*'Com-Ind Equations'!$B$21*'Chemical Info'!J162*('Com-Ind Calculations'!C161+'Com-Ind Calculations'!F161))))</f>
        <v>NA</v>
      </c>
      <c r="L161" s="95" t="str">
        <f>IF(AND(H161="NA",I161="NA",J161="NA"),"NA",IF(H161="NA",'Com-Ind Equations'!$B$13*'Com-Ind Equations'!$B$14/J161,IF(J161="NA",'Com-Ind Equations'!$B$13*'Com-Ind Equations'!$B$14/(H161+I161),'Com-Ind Equations'!$B$13*'Com-Ind Equations'!$B$14/(H161+I161+J161))))</f>
        <v>NA</v>
      </c>
      <c r="M161" s="95" t="str">
        <f>IF(AND(H161="NA",I161="NA",K161="NA"),"NA",IF(H161="NA",'Com-Ind Equations'!$B$13*'Com-Ind Equations'!$B$14/K161,IF(K161="NA",'Com-Ind Equations'!$B$13*'Com-Ind Equations'!$B$14/(H161+I161),'Com-Ind Equations'!$B$13*'Com-Ind Equations'!$B$14/(H161+I161+K161))))</f>
        <v>NA</v>
      </c>
      <c r="N161" s="95" t="str">
        <f>IF(AND(L161="NA",M161="NA"),"NA",MAX(L161,M161))</f>
        <v>NA</v>
      </c>
      <c r="O161" s="94">
        <f>IF('Chemical Info'!L162="NA","NA",IF('Chemical Info'!E162="Yes",(('Com-Ind Equations'!$B$46*'Chemical Info'!AD162*'Com-Ind Equations'!$B$48*'Com-Ind Equations'!$B$49*'Com-Ind Equations'!$B$51)/('Com-Ind Equations'!$B$55*'Com-Ind Equations'!$B$56))/'Chemical Info'!L162,(('Com-Ind Equations'!$B$46*'Chemical Info'!AD162*'Com-Ind Equations'!$B$48*'Com-Ind Equations'!$B$49*'Com-Ind Equations'!$B$50)/('Com-Ind Equations'!$B$55*'Com-Ind Equations'!$B$56))/'Chemical Info'!L162))</f>
        <v>0.20547945205479451</v>
      </c>
      <c r="P161" s="90">
        <f>IF('Chemical Info'!L162="NA","NA", IF('Chemical Info'!E162="Yes",0,((('Com-Ind Equations'!$B$58*'Com-Ind Equations'!$B$59*'Com-Ind Equations'!$B$48*'Com-Ind Equations'!$B$52*'Com-Ind Equations'!$B$49*'Chemical Info'!AB162)/('Com-Ind Equations'!$B$55*'Com-Ind Equations'!$B$56))/('Chemical Info'!L162*'Chemical Info'!AF162))))</f>
        <v>0</v>
      </c>
      <c r="Q161" s="90" t="str">
        <f>IF('Chemical Info'!N162="NA","NA",IF('Com-Ind Calculations'!E161="NA",(('Com-Ind Equations'!$B$53*'Com-Ind Equations'!$B$49*'Com-Ind Equations'!$B$54*'Com-Ind Calculations'!C161)/('Com-Ind Equations'!$B$56))/('Chemical Info'!N162),IF('Chemical Info'!E162="Yes",(('Com-Ind Equations'!$B$53*'Com-Ind Equations'!$B$49*'Com-Ind Equations'!$B$54*'Com-Ind Calculations'!E161)/('Com-Ind Equations'!$B$56))/('Chemical Info'!N162),(('Com-Ind Equations'!$B$53*'Com-Ind Equations'!$B$49*'Com-Ind Equations'!$B$54*('Com-Ind Calculations'!C161+'Com-Ind Calculations'!E161))/('Com-Ind Equations'!$B$56))/('Chemical Info'!N162))))</f>
        <v>NA</v>
      </c>
      <c r="R161" s="90" t="str">
        <f>IF('Chemical Info'!N162="NA","NA",IF('Com-Ind Calculations'!F161="NA",(('Com-Ind Equations'!$B$53*'Com-Ind Equations'!$B$49*'Com-Ind Equations'!$B$54*'Com-Ind Calculations'!C161)/('Com-Ind Equations'!$B$56))/('Chemical Info'!N162),IF('Chemical Info'!E162="Yes",(('Com-Ind Equations'!$B$53*'Com-Ind Equations'!$B$49*'Com-Ind Equations'!$B$54*'Com-Ind Calculations'!F161)/('Com-Ind Equations'!$B$56))/('Chemical Info'!N162),(('Com-Ind Equations'!$B$53*'Com-Ind Equations'!$B$49*'Com-Ind Equations'!$B$54*('Com-Ind Calculations'!C161+'Com-Ind Calculations'!F161))/('Com-Ind Equations'!$B$56))/('Chemical Info'!N162))))</f>
        <v>NA</v>
      </c>
      <c r="S161" s="90">
        <f>IF(AND(O161="NA",P161="NA",Q161="NA"),"NA",IF(O161="NA",'Com-Ind Equations'!$B$45/'Com-Ind Calculations'!Q161,IF('Com-Ind Calculations'!Q161="NA",'Com-Ind Equations'!$B$45/('Com-Ind Calculations'!O161+'Com-Ind Calculations'!P161),'Com-Ind Equations'!$B$45/('Com-Ind Calculations'!O161+'Com-Ind Calculations'!P161+'Com-Ind Calculations'!Q161))))</f>
        <v>0.97333333333333349</v>
      </c>
      <c r="T161" s="95">
        <f>IF(AND(O161="NA",P161="NA",R161="NA"),"NA",IF(O161="NA",'Com-Ind Equations'!$B$45/R161,IF(R161="NA",'Com-Ind Equations'!$B$45/(O161+P161),'Com-Ind Equations'!$B$45/(O161+P161+R161))))</f>
        <v>0.97333333333333349</v>
      </c>
      <c r="U161" s="97">
        <f>IF(AND(S161="NA",T161="NA"),"NA",MAX(S161,T161))</f>
        <v>0.97333333333333349</v>
      </c>
      <c r="V161" s="101">
        <f>IF(AND(N161="NA",U161="NA",G161="NA"),"NA",MIN(N161,U161,G161))</f>
        <v>0.97333333333333349</v>
      </c>
      <c r="W161" s="105">
        <f>IF(V161&gt;100000,100000,IF(ISNUMBER(ROUND(V161*1000000,2-LEN(INT(V161*1000000)))/1000000),ROUND(V161*1000000,2-LEN(INT(V161*1000000)))/1000000,"NA"))</f>
        <v>0.97</v>
      </c>
      <c r="X161" s="100" t="str">
        <f>IF(W161=100000,"Max Limit",IF(V161=G161,"Csat",IF(V161=N161,"Cancer",IF(V161=U161,"Noncancer",""))))</f>
        <v>Noncancer</v>
      </c>
      <c r="Y161" s="70"/>
    </row>
    <row r="162" spans="1:26">
      <c r="A162" s="413" t="s">
        <v>239</v>
      </c>
      <c r="B162" s="566" t="s">
        <v>240</v>
      </c>
      <c r="C162" s="85">
        <f>1/(('Com-Ind Equations'!$B$123*3600)/(0.036*(1-'Com-Ind Equations'!$B$124)*(('Com-Ind Equations'!$B$125/'Com-Ind Equations'!$B$126)^3)*'Com-Ind Equations'!$B$127))</f>
        <v>1.4713536180231943E-9</v>
      </c>
      <c r="D162" s="90">
        <f>(('Com-Ind Equations'!$B$103^(10/3)*'Chemical Info'!AH163*'Chemical Info'!AN163*41+'Com-Ind Equations'!$B$106^(10/3)*'Chemical Info'!AJ163)/'Com-Ind Equations'!$B$108^2)/('Com-Ind Equations'!$B$110*'Chemical Info'!AL163*'Com-Ind Equations'!$B$113+'Com-Ind Equations'!$B$106+'Com-Ind Equations'!$B$103*'Chemical Info'!AN163*41)</f>
        <v>1.0078022693510586E-7</v>
      </c>
      <c r="E162" s="65">
        <f>IF(D162=0,"NA",1/(('Com-Ind Equations'!$B$74*(3.14*D162*'Com-Ind Equations'!$B$76)^(1/2)*0.0001)/(2*'Com-Ind Equations'!$B$77*D162)))</f>
        <v>1.8634435876898991E-6</v>
      </c>
      <c r="F162" s="65">
        <f>IF(D162=0,"NA",(1/('Com-Ind Equations'!$B$88*('Com-Ind Equations'!$B$89*(31500000))/('Com-Ind Equations'!$B$90*'Com-Ind Equations'!$B$91*1000000))))</f>
        <v>6.1914410640015851E-5</v>
      </c>
      <c r="G162" s="95" t="str">
        <f>IF('Chemical Info'!E163="Yes",('Chemical Info'!AP163/'Com-Ind Equations'!$B$139)*((('Chemical Info'!AL163*'Com-Ind Equations'!$B$141)*'Com-Ind Equations'!$B$139)+'Com-Ind Equations'!$B$142+('Chemical Info'!AN163*41)*'Com-Ind Equations'!$B$144),"NA")</f>
        <v>NA</v>
      </c>
      <c r="H162" s="112" t="str">
        <f>IF('Chemical Info'!H163="NA","NA",IF('Chemical Info'!E163="Yes",'Chemical Info'!H163*'Chemical Info'!AD163*'Com-Ind Equations'!$B$18*'Com-Ind Equations'!$B$22*(('Com-Ind Equations'!$B$24*'Com-Ind Equations'!$B$25)/'Com-Ind Equations'!$B$26),'Chemical Info'!H163*'Chemical Info'!AD163*'Com-Ind Equations'!$B$17*'Com-Ind Equations'!$B$22*('Com-Ind Equations'!$B$24*'Com-Ind Equations'!$B$25/'Com-Ind Equations'!$B$26)))</f>
        <v>NA</v>
      </c>
      <c r="I162" s="108" t="str">
        <f>IF('Chemical Info'!H163="NA","NA",IF('Chemical Info'!E163="Yes",0,('Chemical Info'!H163/'Chemical Info'!AF163)*'Com-Ind Equations'!$B$19*'Chemical Info'!AB163*'Com-Ind Equations'!$B$22*(('Com-Ind Equations'!$B$24*'Com-Ind Equations'!$B$29*'Com-Ind Equations'!$B$30)/'Com-Ind Equations'!$B$26)))</f>
        <v>NA</v>
      </c>
      <c r="J162" s="115" t="str">
        <f>IF('Chemical Info'!J163="NA","NA",IF(E162="NA",'Com-Ind Equations'!$B$20*1000*'Com-Ind Equations'!$B$24*'Com-Ind Equations'!$B$21*'Chemical Info'!J163*'Com-Ind Calculations'!C162,IF('Chemical Info'!E163="Yes",'Com-Ind Equations'!$B$20*1000*'Com-Ind Equations'!$B$24*'Com-Ind Equations'!$B$21*'Chemical Info'!J163*'Com-Ind Calculations'!E162,'Com-Ind Equations'!$B$20*1000*'Com-Ind Equations'!$B$24*'Com-Ind Equations'!$B$21*'Chemical Info'!J163*('Com-Ind Calculations'!C162+'Com-Ind Calculations'!E162))))</f>
        <v>NA</v>
      </c>
      <c r="K162" s="117" t="str">
        <f>IF('Chemical Info'!J163="NA","NA",IF(F162="NA",'Com-Ind Equations'!$B$20*1000*'Com-Ind Equations'!$B$24*'Com-Ind Equations'!$B$21*'Chemical Info'!J163*'Com-Ind Calculations'!C162,IF('Chemical Info'!E163="Yes",'Com-Ind Equations'!$B$20*1000*'Com-Ind Equations'!$B$24*'Com-Ind Equations'!$B$21*'Chemical Info'!J163*'Com-Ind Calculations'!F162,'Com-Ind Equations'!$B$20*1000*'Com-Ind Equations'!$B$24*'Com-Ind Equations'!$B$21*'Chemical Info'!J163*('Com-Ind Calculations'!C162+'Com-Ind Calculations'!F162))))</f>
        <v>NA</v>
      </c>
      <c r="L162" s="95" t="str">
        <f>IF(AND(H162="NA",I162="NA",J162="NA"),"NA",IF(H162="NA",'Com-Ind Equations'!$B$13*'Com-Ind Equations'!$B$14/J162,IF(J162="NA",'Com-Ind Equations'!$B$13*'Com-Ind Equations'!$B$14/(H162+I162),'Com-Ind Equations'!$B$13*'Com-Ind Equations'!$B$14/(H162+I162+J162))))</f>
        <v>NA</v>
      </c>
      <c r="M162" s="95" t="str">
        <f>IF(AND(H162="NA",I162="NA",K162="NA"),"NA",IF(H162="NA",'Com-Ind Equations'!$B$13*'Com-Ind Equations'!$B$14/K162,IF(K162="NA",'Com-Ind Equations'!$B$13*'Com-Ind Equations'!$B$14/(H162+I162),'Com-Ind Equations'!$B$13*'Com-Ind Equations'!$B$14/(H162+I162+K162))))</f>
        <v>NA</v>
      </c>
      <c r="N162" s="95" t="str">
        <f t="shared" si="100"/>
        <v>NA</v>
      </c>
      <c r="O162" s="94">
        <f>IF('Chemical Info'!L163="NA","NA",IF('Chemical Info'!E163="Yes",(('Com-Ind Equations'!$B$46*'Chemical Info'!AD163*'Com-Ind Equations'!$B$48*'Com-Ind Equations'!$B$49*'Com-Ind Equations'!$B$51)/('Com-Ind Equations'!$B$55*'Com-Ind Equations'!$B$56))/'Chemical Info'!L163,(('Com-Ind Equations'!$B$46*'Chemical Info'!AD163*'Com-Ind Equations'!$B$48*'Com-Ind Equations'!$B$49*'Com-Ind Equations'!$B$50)/('Com-Ind Equations'!$B$55*'Com-Ind Equations'!$B$56))/'Chemical Info'!L163))</f>
        <v>2.8538812785388124E-6</v>
      </c>
      <c r="P162" s="90">
        <f>IF('Chemical Info'!L163="NA","NA", IF('Chemical Info'!E163="Yes",0,((('Com-Ind Equations'!$B$58*'Com-Ind Equations'!$B$59*'Com-Ind Equations'!$B$48*'Com-Ind Equations'!$B$52*'Com-Ind Equations'!$B$49*'Chemical Info'!AB163)/('Com-Ind Equations'!$B$55*'Com-Ind Equations'!$B$56))/('Chemical Info'!L163*'Chemical Info'!AF163))))</f>
        <v>8.6967123287671219E-7</v>
      </c>
      <c r="Q162" s="90">
        <f>IF('Chemical Info'!N163="NA","NA",IF('Com-Ind Calculations'!E162="NA",(('Com-Ind Equations'!$B$53*'Com-Ind Equations'!$B$49*'Com-Ind Equations'!$B$54*'Com-Ind Calculations'!C162)/('Com-Ind Equations'!$B$56))/('Chemical Info'!N163),IF('Chemical Info'!E163="Yes",(('Com-Ind Equations'!$B$53*'Com-Ind Equations'!$B$49*'Com-Ind Equations'!$B$54*'Com-Ind Calculations'!E162)/('Com-Ind Equations'!$B$56))/('Chemical Info'!N163),(('Com-Ind Equations'!$B$53*'Com-Ind Equations'!$B$49*'Com-Ind Equations'!$B$54*('Com-Ind Calculations'!C162+'Com-Ind Calculations'!E162))/('Com-Ind Equations'!$B$56))/('Chemical Info'!N163))))</f>
        <v>1.9160085013437554E-6</v>
      </c>
      <c r="R162" s="90">
        <f>IF('Chemical Info'!N163="NA","NA",IF('Com-Ind Calculations'!F162="NA",(('Com-Ind Equations'!$B$53*'Com-Ind Equations'!$B$49*'Com-Ind Equations'!$B$54*'Com-Ind Calculations'!C162)/('Com-Ind Equations'!$B$56))/('Chemical Info'!N163),IF('Chemical Info'!E163="Yes",(('Com-Ind Equations'!$B$53*'Com-Ind Equations'!$B$49*'Com-Ind Equations'!$B$54*'Com-Ind Calculations'!F162)/('Com-Ind Equations'!$B$56))/('Chemical Info'!N163),(('Com-Ind Equations'!$B$53*'Com-Ind Equations'!$B$49*'Com-Ind Equations'!$B$54*('Com-Ind Calculations'!C162+'Com-Ind Calculations'!F162))/('Com-Ind Equations'!$B$56))/('Chemical Info'!N163))))</f>
        <v>6.3612207527706025E-5</v>
      </c>
      <c r="S162" s="90">
        <f>IF(AND(O162="NA",P162="NA",Q162="NA"),"NA",IF(O162="NA",'Com-Ind Equations'!$B$45/'Com-Ind Calculations'!Q162,IF('Com-Ind Calculations'!Q162="NA",'Com-Ind Equations'!$B$45/('Com-Ind Calculations'!O162+'Com-Ind Calculations'!P162),'Com-Ind Equations'!$B$45/('Com-Ind Calculations'!O162+'Com-Ind Calculations'!P162+'Com-Ind Calculations'!Q162))))</f>
        <v>35463.75321545561</v>
      </c>
      <c r="T162" s="95">
        <f>IF(AND(O162="NA",P162="NA",R162="NA"),"NA",IF(O162="NA",'Com-Ind Equations'!$B$45/R162,IF(R162="NA",'Com-Ind Equations'!$B$45/(O162+P162),'Com-Ind Equations'!$B$45/(O162+P162+R162))))</f>
        <v>2970.1899835065583</v>
      </c>
      <c r="U162" s="97">
        <f t="shared" si="101"/>
        <v>35463.75321545561</v>
      </c>
      <c r="V162" s="101">
        <f t="shared" si="102"/>
        <v>35463.75321545561</v>
      </c>
      <c r="W162" s="105">
        <f t="shared" si="104"/>
        <v>35000</v>
      </c>
      <c r="X162" s="100" t="str">
        <f t="shared" si="103"/>
        <v>Noncancer</v>
      </c>
      <c r="Y162" s="70"/>
    </row>
    <row r="163" spans="1:26">
      <c r="A163" s="413" t="s">
        <v>1179</v>
      </c>
      <c r="B163" s="566" t="s">
        <v>1180</v>
      </c>
      <c r="C163" s="85">
        <f>1/(('Com-Ind Equations'!$B$123*3600)/(0.036*(1-'Com-Ind Equations'!$B$124)*(('Com-Ind Equations'!$B$125/'Com-Ind Equations'!$B$126)^3)*'Com-Ind Equations'!$B$127))</f>
        <v>1.4713536180231943E-9</v>
      </c>
      <c r="D163" s="90">
        <f>(('Com-Ind Equations'!$B$103^(10/3)*'Chemical Info'!AH164*'Chemical Info'!AN164*41+'Com-Ind Equations'!$B$106^(10/3)*'Chemical Info'!AJ164)/'Com-Ind Equations'!$B$108^2)/('Com-Ind Equations'!$B$110*'Chemical Info'!AL164*'Com-Ind Equations'!$B$113+'Com-Ind Equations'!$B$106+'Com-Ind Equations'!$B$103*'Chemical Info'!AN164*41)</f>
        <v>5.3058360976573679E-6</v>
      </c>
      <c r="E163" s="65">
        <f>IF(D163=0,"NA",1/(('Com-Ind Equations'!$B$74*(3.14*D163*'Com-Ind Equations'!$B$76)^(1/2)*0.0001)/(2*'Com-Ind Equations'!$B$77*D163)))</f>
        <v>1.3520896827845657E-5</v>
      </c>
      <c r="F163" s="65">
        <f>IF(D163=0,"NA",(1/('Com-Ind Equations'!$B$88*('Com-Ind Equations'!$B$89*(31500000))/('Com-Ind Equations'!$B$90*'Com-Ind Equations'!$B$91*1000000))))</f>
        <v>6.1914410640015851E-5</v>
      </c>
      <c r="G163" s="95" t="str">
        <f>IF('Chemical Info'!E164="Yes",('Chemical Info'!AP164/'Com-Ind Equations'!$B$139)*((('Chemical Info'!AL164*'Com-Ind Equations'!$B$141)*'Com-Ind Equations'!$B$139)+'Com-Ind Equations'!$B$142+('Chemical Info'!AN164*41)*'Com-Ind Equations'!$B$144),"NA")</f>
        <v>NA</v>
      </c>
      <c r="H163" s="112" t="str">
        <f>IF('Chemical Info'!H164="NA","NA",IF('Chemical Info'!E164="Yes",'Chemical Info'!H164*'Chemical Info'!AD164*'Com-Ind Equations'!$B$18*'Com-Ind Equations'!$B$22*(('Com-Ind Equations'!$B$24*'Com-Ind Equations'!$B$25)/'Com-Ind Equations'!$B$26),'Chemical Info'!H164*'Chemical Info'!AD164*'Com-Ind Equations'!$B$17*'Com-Ind Equations'!$B$22*('Com-Ind Equations'!$B$24*'Com-Ind Equations'!$B$25/'Com-Ind Equations'!$B$26)))</f>
        <v>NA</v>
      </c>
      <c r="I163" s="108" t="str">
        <f>IF('Chemical Info'!H164="NA","NA",IF('Chemical Info'!E164="Yes",0,('Chemical Info'!H164/'Chemical Info'!AF164)*'Com-Ind Equations'!$B$19*'Chemical Info'!AB164*'Com-Ind Equations'!$B$22*(('Com-Ind Equations'!$B$24*'Com-Ind Equations'!$B$29*'Com-Ind Equations'!$B$30)/'Com-Ind Equations'!$B$26)))</f>
        <v>NA</v>
      </c>
      <c r="J163" s="115" t="str">
        <f>IF('Chemical Info'!J164="NA","NA",IF(E163="NA",'Com-Ind Equations'!$B$20*1000*'Com-Ind Equations'!$B$24*'Com-Ind Equations'!$B$21*'Chemical Info'!J164*'Com-Ind Calculations'!C163,IF('Chemical Info'!E164="Yes",'Com-Ind Equations'!$B$20*1000*'Com-Ind Equations'!$B$24*'Com-Ind Equations'!$B$21*'Chemical Info'!J164*'Com-Ind Calculations'!E163,'Com-Ind Equations'!$B$20*1000*'Com-Ind Equations'!$B$24*'Com-Ind Equations'!$B$21*'Chemical Info'!J164*('Com-Ind Calculations'!C163+'Com-Ind Calculations'!E163))))</f>
        <v>NA</v>
      </c>
      <c r="K163" s="117" t="str">
        <f>IF('Chemical Info'!J164="NA","NA",IF(F163="NA",'Com-Ind Equations'!$B$20*1000*'Com-Ind Equations'!$B$24*'Com-Ind Equations'!$B$21*'Chemical Info'!J164*'Com-Ind Calculations'!C163,IF('Chemical Info'!E164="Yes",'Com-Ind Equations'!$B$20*1000*'Com-Ind Equations'!$B$24*'Com-Ind Equations'!$B$21*'Chemical Info'!J164*'Com-Ind Calculations'!F163,'Com-Ind Equations'!$B$20*1000*'Com-Ind Equations'!$B$24*'Com-Ind Equations'!$B$21*'Chemical Info'!J164*('Com-Ind Calculations'!C163+'Com-Ind Calculations'!F163))))</f>
        <v>NA</v>
      </c>
      <c r="L163" s="95" t="str">
        <f>IF(AND(H163="NA",I163="NA",J163="NA"),"NA",IF(H163="NA",'Com-Ind Equations'!$B$13*'Com-Ind Equations'!$B$14/J163,IF(J163="NA",'Com-Ind Equations'!$B$13*'Com-Ind Equations'!$B$14/(H163+I163),'Com-Ind Equations'!$B$13*'Com-Ind Equations'!$B$14/(H163+I163+J163))))</f>
        <v>NA</v>
      </c>
      <c r="M163" s="95" t="str">
        <f>IF(AND(H163="NA",I163="NA",K163="NA"),"NA",IF(H163="NA",'Com-Ind Equations'!$B$13*'Com-Ind Equations'!$B$14/K163,IF(K163="NA",'Com-Ind Equations'!$B$13*'Com-Ind Equations'!$B$14/(H163+I163),'Com-Ind Equations'!$B$13*'Com-Ind Equations'!$B$14/(H163+I163+K163))))</f>
        <v>NA</v>
      </c>
      <c r="N163" s="95" t="str">
        <f t="shared" ref="N163" si="195">IF(AND(L163="NA",M163="NA"),"NA",MAX(L163,M163))</f>
        <v>NA</v>
      </c>
      <c r="O163" s="94">
        <f>IF('Chemical Info'!L164="NA","NA",IF('Chemical Info'!E164="Yes",(('Com-Ind Equations'!$B$46*'Chemical Info'!AD164*'Com-Ind Equations'!$B$48*'Com-Ind Equations'!$B$49*'Com-Ind Equations'!$B$51)/('Com-Ind Equations'!$B$55*'Com-Ind Equations'!$B$56))/'Chemical Info'!L164,(('Com-Ind Equations'!$B$46*'Chemical Info'!AD164*'Com-Ind Equations'!$B$48*'Com-Ind Equations'!$B$49*'Com-Ind Equations'!$B$50)/('Com-Ind Equations'!$B$55*'Com-Ind Equations'!$B$56))/'Chemical Info'!L164))</f>
        <v>4.2808219178082182E-7</v>
      </c>
      <c r="P163" s="90">
        <f>IF('Chemical Info'!L164="NA","NA", IF('Chemical Info'!E164="Yes",0,((('Com-Ind Equations'!$B$58*'Com-Ind Equations'!$B$59*'Com-Ind Equations'!$B$48*'Com-Ind Equations'!$B$52*'Com-Ind Equations'!$B$49*'Chemical Info'!AB164)/('Com-Ind Equations'!$B$55*'Com-Ind Equations'!$B$56))/('Chemical Info'!L164*'Chemical Info'!AF164))))</f>
        <v>1.3045068493150683E-7</v>
      </c>
      <c r="Q163" s="90">
        <f>IF('Chemical Info'!N164="NA","NA",IF('Com-Ind Calculations'!E163="NA",(('Com-Ind Equations'!$B$53*'Com-Ind Equations'!$B$49*'Com-Ind Equations'!$B$54*'Com-Ind Calculations'!C163)/('Com-Ind Equations'!$B$56))/('Chemical Info'!N164),IF('Chemical Info'!E164="Yes",(('Com-Ind Equations'!$B$53*'Com-Ind Equations'!$B$49*'Com-Ind Equations'!$B$54*'Com-Ind Calculations'!E163)/('Com-Ind Equations'!$B$56))/('Chemical Info'!N164),(('Com-Ind Equations'!$B$53*'Com-Ind Equations'!$B$49*'Com-Ind Equations'!$B$54*('Com-Ind Calculations'!C163+'Com-Ind Calculations'!E163))/('Com-Ind Equations'!$B$56))/('Chemical Info'!N164))))</f>
        <v>1.3892844022051726E-4</v>
      </c>
      <c r="R163" s="90">
        <f>IF('Chemical Info'!N164="NA","NA",IF('Com-Ind Calculations'!F163="NA",(('Com-Ind Equations'!$B$53*'Com-Ind Equations'!$B$49*'Com-Ind Equations'!$B$54*'Com-Ind Calculations'!C163)/('Com-Ind Equations'!$B$56))/('Chemical Info'!N164),IF('Chemical Info'!E164="Yes",(('Com-Ind Equations'!$B$53*'Com-Ind Equations'!$B$49*'Com-Ind Equations'!$B$54*'Com-Ind Calculations'!F163)/('Com-Ind Equations'!$B$56))/('Chemical Info'!N164),(('Com-Ind Equations'!$B$53*'Com-Ind Equations'!$B$49*'Com-Ind Equations'!$B$54*('Com-Ind Calculations'!C163+'Com-Ind Calculations'!F163))/('Com-Ind Equations'!$B$56))/('Chemical Info'!N164))))</f>
        <v>6.3612207527706023E-4</v>
      </c>
      <c r="S163" s="90">
        <f>IF(AND(O163="NA",P163="NA",Q163="NA"),"NA",IF(O163="NA",'Com-Ind Equations'!$B$45/'Com-Ind Calculations'!Q163,IF('Com-Ind Calculations'!Q163="NA",'Com-Ind Equations'!$B$45/('Com-Ind Calculations'!O163+'Com-Ind Calculations'!P163),'Com-Ind Equations'!$B$45/('Com-Ind Calculations'!O163+'Com-Ind Calculations'!P163+'Com-Ind Calculations'!Q163))))</f>
        <v>1433.8256509487071</v>
      </c>
      <c r="T163" s="95">
        <f>IF(AND(O163="NA",P163="NA",R163="NA"),"NA",IF(O163="NA",'Com-Ind Equations'!$B$45/R163,IF(R163="NA",'Com-Ind Equations'!$B$45/(O163+P163),'Com-Ind Equations'!$B$45/(O163+P163+R163))))</f>
        <v>314.12924697039858</v>
      </c>
      <c r="U163" s="97">
        <f t="shared" ref="U163" si="196">IF(AND(S163="NA",T163="NA"),"NA",MAX(S163,T163))</f>
        <v>1433.8256509487071</v>
      </c>
      <c r="V163" s="101">
        <f t="shared" ref="V163" si="197">IF(AND(N163="NA",U163="NA",G163="NA"),"NA",MIN(N163,U163,G163))</f>
        <v>1433.8256509487071</v>
      </c>
      <c r="W163" s="105">
        <f t="shared" ref="W163" si="198">IF(V163&gt;100000,100000,IF(ISNUMBER(ROUND(V163*1000000,2-LEN(INT(V163*1000000)))/1000000),ROUND(V163*1000000,2-LEN(INT(V163*1000000)))/1000000,"NA"))</f>
        <v>1400</v>
      </c>
      <c r="X163" s="100" t="str">
        <f t="shared" ref="X163" si="199">IF(W163=100000,"Max Limit",IF(V163=G163,"Csat",IF(V163=N163,"Cancer",IF(V163=U163,"Noncancer",""))))</f>
        <v>Noncancer</v>
      </c>
      <c r="Y163" s="70"/>
    </row>
    <row r="164" spans="1:26">
      <c r="A164" s="413" t="s">
        <v>1181</v>
      </c>
      <c r="B164" s="566" t="s">
        <v>1182</v>
      </c>
      <c r="C164" s="85">
        <f>1/(('Com-Ind Equations'!$B$123*3600)/(0.036*(1-'Com-Ind Equations'!$B$124)*(('Com-Ind Equations'!$B$125/'Com-Ind Equations'!$B$126)^3)*'Com-Ind Equations'!$B$127))</f>
        <v>1.4713536180231943E-9</v>
      </c>
      <c r="D164" s="90">
        <f>(('Com-Ind Equations'!$B$103^(10/3)*'Chemical Info'!AH165*'Chemical Info'!AN165*41+'Com-Ind Equations'!$B$106^(10/3)*'Chemical Info'!AJ165)/'Com-Ind Equations'!$B$108^2)/('Com-Ind Equations'!$B$110*'Chemical Info'!AL165*'Com-Ind Equations'!$B$113+'Com-Ind Equations'!$B$106+'Com-Ind Equations'!$B$103*'Chemical Info'!AN165*41)</f>
        <v>2.0388831389234109E-6</v>
      </c>
      <c r="E164" s="65">
        <f>IF(D164=0,"NA",1/(('Com-Ind Equations'!$B$74*(3.14*D164*'Com-Ind Equations'!$B$76)^(1/2)*0.0001)/(2*'Com-Ind Equations'!$B$77*D164)))</f>
        <v>8.3815579300617055E-6</v>
      </c>
      <c r="F164" s="65">
        <f>IF(D164=0,"NA",(1/('Com-Ind Equations'!$B$88*('Com-Ind Equations'!$B$89*(31500000))/('Com-Ind Equations'!$B$90*'Com-Ind Equations'!$B$91*1000000))))</f>
        <v>6.1914410640015851E-5</v>
      </c>
      <c r="G164" s="95">
        <f>IF('Chemical Info'!E165="Yes",('Chemical Info'!AP165/'Com-Ind Equations'!$B$139)*((('Chemical Info'!AL165*'Com-Ind Equations'!$B$141)*'Com-Ind Equations'!$B$139)+'Com-Ind Equations'!$B$142+('Chemical Info'!AN165*41)*'Com-Ind Equations'!$B$144),"NA")</f>
        <v>111428.50016</v>
      </c>
      <c r="H164" s="112" t="str">
        <f>IF('Chemical Info'!H165="NA","NA",IF('Chemical Info'!E165="Yes",'Chemical Info'!H165*'Chemical Info'!AD165*'Com-Ind Equations'!$B$18*'Com-Ind Equations'!$B$22*(('Com-Ind Equations'!$B$24*'Com-Ind Equations'!$B$25)/'Com-Ind Equations'!$B$26),'Chemical Info'!H165*'Chemical Info'!AD165*'Com-Ind Equations'!$B$17*'Com-Ind Equations'!$B$22*('Com-Ind Equations'!$B$24*'Com-Ind Equations'!$B$25/'Com-Ind Equations'!$B$26)))</f>
        <v>NA</v>
      </c>
      <c r="I164" s="108" t="str">
        <f>IF('Chemical Info'!H165="NA","NA",IF('Chemical Info'!E165="Yes",0,('Chemical Info'!H165/'Chemical Info'!AF165)*'Com-Ind Equations'!$B$19*'Chemical Info'!AB165*'Com-Ind Equations'!$B$22*(('Com-Ind Equations'!$B$24*'Com-Ind Equations'!$B$29*'Com-Ind Equations'!$B$30)/'Com-Ind Equations'!$B$26)))</f>
        <v>NA</v>
      </c>
      <c r="J164" s="115" t="str">
        <f>IF('Chemical Info'!J165="NA","NA",IF(E164="NA",'Com-Ind Equations'!$B$20*1000*'Com-Ind Equations'!$B$24*'Com-Ind Equations'!$B$21*'Chemical Info'!J165*'Com-Ind Calculations'!C164,IF('Chemical Info'!E165="Yes",'Com-Ind Equations'!$B$20*1000*'Com-Ind Equations'!$B$24*'Com-Ind Equations'!$B$21*'Chemical Info'!J165*'Com-Ind Calculations'!E164,'Com-Ind Equations'!$B$20*1000*'Com-Ind Equations'!$B$24*'Com-Ind Equations'!$B$21*'Chemical Info'!J165*('Com-Ind Calculations'!C164+'Com-Ind Calculations'!E164))))</f>
        <v>NA</v>
      </c>
      <c r="K164" s="117" t="str">
        <f>IF('Chemical Info'!J165="NA","NA",IF(F164="NA",'Com-Ind Equations'!$B$20*1000*'Com-Ind Equations'!$B$24*'Com-Ind Equations'!$B$21*'Chemical Info'!J165*'Com-Ind Calculations'!C164,IF('Chemical Info'!E165="Yes",'Com-Ind Equations'!$B$20*1000*'Com-Ind Equations'!$B$24*'Com-Ind Equations'!$B$21*'Chemical Info'!J165*'Com-Ind Calculations'!F164,'Com-Ind Equations'!$B$20*1000*'Com-Ind Equations'!$B$24*'Com-Ind Equations'!$B$21*'Chemical Info'!J165*('Com-Ind Calculations'!C164+'Com-Ind Calculations'!F164))))</f>
        <v>NA</v>
      </c>
      <c r="L164" s="95" t="str">
        <f>IF(AND(H164="NA",I164="NA",J164="NA"),"NA",IF(H164="NA",'Com-Ind Equations'!$B$13*'Com-Ind Equations'!$B$14/J164,IF(J164="NA",'Com-Ind Equations'!$B$13*'Com-Ind Equations'!$B$14/(H164+I164),'Com-Ind Equations'!$B$13*'Com-Ind Equations'!$B$14/(H164+I164+J164))))</f>
        <v>NA</v>
      </c>
      <c r="M164" s="95" t="str">
        <f>IF(AND(H164="NA",I164="NA",K164="NA"),"NA",IF(H164="NA",'Com-Ind Equations'!$B$13*'Com-Ind Equations'!$B$14/K164,IF(K164="NA",'Com-Ind Equations'!$B$13*'Com-Ind Equations'!$B$14/(H164+I164),'Com-Ind Equations'!$B$13*'Com-Ind Equations'!$B$14/(H164+I164+K164))))</f>
        <v>NA</v>
      </c>
      <c r="N164" s="95" t="str">
        <f t="shared" ref="N164" si="200">IF(AND(L164="NA",M164="NA"),"NA",MAX(L164,M164))</f>
        <v>NA</v>
      </c>
      <c r="O164" s="94">
        <f>IF('Chemical Info'!L165="NA","NA",IF('Chemical Info'!E165="Yes",(('Com-Ind Equations'!$B$46*'Chemical Info'!AD165*'Com-Ind Equations'!$B$48*'Com-Ind Equations'!$B$49*'Com-Ind Equations'!$B$51)/('Com-Ind Equations'!$B$55*'Com-Ind Equations'!$B$56))/'Chemical Info'!L165,(('Com-Ind Equations'!$B$46*'Chemical Info'!AD165*'Com-Ind Equations'!$B$48*'Com-Ind Equations'!$B$49*'Com-Ind Equations'!$B$50)/('Com-Ind Equations'!$B$55*'Com-Ind Equations'!$B$56))/'Chemical Info'!L165))</f>
        <v>3.0821917808219177E-4</v>
      </c>
      <c r="P164" s="90">
        <f>IF('Chemical Info'!L165="NA","NA", IF('Chemical Info'!E165="Yes",0,((('Com-Ind Equations'!$B$58*'Com-Ind Equations'!$B$59*'Com-Ind Equations'!$B$48*'Com-Ind Equations'!$B$52*'Com-Ind Equations'!$B$49*'Chemical Info'!AB165)/('Com-Ind Equations'!$B$55*'Com-Ind Equations'!$B$56))/('Chemical Info'!L165*'Chemical Info'!AF165))))</f>
        <v>0</v>
      </c>
      <c r="Q164" s="90" t="str">
        <f>IF('Chemical Info'!N165="NA","NA",IF('Com-Ind Calculations'!E164="NA",(('Com-Ind Equations'!$B$53*'Com-Ind Equations'!$B$49*'Com-Ind Equations'!$B$54*'Com-Ind Calculations'!C164)/('Com-Ind Equations'!$B$56))/('Chemical Info'!N165),IF('Chemical Info'!E165="Yes",(('Com-Ind Equations'!$B$53*'Com-Ind Equations'!$B$49*'Com-Ind Equations'!$B$54*'Com-Ind Calculations'!E164)/('Com-Ind Equations'!$B$56))/('Chemical Info'!N165),(('Com-Ind Equations'!$B$53*'Com-Ind Equations'!$B$49*'Com-Ind Equations'!$B$54*('Com-Ind Calculations'!C164+'Com-Ind Calculations'!E164))/('Com-Ind Equations'!$B$56))/('Chemical Info'!N165))))</f>
        <v>NA</v>
      </c>
      <c r="R164" s="90" t="str">
        <f>IF('Chemical Info'!N165="NA","NA",IF('Com-Ind Calculations'!F164="NA",(('Com-Ind Equations'!$B$53*'Com-Ind Equations'!$B$49*'Com-Ind Equations'!$B$54*'Com-Ind Calculations'!C164)/('Com-Ind Equations'!$B$56))/('Chemical Info'!N165),IF('Chemical Info'!E165="Yes",(('Com-Ind Equations'!$B$53*'Com-Ind Equations'!$B$49*'Com-Ind Equations'!$B$54*'Com-Ind Calculations'!F164)/('Com-Ind Equations'!$B$56))/('Chemical Info'!N165),(('Com-Ind Equations'!$B$53*'Com-Ind Equations'!$B$49*'Com-Ind Equations'!$B$54*('Com-Ind Calculations'!C164+'Com-Ind Calculations'!F164))/('Com-Ind Equations'!$B$56))/('Chemical Info'!N165))))</f>
        <v>NA</v>
      </c>
      <c r="S164" s="90">
        <f>IF(AND(O164="NA",P164="NA",Q164="NA"),"NA",IF(O164="NA",'Com-Ind Equations'!$B$45/'Com-Ind Calculations'!Q164,IF('Com-Ind Calculations'!Q164="NA",'Com-Ind Equations'!$B$45/('Com-Ind Calculations'!O164+'Com-Ind Calculations'!P164),'Com-Ind Equations'!$B$45/('Com-Ind Calculations'!O164+'Com-Ind Calculations'!P164+'Com-Ind Calculations'!Q164))))</f>
        <v>648.88888888888891</v>
      </c>
      <c r="T164" s="95">
        <f>IF(AND(O164="NA",P164="NA",R164="NA"),"NA",IF(O164="NA",'Com-Ind Equations'!$B$45/R164,IF(R164="NA",'Com-Ind Equations'!$B$45/(O164+P164),'Com-Ind Equations'!$B$45/(O164+P164+R164))))</f>
        <v>648.88888888888891</v>
      </c>
      <c r="U164" s="97">
        <f t="shared" ref="U164" si="201">IF(AND(S164="NA",T164="NA"),"NA",MAX(S164,T164))</f>
        <v>648.88888888888891</v>
      </c>
      <c r="V164" s="101">
        <f t="shared" ref="V164" si="202">IF(AND(N164="NA",U164="NA",G164="NA"),"NA",MIN(N164,U164,G164))</f>
        <v>648.88888888888891</v>
      </c>
      <c r="W164" s="105">
        <f t="shared" ref="W164" si="203">IF(V164&gt;100000,100000,IF(ISNUMBER(ROUND(V164*1000000,2-LEN(INT(V164*1000000)))/1000000),ROUND(V164*1000000,2-LEN(INT(V164*1000000)))/1000000,"NA"))</f>
        <v>650</v>
      </c>
      <c r="X164" s="100" t="str">
        <f t="shared" ref="X164" si="204">IF(W164=100000,"Max Limit",IF(V164=G164,"Csat",IF(V164=N164,"Cancer",IF(V164=U164,"Noncancer",""))))</f>
        <v>Noncancer</v>
      </c>
      <c r="Y164" s="70"/>
    </row>
    <row r="165" spans="1:26" ht="12">
      <c r="A165" s="413" t="s">
        <v>1227</v>
      </c>
      <c r="B165" s="566" t="s">
        <v>1160</v>
      </c>
      <c r="C165" s="85">
        <f>1/(('Com-Ind Equations'!$B$123*3600)/(0.036*(1-'Com-Ind Equations'!$B$124)*(('Com-Ind Equations'!$B$125/'Com-Ind Equations'!$B$126)^3)*'Com-Ind Equations'!$B$127))</f>
        <v>1.4713536180231943E-9</v>
      </c>
      <c r="D165" s="90">
        <f>(('Com-Ind Equations'!$B$103^(10/3)*'Chemical Info'!AH166*'Chemical Info'!AN166*41+'Com-Ind Equations'!$B$106^(10/3)*'Chemical Info'!AJ166)/'Com-Ind Equations'!$B$108^2)/('Com-Ind Equations'!$B$110*'Chemical Info'!AL166*'Com-Ind Equations'!$B$113+'Com-Ind Equations'!$B$106+'Com-Ind Equations'!$B$103*'Chemical Info'!AN166*41)</f>
        <v>4.9554010736489026E-6</v>
      </c>
      <c r="E165" s="65">
        <f>IF(D165=0,"NA",1/(('Com-Ind Equations'!$B$74*(3.14*D165*'Com-Ind Equations'!$B$76)^(1/2)*0.0001)/(2*'Com-Ind Equations'!$B$77*D165)))</f>
        <v>1.3066762249037405E-5</v>
      </c>
      <c r="F165" s="65">
        <f>IF(D165=0,"NA",(1/('Com-Ind Equations'!$B$88*('Com-Ind Equations'!$B$89*(31500000))/('Com-Ind Equations'!$B$90*'Com-Ind Equations'!$B$91*1000000))))</f>
        <v>6.1914410640015851E-5</v>
      </c>
      <c r="G165" s="120"/>
      <c r="H165" s="112" t="str">
        <f>IF('Chemical Info'!H166="NA","NA",IF('Chemical Info'!E166="Yes",'Chemical Info'!H166*'Chemical Info'!AD166*'Com-Ind Equations'!$B$18*'Com-Ind Equations'!$B$22*(('Com-Ind Equations'!$B$24*'Com-Ind Equations'!$B$25)/'Com-Ind Equations'!$B$26),'Chemical Info'!H166*'Chemical Info'!AD166*'Com-Ind Equations'!$B$17*'Com-Ind Equations'!$B$22*('Com-Ind Equations'!$B$24*'Com-Ind Equations'!$B$25/'Com-Ind Equations'!$B$26)))</f>
        <v>NA</v>
      </c>
      <c r="I165" s="108" t="str">
        <f>IF('Chemical Info'!H166="NA","NA",IF('Chemical Info'!E166="Yes",0,('Chemical Info'!H166/'Chemical Info'!AF166)*'Com-Ind Equations'!$B$19*'Chemical Info'!AB166*'Com-Ind Equations'!$B$22*(('Com-Ind Equations'!$B$24*'Com-Ind Equations'!$B$29*'Com-Ind Equations'!$B$30)/'Com-Ind Equations'!$B$26)))</f>
        <v>NA</v>
      </c>
      <c r="J165" s="115" t="str">
        <f>IF('Chemical Info'!J166="NA","NA",IF(E165="NA",'Com-Ind Equations'!$B$20*1000*'Com-Ind Equations'!$B$24*'Com-Ind Equations'!$B$21*'Chemical Info'!J166*'Com-Ind Calculations'!C165,IF('Chemical Info'!E166="Yes",'Com-Ind Equations'!$B$20*1000*'Com-Ind Equations'!$B$24*'Com-Ind Equations'!$B$21*'Chemical Info'!J166*'Com-Ind Calculations'!E165,'Com-Ind Equations'!$B$20*1000*'Com-Ind Equations'!$B$24*'Com-Ind Equations'!$B$21*'Chemical Info'!J166*('Com-Ind Calculations'!C165+'Com-Ind Calculations'!E165))))</f>
        <v>NA</v>
      </c>
      <c r="K165" s="117" t="str">
        <f>IF('Chemical Info'!J166="NA","NA",IF(F165="NA",'Com-Ind Equations'!$B$20*1000*'Com-Ind Equations'!$B$24*'Com-Ind Equations'!$B$21*'Chemical Info'!J166*'Com-Ind Calculations'!C165,IF('Chemical Info'!E166="Yes",'Com-Ind Equations'!$B$20*1000*'Com-Ind Equations'!$B$24*'Com-Ind Equations'!$B$21*'Chemical Info'!J166*'Com-Ind Calculations'!F165,'Com-Ind Equations'!$B$20*1000*'Com-Ind Equations'!$B$24*'Com-Ind Equations'!$B$21*'Chemical Info'!J166*('Com-Ind Calculations'!C165+'Com-Ind Calculations'!F165))))</f>
        <v>NA</v>
      </c>
      <c r="L165" s="95" t="str">
        <f>IF(AND(H165="NA",I165="NA",J165="NA"),"NA",IF(H165="NA",'Com-Ind Equations'!$B$13*'Com-Ind Equations'!$B$14/J165,IF(J165="NA",'Com-Ind Equations'!$B$13*'Com-Ind Equations'!$B$14/(H165+I165),'Com-Ind Equations'!$B$13*'Com-Ind Equations'!$B$14/(H165+I165+J165))))</f>
        <v>NA</v>
      </c>
      <c r="M165" s="95" t="str">
        <f>IF(AND(H165="NA",I165="NA",K165="NA"),"NA",IF(H165="NA",'Com-Ind Equations'!$B$13*'Com-Ind Equations'!$B$14/K165,IF(K165="NA",'Com-Ind Equations'!$B$13*'Com-Ind Equations'!$B$14/(H165+I165),'Com-Ind Equations'!$B$13*'Com-Ind Equations'!$B$14/(H165+I165+K165))))</f>
        <v>NA</v>
      </c>
      <c r="N165" s="95" t="str">
        <f t="shared" ref="N165" si="205">IF(AND(L165="NA",M165="NA"),"NA",MAX(L165,M165))</f>
        <v>NA</v>
      </c>
      <c r="O165" s="94">
        <f>IF('Chemical Info'!L166="NA","NA",IF('Chemical Info'!E166="Yes",(('Com-Ind Equations'!$B$46*'Chemical Info'!AD166*'Com-Ind Equations'!$B$48*'Com-Ind Equations'!$B$49*'Com-Ind Equations'!$B$51)/('Com-Ind Equations'!$B$55*'Com-Ind Equations'!$B$56))/'Chemical Info'!L166,(('Com-Ind Equations'!$B$46*'Chemical Info'!AD166*'Com-Ind Equations'!$B$48*'Com-Ind Equations'!$B$49*'Com-Ind Equations'!$B$50)/('Com-Ind Equations'!$B$55*'Com-Ind Equations'!$B$56))/'Chemical Info'!L166))</f>
        <v>2.0547945205479451E-2</v>
      </c>
      <c r="P165" s="90">
        <f>IF('Chemical Info'!L166="NA","NA", IF('Chemical Info'!E166="Yes",0,((('Com-Ind Equations'!$B$58*'Com-Ind Equations'!$B$59*'Com-Ind Equations'!$B$48*'Com-Ind Equations'!$B$52*'Com-Ind Equations'!$B$49*'Chemical Info'!AB166)/('Com-Ind Equations'!$B$55*'Com-Ind Equations'!$B$56))/('Chemical Info'!L166*'Chemical Info'!AF166))))</f>
        <v>0</v>
      </c>
      <c r="Q165" s="90" t="str">
        <f>IF('Chemical Info'!N166="NA","NA",IF('Com-Ind Calculations'!E165="NA",(('Com-Ind Equations'!$B$53*'Com-Ind Equations'!$B$49*'Com-Ind Equations'!$B$54*'Com-Ind Calculations'!C165)/('Com-Ind Equations'!$B$56))/('Chemical Info'!N166),IF('Chemical Info'!E166="Yes",(('Com-Ind Equations'!$B$53*'Com-Ind Equations'!$B$49*'Com-Ind Equations'!$B$54*'Com-Ind Calculations'!E165)/('Com-Ind Equations'!$B$56))/('Chemical Info'!N166),(('Com-Ind Equations'!$B$53*'Com-Ind Equations'!$B$49*'Com-Ind Equations'!$B$54*('Com-Ind Calculations'!C165+'Com-Ind Calculations'!E165))/('Com-Ind Equations'!$B$56))/('Chemical Info'!N166))))</f>
        <v>NA</v>
      </c>
      <c r="R165" s="90" t="str">
        <f>IF('Chemical Info'!N166="NA","NA",IF('Com-Ind Calculations'!F165="NA",(('Com-Ind Equations'!$B$53*'Com-Ind Equations'!$B$49*'Com-Ind Equations'!$B$54*'Com-Ind Calculations'!C165)/('Com-Ind Equations'!$B$56))/('Chemical Info'!N166),IF('Chemical Info'!E166="Yes",(('Com-Ind Equations'!$B$53*'Com-Ind Equations'!$B$49*'Com-Ind Equations'!$B$54*'Com-Ind Calculations'!F165)/('Com-Ind Equations'!$B$56))/('Chemical Info'!N166),(('Com-Ind Equations'!$B$53*'Com-Ind Equations'!$B$49*'Com-Ind Equations'!$B$54*('Com-Ind Calculations'!C165+'Com-Ind Calculations'!F165))/('Com-Ind Equations'!$B$56))/('Chemical Info'!N166))))</f>
        <v>NA</v>
      </c>
      <c r="S165" s="90">
        <f>IF(AND(O165="NA",P165="NA",Q165="NA"),"NA",IF(O165="NA",'Com-Ind Equations'!$B$45/'Com-Ind Calculations'!Q165,IF('Com-Ind Calculations'!Q165="NA",'Com-Ind Equations'!$B$45/('Com-Ind Calculations'!O165+'Com-Ind Calculations'!P165),'Com-Ind Equations'!$B$45/('Com-Ind Calculations'!O165+'Com-Ind Calculations'!P165+'Com-Ind Calculations'!Q165))))</f>
        <v>9.7333333333333343</v>
      </c>
      <c r="T165" s="95">
        <f>IF(AND(O165="NA",P165="NA",R165="NA"),"NA",IF(O165="NA",'Com-Ind Equations'!$B$45/R165,IF(R165="NA",'Com-Ind Equations'!$B$45/(O165+P165),'Com-Ind Equations'!$B$45/(O165+P165+R165))))</f>
        <v>9.7333333333333343</v>
      </c>
      <c r="U165" s="97">
        <f t="shared" ref="U165" si="206">IF(AND(S165="NA",T165="NA"),"NA",MAX(S165,T165))</f>
        <v>9.7333333333333343</v>
      </c>
      <c r="V165" s="101">
        <f t="shared" ref="V165" si="207">IF(AND(N165="NA",U165="NA",G165="NA"),"NA",MIN(N165,U165,G165))</f>
        <v>9.7333333333333343</v>
      </c>
      <c r="W165" s="105">
        <f t="shared" ref="W165" si="208">IF(V165&gt;100000,100000,IF(ISNUMBER(ROUND(V165*1000000,2-LEN(INT(V165*1000000)))/1000000),ROUND(V165*1000000,2-LEN(INT(V165*1000000)))/1000000,"NA"))</f>
        <v>9.6999999999999993</v>
      </c>
      <c r="X165" s="100" t="str">
        <f t="shared" ref="X165" si="209">IF(W165=100000,"Max Limit",IF(V165=G165,"Csat",IF(V165=N165,"Cancer",IF(V165=U165,"Noncancer",""))))</f>
        <v>Noncancer</v>
      </c>
      <c r="Y165" s="70"/>
    </row>
    <row r="166" spans="1:26">
      <c r="A166" s="413" t="s">
        <v>1093</v>
      </c>
      <c r="B166" s="566" t="s">
        <v>61</v>
      </c>
      <c r="C166" s="85">
        <f>1/(('Com-Ind Equations'!$B$123*3600)/(0.036*(1-'Com-Ind Equations'!$B$124)*(('Com-Ind Equations'!$B$125/'Com-Ind Equations'!$B$126)^3)*'Com-Ind Equations'!$B$127))</f>
        <v>1.4713536180231943E-9</v>
      </c>
      <c r="D166" s="90">
        <f>(('Com-Ind Equations'!$B$103^(10/3)*'Chemical Info'!AH167*'Chemical Info'!AN167*41+'Com-Ind Equations'!$B$106^(10/3)*'Chemical Info'!AJ167)/'Com-Ind Equations'!$B$108^2)/('Com-Ind Equations'!$B$110*'Chemical Info'!AL167*'Com-Ind Equations'!$B$113+'Com-Ind Equations'!$B$106+'Com-Ind Equations'!$B$103*'Chemical Info'!AN167*41)</f>
        <v>5.386143710161379E-8</v>
      </c>
      <c r="E166" s="65">
        <f>IF(D166=0,"NA",1/(('Com-Ind Equations'!$B$74*(3.14*D166*'Com-Ind Equations'!$B$76)^(1/2)*0.0001)/(2*'Com-Ind Equations'!$B$77*D166)))</f>
        <v>1.3622836750215884E-6</v>
      </c>
      <c r="F166" s="65">
        <f>IF(D166=0,"NA",(1/('Com-Ind Equations'!$B$88*('Com-Ind Equations'!$B$89*(31500000))/('Com-Ind Equations'!$B$90*'Com-Ind Equations'!$B$91*1000000))))</f>
        <v>6.1914410640015851E-5</v>
      </c>
      <c r="G166" s="95" t="str">
        <f>IF('Chemical Info'!E167="Yes",('Chemical Info'!AP167/'Com-Ind Equations'!$B$139)*((('Chemical Info'!AL167*'Com-Ind Equations'!$B$141)*'Com-Ind Equations'!$B$139)+'Com-Ind Equations'!$B$142+('Chemical Info'!AN167*41)*'Com-Ind Equations'!$B$144),"NA")</f>
        <v>NA</v>
      </c>
      <c r="H166" s="112" t="str">
        <f>IF('Chemical Info'!H167="NA","NA",IF('Chemical Info'!E167="Yes",'Chemical Info'!H167*'Chemical Info'!AD167*'Com-Ind Equations'!$B$18*'Com-Ind Equations'!$B$22*(('Com-Ind Equations'!$B$24*'Com-Ind Equations'!$B$25)/'Com-Ind Equations'!$B$26),'Chemical Info'!H167*'Chemical Info'!AD167*'Com-Ind Equations'!$B$17*'Com-Ind Equations'!$B$22*('Com-Ind Equations'!$B$24*'Com-Ind Equations'!$B$25/'Com-Ind Equations'!$B$26)))</f>
        <v>NA</v>
      </c>
      <c r="I166" s="108" t="str">
        <f>IF('Chemical Info'!H167="NA","NA",IF('Chemical Info'!E167="Yes",0,('Chemical Info'!H167/'Chemical Info'!AF167)*'Com-Ind Equations'!$B$19*'Chemical Info'!AB167*'Com-Ind Equations'!$B$22*(('Com-Ind Equations'!$B$24*'Com-Ind Equations'!$B$29*'Com-Ind Equations'!$B$30)/'Com-Ind Equations'!$B$26)))</f>
        <v>NA</v>
      </c>
      <c r="J166" s="115" t="str">
        <f>IF('Chemical Info'!J167="NA","NA",IF(E166="NA",'Com-Ind Equations'!$B$20*1000*'Com-Ind Equations'!$B$24*'Com-Ind Equations'!$B$21*'Chemical Info'!J167*'Com-Ind Calculations'!C166,IF('Chemical Info'!E167="Yes",'Com-Ind Equations'!$B$20*1000*'Com-Ind Equations'!$B$24*'Com-Ind Equations'!$B$21*'Chemical Info'!J167*'Com-Ind Calculations'!E166,'Com-Ind Equations'!$B$20*1000*'Com-Ind Equations'!$B$24*'Com-Ind Equations'!$B$21*'Chemical Info'!J167*('Com-Ind Calculations'!C166+'Com-Ind Calculations'!E166))))</f>
        <v>NA</v>
      </c>
      <c r="K166" s="117" t="str">
        <f>IF('Chemical Info'!J167="NA","NA",IF(F166="NA",'Com-Ind Equations'!$B$20*1000*'Com-Ind Equations'!$B$24*'Com-Ind Equations'!$B$21*'Chemical Info'!J167*'Com-Ind Calculations'!C166,IF('Chemical Info'!E167="Yes",'Com-Ind Equations'!$B$20*1000*'Com-Ind Equations'!$B$24*'Com-Ind Equations'!$B$21*'Chemical Info'!J167*'Com-Ind Calculations'!F166,'Com-Ind Equations'!$B$20*1000*'Com-Ind Equations'!$B$24*'Com-Ind Equations'!$B$21*'Chemical Info'!J167*('Com-Ind Calculations'!C166+'Com-Ind Calculations'!F166))))</f>
        <v>NA</v>
      </c>
      <c r="L166" s="95" t="str">
        <f>IF(AND(H166="NA",I166="NA",J166="NA"),"NA",IF(H166="NA",'Com-Ind Equations'!$B$13*'Com-Ind Equations'!$B$14/J166,IF(J166="NA",'Com-Ind Equations'!$B$13*'Com-Ind Equations'!$B$14/(H166+I166),'Com-Ind Equations'!$B$13*'Com-Ind Equations'!$B$14/(H166+I166+J166))))</f>
        <v>NA</v>
      </c>
      <c r="M166" s="95" t="str">
        <f>IF(AND(H166="NA",I166="NA",K166="NA"),"NA",IF(H166="NA",'Com-Ind Equations'!$B$13*'Com-Ind Equations'!$B$14/K166,IF(K166="NA",'Com-Ind Equations'!$B$13*'Com-Ind Equations'!$B$14/(H166+I166),'Com-Ind Equations'!$B$13*'Com-Ind Equations'!$B$14/(H166+I166+K166))))</f>
        <v>NA</v>
      </c>
      <c r="N166" s="95" t="str">
        <f t="shared" si="100"/>
        <v>NA</v>
      </c>
      <c r="O166" s="94">
        <f>IF('Chemical Info'!L167="NA","NA",IF('Chemical Info'!E167="Yes",(('Com-Ind Equations'!$B$46*'Chemical Info'!AD167*'Com-Ind Equations'!$B$48*'Com-Ind Equations'!$B$49*'Com-Ind Equations'!$B$51)/('Com-Ind Equations'!$B$55*'Com-Ind Equations'!$B$56))/'Chemical Info'!L167,(('Com-Ind Equations'!$B$46*'Chemical Info'!AD167*'Com-Ind Equations'!$B$48*'Com-Ind Equations'!$B$49*'Com-Ind Equations'!$B$50)/('Com-Ind Equations'!$B$55*'Com-Ind Equations'!$B$56))/'Chemical Info'!L167))</f>
        <v>2.8538812785388124E-5</v>
      </c>
      <c r="P166" s="90">
        <f>IF('Chemical Info'!L167="NA","NA", IF('Chemical Info'!E167="Yes",0,((('Com-Ind Equations'!$B$58*'Com-Ind Equations'!$B$59*'Com-Ind Equations'!$B$48*'Com-Ind Equations'!$B$52*'Com-Ind Equations'!$B$49*'Chemical Info'!AB167)/('Com-Ind Equations'!$B$55*'Com-Ind Equations'!$B$56))/('Chemical Info'!L167*'Chemical Info'!AF167))))</f>
        <v>8.6967123287671229E-6</v>
      </c>
      <c r="Q166" s="90" t="str">
        <f>IF('Chemical Info'!N167="NA","NA",IF('Com-Ind Calculations'!E166="NA",(('Com-Ind Equations'!$B$53*'Com-Ind Equations'!$B$49*'Com-Ind Equations'!$B$54*'Com-Ind Calculations'!C166)/('Com-Ind Equations'!$B$56))/('Chemical Info'!N167),IF('Chemical Info'!E167="Yes",(('Com-Ind Equations'!$B$53*'Com-Ind Equations'!$B$49*'Com-Ind Equations'!$B$54*'Com-Ind Calculations'!E166)/('Com-Ind Equations'!$B$56))/('Chemical Info'!N167),(('Com-Ind Equations'!$B$53*'Com-Ind Equations'!$B$49*'Com-Ind Equations'!$B$54*('Com-Ind Calculations'!C166+'Com-Ind Calculations'!E166))/('Com-Ind Equations'!$B$56))/('Chemical Info'!N167))))</f>
        <v>NA</v>
      </c>
      <c r="R166" s="90" t="str">
        <f>IF('Chemical Info'!N167="NA","NA",IF('Com-Ind Calculations'!F166="NA",(('Com-Ind Equations'!$B$53*'Com-Ind Equations'!$B$49*'Com-Ind Equations'!$B$54*'Com-Ind Calculations'!C166)/('Com-Ind Equations'!$B$56))/('Chemical Info'!N167),IF('Chemical Info'!E167="Yes",(('Com-Ind Equations'!$B$53*'Com-Ind Equations'!$B$49*'Com-Ind Equations'!$B$54*'Com-Ind Calculations'!F166)/('Com-Ind Equations'!$B$56))/('Chemical Info'!N167),(('Com-Ind Equations'!$B$53*'Com-Ind Equations'!$B$49*'Com-Ind Equations'!$B$54*('Com-Ind Calculations'!C166+'Com-Ind Calculations'!F166))/('Com-Ind Equations'!$B$56))/('Chemical Info'!N167))))</f>
        <v>NA</v>
      </c>
      <c r="S166" s="90">
        <f>IF(AND(O166="NA",P166="NA",Q166="NA"),"NA",IF(O166="NA",'Com-Ind Equations'!$B$45/'Com-Ind Calculations'!Q166,IF('Com-Ind Calculations'!Q166="NA",'Com-Ind Equations'!$B$45/('Com-Ind Calculations'!O166+'Com-Ind Calculations'!P166),'Com-Ind Equations'!$B$45/('Com-Ind Calculations'!O166+'Com-Ind Calculations'!P166+'Com-Ind Calculations'!Q166))))</f>
        <v>5371.2147038841986</v>
      </c>
      <c r="T166" s="95">
        <f>IF(AND(O166="NA",P166="NA",R166="NA"),"NA",IF(O166="NA",'Com-Ind Equations'!$B$45/R166,IF(R166="NA",'Com-Ind Equations'!$B$45/(O166+P166),'Com-Ind Equations'!$B$45/(O166+P166+R166))))</f>
        <v>5371.2147038841986</v>
      </c>
      <c r="U166" s="97">
        <f t="shared" si="101"/>
        <v>5371.2147038841986</v>
      </c>
      <c r="V166" s="101">
        <f t="shared" si="102"/>
        <v>5371.2147038841986</v>
      </c>
      <c r="W166" s="105">
        <f t="shared" si="104"/>
        <v>5400</v>
      </c>
      <c r="X166" s="100" t="str">
        <f t="shared" si="103"/>
        <v>Noncancer</v>
      </c>
      <c r="Y166" s="70"/>
    </row>
    <row r="167" spans="1:26">
      <c r="A167" s="373" t="s">
        <v>1094</v>
      </c>
      <c r="B167" s="566" t="s">
        <v>62</v>
      </c>
      <c r="C167" s="85">
        <f>1/(('Com-Ind Equations'!$B$123*3600)/(0.036*(1-'Com-Ind Equations'!$B$124)*(('Com-Ind Equations'!$B$125/'Com-Ind Equations'!$B$126)^3)*'Com-Ind Equations'!$B$127))</f>
        <v>1.4713536180231943E-9</v>
      </c>
      <c r="D167" s="90">
        <f>(('Com-Ind Equations'!$B$103^(10/3)*'Chemical Info'!AH168*'Chemical Info'!AN168*41+'Com-Ind Equations'!$B$106^(10/3)*'Chemical Info'!AJ168)/'Com-Ind Equations'!$B$108^2)/('Com-Ind Equations'!$B$110*'Chemical Info'!AL168*'Com-Ind Equations'!$B$113+'Com-Ind Equations'!$B$106+'Com-Ind Equations'!$B$103*'Chemical Info'!AN168*41)</f>
        <v>1.4621809412012547E-8</v>
      </c>
      <c r="E167" s="65">
        <f>IF(D167=0,"NA",1/(('Com-Ind Equations'!$B$74*(3.14*D167*'Com-Ind Equations'!$B$76)^(1/2)*0.0001)/(2*'Com-Ind Equations'!$B$77*D167)))</f>
        <v>7.0978880173180406E-7</v>
      </c>
      <c r="F167" s="65">
        <f>IF(D167=0,"NA",(1/('Com-Ind Equations'!$B$88*('Com-Ind Equations'!$B$89*(31500000))/('Com-Ind Equations'!$B$90*'Com-Ind Equations'!$B$91*1000000))))</f>
        <v>6.1914410640015851E-5</v>
      </c>
      <c r="G167" s="95" t="str">
        <f>IF('Chemical Info'!E168="Yes",('Chemical Info'!AP168/'Com-Ind Equations'!$B$139)*((('Chemical Info'!AL168*'Com-Ind Equations'!$B$141)*'Com-Ind Equations'!$B$139)+'Com-Ind Equations'!$B$142+('Chemical Info'!AN168*41)*'Com-Ind Equations'!$B$144),"NA")</f>
        <v>NA</v>
      </c>
      <c r="H167" s="112" t="str">
        <f>IF('Chemical Info'!H168="NA","NA",IF('Chemical Info'!E168="Yes",'Chemical Info'!H168*'Chemical Info'!AD168*'Com-Ind Equations'!$B$18*'Com-Ind Equations'!$B$22*(('Com-Ind Equations'!$B$24*'Com-Ind Equations'!$B$25)/'Com-Ind Equations'!$B$26),'Chemical Info'!H168*'Chemical Info'!AD168*'Com-Ind Equations'!$B$17*'Com-Ind Equations'!$B$22*('Com-Ind Equations'!$B$24*'Com-Ind Equations'!$B$25/'Com-Ind Equations'!$B$26)))</f>
        <v>NA</v>
      </c>
      <c r="I167" s="108" t="str">
        <f>IF('Chemical Info'!H168="NA","NA",IF('Chemical Info'!E168="Yes",0,('Chemical Info'!H168/'Chemical Info'!AF168)*'Com-Ind Equations'!$B$19*'Chemical Info'!AB168*'Com-Ind Equations'!$B$22*(('Com-Ind Equations'!$B$24*'Com-Ind Equations'!$B$29*'Com-Ind Equations'!$B$30)/'Com-Ind Equations'!$B$26)))</f>
        <v>NA</v>
      </c>
      <c r="J167" s="115" t="str">
        <f>IF('Chemical Info'!J168="NA","NA",IF(E167="NA",'Com-Ind Equations'!$B$20*1000*'Com-Ind Equations'!$B$24*'Com-Ind Equations'!$B$21*'Chemical Info'!J168*'Com-Ind Calculations'!C167,IF('Chemical Info'!E168="Yes",'Com-Ind Equations'!$B$20*1000*'Com-Ind Equations'!$B$24*'Com-Ind Equations'!$B$21*'Chemical Info'!J168*'Com-Ind Calculations'!E167,'Com-Ind Equations'!$B$20*1000*'Com-Ind Equations'!$B$24*'Com-Ind Equations'!$B$21*'Chemical Info'!J168*('Com-Ind Calculations'!C167+'Com-Ind Calculations'!E167))))</f>
        <v>NA</v>
      </c>
      <c r="K167" s="117" t="str">
        <f>IF('Chemical Info'!J168="NA","NA",IF(F167="NA",'Com-Ind Equations'!$B$20*1000*'Com-Ind Equations'!$B$24*'Com-Ind Equations'!$B$21*'Chemical Info'!J168*'Com-Ind Calculations'!C167,IF('Chemical Info'!E168="Yes",'Com-Ind Equations'!$B$20*1000*'Com-Ind Equations'!$B$24*'Com-Ind Equations'!$B$21*'Chemical Info'!J168*'Com-Ind Calculations'!F167,'Com-Ind Equations'!$B$20*1000*'Com-Ind Equations'!$B$24*'Com-Ind Equations'!$B$21*'Chemical Info'!J168*('Com-Ind Calculations'!C167+'Com-Ind Calculations'!F167))))</f>
        <v>NA</v>
      </c>
      <c r="L167" s="95" t="str">
        <f>IF(AND(H167="NA",I167="NA",J167="NA"),"NA",IF(H167="NA",'Com-Ind Equations'!$B$13*'Com-Ind Equations'!$B$14/J167,IF(J167="NA",'Com-Ind Equations'!$B$13*'Com-Ind Equations'!$B$14/(H167+I167),'Com-Ind Equations'!$B$13*'Com-Ind Equations'!$B$14/(H167+I167+J167))))</f>
        <v>NA</v>
      </c>
      <c r="M167" s="95" t="str">
        <f>IF(AND(H167="NA",I167="NA",K167="NA"),"NA",IF(H167="NA",'Com-Ind Equations'!$B$13*'Com-Ind Equations'!$B$14/K167,IF(K167="NA",'Com-Ind Equations'!$B$13*'Com-Ind Equations'!$B$14/(H167+I167),'Com-Ind Equations'!$B$13*'Com-Ind Equations'!$B$14/(H167+I167+K167))))</f>
        <v>NA</v>
      </c>
      <c r="N167" s="95" t="str">
        <f t="shared" si="100"/>
        <v>NA</v>
      </c>
      <c r="O167" s="94">
        <f>IF('Chemical Info'!L168="NA","NA",IF('Chemical Info'!E168="Yes",(('Com-Ind Equations'!$B$46*'Chemical Info'!AD168*'Com-Ind Equations'!$B$48*'Com-Ind Equations'!$B$49*'Com-Ind Equations'!$B$51)/('Com-Ind Equations'!$B$55*'Com-Ind Equations'!$B$56))/'Chemical Info'!L168,(('Com-Ind Equations'!$B$46*'Chemical Info'!AD168*'Com-Ind Equations'!$B$48*'Com-Ind Equations'!$B$49*'Com-Ind Equations'!$B$50)/('Com-Ind Equations'!$B$55*'Com-Ind Equations'!$B$56))/'Chemical Info'!L168))</f>
        <v>8.5616438356164361E-6</v>
      </c>
      <c r="P167" s="90">
        <f>IF('Chemical Info'!L168="NA","NA", IF('Chemical Info'!E168="Yes",0,((('Com-Ind Equations'!$B$58*'Com-Ind Equations'!$B$59*'Com-Ind Equations'!$B$48*'Com-Ind Equations'!$B$52*'Com-Ind Equations'!$B$49*'Chemical Info'!AB168)/('Com-Ind Equations'!$B$55*'Com-Ind Equations'!$B$56))/('Chemical Info'!L168*'Chemical Info'!AF168))))</f>
        <v>2.6090136986301365E-6</v>
      </c>
      <c r="Q167" s="90" t="str">
        <f>IF('Chemical Info'!N168="NA","NA",IF('Com-Ind Calculations'!E167="NA",(('Com-Ind Equations'!$B$53*'Com-Ind Equations'!$B$49*'Com-Ind Equations'!$B$54*'Com-Ind Calculations'!C167)/('Com-Ind Equations'!$B$56))/('Chemical Info'!N168),IF('Chemical Info'!E168="Yes",(('Com-Ind Equations'!$B$53*'Com-Ind Equations'!$B$49*'Com-Ind Equations'!$B$54*'Com-Ind Calculations'!E167)/('Com-Ind Equations'!$B$56))/('Chemical Info'!N168),(('Com-Ind Equations'!$B$53*'Com-Ind Equations'!$B$49*'Com-Ind Equations'!$B$54*('Com-Ind Calculations'!C167+'Com-Ind Calculations'!E167))/('Com-Ind Equations'!$B$56))/('Chemical Info'!N168))))</f>
        <v>NA</v>
      </c>
      <c r="R167" s="90" t="str">
        <f>IF('Chemical Info'!N168="NA","NA",IF('Com-Ind Calculations'!F167="NA",(('Com-Ind Equations'!$B$53*'Com-Ind Equations'!$B$49*'Com-Ind Equations'!$B$54*'Com-Ind Calculations'!C167)/('Com-Ind Equations'!$B$56))/('Chemical Info'!N168),IF('Chemical Info'!E168="Yes",(('Com-Ind Equations'!$B$53*'Com-Ind Equations'!$B$49*'Com-Ind Equations'!$B$54*'Com-Ind Calculations'!F167)/('Com-Ind Equations'!$B$56))/('Chemical Info'!N168),(('Com-Ind Equations'!$B$53*'Com-Ind Equations'!$B$49*'Com-Ind Equations'!$B$54*('Com-Ind Calculations'!C167+'Com-Ind Calculations'!F167))/('Com-Ind Equations'!$B$56))/('Chemical Info'!N168))))</f>
        <v>NA</v>
      </c>
      <c r="S167" s="90">
        <f>IF(AND(O167="NA",P167="NA",Q167="NA"),"NA",IF(O167="NA",'Com-Ind Equations'!$B$45/'Com-Ind Calculations'!Q167,IF('Com-Ind Calculations'!Q167="NA",'Com-Ind Equations'!$B$45/('Com-Ind Calculations'!O167+'Com-Ind Calculations'!P167),'Com-Ind Equations'!$B$45/('Com-Ind Calculations'!O167+'Com-Ind Calculations'!P167+'Com-Ind Calculations'!Q167))))</f>
        <v>17904.049012947333</v>
      </c>
      <c r="T167" s="95">
        <f>IF(AND(O167="NA",P167="NA",R167="NA"),"NA",IF(O167="NA",'Com-Ind Equations'!$B$45/R167,IF(R167="NA",'Com-Ind Equations'!$B$45/(O167+P167),'Com-Ind Equations'!$B$45/(O167+P167+R167))))</f>
        <v>17904.049012947333</v>
      </c>
      <c r="U167" s="97">
        <f t="shared" si="101"/>
        <v>17904.049012947333</v>
      </c>
      <c r="V167" s="101">
        <f t="shared" si="102"/>
        <v>17904.049012947333</v>
      </c>
      <c r="W167" s="105">
        <f t="shared" si="104"/>
        <v>18000</v>
      </c>
      <c r="X167" s="100" t="str">
        <f t="shared" si="103"/>
        <v>Noncancer</v>
      </c>
      <c r="Y167" s="70"/>
    </row>
    <row r="168" spans="1:26">
      <c r="A168" s="373" t="s">
        <v>1095</v>
      </c>
      <c r="B168" s="566" t="s">
        <v>82</v>
      </c>
      <c r="C168" s="85">
        <f>1/(('Com-Ind Equations'!$B$123*3600)/(0.036*(1-'Com-Ind Equations'!$B$124)*(('Com-Ind Equations'!$B$125/'Com-Ind Equations'!$B$126)^3)*'Com-Ind Equations'!$B$127))</f>
        <v>1.4713536180231943E-9</v>
      </c>
      <c r="D168" s="90">
        <f>(('Com-Ind Equations'!$B$103^(10/3)*'Chemical Info'!AH169*'Chemical Info'!AN169*41+'Com-Ind Equations'!$B$106^(10/3)*'Chemical Info'!AJ169)/'Com-Ind Equations'!$B$108^2)/('Com-Ind Equations'!$B$110*'Chemical Info'!AL169*'Com-Ind Equations'!$B$113+'Com-Ind Equations'!$B$106+'Com-Ind Equations'!$B$103*'Chemical Info'!AN169*41)</f>
        <v>2.0581272421048152E-8</v>
      </c>
      <c r="E168" s="65">
        <f>IF(D168=0,"NA",1/(('Com-Ind Equations'!$B$74*(3.14*D168*'Com-Ind Equations'!$B$76)^(1/2)*0.0001)/(2*'Com-Ind Equations'!$B$77*D168)))</f>
        <v>8.421019915170562E-7</v>
      </c>
      <c r="F168" s="65">
        <f>IF(D168=0,"NA",(1/('Com-Ind Equations'!$B$88*('Com-Ind Equations'!$B$89*(31500000))/('Com-Ind Equations'!$B$90*'Com-Ind Equations'!$B$91*1000000))))</f>
        <v>6.1914410640015851E-5</v>
      </c>
      <c r="G168" s="95" t="str">
        <f>IF('Chemical Info'!E169="Yes",('Chemical Info'!AP169/'Com-Ind Equations'!$B$139)*((('Chemical Info'!AL169*'Com-Ind Equations'!$B$141)*'Com-Ind Equations'!$B$139)+'Com-Ind Equations'!$B$142+('Chemical Info'!AN169*41)*'Com-Ind Equations'!$B$144),"NA")</f>
        <v>NA</v>
      </c>
      <c r="H168" s="112">
        <f>IF('Chemical Info'!H169="NA","NA",IF('Chemical Info'!E169="Yes",'Chemical Info'!H169*'Chemical Info'!AD169*'Com-Ind Equations'!$B$18*'Com-Ind Equations'!$B$22*(('Com-Ind Equations'!$B$24*'Com-Ind Equations'!$B$25)/'Com-Ind Equations'!$B$26),'Chemical Info'!H169*'Chemical Info'!AD169*'Com-Ind Equations'!$B$17*'Com-Ind Equations'!$B$22*('Com-Ind Equations'!$B$24*'Com-Ind Equations'!$B$25/'Com-Ind Equations'!$B$26)))</f>
        <v>8.5937499999999995E-5</v>
      </c>
      <c r="I168" s="108">
        <f>IF('Chemical Info'!H169="NA","NA",IF('Chemical Info'!E169="Yes",0,('Chemical Info'!H169/'Chemical Info'!AF169)*'Com-Ind Equations'!$B$19*'Chemical Info'!AB169*'Com-Ind Equations'!$B$22*(('Com-Ind Equations'!$B$24*'Com-Ind Equations'!$B$29*'Com-Ind Equations'!$B$30)/'Com-Ind Equations'!$B$26)))</f>
        <v>2.6187974999999999E-5</v>
      </c>
      <c r="J168" s="115">
        <f>IF('Chemical Info'!J169="NA","NA",IF(E168="NA",'Com-Ind Equations'!$B$20*1000*'Com-Ind Equations'!$B$24*'Com-Ind Equations'!$B$21*'Chemical Info'!J169*'Com-Ind Calculations'!C168,IF('Chemical Info'!E169="Yes",'Com-Ind Equations'!$B$20*1000*'Com-Ind Equations'!$B$24*'Com-Ind Equations'!$B$21*'Chemical Info'!J169*'Com-Ind Calculations'!E168,'Com-Ind Equations'!$B$20*1000*'Com-Ind Equations'!$B$24*'Com-Ind Equations'!$B$21*'Chemical Info'!J169*('Com-Ind Calculations'!C168+'Com-Ind Calculations'!E168))))</f>
        <v>4.9032700685976491E-6</v>
      </c>
      <c r="K168" s="117">
        <f>IF('Chemical Info'!J169="NA","NA",IF(F168="NA",'Com-Ind Equations'!$B$20*1000*'Com-Ind Equations'!$B$24*'Com-Ind Equations'!$B$21*'Chemical Info'!J169*'Com-Ind Calculations'!C168,IF('Chemical Info'!E169="Yes",'Com-Ind Equations'!$B$20*1000*'Com-Ind Equations'!$B$24*'Com-Ind Equations'!$B$21*'Chemical Info'!J169*'Com-Ind Calculations'!F168,'Com-Ind Equations'!$B$20*1000*'Com-Ind Equations'!$B$24*'Com-Ind Equations'!$B$21*'Chemical Info'!J169*('Com-Ind Calculations'!C168+'Com-Ind Calculations'!F168))))</f>
        <v>3.5988606408799686E-4</v>
      </c>
      <c r="L168" s="95">
        <f>IF(AND(H168="NA",I168="NA",J168="NA"),"NA",IF(H168="NA",'Com-Ind Equations'!$B$13*'Com-Ind Equations'!$B$14/J168,IF(J168="NA",'Com-Ind Equations'!$B$13*'Com-Ind Equations'!$B$14/(H168+I168),'Com-Ind Equations'!$B$13*'Com-Ind Equations'!$B$14/(H168+I168+J168))))</f>
        <v>2183.224299724277</v>
      </c>
      <c r="M168" s="95">
        <f>IF(AND(H168="NA",I168="NA",K168="NA"),"NA",IF(H168="NA",'Com-Ind Equations'!$B$13*'Com-Ind Equations'!$B$14/K168,IF(K168="NA",'Com-Ind Equations'!$B$13*'Com-Ind Equations'!$B$14/(H168+I168),'Com-Ind Equations'!$B$13*'Com-Ind Equations'!$B$14/(H168+I168+K168))))</f>
        <v>541.30032603369739</v>
      </c>
      <c r="N168" s="95">
        <f t="shared" si="100"/>
        <v>2183.224299724277</v>
      </c>
      <c r="O168" s="94">
        <f>IF('Chemical Info'!L169="NA","NA",IF('Chemical Info'!E169="Yes",(('Com-Ind Equations'!$B$46*'Chemical Info'!AD169*'Com-Ind Equations'!$B$48*'Com-Ind Equations'!$B$49*'Com-Ind Equations'!$B$51)/('Com-Ind Equations'!$B$55*'Com-Ind Equations'!$B$56))/'Chemical Info'!L169,(('Com-Ind Equations'!$B$46*'Chemical Info'!AD169*'Com-Ind Equations'!$B$48*'Com-Ind Equations'!$B$49*'Com-Ind Equations'!$B$50)/('Com-Ind Equations'!$B$55*'Com-Ind Equations'!$B$56))/'Chemical Info'!L169))</f>
        <v>8.5616438356164368E-4</v>
      </c>
      <c r="P168" s="90">
        <f>IF('Chemical Info'!L169="NA","NA", IF('Chemical Info'!E169="Yes",0,((('Com-Ind Equations'!$B$58*'Com-Ind Equations'!$B$59*'Com-Ind Equations'!$B$48*'Com-Ind Equations'!$B$52*'Com-Ind Equations'!$B$49*'Chemical Info'!AB169)/('Com-Ind Equations'!$B$55*'Com-Ind Equations'!$B$56))/('Chemical Info'!L169*'Chemical Info'!AF169))))</f>
        <v>2.6090136986301366E-4</v>
      </c>
      <c r="Q168" s="90" t="str">
        <f>IF('Chemical Info'!N169="NA","NA",IF('Com-Ind Calculations'!E168="NA",(('Com-Ind Equations'!$B$53*'Com-Ind Equations'!$B$49*'Com-Ind Equations'!$B$54*'Com-Ind Calculations'!C168)/('Com-Ind Equations'!$B$56))/('Chemical Info'!N169),IF('Chemical Info'!E169="Yes",(('Com-Ind Equations'!$B$53*'Com-Ind Equations'!$B$49*'Com-Ind Equations'!$B$54*'Com-Ind Calculations'!E168)/('Com-Ind Equations'!$B$56))/('Chemical Info'!N169),(('Com-Ind Equations'!$B$53*'Com-Ind Equations'!$B$49*'Com-Ind Equations'!$B$54*('Com-Ind Calculations'!C168+'Com-Ind Calculations'!E168))/('Com-Ind Equations'!$B$56))/('Chemical Info'!N169))))</f>
        <v>NA</v>
      </c>
      <c r="R168" s="90" t="str">
        <f>IF('Chemical Info'!N169="NA","NA",IF('Com-Ind Calculations'!F168="NA",(('Com-Ind Equations'!$B$53*'Com-Ind Equations'!$B$49*'Com-Ind Equations'!$B$54*'Com-Ind Calculations'!C168)/('Com-Ind Equations'!$B$56))/('Chemical Info'!N169),IF('Chemical Info'!E169="Yes",(('Com-Ind Equations'!$B$53*'Com-Ind Equations'!$B$49*'Com-Ind Equations'!$B$54*'Com-Ind Calculations'!F168)/('Com-Ind Equations'!$B$56))/('Chemical Info'!N169),(('Com-Ind Equations'!$B$53*'Com-Ind Equations'!$B$49*'Com-Ind Equations'!$B$54*('Com-Ind Calculations'!C168+'Com-Ind Calculations'!F168))/('Com-Ind Equations'!$B$56))/('Chemical Info'!N169))))</f>
        <v>NA</v>
      </c>
      <c r="S168" s="90">
        <f>IF(AND(O168="NA",P168="NA",Q168="NA"),"NA",IF(O168="NA",'Com-Ind Equations'!$B$45/'Com-Ind Calculations'!Q168,IF('Com-Ind Calculations'!Q168="NA",'Com-Ind Equations'!$B$45/('Com-Ind Calculations'!O168+'Com-Ind Calculations'!P168),'Com-Ind Equations'!$B$45/('Com-Ind Calculations'!O168+'Com-Ind Calculations'!P168+'Com-Ind Calculations'!Q168))))</f>
        <v>179.04049012947331</v>
      </c>
      <c r="T168" s="95">
        <f>IF(AND(O168="NA",P168="NA",R168="NA"),"NA",IF(O168="NA",'Com-Ind Equations'!$B$45/R168,IF(R168="NA",'Com-Ind Equations'!$B$45/(O168+P168),'Com-Ind Equations'!$B$45/(O168+P168+R168))))</f>
        <v>179.04049012947331</v>
      </c>
      <c r="U168" s="97">
        <f t="shared" si="101"/>
        <v>179.04049012947331</v>
      </c>
      <c r="V168" s="101">
        <f t="shared" si="102"/>
        <v>179.04049012947331</v>
      </c>
      <c r="W168" s="105">
        <f t="shared" si="104"/>
        <v>180</v>
      </c>
      <c r="X168" s="100" t="str">
        <f t="shared" si="103"/>
        <v>Noncancer</v>
      </c>
      <c r="Y168" s="70"/>
    </row>
    <row r="169" spans="1:26">
      <c r="A169" s="568" t="s">
        <v>968</v>
      </c>
      <c r="B169" s="593"/>
      <c r="C169" s="397"/>
      <c r="D169" s="397"/>
      <c r="E169" s="396"/>
      <c r="F169" s="396"/>
      <c r="G169" s="397"/>
      <c r="H169" s="386"/>
      <c r="I169" s="397"/>
      <c r="J169" s="397"/>
      <c r="K169" s="397"/>
      <c r="L169" s="397"/>
      <c r="M169" s="397"/>
      <c r="N169" s="397"/>
      <c r="O169" s="397"/>
      <c r="P169" s="397"/>
      <c r="Q169" s="397"/>
      <c r="R169" s="397"/>
      <c r="S169" s="397"/>
      <c r="T169" s="397"/>
      <c r="U169" s="397"/>
      <c r="V169" s="398"/>
      <c r="W169" s="399"/>
      <c r="X169" s="400"/>
      <c r="Y169" s="401"/>
    </row>
    <row r="170" spans="1:26" ht="12">
      <c r="A170" s="413" t="s">
        <v>431</v>
      </c>
      <c r="B170" s="566" t="s">
        <v>80</v>
      </c>
      <c r="C170" s="85">
        <f>1/(('Com-Ind Equations'!$B$123*3600)/(0.036*(1-'Com-Ind Equations'!$B$124)*(('Com-Ind Equations'!$B$125/'Com-Ind Equations'!$B$126)^3)*'Com-Ind Equations'!$B$127))</f>
        <v>1.4713536180231943E-9</v>
      </c>
      <c r="D170" s="90">
        <f>(('Com-Ind Equations'!$B$103^(10/3)*'Chemical Info'!AH171*'Chemical Info'!AN171*41+'Com-Ind Equations'!$B$106^(10/3)*'Chemical Info'!AJ171)/'Com-Ind Equations'!$B$108^2)/('Com-Ind Equations'!$B$110*'Chemical Info'!AL171*'Com-Ind Equations'!$B$113+'Com-Ind Equations'!$B$106+'Com-Ind Equations'!$B$103*'Chemical Info'!AN171*41)</f>
        <v>6.4318625314678037E-7</v>
      </c>
      <c r="E170" s="65">
        <f>IF(D170=0,"NA",1/(('Com-Ind Equations'!$B$74*(3.14*D170*'Com-Ind Equations'!$B$76)^(1/2)*0.0001)/(2*'Com-Ind Equations'!$B$77*D170)))</f>
        <v>4.7075718873539224E-6</v>
      </c>
      <c r="F170" s="65">
        <f>IF(D170=0,"NA",(1/('Com-Ind Equations'!$B$88*('Com-Ind Equations'!$B$89*(31500000))/('Com-Ind Equations'!$B$90*'Com-Ind Equations'!$B$91*1000000))))</f>
        <v>6.1914410640015851E-5</v>
      </c>
      <c r="G170" s="120"/>
      <c r="H170" s="112" t="str">
        <f>IF('Chemical Info'!H171="NA","NA",IF('Chemical Info'!E171="Yes",'Chemical Info'!H171*'Chemical Info'!AD171*'Com-Ind Equations'!$B$18*'Com-Ind Equations'!$B$22*(('Com-Ind Equations'!$B$24*'Com-Ind Equations'!$B$25)/'Com-Ind Equations'!$B$26),'Chemical Info'!H171*'Chemical Info'!AD171*'Com-Ind Equations'!$B$17*'Com-Ind Equations'!$B$22*('Com-Ind Equations'!$B$24*'Com-Ind Equations'!$B$25/'Com-Ind Equations'!$B$26)))</f>
        <v>NA</v>
      </c>
      <c r="I170" s="108" t="str">
        <f>IF('Chemical Info'!H171="NA","NA",IF('Chemical Info'!E171="Yes",0,('Chemical Info'!H171/'Chemical Info'!AF171)*'Com-Ind Equations'!$B$19*'Chemical Info'!AB171*'Com-Ind Equations'!$B$22*(('Com-Ind Equations'!$B$24*'Com-Ind Equations'!$B$29*'Com-Ind Equations'!$B$30)/'Com-Ind Equations'!$B$26)))</f>
        <v>NA</v>
      </c>
      <c r="J170" s="115" t="str">
        <f>IF('Chemical Info'!J171="NA","NA",IF(E170="NA",'Com-Ind Equations'!$B$20*1000*'Com-Ind Equations'!$B$24*'Com-Ind Equations'!$B$21*'Chemical Info'!J171*'Com-Ind Calculations'!C170,IF('Chemical Info'!E171="Yes",'Com-Ind Equations'!$B$20*1000*'Com-Ind Equations'!$B$24*'Com-Ind Equations'!$B$21*'Chemical Info'!J171*'Com-Ind Calculations'!E170,'Com-Ind Equations'!$B$20*1000*'Com-Ind Equations'!$B$24*'Com-Ind Equations'!$B$21*'Chemical Info'!J171*('Com-Ind Calculations'!C170+'Com-Ind Calculations'!E170))))</f>
        <v>NA</v>
      </c>
      <c r="K170" s="117" t="str">
        <f>IF('Chemical Info'!J171="NA","NA",IF(F170="NA",'Com-Ind Equations'!$B$20*1000*'Com-Ind Equations'!$B$24*'Com-Ind Equations'!$B$21*'Chemical Info'!J171*'Com-Ind Calculations'!C170,IF('Chemical Info'!E171="Yes",'Com-Ind Equations'!$B$20*1000*'Com-Ind Equations'!$B$24*'Com-Ind Equations'!$B$21*'Chemical Info'!J171*'Com-Ind Calculations'!F170,'Com-Ind Equations'!$B$20*1000*'Com-Ind Equations'!$B$24*'Com-Ind Equations'!$B$21*'Chemical Info'!J171*('Com-Ind Calculations'!C170+'Com-Ind Calculations'!F170))))</f>
        <v>NA</v>
      </c>
      <c r="L170" s="95" t="str">
        <f>IF(AND(H170="NA",I170="NA",J170="NA"),"NA",IF(H170="NA",'Com-Ind Equations'!$B$13*'Com-Ind Equations'!$B$14/J170,IF(J170="NA",'Com-Ind Equations'!$B$13*'Com-Ind Equations'!$B$14/(H170+I170),'Com-Ind Equations'!$B$13*'Com-Ind Equations'!$B$14/(H170+I170+J170))))</f>
        <v>NA</v>
      </c>
      <c r="M170" s="95" t="str">
        <f>IF(AND(H170="NA",I170="NA",K170="NA"),"NA",IF(H170="NA",'Com-Ind Equations'!$B$13*'Com-Ind Equations'!$B$14/K170,IF(K170="NA",'Com-Ind Equations'!$B$13*'Com-Ind Equations'!$B$14/(H170+I170),'Com-Ind Equations'!$B$13*'Com-Ind Equations'!$B$14/(H170+I170+K170))))</f>
        <v>NA</v>
      </c>
      <c r="N170" s="95" t="str">
        <f t="shared" ref="N170:N180" si="210">IF(AND(L170="NA",M170="NA"),"NA",MAX(L170,M170))</f>
        <v>NA</v>
      </c>
      <c r="O170" s="94">
        <f>IF('Chemical Info'!L171="NA","NA",IF('Chemical Info'!E171="Yes",(('Com-Ind Equations'!$B$46*'Chemical Info'!AD171*'Com-Ind Equations'!$B$48*'Com-Ind Equations'!$B$49*'Com-Ind Equations'!$B$51)/('Com-Ind Equations'!$B$55*'Com-Ind Equations'!$B$56))/'Chemical Info'!L171,(('Com-Ind Equations'!$B$46*'Chemical Info'!AD171*'Com-Ind Equations'!$B$48*'Com-Ind Equations'!$B$49*'Com-Ind Equations'!$B$50)/('Com-Ind Equations'!$B$55*'Com-Ind Equations'!$B$56))/'Chemical Info'!L171))</f>
        <v>2.9354207436399215E-5</v>
      </c>
      <c r="P170" s="90">
        <f>IF('Chemical Info'!L171="NA","NA", IF('Chemical Info'!E171="Yes",0,((('Com-Ind Equations'!$B$58*'Com-Ind Equations'!$B$59*'Com-Ind Equations'!$B$48*'Com-Ind Equations'!$B$52*'Com-Ind Equations'!$B$49*'Chemical Info'!AB171)/('Com-Ind Equations'!$B$55*'Com-Ind Equations'!$B$56))/('Chemical Info'!L171*'Chemical Info'!AF171))))</f>
        <v>0</v>
      </c>
      <c r="Q170" s="90" t="str">
        <f>IF('Chemical Info'!N171="NA","NA",IF('Com-Ind Calculations'!E170="NA",(('Com-Ind Equations'!$B$53*'Com-Ind Equations'!$B$49*'Com-Ind Equations'!$B$54*'Com-Ind Calculations'!C170)/('Com-Ind Equations'!$B$56))/('Chemical Info'!N171),IF('Chemical Info'!E171="Yes",(('Com-Ind Equations'!$B$53*'Com-Ind Equations'!$B$49*'Com-Ind Equations'!$B$54*'Com-Ind Calculations'!E170)/('Com-Ind Equations'!$B$56))/('Chemical Info'!N171),(('Com-Ind Equations'!$B$53*'Com-Ind Equations'!$B$49*'Com-Ind Equations'!$B$54*('Com-Ind Calculations'!C170+'Com-Ind Calculations'!E170))/('Com-Ind Equations'!$B$56))/('Chemical Info'!N171))))</f>
        <v>NA</v>
      </c>
      <c r="R170" s="90" t="str">
        <f>IF('Chemical Info'!N171="NA","NA",IF('Com-Ind Calculations'!F170="NA",(('Com-Ind Equations'!$B$53*'Com-Ind Equations'!$B$49*'Com-Ind Equations'!$B$54*'Com-Ind Calculations'!C170)/('Com-Ind Equations'!$B$56))/('Chemical Info'!N171),IF('Chemical Info'!E171="Yes",(('Com-Ind Equations'!$B$53*'Com-Ind Equations'!$B$49*'Com-Ind Equations'!$B$54*'Com-Ind Calculations'!F170)/('Com-Ind Equations'!$B$56))/('Chemical Info'!N171),(('Com-Ind Equations'!$B$53*'Com-Ind Equations'!$B$49*'Com-Ind Equations'!$B$54*('Com-Ind Calculations'!C170+'Com-Ind Calculations'!F170))/('Com-Ind Equations'!$B$56))/('Chemical Info'!N171))))</f>
        <v>NA</v>
      </c>
      <c r="S170" s="90">
        <f>IF(AND(O170="NA",P170="NA",Q170="NA"),"NA",IF(O170="NA",'Com-Ind Equations'!$B$45/'Com-Ind Calculations'!Q170,IF('Com-Ind Calculations'!Q170="NA",'Com-Ind Equations'!$B$45/('Com-Ind Calculations'!O170+'Com-Ind Calculations'!P170),'Com-Ind Equations'!$B$45/('Com-Ind Calculations'!O170+'Com-Ind Calculations'!P170+'Com-Ind Calculations'!Q170))))</f>
        <v>6813.3333333333339</v>
      </c>
      <c r="T170" s="95">
        <f>IF(AND(O170="NA",P170="NA",R170="NA"),"NA",IF(O170="NA",'Com-Ind Equations'!$B$45/R170,IF(R170="NA",'Com-Ind Equations'!$B$45/(O170+P170),'Com-Ind Equations'!$B$45/(O170+P170+R170))))</f>
        <v>6813.3333333333339</v>
      </c>
      <c r="U170" s="97">
        <f t="shared" ref="U170:U180" si="211">IF(AND(S170="NA",T170="NA"),"NA",MAX(S170,T170))</f>
        <v>6813.3333333333339</v>
      </c>
      <c r="V170" s="101">
        <f t="shared" ref="V170:V180" si="212">IF(AND(N170="NA",U170="NA",G170="NA"),"NA",MIN(N170,U170,G170))</f>
        <v>6813.3333333333339</v>
      </c>
      <c r="W170" s="105">
        <f t="shared" ref="W170:W180" si="213">IF(V170&gt;100000,100000,IF(ISNUMBER(ROUND(V170*1000000,2-LEN(INT(V170*1000000)))/1000000),ROUND(V170*1000000,2-LEN(INT(V170*1000000)))/1000000,"NA"))</f>
        <v>6800</v>
      </c>
      <c r="X170" s="100" t="str">
        <f t="shared" ref="X170:X180" si="214">IF(W170=100000,"Max Limit",IF(V170=G170,"Csat",IF(V170=N170,"Cancer",IF(V170=U170,"Noncancer",""))))</f>
        <v>Noncancer</v>
      </c>
      <c r="Y170" s="98"/>
      <c r="Z170" s="5"/>
    </row>
    <row r="171" spans="1:26" ht="12">
      <c r="A171" s="427" t="s">
        <v>432</v>
      </c>
      <c r="B171" s="566" t="s">
        <v>81</v>
      </c>
      <c r="C171" s="85">
        <f>1/(('Com-Ind Equations'!$B$123*3600)/(0.036*(1-'Com-Ind Equations'!$B$124)*(('Com-Ind Equations'!$B$125/'Com-Ind Equations'!$B$126)^3)*'Com-Ind Equations'!$B$127))</f>
        <v>1.4713536180231943E-9</v>
      </c>
      <c r="D171" s="90">
        <f>(('Com-Ind Equations'!$B$103^(10/3)*'Chemical Info'!AH172*'Chemical Info'!AN172*41+'Com-Ind Equations'!$B$106^(10/3)*'Chemical Info'!AJ172)/'Com-Ind Equations'!$B$108^2)/('Com-Ind Equations'!$B$110*'Chemical Info'!AL172*'Com-Ind Equations'!$B$113+'Com-Ind Equations'!$B$106+'Com-Ind Equations'!$B$103*'Chemical Info'!AN172*41)</f>
        <v>4.6474100149202308E-8</v>
      </c>
      <c r="E171" s="65">
        <f>IF(D171=0,"NA",1/(('Com-Ind Equations'!$B$74*(3.14*D171*'Com-Ind Equations'!$B$76)^(1/2)*0.0001)/(2*'Com-Ind Equations'!$B$77*D171)))</f>
        <v>1.2654182063073878E-6</v>
      </c>
      <c r="F171" s="65">
        <f>IF(D171=0,"NA",(1/('Com-Ind Equations'!$B$88*('Com-Ind Equations'!$B$89*(31500000))/('Com-Ind Equations'!$B$90*'Com-Ind Equations'!$B$91*1000000))))</f>
        <v>6.1914410640015851E-5</v>
      </c>
      <c r="G171" s="120"/>
      <c r="H171" s="112" t="str">
        <f>IF('Chemical Info'!H172="NA","NA",IF('Chemical Info'!E172="Yes",'Chemical Info'!H172*'Chemical Info'!AD172*'Com-Ind Equations'!$B$18*'Com-Ind Equations'!$B$22*(('Com-Ind Equations'!$B$24*'Com-Ind Equations'!$B$25)/'Com-Ind Equations'!$B$26),'Chemical Info'!H172*'Chemical Info'!AD172*'Com-Ind Equations'!$B$17*'Com-Ind Equations'!$B$22*('Com-Ind Equations'!$B$24*'Com-Ind Equations'!$B$25/'Com-Ind Equations'!$B$26)))</f>
        <v>NA</v>
      </c>
      <c r="I171" s="108" t="str">
        <f>IF('Chemical Info'!H172="NA","NA",IF('Chemical Info'!E172="Yes",0,('Chemical Info'!H172/'Chemical Info'!AF172)*'Com-Ind Equations'!$B$19*'Chemical Info'!AB172*'Com-Ind Equations'!$B$22*(('Com-Ind Equations'!$B$24*'Com-Ind Equations'!$B$29*'Com-Ind Equations'!$B$30)/'Com-Ind Equations'!$B$26)))</f>
        <v>NA</v>
      </c>
      <c r="J171" s="115" t="str">
        <f>IF('Chemical Info'!J172="NA","NA",IF(E171="NA",'Com-Ind Equations'!$B$20*1000*'Com-Ind Equations'!$B$24*'Com-Ind Equations'!$B$21*'Chemical Info'!J172*'Com-Ind Calculations'!C171,IF('Chemical Info'!E172="Yes",'Com-Ind Equations'!$B$20*1000*'Com-Ind Equations'!$B$24*'Com-Ind Equations'!$B$21*'Chemical Info'!J172*'Com-Ind Calculations'!E171,'Com-Ind Equations'!$B$20*1000*'Com-Ind Equations'!$B$24*'Com-Ind Equations'!$B$21*'Chemical Info'!J172*('Com-Ind Calculations'!C171+'Com-Ind Calculations'!E171))))</f>
        <v>NA</v>
      </c>
      <c r="K171" s="117" t="str">
        <f>IF('Chemical Info'!J172="NA","NA",IF(F171="NA",'Com-Ind Equations'!$B$20*1000*'Com-Ind Equations'!$B$24*'Com-Ind Equations'!$B$21*'Chemical Info'!J172*'Com-Ind Calculations'!C171,IF('Chemical Info'!E172="Yes",'Com-Ind Equations'!$B$20*1000*'Com-Ind Equations'!$B$24*'Com-Ind Equations'!$B$21*'Chemical Info'!J172*'Com-Ind Calculations'!F171,'Com-Ind Equations'!$B$20*1000*'Com-Ind Equations'!$B$24*'Com-Ind Equations'!$B$21*'Chemical Info'!J172*('Com-Ind Calculations'!C171+'Com-Ind Calculations'!F171))))</f>
        <v>NA</v>
      </c>
      <c r="L171" s="95" t="str">
        <f>IF(AND(H171="NA",I171="NA",J171="NA"),"NA",IF(H171="NA",'Com-Ind Equations'!$B$13*'Com-Ind Equations'!$B$14/J171,IF(J171="NA",'Com-Ind Equations'!$B$13*'Com-Ind Equations'!$B$14/(H171+I171),'Com-Ind Equations'!$B$13*'Com-Ind Equations'!$B$14/(H171+I171+J171))))</f>
        <v>NA</v>
      </c>
      <c r="M171" s="95" t="str">
        <f>IF(AND(H171="NA",I171="NA",K171="NA"),"NA",IF(H171="NA",'Com-Ind Equations'!$B$13*'Com-Ind Equations'!$B$14/K171,IF(K171="NA",'Com-Ind Equations'!$B$13*'Com-Ind Equations'!$B$14/(H171+I171),'Com-Ind Equations'!$B$13*'Com-Ind Equations'!$B$14/(H171+I171+K171))))</f>
        <v>NA</v>
      </c>
      <c r="N171" s="95" t="str">
        <f t="shared" si="210"/>
        <v>NA</v>
      </c>
      <c r="O171" s="94">
        <f>IF('Chemical Info'!L172="NA","NA",IF('Chemical Info'!E172="Yes",(('Com-Ind Equations'!$B$46*'Chemical Info'!AD172*'Com-Ind Equations'!$B$48*'Com-Ind Equations'!$B$49*'Com-Ind Equations'!$B$51)/('Com-Ind Equations'!$B$55*'Com-Ind Equations'!$B$56))/'Chemical Info'!L172,(('Com-Ind Equations'!$B$46*'Chemical Info'!AD172*'Com-Ind Equations'!$B$48*'Com-Ind Equations'!$B$49*'Com-Ind Equations'!$B$50)/('Com-Ind Equations'!$B$55*'Com-Ind Equations'!$B$56))/'Chemical Info'!L172))</f>
        <v>4.7418335089567958E-6</v>
      </c>
      <c r="P171" s="90">
        <f>IF('Chemical Info'!L172="NA","NA", IF('Chemical Info'!E172="Yes",0,((('Com-Ind Equations'!$B$58*'Com-Ind Equations'!$B$59*'Com-Ind Equations'!$B$48*'Com-Ind Equations'!$B$52*'Com-Ind Equations'!$B$49*'Chemical Info'!AB172)/('Com-Ind Equations'!$B$55*'Com-Ind Equations'!$B$56))/('Chemical Info'!L172*'Chemical Info'!AF172))))</f>
        <v>0</v>
      </c>
      <c r="Q171" s="90" t="str">
        <f>IF('Chemical Info'!N172="NA","NA",IF('Com-Ind Calculations'!E171="NA",(('Com-Ind Equations'!$B$53*'Com-Ind Equations'!$B$49*'Com-Ind Equations'!$B$54*'Com-Ind Calculations'!C171)/('Com-Ind Equations'!$B$56))/('Chemical Info'!N172),IF('Chemical Info'!E172="Yes",(('Com-Ind Equations'!$B$53*'Com-Ind Equations'!$B$49*'Com-Ind Equations'!$B$54*'Com-Ind Calculations'!E171)/('Com-Ind Equations'!$B$56))/('Chemical Info'!N172),(('Com-Ind Equations'!$B$53*'Com-Ind Equations'!$B$49*'Com-Ind Equations'!$B$54*('Com-Ind Calculations'!C171+'Com-Ind Calculations'!E171))/('Com-Ind Equations'!$B$56))/('Chemical Info'!N172))))</f>
        <v>NA</v>
      </c>
      <c r="R171" s="90" t="str">
        <f>IF('Chemical Info'!N172="NA","NA",IF('Com-Ind Calculations'!F171="NA",(('Com-Ind Equations'!$B$53*'Com-Ind Equations'!$B$49*'Com-Ind Equations'!$B$54*'Com-Ind Calculations'!C171)/('Com-Ind Equations'!$B$56))/('Chemical Info'!N172),IF('Chemical Info'!E172="Yes",(('Com-Ind Equations'!$B$53*'Com-Ind Equations'!$B$49*'Com-Ind Equations'!$B$54*'Com-Ind Calculations'!F171)/('Com-Ind Equations'!$B$56))/('Chemical Info'!N172),(('Com-Ind Equations'!$B$53*'Com-Ind Equations'!$B$49*'Com-Ind Equations'!$B$54*('Com-Ind Calculations'!C171+'Com-Ind Calculations'!F171))/('Com-Ind Equations'!$B$56))/('Chemical Info'!N172))))</f>
        <v>NA</v>
      </c>
      <c r="S171" s="90">
        <f>IF(AND(O171="NA",P171="NA",Q171="NA"),"NA",IF(O171="NA",'Com-Ind Equations'!$B$45/'Com-Ind Calculations'!Q171,IF('Com-Ind Calculations'!Q171="NA",'Com-Ind Equations'!$B$45/('Com-Ind Calculations'!O171+'Com-Ind Calculations'!P171),'Com-Ind Equations'!$B$45/('Com-Ind Calculations'!O171+'Com-Ind Calculations'!P171+'Com-Ind Calculations'!Q171))))</f>
        <v>42177.777777777788</v>
      </c>
      <c r="T171" s="95">
        <f>IF(AND(O171="NA",P171="NA",R171="NA"),"NA",IF(O171="NA",'Com-Ind Equations'!$B$45/R171,IF(R171="NA",'Com-Ind Equations'!$B$45/(O171+P171),'Com-Ind Equations'!$B$45/(O171+P171+R171))))</f>
        <v>42177.777777777788</v>
      </c>
      <c r="U171" s="97">
        <f t="shared" si="211"/>
        <v>42177.777777777788</v>
      </c>
      <c r="V171" s="101">
        <f t="shared" si="212"/>
        <v>42177.777777777788</v>
      </c>
      <c r="W171" s="105">
        <f t="shared" si="213"/>
        <v>42000</v>
      </c>
      <c r="X171" s="100" t="str">
        <f t="shared" si="214"/>
        <v>Noncancer</v>
      </c>
      <c r="Y171" s="70"/>
    </row>
    <row r="172" spans="1:26" s="2" customFormat="1">
      <c r="A172" s="413" t="s">
        <v>670</v>
      </c>
      <c r="B172" s="566" t="s">
        <v>99</v>
      </c>
      <c r="C172" s="85">
        <f>1/(('Com-Ind Equations'!$B$123*3600)/(0.036*(1-'Com-Ind Equations'!$B$124)*(('Com-Ind Equations'!$B$125/'Com-Ind Equations'!$B$126)^3)*'Com-Ind Equations'!$B$127))</f>
        <v>1.4713536180231943E-9</v>
      </c>
      <c r="D172" s="90">
        <f>(('Com-Ind Equations'!$B$103^(10/3)*'Chemical Info'!AH173*'Chemical Info'!AN173*41+'Com-Ind Equations'!$B$106^(10/3)*'Chemical Info'!AJ173)/'Com-Ind Equations'!$B$108^2)/('Com-Ind Equations'!$B$110*'Chemical Info'!AL173*'Com-Ind Equations'!$B$113+'Com-Ind Equations'!$B$106+'Com-Ind Equations'!$B$103*'Chemical Info'!AN173*41)</f>
        <v>2.2874108661920532E-11</v>
      </c>
      <c r="E172" s="65">
        <f>IF(D172=0,"NA",1/(('Com-Ind Equations'!$B$74*(3.14*D172*'Com-Ind Equations'!$B$76)^(1/2)*0.0001)/(2*'Com-Ind Equations'!$B$77*D172)))</f>
        <v>2.8073765878019856E-8</v>
      </c>
      <c r="F172" s="65">
        <f>IF(D172=0,"NA",(1/('Com-Ind Equations'!$B$88*('Com-Ind Equations'!$B$89*(31500000))/('Com-Ind Equations'!$B$90*'Com-Ind Equations'!$B$91*1000000))))</f>
        <v>6.1914410640015851E-5</v>
      </c>
      <c r="G172" s="95" t="str">
        <f>IF('Chemical Info'!E173="Yes",('Chemical Info'!AP173/'Com-Ind Equations'!$B$139)*((('Chemical Info'!AL173*'Com-Ind Equations'!$B$141)*'Com-Ind Equations'!$B$139)+'Com-Ind Equations'!$B$142+('Chemical Info'!AN173*41)*'Com-Ind Equations'!$B$144),"NA")</f>
        <v>NA</v>
      </c>
      <c r="H172" s="112">
        <f>IF('Chemical Info'!H173="NA","NA",IF('Chemical Info'!E173="Yes",'Chemical Info'!H173*'Chemical Info'!AD173*'Com-Ind Equations'!$B$18*'Com-Ind Equations'!$B$22*(('Com-Ind Equations'!$B$24*'Com-Ind Equations'!$B$25)/'Com-Ind Equations'!$B$26),'Chemical Info'!H173*'Chemical Info'!AD173*'Com-Ind Equations'!$B$17*'Com-Ind Equations'!$B$22*('Com-Ind Equations'!$B$24*'Com-Ind Equations'!$B$25/'Com-Ind Equations'!$B$26)))</f>
        <v>7.8125E-3</v>
      </c>
      <c r="I172" s="108">
        <f>IF('Chemical Info'!H173="NA","NA",IF('Chemical Info'!E173="Yes",0,('Chemical Info'!H173/'Chemical Info'!AF173)*'Com-Ind Equations'!$B$19*'Chemical Info'!AB173*'Com-Ind Equations'!$B$22*(('Com-Ind Equations'!$B$24*'Com-Ind Equations'!$B$29*'Com-Ind Equations'!$B$30)/'Com-Ind Equations'!$B$26)))</f>
        <v>3.0949424999999996E-3</v>
      </c>
      <c r="J172" s="115">
        <f>IF('Chemical Info'!J173="NA","NA",IF(E172="NA",'Com-Ind Equations'!$B$20*1000*'Com-Ind Equations'!$B$24*'Com-Ind Equations'!$B$21*'Chemical Info'!J173*'Com-Ind Calculations'!C172,IF('Chemical Info'!E173="Yes",'Com-Ind Equations'!$B$20*1000*'Com-Ind Equations'!$B$24*'Com-Ind Equations'!$B$21*'Chemical Info'!J173*'Com-Ind Calculations'!E172,'Com-Ind Equations'!$B$20*1000*'Com-Ind Equations'!$B$24*'Com-Ind Equations'!$B$21*'Chemical Info'!J173*('Com-Ind Calculations'!C172+'Com-Ind Calculations'!E172))))</f>
        <v>3.3238259433048431E-5</v>
      </c>
      <c r="K172" s="117">
        <f>IF('Chemical Info'!J173="NA","NA",IF(F172="NA",'Com-Ind Equations'!$B$20*1000*'Com-Ind Equations'!$B$24*'Com-Ind Equations'!$B$21*'Chemical Info'!J173*'Com-Ind Calculations'!C172,IF('Chemical Info'!E173="Yes",'Com-Ind Equations'!$B$20*1000*'Com-Ind Equations'!$B$24*'Com-Ind Equations'!$B$21*'Chemical Info'!J173*'Com-Ind Calculations'!F172,'Com-Ind Equations'!$B$20*1000*'Com-Ind Equations'!$B$24*'Com-Ind Equations'!$B$21*'Chemical Info'!J173*('Com-Ind Calculations'!C172+'Com-Ind Calculations'!F172))))</f>
        <v>6.9655367242838107E-2</v>
      </c>
      <c r="L172" s="95">
        <f>IF(AND(H172="NA",I172="NA",J172="NA"),"NA",IF(H172="NA",'Com-Ind Equations'!$B$13*'Com-Ind Equations'!$B$14/J172,IF(J172="NA",'Com-Ind Equations'!$B$13*'Com-Ind Equations'!$B$14/(H172+I172),'Com-Ind Equations'!$B$13*'Com-Ind Equations'!$B$14/(H172+I172+J172))))</f>
        <v>23.353208599904359</v>
      </c>
      <c r="M172" s="95">
        <f>IF(AND(H172="NA",I172="NA",K172="NA"),"NA",IF(H172="NA",'Com-Ind Equations'!$B$13*'Com-Ind Equations'!$B$14/K172,IF(K172="NA",'Com-Ind Equations'!$B$13*'Com-Ind Equations'!$B$14/(H172+I172),'Com-Ind Equations'!$B$13*'Com-Ind Equations'!$B$14/(H172+I172+K172))))</f>
        <v>3.1714385436105461</v>
      </c>
      <c r="N172" s="95">
        <f t="shared" si="210"/>
        <v>23.353208599904359</v>
      </c>
      <c r="O172" s="94">
        <f>IF('Chemical Info'!L173="NA","NA",IF('Chemical Info'!E173="Yes",(('Com-Ind Equations'!$B$46*'Chemical Info'!AD173*'Com-Ind Equations'!$B$48*'Com-Ind Equations'!$B$49*'Com-Ind Equations'!$B$51)/('Com-Ind Equations'!$B$55*'Com-Ind Equations'!$B$56))/'Chemical Info'!L173,(('Com-Ind Equations'!$B$46*'Chemical Info'!AD173*'Com-Ind Equations'!$B$48*'Com-Ind Equations'!$B$49*'Com-Ind Equations'!$B$50)/('Com-Ind Equations'!$B$55*'Com-Ind Equations'!$B$56))/'Chemical Info'!L173))</f>
        <v>2.7618205921343345E-3</v>
      </c>
      <c r="P172" s="90">
        <f>IF('Chemical Info'!L173="NA","NA", IF('Chemical Info'!E173="Yes",0,((('Com-Ind Equations'!$B$58*'Com-Ind Equations'!$B$59*'Com-Ind Equations'!$B$48*'Com-Ind Equations'!$B$52*'Com-Ind Equations'!$B$49*'Chemical Info'!AB173)/('Com-Ind Equations'!$B$55*'Com-Ind Equations'!$B$56))/('Chemical Info'!L173*'Chemical Info'!AF173))))</f>
        <v>1.09410251878038E-3</v>
      </c>
      <c r="Q172" s="90">
        <f>IF('Chemical Info'!N173="NA","NA",IF('Com-Ind Calculations'!E172="NA",(('Com-Ind Equations'!$B$53*'Com-Ind Equations'!$B$49*'Com-Ind Equations'!$B$54*'Com-Ind Calculations'!C172)/('Com-Ind Equations'!$B$56))/('Chemical Info'!N173),IF('Chemical Info'!E173="Yes",(('Com-Ind Equations'!$B$53*'Com-Ind Equations'!$B$49*'Com-Ind Equations'!$B$54*'Com-Ind Calculations'!E172)/('Com-Ind Equations'!$B$56))/('Chemical Info'!N173),(('Com-Ind Equations'!$B$53*'Com-Ind Equations'!$B$49*'Com-Ind Equations'!$B$54*('Com-Ind Calculations'!C172+'Com-Ind Calculations'!E172))/('Com-Ind Equations'!$B$56))/('Chemical Info'!N173))))</f>
        <v>3.0354574824701767E-3</v>
      </c>
      <c r="R172" s="90">
        <f>IF('Chemical Info'!N173="NA","NA",IF('Com-Ind Calculations'!F172="NA",(('Com-Ind Equations'!$B$53*'Com-Ind Equations'!$B$49*'Com-Ind Equations'!$B$54*'Com-Ind Calculations'!C172)/('Com-Ind Equations'!$B$56))/('Chemical Info'!N173),IF('Chemical Info'!E173="Yes",(('Com-Ind Equations'!$B$53*'Com-Ind Equations'!$B$49*'Com-Ind Equations'!$B$54*'Com-Ind Calculations'!F172)/('Com-Ind Equations'!$B$56))/('Chemical Info'!N173),(('Com-Ind Equations'!$B$53*'Com-Ind Equations'!$B$49*'Com-Ind Equations'!$B$54*('Com-Ind Calculations'!C172+'Com-Ind Calculations'!F172))/('Com-Ind Equations'!$B$56))/('Chemical Info'!N173))))</f>
        <v>6.3612207527706026</v>
      </c>
      <c r="S172" s="90">
        <f>IF(AND(O172="NA",P172="NA",Q172="NA"),"NA",IF(O172="NA",'Com-Ind Equations'!$B$45/'Com-Ind Calculations'!Q172,IF('Com-Ind Calculations'!Q172="NA",'Com-Ind Equations'!$B$45/('Com-Ind Calculations'!O172+'Com-Ind Calculations'!P172),'Com-Ind Equations'!$B$45/('Com-Ind Calculations'!O172+'Com-Ind Calculations'!P172+'Com-Ind Calculations'!Q172))))</f>
        <v>29.021760921459208</v>
      </c>
      <c r="T172" s="95">
        <f>IF(AND(O172="NA",P172="NA",R172="NA"),"NA",IF(O172="NA",'Com-Ind Equations'!$B$45/R172,IF(R172="NA",'Com-Ind Equations'!$B$45/(O172+P172),'Com-Ind Equations'!$B$45/(O172+P172+R172))))</f>
        <v>3.1421459659368746E-2</v>
      </c>
      <c r="U172" s="97">
        <f t="shared" si="211"/>
        <v>29.021760921459208</v>
      </c>
      <c r="V172" s="101">
        <f t="shared" si="212"/>
        <v>23.353208599904359</v>
      </c>
      <c r="W172" s="105">
        <f t="shared" si="213"/>
        <v>23</v>
      </c>
      <c r="X172" s="100" t="str">
        <f t="shared" si="214"/>
        <v>Cancer</v>
      </c>
      <c r="Y172" s="70"/>
    </row>
    <row r="173" spans="1:26" s="2" customFormat="1" ht="12">
      <c r="A173" s="424" t="s">
        <v>1223</v>
      </c>
      <c r="B173" s="566" t="s">
        <v>1163</v>
      </c>
      <c r="C173" s="85">
        <f>1/(('Com-Ind Equations'!$B$123*3600)/(0.036*(1-'Com-Ind Equations'!$B$124)*(('Com-Ind Equations'!$B$125/'Com-Ind Equations'!$B$126)^3)*'Com-Ind Equations'!$B$127))</f>
        <v>1.4713536180231943E-9</v>
      </c>
      <c r="D173" s="90">
        <f>(('Com-Ind Equations'!$B$103^(10/3)*'Chemical Info'!AH174*'Chemical Info'!AN174*41+'Com-Ind Equations'!$B$106^(10/3)*'Chemical Info'!AJ174)/'Com-Ind Equations'!$B$108^2)/('Com-Ind Equations'!$B$110*'Chemical Info'!AL174*'Com-Ind Equations'!$B$113+'Com-Ind Equations'!$B$106+'Com-Ind Equations'!$B$103*'Chemical Info'!AN174*41)</f>
        <v>1.994507186401664E-6</v>
      </c>
      <c r="E173" s="65">
        <f>IF(D173=0,"NA",1/(('Com-Ind Equations'!$B$74*(3.14*D173*'Com-Ind Equations'!$B$76)^(1/2)*0.0001)/(2*'Com-Ind Equations'!$B$77*D173)))</f>
        <v>8.28984454573881E-6</v>
      </c>
      <c r="F173" s="65">
        <f>IF(D173=0,"NA",(1/('Com-Ind Equations'!$B$88*('Com-Ind Equations'!$B$89*(31500000))/('Com-Ind Equations'!$B$90*'Com-Ind Equations'!$B$91*1000000))))</f>
        <v>6.1914410640015851E-5</v>
      </c>
      <c r="G173" s="120"/>
      <c r="H173" s="112" t="str">
        <f>IF('Chemical Info'!H174="NA","NA",IF('Chemical Info'!E174="Yes",'Chemical Info'!H174*'Chemical Info'!AD174*'Com-Ind Equations'!$B$18*'Com-Ind Equations'!$B$22*(('Com-Ind Equations'!$B$24*'Com-Ind Equations'!$B$25)/'Com-Ind Equations'!$B$26),'Chemical Info'!H174*'Chemical Info'!AD174*'Com-Ind Equations'!$B$17*'Com-Ind Equations'!$B$22*('Com-Ind Equations'!$B$24*'Com-Ind Equations'!$B$25/'Com-Ind Equations'!$B$26)))</f>
        <v>NA</v>
      </c>
      <c r="I173" s="108" t="str">
        <f>IF('Chemical Info'!H174="NA","NA",IF('Chemical Info'!E174="Yes",0,('Chemical Info'!H174/'Chemical Info'!AF174)*'Com-Ind Equations'!$B$19*'Chemical Info'!AB174*'Com-Ind Equations'!$B$22*(('Com-Ind Equations'!$B$24*'Com-Ind Equations'!$B$29*'Com-Ind Equations'!$B$30)/'Com-Ind Equations'!$B$26)))</f>
        <v>NA</v>
      </c>
      <c r="J173" s="115" t="str">
        <f>IF('Chemical Info'!J174="NA","NA",IF(E173="NA",'Com-Ind Equations'!$B$20*1000*'Com-Ind Equations'!$B$24*'Com-Ind Equations'!$B$21*'Chemical Info'!J174*'Com-Ind Calculations'!C173,IF('Chemical Info'!E174="Yes",'Com-Ind Equations'!$B$20*1000*'Com-Ind Equations'!$B$24*'Com-Ind Equations'!$B$21*'Chemical Info'!J174*'Com-Ind Calculations'!E173,'Com-Ind Equations'!$B$20*1000*'Com-Ind Equations'!$B$24*'Com-Ind Equations'!$B$21*'Chemical Info'!J174*('Com-Ind Calculations'!C173+'Com-Ind Calculations'!E173))))</f>
        <v>NA</v>
      </c>
      <c r="K173" s="117" t="str">
        <f>IF('Chemical Info'!J174="NA","NA",IF(F173="NA",'Com-Ind Equations'!$B$20*1000*'Com-Ind Equations'!$B$24*'Com-Ind Equations'!$B$21*'Chemical Info'!J174*'Com-Ind Calculations'!C173,IF('Chemical Info'!E174="Yes",'Com-Ind Equations'!$B$20*1000*'Com-Ind Equations'!$B$24*'Com-Ind Equations'!$B$21*'Chemical Info'!J174*'Com-Ind Calculations'!F173,'Com-Ind Equations'!$B$20*1000*'Com-Ind Equations'!$B$24*'Com-Ind Equations'!$B$21*'Chemical Info'!J174*('Com-Ind Calculations'!C173+'Com-Ind Calculations'!F173))))</f>
        <v>NA</v>
      </c>
      <c r="L173" s="95" t="str">
        <f>IF(AND(H173="NA",I173="NA",J173="NA"),"NA",IF(H173="NA",'Com-Ind Equations'!$B$13*'Com-Ind Equations'!$B$14/J173,IF(J173="NA",'Com-Ind Equations'!$B$13*'Com-Ind Equations'!$B$14/(H173+I173),'Com-Ind Equations'!$B$13*'Com-Ind Equations'!$B$14/(H173+I173+J173))))</f>
        <v>NA</v>
      </c>
      <c r="M173" s="95" t="str">
        <f>IF(AND(H173="NA",I173="NA",K173="NA"),"NA",IF(H173="NA",'Com-Ind Equations'!$B$13*'Com-Ind Equations'!$B$14/K173,IF(K173="NA",'Com-Ind Equations'!$B$13*'Com-Ind Equations'!$B$14/(H173+I173),'Com-Ind Equations'!$B$13*'Com-Ind Equations'!$B$14/(H173+I173+K173))))</f>
        <v>NA</v>
      </c>
      <c r="N173" s="95" t="str">
        <f t="shared" ref="N173" si="215">IF(AND(L173="NA",M173="NA"),"NA",MAX(L173,M173))</f>
        <v>NA</v>
      </c>
      <c r="O173" s="94">
        <f>IF('Chemical Info'!L174="NA","NA",IF('Chemical Info'!E174="Yes",(('Com-Ind Equations'!$B$46*'Chemical Info'!AD174*'Com-Ind Equations'!$B$48*'Com-Ind Equations'!$B$49*'Com-Ind Equations'!$B$51)/('Com-Ind Equations'!$B$55*'Com-Ind Equations'!$B$56))/'Chemical Info'!L174,(('Com-Ind Equations'!$B$46*'Chemical Info'!AD174*'Com-Ind Equations'!$B$48*'Com-Ind Equations'!$B$49*'Com-Ind Equations'!$B$50)/('Com-Ind Equations'!$B$55*'Com-Ind Equations'!$B$56))/'Chemical Info'!L174))</f>
        <v>7.7054794520547943E-6</v>
      </c>
      <c r="P173" s="90">
        <f>IF('Chemical Info'!L174="NA","NA", IF('Chemical Info'!E174="Yes",0,((('Com-Ind Equations'!$B$58*'Com-Ind Equations'!$B$59*'Com-Ind Equations'!$B$48*'Com-Ind Equations'!$B$52*'Com-Ind Equations'!$B$49*'Chemical Info'!AB174)/('Com-Ind Equations'!$B$55*'Com-Ind Equations'!$B$56))/('Chemical Info'!L174*'Chemical Info'!AF174))))</f>
        <v>0</v>
      </c>
      <c r="Q173" s="90" t="str">
        <f>IF('Chemical Info'!N174="NA","NA",IF('Com-Ind Calculations'!E173="NA",(('Com-Ind Equations'!$B$53*'Com-Ind Equations'!$B$49*'Com-Ind Equations'!$B$54*'Com-Ind Calculations'!C173)/('Com-Ind Equations'!$B$56))/('Chemical Info'!N174),IF('Chemical Info'!E174="Yes",(('Com-Ind Equations'!$B$53*'Com-Ind Equations'!$B$49*'Com-Ind Equations'!$B$54*'Com-Ind Calculations'!E173)/('Com-Ind Equations'!$B$56))/('Chemical Info'!N174),(('Com-Ind Equations'!$B$53*'Com-Ind Equations'!$B$49*'Com-Ind Equations'!$B$54*('Com-Ind Calculations'!C173+'Com-Ind Calculations'!E173))/('Com-Ind Equations'!$B$56))/('Chemical Info'!N174))))</f>
        <v>NA</v>
      </c>
      <c r="R173" s="90" t="str">
        <f>IF('Chemical Info'!N174="NA","NA",IF('Com-Ind Calculations'!F173="NA",(('Com-Ind Equations'!$B$53*'Com-Ind Equations'!$B$49*'Com-Ind Equations'!$B$54*'Com-Ind Calculations'!C173)/('Com-Ind Equations'!$B$56))/('Chemical Info'!N174),IF('Chemical Info'!E174="Yes",(('Com-Ind Equations'!$B$53*'Com-Ind Equations'!$B$49*'Com-Ind Equations'!$B$54*'Com-Ind Calculations'!F173)/('Com-Ind Equations'!$B$56))/('Chemical Info'!N174),(('Com-Ind Equations'!$B$53*'Com-Ind Equations'!$B$49*'Com-Ind Equations'!$B$54*('Com-Ind Calculations'!C173+'Com-Ind Calculations'!F173))/('Com-Ind Equations'!$B$56))/('Chemical Info'!N174))))</f>
        <v>NA</v>
      </c>
      <c r="S173" s="90">
        <f>IF(AND(O173="NA",P173="NA",Q173="NA"),"NA",IF(O173="NA",'Com-Ind Equations'!$B$45/'Com-Ind Calculations'!Q173,IF('Com-Ind Calculations'!Q173="NA",'Com-Ind Equations'!$B$45/('Com-Ind Calculations'!O173+'Com-Ind Calculations'!P173),'Com-Ind Equations'!$B$45/('Com-Ind Calculations'!O173+'Com-Ind Calculations'!P173+'Com-Ind Calculations'!Q173))))</f>
        <v>25955.555555555558</v>
      </c>
      <c r="T173" s="95">
        <f>IF(AND(O173="NA",P173="NA",R173="NA"),"NA",IF(O173="NA",'Com-Ind Equations'!$B$45/R173,IF(R173="NA",'Com-Ind Equations'!$B$45/(O173+P173),'Com-Ind Equations'!$B$45/(O173+P173+R173))))</f>
        <v>25955.555555555558</v>
      </c>
      <c r="U173" s="97">
        <f t="shared" ref="U173" si="216">IF(AND(S173="NA",T173="NA"),"NA",MAX(S173,T173))</f>
        <v>25955.555555555558</v>
      </c>
      <c r="V173" s="101">
        <f t="shared" ref="V173" si="217">IF(AND(N173="NA",U173="NA",G173="NA"),"NA",MIN(N173,U173,G173))</f>
        <v>25955.555555555558</v>
      </c>
      <c r="W173" s="105">
        <f t="shared" ref="W173" si="218">IF(V173&gt;100000,100000,IF(ISNUMBER(ROUND(V173*1000000,2-LEN(INT(V173*1000000)))/1000000),ROUND(V173*1000000,2-LEN(INT(V173*1000000)))/1000000,"NA"))</f>
        <v>26000</v>
      </c>
      <c r="X173" s="100" t="str">
        <f t="shared" ref="X173" si="219">IF(W173=100000,"Max Limit",IF(V173=G173,"Csat",IF(V173=N173,"Cancer",IF(V173=U173,"Noncancer",""))))</f>
        <v>Noncancer</v>
      </c>
      <c r="Y173" s="70"/>
    </row>
    <row r="174" spans="1:26">
      <c r="A174" s="413" t="s">
        <v>180</v>
      </c>
      <c r="B174" s="566" t="s">
        <v>37</v>
      </c>
      <c r="C174" s="85">
        <f>1/(('Com-Ind Equations'!$B$123*3600)/(0.036*(1-'Com-Ind Equations'!$B$124)*(('Com-Ind Equations'!$B$125/'Com-Ind Equations'!$B$126)^3)*'Com-Ind Equations'!$B$127))</f>
        <v>1.4713536180231943E-9</v>
      </c>
      <c r="D174" s="90">
        <f>(('Com-Ind Equations'!$B$103^(10/3)*'Chemical Info'!AH175*'Chemical Info'!AN175*41+'Com-Ind Equations'!$B$106^(10/3)*'Chemical Info'!AJ175)/'Com-Ind Equations'!$B$108^2)/('Com-Ind Equations'!$B$110*'Chemical Info'!AL175*'Com-Ind Equations'!$B$113+'Com-Ind Equations'!$B$106+'Com-Ind Equations'!$B$103*'Chemical Info'!AN175*41)</f>
        <v>1.6683560116971528E-9</v>
      </c>
      <c r="E174" s="65">
        <f>IF(D174=0,"NA",1/(('Com-Ind Equations'!$B$74*(3.14*D174*'Com-Ind Equations'!$B$76)^(1/2)*0.0001)/(2*'Com-Ind Equations'!$B$77*D174)))</f>
        <v>2.397579127579908E-7</v>
      </c>
      <c r="F174" s="65">
        <f>IF(D174=0,"NA",(1/('Com-Ind Equations'!$B$88*('Com-Ind Equations'!$B$89*(31500000))/('Com-Ind Equations'!$B$90*'Com-Ind Equations'!$B$91*1000000))))</f>
        <v>6.1914410640015851E-5</v>
      </c>
      <c r="G174" s="95" t="str">
        <f>IF('Chemical Info'!E175="Yes",('Chemical Info'!AP175/'Com-Ind Equations'!$B$139)*((('Chemical Info'!AL175*'Com-Ind Equations'!$B$141)*'Com-Ind Equations'!$B$139)+'Com-Ind Equations'!$B$142+('Chemical Info'!AN175*41)*'Com-Ind Equations'!$B$144),"NA")</f>
        <v>NA</v>
      </c>
      <c r="H174" s="112" t="str">
        <f>IF('Chemical Info'!H175="NA","NA",IF('Chemical Info'!E175="Yes",'Chemical Info'!H175*'Chemical Info'!AD175*'Com-Ind Equations'!$B$18*'Com-Ind Equations'!$B$22*(('Com-Ind Equations'!$B$24*'Com-Ind Equations'!$B$25)/'Com-Ind Equations'!$B$26),'Chemical Info'!H175*'Chemical Info'!AD175*'Com-Ind Equations'!$B$17*'Com-Ind Equations'!$B$22*('Com-Ind Equations'!$B$24*'Com-Ind Equations'!$B$25/'Com-Ind Equations'!$B$26)))</f>
        <v>NA</v>
      </c>
      <c r="I174" s="108" t="str">
        <f>IF('Chemical Info'!H175="NA","NA",IF('Chemical Info'!E175="Yes",0,('Chemical Info'!H175/'Chemical Info'!AF175)*'Com-Ind Equations'!$B$19*'Chemical Info'!AB175*'Com-Ind Equations'!$B$22*(('Com-Ind Equations'!$B$24*'Com-Ind Equations'!$B$29*'Com-Ind Equations'!$B$30)/'Com-Ind Equations'!$B$26)))</f>
        <v>NA</v>
      </c>
      <c r="J174" s="115" t="str">
        <f>IF('Chemical Info'!J175="NA","NA",IF(E174="NA",'Com-Ind Equations'!$B$20*1000*'Com-Ind Equations'!$B$24*'Com-Ind Equations'!$B$21*'Chemical Info'!J175*'Com-Ind Calculations'!C174,IF('Chemical Info'!E175="Yes",'Com-Ind Equations'!$B$20*1000*'Com-Ind Equations'!$B$24*'Com-Ind Equations'!$B$21*'Chemical Info'!J175*'Com-Ind Calculations'!E174,'Com-Ind Equations'!$B$20*1000*'Com-Ind Equations'!$B$24*'Com-Ind Equations'!$B$21*'Chemical Info'!J175*('Com-Ind Calculations'!C174+'Com-Ind Calculations'!E174))))</f>
        <v>NA</v>
      </c>
      <c r="K174" s="117" t="str">
        <f>IF('Chemical Info'!J175="NA","NA",IF(F174="NA",'Com-Ind Equations'!$B$20*1000*'Com-Ind Equations'!$B$24*'Com-Ind Equations'!$B$21*'Chemical Info'!J175*'Com-Ind Calculations'!C174,IF('Chemical Info'!E175="Yes",'Com-Ind Equations'!$B$20*1000*'Com-Ind Equations'!$B$24*'Com-Ind Equations'!$B$21*'Chemical Info'!J175*'Com-Ind Calculations'!F174,'Com-Ind Equations'!$B$20*1000*'Com-Ind Equations'!$B$24*'Com-Ind Equations'!$B$21*'Chemical Info'!J175*('Com-Ind Calculations'!C174+'Com-Ind Calculations'!F174))))</f>
        <v>NA</v>
      </c>
      <c r="L174" s="95" t="str">
        <f>IF(AND(H174="NA",I174="NA",J174="NA"),"NA",IF(H174="NA",'Com-Ind Equations'!$B$13*'Com-Ind Equations'!$B$14/J174,IF(J174="NA",'Com-Ind Equations'!$B$13*'Com-Ind Equations'!$B$14/(H174+I174),'Com-Ind Equations'!$B$13*'Com-Ind Equations'!$B$14/(H174+I174+J174))))</f>
        <v>NA</v>
      </c>
      <c r="M174" s="95" t="str">
        <f>IF(AND(H174="NA",I174="NA",K174="NA"),"NA",IF(H174="NA",'Com-Ind Equations'!$B$13*'Com-Ind Equations'!$B$14/K174,IF(K174="NA",'Com-Ind Equations'!$B$13*'Com-Ind Equations'!$B$14/(H174+I174),'Com-Ind Equations'!$B$13*'Com-Ind Equations'!$B$14/(H174+I174+K174))))</f>
        <v>NA</v>
      </c>
      <c r="N174" s="95" t="str">
        <f t="shared" si="210"/>
        <v>NA</v>
      </c>
      <c r="O174" s="94">
        <f>IF('Chemical Info'!L175="NA","NA",IF('Chemical Info'!E175="Yes",(('Com-Ind Equations'!$B$46*'Chemical Info'!AD175*'Com-Ind Equations'!$B$48*'Com-Ind Equations'!$B$49*'Com-Ind Equations'!$B$51)/('Com-Ind Equations'!$B$55*'Com-Ind Equations'!$B$56))/'Chemical Info'!L175,(('Com-Ind Equations'!$B$46*'Chemical Info'!AD175*'Com-Ind Equations'!$B$48*'Com-Ind Equations'!$B$49*'Com-Ind Equations'!$B$50)/('Com-Ind Equations'!$B$55*'Com-Ind Equations'!$B$56))/'Chemical Info'!L175))</f>
        <v>5.351027397260273E-5</v>
      </c>
      <c r="P174" s="90">
        <f>IF('Chemical Info'!L175="NA","NA", IF('Chemical Info'!E175="Yes",0,((('Com-Ind Equations'!$B$58*'Com-Ind Equations'!$B$59*'Com-Ind Equations'!$B$48*'Com-Ind Equations'!$B$52*'Com-Ind Equations'!$B$49*'Chemical Info'!AB175)/('Com-Ind Equations'!$B$55*'Com-Ind Equations'!$B$56))/('Chemical Info'!L175*'Chemical Info'!AF175))))</f>
        <v>2.1198236301369859E-5</v>
      </c>
      <c r="Q174" s="90" t="str">
        <f>IF('Chemical Info'!N175="NA","NA",IF('Com-Ind Calculations'!E174="NA",(('Com-Ind Equations'!$B$53*'Com-Ind Equations'!$B$49*'Com-Ind Equations'!$B$54*'Com-Ind Calculations'!C174)/('Com-Ind Equations'!$B$56))/('Chemical Info'!N175),IF('Chemical Info'!E175="Yes",(('Com-Ind Equations'!$B$53*'Com-Ind Equations'!$B$49*'Com-Ind Equations'!$B$54*'Com-Ind Calculations'!E174)/('Com-Ind Equations'!$B$56))/('Chemical Info'!N175),(('Com-Ind Equations'!$B$53*'Com-Ind Equations'!$B$49*'Com-Ind Equations'!$B$54*('Com-Ind Calculations'!C174+'Com-Ind Calculations'!E174))/('Com-Ind Equations'!$B$56))/('Chemical Info'!N175))))</f>
        <v>NA</v>
      </c>
      <c r="R174" s="90" t="str">
        <f>IF('Chemical Info'!N175="NA","NA",IF('Com-Ind Calculations'!F174="NA",(('Com-Ind Equations'!$B$53*'Com-Ind Equations'!$B$49*'Com-Ind Equations'!$B$54*'Com-Ind Calculations'!C174)/('Com-Ind Equations'!$B$56))/('Chemical Info'!N175),IF('Chemical Info'!E175="Yes",(('Com-Ind Equations'!$B$53*'Com-Ind Equations'!$B$49*'Com-Ind Equations'!$B$54*'Com-Ind Calculations'!F174)/('Com-Ind Equations'!$B$56))/('Chemical Info'!N175),(('Com-Ind Equations'!$B$53*'Com-Ind Equations'!$B$49*'Com-Ind Equations'!$B$54*('Com-Ind Calculations'!C174+'Com-Ind Calculations'!F174))/('Com-Ind Equations'!$B$56))/('Chemical Info'!N175))))</f>
        <v>NA</v>
      </c>
      <c r="S174" s="90">
        <f>IF(AND(O174="NA",P174="NA",Q174="NA"),"NA",IF(O174="NA",'Com-Ind Equations'!$B$45/'Com-Ind Calculations'!Q174,IF('Com-Ind Calculations'!Q174="NA",'Com-Ind Equations'!$B$45/('Com-Ind Calculations'!O174+'Com-Ind Calculations'!P174),'Com-Ind Equations'!$B$45/('Com-Ind Calculations'!O174+'Com-Ind Calculations'!P174+'Com-Ind Calculations'!Q174))))</f>
        <v>2677.0711832769239</v>
      </c>
      <c r="T174" s="95">
        <f>IF(AND(O174="NA",P174="NA",R174="NA"),"NA",IF(O174="NA",'Com-Ind Equations'!$B$45/R174,IF(R174="NA",'Com-Ind Equations'!$B$45/(O174+P174),'Com-Ind Equations'!$B$45/(O174+P174+R174))))</f>
        <v>2677.0711832769239</v>
      </c>
      <c r="U174" s="97">
        <f t="shared" si="211"/>
        <v>2677.0711832769239</v>
      </c>
      <c r="V174" s="101">
        <f t="shared" si="212"/>
        <v>2677.0711832769239</v>
      </c>
      <c r="W174" s="105">
        <f t="shared" si="213"/>
        <v>2700</v>
      </c>
      <c r="X174" s="100" t="str">
        <f t="shared" si="214"/>
        <v>Noncancer</v>
      </c>
      <c r="Y174" s="70"/>
    </row>
    <row r="175" spans="1:26" ht="12">
      <c r="A175" s="413" t="s">
        <v>433</v>
      </c>
      <c r="B175" s="566" t="s">
        <v>121</v>
      </c>
      <c r="C175" s="85">
        <f>1/(('Com-Ind Equations'!$B$123*3600)/(0.036*(1-'Com-Ind Equations'!$B$124)*(('Com-Ind Equations'!$B$125/'Com-Ind Equations'!$B$126)^3)*'Com-Ind Equations'!$B$127))</f>
        <v>1.4713536180231943E-9</v>
      </c>
      <c r="D175" s="90">
        <f>(('Com-Ind Equations'!$B$103^(10/3)*'Chemical Info'!AH176*'Chemical Info'!AN176*41+'Com-Ind Equations'!$B$106^(10/3)*'Chemical Info'!AJ176)/'Com-Ind Equations'!$B$108^2)/('Com-Ind Equations'!$B$110*'Chemical Info'!AL176*'Com-Ind Equations'!$B$113+'Com-Ind Equations'!$B$106+'Com-Ind Equations'!$B$103*'Chemical Info'!AN176*41)</f>
        <v>1.610548033558678E-7</v>
      </c>
      <c r="E175" s="65">
        <f>IF(D175=0,"NA",1/(('Com-Ind Equations'!$B$74*(3.14*D175*'Com-Ind Equations'!$B$76)^(1/2)*0.0001)/(2*'Com-Ind Equations'!$B$77*D175)))</f>
        <v>2.3556752812940815E-6</v>
      </c>
      <c r="F175" s="65">
        <f>IF(D175=0,"NA",(1/('Com-Ind Equations'!$B$88*('Com-Ind Equations'!$B$89*(31500000))/('Com-Ind Equations'!$B$90*'Com-Ind Equations'!$B$91*1000000))))</f>
        <v>6.1914410640015851E-5</v>
      </c>
      <c r="G175" s="120"/>
      <c r="H175" s="112" t="str">
        <f>IF('Chemical Info'!H176="NA","NA",IF('Chemical Info'!E176="Yes",'Chemical Info'!H176*'Chemical Info'!AD176*'Com-Ind Equations'!$B$18*'Com-Ind Equations'!$B$22*(('Com-Ind Equations'!$B$24*'Com-Ind Equations'!$B$25)/'Com-Ind Equations'!$B$26),'Chemical Info'!H176*'Chemical Info'!AD176*'Com-Ind Equations'!$B$17*'Com-Ind Equations'!$B$22*('Com-Ind Equations'!$B$24*'Com-Ind Equations'!$B$25/'Com-Ind Equations'!$B$26)))</f>
        <v>NA</v>
      </c>
      <c r="I175" s="108" t="str">
        <f>IF('Chemical Info'!H176="NA","NA",IF('Chemical Info'!E176="Yes",0,('Chemical Info'!H176/'Chemical Info'!AF176)*'Com-Ind Equations'!$B$19*'Chemical Info'!AB176*'Com-Ind Equations'!$B$22*(('Com-Ind Equations'!$B$24*'Com-Ind Equations'!$B$29*'Com-Ind Equations'!$B$30)/'Com-Ind Equations'!$B$26)))</f>
        <v>NA</v>
      </c>
      <c r="J175" s="115" t="str">
        <f>IF('Chemical Info'!J176="NA","NA",IF(E175="NA",'Com-Ind Equations'!$B$20*1000*'Com-Ind Equations'!$B$24*'Com-Ind Equations'!$B$21*'Chemical Info'!J176*'Com-Ind Calculations'!C175,IF('Chemical Info'!E176="Yes",'Com-Ind Equations'!$B$20*1000*'Com-Ind Equations'!$B$24*'Com-Ind Equations'!$B$21*'Chemical Info'!J176*'Com-Ind Calculations'!E175,'Com-Ind Equations'!$B$20*1000*'Com-Ind Equations'!$B$24*'Com-Ind Equations'!$B$21*'Chemical Info'!J176*('Com-Ind Calculations'!C175+'Com-Ind Calculations'!E175))))</f>
        <v>NA</v>
      </c>
      <c r="K175" s="117" t="str">
        <f>IF('Chemical Info'!J176="NA","NA",IF(F175="NA",'Com-Ind Equations'!$B$20*1000*'Com-Ind Equations'!$B$24*'Com-Ind Equations'!$B$21*'Chemical Info'!J176*'Com-Ind Calculations'!C175,IF('Chemical Info'!E176="Yes",'Com-Ind Equations'!$B$20*1000*'Com-Ind Equations'!$B$24*'Com-Ind Equations'!$B$21*'Chemical Info'!J176*'Com-Ind Calculations'!F175,'Com-Ind Equations'!$B$20*1000*'Com-Ind Equations'!$B$24*'Com-Ind Equations'!$B$21*'Chemical Info'!J176*('Com-Ind Calculations'!C175+'Com-Ind Calculations'!F175))))</f>
        <v>NA</v>
      </c>
      <c r="L175" s="95" t="str">
        <f>IF(AND(H175="NA",I175="NA",J175="NA"),"NA",IF(H175="NA",'Com-Ind Equations'!$B$13*'Com-Ind Equations'!$B$14/J175,IF(J175="NA",'Com-Ind Equations'!$B$13*'Com-Ind Equations'!$B$14/(H175+I175),'Com-Ind Equations'!$B$13*'Com-Ind Equations'!$B$14/(H175+I175+J175))))</f>
        <v>NA</v>
      </c>
      <c r="M175" s="95" t="str">
        <f>IF(AND(H175="NA",I175="NA",K175="NA"),"NA",IF(H175="NA",'Com-Ind Equations'!$B$13*'Com-Ind Equations'!$B$14/K175,IF(K175="NA",'Com-Ind Equations'!$B$13*'Com-Ind Equations'!$B$14/(H175+I175),'Com-Ind Equations'!$B$13*'Com-Ind Equations'!$B$14/(H175+I175+K175))))</f>
        <v>NA</v>
      </c>
      <c r="N175" s="95" t="str">
        <f t="shared" si="210"/>
        <v>NA</v>
      </c>
      <c r="O175" s="94">
        <f>IF('Chemical Info'!L176="NA","NA",IF('Chemical Info'!E176="Yes",(('Com-Ind Equations'!$B$46*'Chemical Info'!AD176*'Com-Ind Equations'!$B$48*'Com-Ind Equations'!$B$49*'Com-Ind Equations'!$B$51)/('Com-Ind Equations'!$B$55*'Com-Ind Equations'!$B$56))/'Chemical Info'!L176,(('Com-Ind Equations'!$B$46*'Chemical Info'!AD176*'Com-Ind Equations'!$B$48*'Com-Ind Equations'!$B$49*'Com-Ind Equations'!$B$50)/('Com-Ind Equations'!$B$55*'Com-Ind Equations'!$B$56))/'Chemical Info'!L176))</f>
        <v>3.4246575342465751E-5</v>
      </c>
      <c r="P175" s="90">
        <f>IF('Chemical Info'!L176="NA","NA", IF('Chemical Info'!E176="Yes",0,((('Com-Ind Equations'!$B$58*'Com-Ind Equations'!$B$59*'Com-Ind Equations'!$B$48*'Com-Ind Equations'!$B$52*'Com-Ind Equations'!$B$49*'Chemical Info'!AB176)/('Com-Ind Equations'!$B$55*'Com-Ind Equations'!$B$56))/('Chemical Info'!L176*'Chemical Info'!AF176))))</f>
        <v>0</v>
      </c>
      <c r="Q175" s="90" t="str">
        <f>IF('Chemical Info'!N176="NA","NA",IF('Com-Ind Calculations'!E175="NA",(('Com-Ind Equations'!$B$53*'Com-Ind Equations'!$B$49*'Com-Ind Equations'!$B$54*'Com-Ind Calculations'!C175)/('Com-Ind Equations'!$B$56))/('Chemical Info'!N176),IF('Chemical Info'!E176="Yes",(('Com-Ind Equations'!$B$53*'Com-Ind Equations'!$B$49*'Com-Ind Equations'!$B$54*'Com-Ind Calculations'!E175)/('Com-Ind Equations'!$B$56))/('Chemical Info'!N176),(('Com-Ind Equations'!$B$53*'Com-Ind Equations'!$B$49*'Com-Ind Equations'!$B$54*('Com-Ind Calculations'!C175+'Com-Ind Calculations'!E175))/('Com-Ind Equations'!$B$56))/('Chemical Info'!N176))))</f>
        <v>NA</v>
      </c>
      <c r="R175" s="90" t="str">
        <f>IF('Chemical Info'!N176="NA","NA",IF('Com-Ind Calculations'!F175="NA",(('Com-Ind Equations'!$B$53*'Com-Ind Equations'!$B$49*'Com-Ind Equations'!$B$54*'Com-Ind Calculations'!C175)/('Com-Ind Equations'!$B$56))/('Chemical Info'!N176),IF('Chemical Info'!E176="Yes",(('Com-Ind Equations'!$B$53*'Com-Ind Equations'!$B$49*'Com-Ind Equations'!$B$54*'Com-Ind Calculations'!F175)/('Com-Ind Equations'!$B$56))/('Chemical Info'!N176),(('Com-Ind Equations'!$B$53*'Com-Ind Equations'!$B$49*'Com-Ind Equations'!$B$54*('Com-Ind Calculations'!C175+'Com-Ind Calculations'!F175))/('Com-Ind Equations'!$B$56))/('Chemical Info'!N176))))</f>
        <v>NA</v>
      </c>
      <c r="S175" s="90">
        <f>IF(AND(O175="NA",P175="NA",Q175="NA"),"NA",IF(O175="NA",'Com-Ind Equations'!$B$45/'Com-Ind Calculations'!Q175,IF('Com-Ind Calculations'!Q175="NA",'Com-Ind Equations'!$B$45/('Com-Ind Calculations'!O175+'Com-Ind Calculations'!P175),'Com-Ind Equations'!$B$45/('Com-Ind Calculations'!O175+'Com-Ind Calculations'!P175+'Com-Ind Calculations'!Q175))))</f>
        <v>5840.0000000000009</v>
      </c>
      <c r="T175" s="95">
        <f>IF(AND(O175="NA",P175="NA",R175="NA"),"NA",IF(O175="NA",'Com-Ind Equations'!$B$45/R175,IF(R175="NA",'Com-Ind Equations'!$B$45/(O175+P175),'Com-Ind Equations'!$B$45/(O175+P175+R175))))</f>
        <v>5840.0000000000009</v>
      </c>
      <c r="U175" s="97">
        <f t="shared" si="211"/>
        <v>5840.0000000000009</v>
      </c>
      <c r="V175" s="101">
        <f t="shared" si="212"/>
        <v>5840.0000000000009</v>
      </c>
      <c r="W175" s="105">
        <f t="shared" si="213"/>
        <v>5800</v>
      </c>
      <c r="X175" s="100" t="str">
        <f t="shared" si="214"/>
        <v>Noncancer</v>
      </c>
      <c r="Y175" s="70"/>
    </row>
    <row r="176" spans="1:26">
      <c r="A176" s="413" t="s">
        <v>1115</v>
      </c>
      <c r="B176" s="566" t="s">
        <v>1109</v>
      </c>
      <c r="C176" s="85">
        <f>1/(('Com-Ind Equations'!$B$123*3600)/(0.036*(1-'Com-Ind Equations'!$B$124)*(('Com-Ind Equations'!$B$125/'Com-Ind Equations'!$B$126)^3)*'Com-Ind Equations'!$B$127))</f>
        <v>1.4713536180231943E-9</v>
      </c>
      <c r="D176" s="90">
        <f>(('Com-Ind Equations'!$B$103^(10/3)*'Chemical Info'!AH177*'Chemical Info'!AN177*41+'Com-Ind Equations'!$B$106^(10/3)*'Chemical Info'!AJ177)/'Com-Ind Equations'!$B$108^2)/('Com-Ind Equations'!$B$110*'Chemical Info'!AL177*'Com-Ind Equations'!$B$113+'Com-Ind Equations'!$B$106+'Com-Ind Equations'!$B$103*'Chemical Info'!AN177*41)</f>
        <v>3.7053119522854752E-6</v>
      </c>
      <c r="E176" s="65">
        <f>IF(D176=0,"NA",1/(('Com-Ind Equations'!$B$74*(3.14*D176*'Com-Ind Equations'!$B$76)^(1/2)*0.0001)/(2*'Com-Ind Equations'!$B$77*D176)))</f>
        <v>1.1299025077198738E-5</v>
      </c>
      <c r="F176" s="65">
        <f>IF(D176=0,"NA",(1/('Com-Ind Equations'!$B$88*('Com-Ind Equations'!$B$89*(31500000))/('Com-Ind Equations'!$B$90*'Com-Ind Equations'!$B$91*1000000))))</f>
        <v>6.1914410640015851E-5</v>
      </c>
      <c r="G176" s="95">
        <f>IF('Chemical Info'!E177="Yes",('Chemical Info'!AP177/'Com-Ind Equations'!$B$139)*((('Chemical Info'!AL177*'Com-Ind Equations'!$B$141)*'Com-Ind Equations'!$B$139)+'Com-Ind Equations'!$B$142+('Chemical Info'!AN177*41)*'Com-Ind Equations'!$B$144),"NA")</f>
        <v>394.01589238399998</v>
      </c>
      <c r="H176" s="112">
        <f>IF('Chemical Info'!H177="NA","NA",IF('Chemical Info'!E177="Yes",'Chemical Info'!H177*'Chemical Info'!AD177*'Com-Ind Equations'!$B$18*'Com-Ind Equations'!$B$22*(('Com-Ind Equations'!$B$24*'Com-Ind Equations'!$B$25)/'Com-Ind Equations'!$B$26),'Chemical Info'!H177*'Chemical Info'!AD177*'Com-Ind Equations'!$B$17*'Com-Ind Equations'!$B$22*('Com-Ind Equations'!$B$24*'Com-Ind Equations'!$B$25/'Com-Ind Equations'!$B$26)))</f>
        <v>2.8687499999999997E-4</v>
      </c>
      <c r="I176" s="108">
        <f>IF('Chemical Info'!H177="NA","NA",IF('Chemical Info'!E177="Yes",0,('Chemical Info'!H177/'Chemical Info'!AF177)*'Com-Ind Equations'!$B$19*'Chemical Info'!AB177*'Com-Ind Equations'!$B$22*(('Com-Ind Equations'!$B$24*'Com-Ind Equations'!$B$29*'Com-Ind Equations'!$B$30)/'Com-Ind Equations'!$B$26)))</f>
        <v>0</v>
      </c>
      <c r="J176" s="115" t="str">
        <f>IF('Chemical Info'!J177="NA","NA",IF(E176="NA",'Com-Ind Equations'!$B$20*1000*'Com-Ind Equations'!$B$24*'Com-Ind Equations'!$B$21*'Chemical Info'!J177*'Com-Ind Calculations'!C176,IF('Chemical Info'!E177="Yes",'Com-Ind Equations'!$B$20*1000*'Com-Ind Equations'!$B$24*'Com-Ind Equations'!$B$21*'Chemical Info'!J177*'Com-Ind Calculations'!E176,'Com-Ind Equations'!$B$20*1000*'Com-Ind Equations'!$B$24*'Com-Ind Equations'!$B$21*'Chemical Info'!J177*('Com-Ind Calculations'!C176+'Com-Ind Calculations'!E176))))</f>
        <v>NA</v>
      </c>
      <c r="K176" s="117" t="str">
        <f>IF('Chemical Info'!J177="NA","NA",IF(F176="NA",'Com-Ind Equations'!$B$20*1000*'Com-Ind Equations'!$B$24*'Com-Ind Equations'!$B$21*'Chemical Info'!J177*'Com-Ind Calculations'!C176,IF('Chemical Info'!E177="Yes",'Com-Ind Equations'!$B$20*1000*'Com-Ind Equations'!$B$24*'Com-Ind Equations'!$B$21*'Chemical Info'!J177*'Com-Ind Calculations'!F176,'Com-Ind Equations'!$B$20*1000*'Com-Ind Equations'!$B$24*'Com-Ind Equations'!$B$21*'Chemical Info'!J177*('Com-Ind Calculations'!C176+'Com-Ind Calculations'!F176))))</f>
        <v>NA</v>
      </c>
      <c r="L176" s="95">
        <f>IF(AND(H176="NA",I176="NA",J176="NA"),"NA",IF(H176="NA",'Com-Ind Equations'!$B$13*'Com-Ind Equations'!$B$14/J176,IF(J176="NA",'Com-Ind Equations'!$B$13*'Com-Ind Equations'!$B$14/(H176+I176),'Com-Ind Equations'!$B$13*'Com-Ind Equations'!$B$14/(H176+I176+J176))))</f>
        <v>890.6318082788672</v>
      </c>
      <c r="M176" s="95">
        <f>IF(AND(H176="NA",I176="NA",K176="NA"),"NA",IF(H176="NA",'Com-Ind Equations'!$B$13*'Com-Ind Equations'!$B$14/K176,IF(K176="NA",'Com-Ind Equations'!$B$13*'Com-Ind Equations'!$B$14/(H176+I176),'Com-Ind Equations'!$B$13*'Com-Ind Equations'!$B$14/(H176+I176+K176))))</f>
        <v>890.6318082788672</v>
      </c>
      <c r="N176" s="95">
        <f t="shared" ref="N176" si="220">IF(AND(L176="NA",M176="NA"),"NA",MAX(L176,M176))</f>
        <v>890.6318082788672</v>
      </c>
      <c r="O176" s="94">
        <f>IF('Chemical Info'!L177="NA","NA",IF('Chemical Info'!E177="Yes",(('Com-Ind Equations'!$B$46*'Chemical Info'!AD177*'Com-Ind Equations'!$B$48*'Com-Ind Equations'!$B$49*'Com-Ind Equations'!$B$51)/('Com-Ind Equations'!$B$55*'Com-Ind Equations'!$B$56))/'Chemical Info'!L177,(('Com-Ind Equations'!$B$46*'Chemical Info'!AD177*'Com-Ind Equations'!$B$48*'Com-Ind Equations'!$B$49*'Com-Ind Equations'!$B$50)/('Com-Ind Equations'!$B$55*'Com-Ind Equations'!$B$56))/'Chemical Info'!L177))</f>
        <v>6.1643835616438354E-5</v>
      </c>
      <c r="P176" s="90">
        <f>IF('Chemical Info'!L177="NA","NA", IF('Chemical Info'!E177="Yes",0,((('Com-Ind Equations'!$B$58*'Com-Ind Equations'!$B$59*'Com-Ind Equations'!$B$48*'Com-Ind Equations'!$B$52*'Com-Ind Equations'!$B$49*'Chemical Info'!AB177)/('Com-Ind Equations'!$B$55*'Com-Ind Equations'!$B$56))/('Chemical Info'!L177*'Chemical Info'!AF177))))</f>
        <v>0</v>
      </c>
      <c r="Q176" s="90">
        <f>IF('Chemical Info'!N177="NA","NA",IF('Com-Ind Calculations'!E176="NA",(('Com-Ind Equations'!$B$53*'Com-Ind Equations'!$B$49*'Com-Ind Equations'!$B$54*'Com-Ind Calculations'!C176)/('Com-Ind Equations'!$B$56))/('Chemical Info'!N177),IF('Chemical Info'!E177="Yes",(('Com-Ind Equations'!$B$53*'Com-Ind Equations'!$B$49*'Com-Ind Equations'!$B$54*'Com-Ind Calculations'!E176)/('Com-Ind Equations'!$B$56))/('Chemical Info'!N177),(('Com-Ind Equations'!$B$53*'Com-Ind Equations'!$B$49*'Com-Ind Equations'!$B$54*('Com-Ind Calculations'!C176+'Com-Ind Calculations'!E176))/('Com-Ind Equations'!$B$56))/('Chemical Info'!N177))))</f>
        <v>0.77390582720539303</v>
      </c>
      <c r="R176" s="90">
        <f>IF('Chemical Info'!N177="NA","NA",IF('Com-Ind Calculations'!F176="NA",(('Com-Ind Equations'!$B$53*'Com-Ind Equations'!$B$49*'Com-Ind Equations'!$B$54*'Com-Ind Calculations'!C176)/('Com-Ind Equations'!$B$56))/('Chemical Info'!N177),IF('Chemical Info'!E177="Yes",(('Com-Ind Equations'!$B$53*'Com-Ind Equations'!$B$49*'Com-Ind Equations'!$B$54*'Com-Ind Calculations'!F176)/('Com-Ind Equations'!$B$56))/('Chemical Info'!N177),(('Com-Ind Equations'!$B$53*'Com-Ind Equations'!$B$49*'Com-Ind Equations'!$B$54*('Com-Ind Calculations'!C176+'Com-Ind Calculations'!F176))/('Com-Ind Equations'!$B$56))/('Chemical Info'!N177))))</f>
        <v>4.2407130575353325</v>
      </c>
      <c r="S176" s="90">
        <f>IF(AND(O176="NA",P176="NA",Q176="NA"),"NA",IF(O176="NA",'Com-Ind Equations'!$B$45/'Com-Ind Calculations'!Q176,IF('Com-Ind Calculations'!Q176="NA",'Com-Ind Equations'!$B$45/('Com-Ind Calculations'!O176+'Com-Ind Calculations'!P176),'Com-Ind Equations'!$B$45/('Com-Ind Calculations'!O176+'Com-Ind Calculations'!P176+'Com-Ind Calculations'!Q176))))</f>
        <v>0.2584087929832426</v>
      </c>
      <c r="T176" s="95">
        <f>IF(AND(O176="NA",P176="NA",R176="NA"),"NA",IF(O176="NA",'Com-Ind Equations'!$B$45/R176,IF(R176="NA",'Com-Ind Equations'!$B$45/(O176+P176),'Com-Ind Equations'!$B$45/(O176+P176+R176))))</f>
        <v>4.7161194376901097E-2</v>
      </c>
      <c r="U176" s="97">
        <f t="shared" ref="U176" si="221">IF(AND(S176="NA",T176="NA"),"NA",MAX(S176,T176))</f>
        <v>0.2584087929832426</v>
      </c>
      <c r="V176" s="101">
        <f t="shared" ref="V176" si="222">IF(AND(N176="NA",U176="NA",G176="NA"),"NA",MIN(N176,U176,G176))</f>
        <v>0.2584087929832426</v>
      </c>
      <c r="W176" s="105">
        <f t="shared" ref="W176" si="223">IF(V176&gt;100000,100000,IF(ISNUMBER(ROUND(V176*1000000,2-LEN(INT(V176*1000000)))/1000000),ROUND(V176*1000000,2-LEN(INT(V176*1000000)))/1000000,"NA"))</f>
        <v>0.26</v>
      </c>
      <c r="X176" s="100" t="str">
        <f t="shared" ref="X176" si="224">IF(W176=100000,"Max Limit",IF(V176=G176,"Csat",IF(V176=N176,"Cancer",IF(V176=U176,"Noncancer",""))))</f>
        <v>Noncancer</v>
      </c>
      <c r="Y176" s="70"/>
    </row>
    <row r="177" spans="1:25" ht="12">
      <c r="A177" s="424" t="s">
        <v>1032</v>
      </c>
      <c r="B177" s="566" t="s">
        <v>35</v>
      </c>
      <c r="C177" s="85">
        <f>1/(('Com-Ind Equations'!$B$123*3600)/(0.036*(1-'Com-Ind Equations'!$B$124)*(('Com-Ind Equations'!$B$125/'Com-Ind Equations'!$B$126)^3)*'Com-Ind Equations'!$B$127))</f>
        <v>1.4713536180231943E-9</v>
      </c>
      <c r="D177" s="90">
        <f>(('Com-Ind Equations'!$B$103^(10/3)*'Chemical Info'!AH178*'Chemical Info'!AN178*41+'Com-Ind Equations'!$B$106^(10/3)*'Chemical Info'!AJ178)/'Com-Ind Equations'!$B$108^2)/('Com-Ind Equations'!$B$110*'Chemical Info'!AL178*'Com-Ind Equations'!$B$113+'Com-Ind Equations'!$B$106+'Com-Ind Equations'!$B$103*'Chemical Info'!AN178*41)</f>
        <v>3.7844906568438794E-6</v>
      </c>
      <c r="E177" s="65">
        <f>IF(D177=0,"NA",1/(('Com-Ind Equations'!$B$74*(3.14*D177*'Com-Ind Equations'!$B$76)^(1/2)*0.0001)/(2*'Com-Ind Equations'!$B$77*D177)))</f>
        <v>1.1419111209968259E-5</v>
      </c>
      <c r="F177" s="65">
        <f>IF(D177=0,"NA",(1/('Com-Ind Equations'!$B$88*('Com-Ind Equations'!$B$89*(31500000))/('Com-Ind Equations'!$B$90*'Com-Ind Equations'!$B$91*1000000))))</f>
        <v>6.1914410640015851E-5</v>
      </c>
      <c r="G177" s="120"/>
      <c r="H177" s="112" t="str">
        <f>IF('Chemical Info'!H178="NA","NA",IF('Chemical Info'!E178="Yes",'Chemical Info'!H178*'Chemical Info'!AD178*'Com-Ind Equations'!$B$18*'Com-Ind Equations'!$B$22*(('Com-Ind Equations'!$B$24*'Com-Ind Equations'!$B$25)/'Com-Ind Equations'!$B$26),'Chemical Info'!H178*'Chemical Info'!AD178*'Com-Ind Equations'!$B$17*'Com-Ind Equations'!$B$22*('Com-Ind Equations'!$B$24*'Com-Ind Equations'!$B$25/'Com-Ind Equations'!$B$26)))</f>
        <v>NA</v>
      </c>
      <c r="I177" s="108" t="str">
        <f>IF('Chemical Info'!H178="NA","NA",IF('Chemical Info'!E178="Yes",0,('Chemical Info'!H178/'Chemical Info'!AF178)*'Com-Ind Equations'!$B$19*'Chemical Info'!AB178*'Com-Ind Equations'!$B$22*(('Com-Ind Equations'!$B$24*'Com-Ind Equations'!$B$29*'Com-Ind Equations'!$B$30)/'Com-Ind Equations'!$B$26)))</f>
        <v>NA</v>
      </c>
      <c r="J177" s="115" t="str">
        <f>IF('Chemical Info'!J178="NA","NA",IF(E177="NA",'Com-Ind Equations'!$B$20*1000*'Com-Ind Equations'!$B$24*'Com-Ind Equations'!$B$21*'Chemical Info'!J178*'Com-Ind Calculations'!C177,IF('Chemical Info'!E178="Yes",'Com-Ind Equations'!$B$20*1000*'Com-Ind Equations'!$B$24*'Com-Ind Equations'!$B$21*'Chemical Info'!J178*'Com-Ind Calculations'!E177,'Com-Ind Equations'!$B$20*1000*'Com-Ind Equations'!$B$24*'Com-Ind Equations'!$B$21*'Chemical Info'!J178*('Com-Ind Calculations'!C177+'Com-Ind Calculations'!E177))))</f>
        <v>NA</v>
      </c>
      <c r="K177" s="117" t="str">
        <f>IF('Chemical Info'!J178="NA","NA",IF(F177="NA",'Com-Ind Equations'!$B$20*1000*'Com-Ind Equations'!$B$24*'Com-Ind Equations'!$B$21*'Chemical Info'!J178*'Com-Ind Calculations'!C177,IF('Chemical Info'!E178="Yes",'Com-Ind Equations'!$B$20*1000*'Com-Ind Equations'!$B$24*'Com-Ind Equations'!$B$21*'Chemical Info'!J178*'Com-Ind Calculations'!F177,'Com-Ind Equations'!$B$20*1000*'Com-Ind Equations'!$B$24*'Com-Ind Equations'!$B$21*'Chemical Info'!J178*('Com-Ind Calculations'!C177+'Com-Ind Calculations'!F177))))</f>
        <v>NA</v>
      </c>
      <c r="L177" s="95" t="str">
        <f>IF(AND(H177="NA",I177="NA",J177="NA"),"NA",IF(H177="NA",'Com-Ind Equations'!$B$13*'Com-Ind Equations'!$B$14/J177,IF(J177="NA",'Com-Ind Equations'!$B$13*'Com-Ind Equations'!$B$14/(H177+I177),'Com-Ind Equations'!$B$13*'Com-Ind Equations'!$B$14/(H177+I177+J177))))</f>
        <v>NA</v>
      </c>
      <c r="M177" s="95" t="str">
        <f>IF(AND(H177="NA",I177="NA",K177="NA"),"NA",IF(H177="NA",'Com-Ind Equations'!$B$13*'Com-Ind Equations'!$B$14/K177,IF(K177="NA",'Com-Ind Equations'!$B$13*'Com-Ind Equations'!$B$14/(H177+I177),'Com-Ind Equations'!$B$13*'Com-Ind Equations'!$B$14/(H177+I177+K177))))</f>
        <v>NA</v>
      </c>
      <c r="N177" s="95" t="str">
        <f t="shared" si="210"/>
        <v>NA</v>
      </c>
      <c r="O177" s="94">
        <f>IF('Chemical Info'!L178="NA","NA",IF('Chemical Info'!E178="Yes",(('Com-Ind Equations'!$B$46*'Chemical Info'!AD178*'Com-Ind Equations'!$B$48*'Com-Ind Equations'!$B$49*'Com-Ind Equations'!$B$51)/('Com-Ind Equations'!$B$55*'Com-Ind Equations'!$B$56))/'Chemical Info'!L178,(('Com-Ind Equations'!$B$46*'Chemical Info'!AD178*'Com-Ind Equations'!$B$48*'Com-Ind Equations'!$B$49*'Com-Ind Equations'!$B$50)/('Com-Ind Equations'!$B$55*'Com-Ind Equations'!$B$56))/'Chemical Info'!L178))</f>
        <v>3.4246575342465754E-4</v>
      </c>
      <c r="P177" s="90">
        <f>IF('Chemical Info'!L178="NA","NA", IF('Chemical Info'!E178="Yes",0,((('Com-Ind Equations'!$B$58*'Com-Ind Equations'!$B$59*'Com-Ind Equations'!$B$48*'Com-Ind Equations'!$B$52*'Com-Ind Equations'!$B$49*'Chemical Info'!AB178)/('Com-Ind Equations'!$B$55*'Com-Ind Equations'!$B$56))/('Chemical Info'!L178*'Chemical Info'!AF178))))</f>
        <v>0</v>
      </c>
      <c r="Q177" s="90" t="str">
        <f>IF('Chemical Info'!N178="NA","NA",IF('Com-Ind Calculations'!E177="NA",(('Com-Ind Equations'!$B$53*'Com-Ind Equations'!$B$49*'Com-Ind Equations'!$B$54*'Com-Ind Calculations'!C177)/('Com-Ind Equations'!$B$56))/('Chemical Info'!N178),IF('Chemical Info'!E178="Yes",(('Com-Ind Equations'!$B$53*'Com-Ind Equations'!$B$49*'Com-Ind Equations'!$B$54*'Com-Ind Calculations'!E177)/('Com-Ind Equations'!$B$56))/('Chemical Info'!N178),(('Com-Ind Equations'!$B$53*'Com-Ind Equations'!$B$49*'Com-Ind Equations'!$B$54*('Com-Ind Calculations'!C177+'Com-Ind Calculations'!E177))/('Com-Ind Equations'!$B$56))/('Chemical Info'!N178))))</f>
        <v>NA</v>
      </c>
      <c r="R177" s="90" t="str">
        <f>IF('Chemical Info'!N178="NA","NA",IF('Com-Ind Calculations'!F177="NA",(('Com-Ind Equations'!$B$53*'Com-Ind Equations'!$B$49*'Com-Ind Equations'!$B$54*'Com-Ind Calculations'!C177)/('Com-Ind Equations'!$B$56))/('Chemical Info'!N178),IF('Chemical Info'!E178="Yes",(('Com-Ind Equations'!$B$53*'Com-Ind Equations'!$B$49*'Com-Ind Equations'!$B$54*'Com-Ind Calculations'!F177)/('Com-Ind Equations'!$B$56))/('Chemical Info'!N178),(('Com-Ind Equations'!$B$53*'Com-Ind Equations'!$B$49*'Com-Ind Equations'!$B$54*('Com-Ind Calculations'!C177+'Com-Ind Calculations'!F177))/('Com-Ind Equations'!$B$56))/('Chemical Info'!N178))))</f>
        <v>NA</v>
      </c>
      <c r="S177" s="90">
        <f>IF(AND(O177="NA",P177="NA",Q177="NA"),"NA",IF(O177="NA",'Com-Ind Equations'!$B$45/'Com-Ind Calculations'!Q177,IF('Com-Ind Calculations'!Q177="NA",'Com-Ind Equations'!$B$45/('Com-Ind Calculations'!O177+'Com-Ind Calculations'!P177),'Com-Ind Equations'!$B$45/('Com-Ind Calculations'!O177+'Com-Ind Calculations'!P177+'Com-Ind Calculations'!Q177))))</f>
        <v>584</v>
      </c>
      <c r="T177" s="95">
        <f>IF(AND(O177="NA",P177="NA",R177="NA"),"NA",IF(O177="NA",'Com-Ind Equations'!$B$45/R177,IF(R177="NA",'Com-Ind Equations'!$B$45/(O177+P177),'Com-Ind Equations'!$B$45/(O177+P177+R177))))</f>
        <v>584</v>
      </c>
      <c r="U177" s="97">
        <f t="shared" si="211"/>
        <v>584</v>
      </c>
      <c r="V177" s="101">
        <f t="shared" si="212"/>
        <v>584</v>
      </c>
      <c r="W177" s="105">
        <f t="shared" si="213"/>
        <v>580</v>
      </c>
      <c r="X177" s="100" t="str">
        <f t="shared" si="214"/>
        <v>Noncancer</v>
      </c>
      <c r="Y177" s="70"/>
    </row>
    <row r="178" spans="1:25">
      <c r="A178" s="413" t="s">
        <v>1304</v>
      </c>
      <c r="B178" s="566" t="s">
        <v>1305</v>
      </c>
      <c r="C178" s="85">
        <f>1/(('Com-Ind Equations'!$B$123*3600)/(0.036*(1-'Com-Ind Equations'!$B$124)*(('Com-Ind Equations'!$B$125/'Com-Ind Equations'!$B$126)^3)*'Com-Ind Equations'!$B$127))</f>
        <v>1.4713536180231943E-9</v>
      </c>
      <c r="D178" s="90">
        <f>(('Com-Ind Equations'!$B$103^(10/3)*'Chemical Info'!AH179*'Chemical Info'!AN179*41+'Com-Ind Equations'!$B$106^(10/3)*'Chemical Info'!AJ179)/'Com-Ind Equations'!$B$108^2)/('Com-Ind Equations'!$B$110*'Chemical Info'!AL179*'Com-Ind Equations'!$B$113+'Com-Ind Equations'!$B$106+'Com-Ind Equations'!$B$103*'Chemical Info'!AN179*41)</f>
        <v>6.5490723745575402E-11</v>
      </c>
      <c r="E178" s="65">
        <f>IF(D178=0,"NA",1/(('Com-Ind Equations'!$B$74*(3.14*D178*'Com-Ind Equations'!$B$76)^(1/2)*0.0001)/(2*'Com-Ind Equations'!$B$77*D178)))</f>
        <v>4.7502720088394918E-8</v>
      </c>
      <c r="F178" s="65">
        <f>IF(D178=0,"NA",(1/('Com-Ind Equations'!$B$88*('Com-Ind Equations'!$B$89*(31500000))/('Com-Ind Equations'!$B$90*'Com-Ind Equations'!$B$91*1000000))))</f>
        <v>6.1914410640015851E-5</v>
      </c>
      <c r="G178" s="95" t="str">
        <f>IF('Chemical Info'!E179="Yes",('Chemical Info'!AP179/'Com-Ind Equations'!$B$139)*((('Chemical Info'!AL179*'Com-Ind Equations'!$B$141)*'Com-Ind Equations'!$B$139)+'Com-Ind Equations'!$B$142+('Chemical Info'!AN179*41)*'Com-Ind Equations'!$B$144),"NA")</f>
        <v>NA</v>
      </c>
      <c r="H178" s="112" t="str">
        <f>IF('Chemical Info'!H179="NA","NA",IF('Chemical Info'!E179="Yes",'Chemical Info'!H179*'Chemical Info'!AD179*'Com-Ind Equations'!$B$18*'Com-Ind Equations'!$B$22*(('Com-Ind Equations'!$B$24*'Com-Ind Equations'!$B$25)/'Com-Ind Equations'!$B$26),'Chemical Info'!H179*'Chemical Info'!AD179*'Com-Ind Equations'!$B$17*'Com-Ind Equations'!$B$22*('Com-Ind Equations'!$B$24*'Com-Ind Equations'!$B$25/'Com-Ind Equations'!$B$26)))</f>
        <v>NA</v>
      </c>
      <c r="I178" s="108" t="str">
        <f>IF('Chemical Info'!H179="NA","NA",IF('Chemical Info'!E179="Yes",0,('Chemical Info'!H179/'Chemical Info'!AF179)*'Com-Ind Equations'!$B$19*'Chemical Info'!AB179*'Com-Ind Equations'!$B$22*(('Com-Ind Equations'!$B$24*'Com-Ind Equations'!$B$29*'Com-Ind Equations'!$B$30)/'Com-Ind Equations'!$B$26)))</f>
        <v>NA</v>
      </c>
      <c r="J178" s="115" t="str">
        <f>IF('Chemical Info'!J179="NA","NA",IF(E178="NA",'Com-Ind Equations'!$B$20*1000*'Com-Ind Equations'!$B$24*'Com-Ind Equations'!$B$21*'Chemical Info'!J179*'Com-Ind Calculations'!C178,IF('Chemical Info'!E179="Yes",'Com-Ind Equations'!$B$20*1000*'Com-Ind Equations'!$B$24*'Com-Ind Equations'!$B$21*'Chemical Info'!J179*'Com-Ind Calculations'!E178,'Com-Ind Equations'!$B$20*1000*'Com-Ind Equations'!$B$24*'Com-Ind Equations'!$B$21*'Chemical Info'!J179*('Com-Ind Calculations'!C178+'Com-Ind Calculations'!E178))))</f>
        <v>NA</v>
      </c>
      <c r="K178" s="117" t="str">
        <f>IF('Chemical Info'!J179="NA","NA",IF(F178="NA",'Com-Ind Equations'!$B$20*1000*'Com-Ind Equations'!$B$24*'Com-Ind Equations'!$B$21*'Chemical Info'!J179*'Com-Ind Calculations'!C178,IF('Chemical Info'!E179="Yes",'Com-Ind Equations'!$B$20*1000*'Com-Ind Equations'!$B$24*'Com-Ind Equations'!$B$21*'Chemical Info'!J179*'Com-Ind Calculations'!F178,'Com-Ind Equations'!$B$20*1000*'Com-Ind Equations'!$B$24*'Com-Ind Equations'!$B$21*'Chemical Info'!J179*('Com-Ind Calculations'!C178+'Com-Ind Calculations'!F178))))</f>
        <v>NA</v>
      </c>
      <c r="L178" s="95" t="str">
        <f>IF(AND(H178="NA",I178="NA",J178="NA"),"NA",IF(H178="NA",'Com-Ind Equations'!$B$13*'Com-Ind Equations'!$B$14/J178,IF(J178="NA",'Com-Ind Equations'!$B$13*'Com-Ind Equations'!$B$14/(H178+I178),'Com-Ind Equations'!$B$13*'Com-Ind Equations'!$B$14/(H178+I178+J178))))</f>
        <v>NA</v>
      </c>
      <c r="M178" s="95" t="str">
        <f>IF(AND(H178="NA",I178="NA",K178="NA"),"NA",IF(H178="NA",'Com-Ind Equations'!$B$13*'Com-Ind Equations'!$B$14/K178,IF(K178="NA",'Com-Ind Equations'!$B$13*'Com-Ind Equations'!$B$14/(H178+I178),'Com-Ind Equations'!$B$13*'Com-Ind Equations'!$B$14/(H178+I178+K178))))</f>
        <v>NA</v>
      </c>
      <c r="N178" s="95" t="str">
        <f t="shared" ref="N178" si="225">IF(AND(L178="NA",M178="NA"),"NA",MAX(L178,M178))</f>
        <v>NA</v>
      </c>
      <c r="O178" s="94">
        <f>IF('Chemical Info'!L179="NA","NA",IF('Chemical Info'!E179="Yes",(('Com-Ind Equations'!$B$46*'Chemical Info'!AD179*'Com-Ind Equations'!$B$48*'Com-Ind Equations'!$B$49*'Com-Ind Equations'!$B$51)/('Com-Ind Equations'!$B$55*'Com-Ind Equations'!$B$56))/'Chemical Info'!L179,(('Com-Ind Equations'!$B$46*'Chemical Info'!AD179*'Com-Ind Equations'!$B$48*'Com-Ind Equations'!$B$49*'Com-Ind Equations'!$B$50)/('Com-Ind Equations'!$B$55*'Com-Ind Equations'!$B$56))/'Chemical Info'!L179))</f>
        <v>9.5129375951293737E-3</v>
      </c>
      <c r="P178" s="90">
        <f>IF('Chemical Info'!L179="NA","NA", IF('Chemical Info'!E179="Yes",0,((('Com-Ind Equations'!$B$58*'Com-Ind Equations'!$B$59*'Com-Ind Equations'!$B$48*'Com-Ind Equations'!$B$52*'Com-Ind Equations'!$B$49*'Chemical Info'!AB179)/('Com-Ind Equations'!$B$55*'Com-Ind Equations'!$B$56))/('Chemical Info'!L179*'Chemical Info'!AF179))))</f>
        <v>3.7685753424657529E-3</v>
      </c>
      <c r="Q178" s="90">
        <f>IF('Chemical Info'!N179="NA","NA",IF('Com-Ind Calculations'!E178="NA",(('Com-Ind Equations'!$B$53*'Com-Ind Equations'!$B$49*'Com-Ind Equations'!$B$54*'Com-Ind Calculations'!C178)/('Com-Ind Equations'!$B$56))/('Chemical Info'!N179),IF('Chemical Info'!E179="Yes",(('Com-Ind Equations'!$B$53*'Com-Ind Equations'!$B$49*'Com-Ind Equations'!$B$54*'Com-Ind Calculations'!E178)/('Com-Ind Equations'!$B$56))/('Chemical Info'!N179),(('Com-Ind Equations'!$B$53*'Com-Ind Equations'!$B$49*'Com-Ind Equations'!$B$54*('Com-Ind Calculations'!C178+'Com-Ind Calculations'!E178))/('Com-Ind Equations'!$B$56))/('Chemical Info'!N179))))</f>
        <v>5.0315829150429569E-3</v>
      </c>
      <c r="R178" s="90">
        <f>IF('Chemical Info'!N179="NA","NA",IF('Com-Ind Calculations'!F178="NA",(('Com-Ind Equations'!$B$53*'Com-Ind Equations'!$B$49*'Com-Ind Equations'!$B$54*'Com-Ind Calculations'!C178)/('Com-Ind Equations'!$B$56))/('Chemical Info'!N179),IF('Chemical Info'!E179="Yes",(('Com-Ind Equations'!$B$53*'Com-Ind Equations'!$B$49*'Com-Ind Equations'!$B$54*'Com-Ind Calculations'!F178)/('Com-Ind Equations'!$B$56))/('Chemical Info'!N179),(('Com-Ind Equations'!$B$53*'Com-Ind Equations'!$B$49*'Com-Ind Equations'!$B$54*('Com-Ind Calculations'!C178+'Com-Ind Calculations'!F178))/('Com-Ind Equations'!$B$56))/('Chemical Info'!N179))))</f>
        <v>6.3612207527706026</v>
      </c>
      <c r="S178" s="90">
        <f>IF(AND(O178="NA",P178="NA",Q178="NA"),"NA",IF(O178="NA",'Com-Ind Equations'!$B$45/'Com-Ind Calculations'!Q178,IF('Com-Ind Calculations'!Q178="NA",'Com-Ind Equations'!$B$45/('Com-Ind Calculations'!O178+'Com-Ind Calculations'!P178),'Com-Ind Equations'!$B$45/('Com-Ind Calculations'!O178+'Com-Ind Calculations'!P178+'Com-Ind Calculations'!Q178))))</f>
        <v>10.921146353918587</v>
      </c>
      <c r="T178" s="95">
        <f>IF(AND(O178="NA",P178="NA",R178="NA"),"NA",IF(O178="NA",'Com-Ind Equations'!$B$45/R178,IF(R178="NA",'Com-Ind Equations'!$B$45/(O178+P178),'Com-Ind Equations'!$B$45/(O178+P178+R178))))</f>
        <v>3.137499865297802E-2</v>
      </c>
      <c r="U178" s="97">
        <f t="shared" ref="U178" si="226">IF(AND(S178="NA",T178="NA"),"NA",MAX(S178,T178))</f>
        <v>10.921146353918587</v>
      </c>
      <c r="V178" s="101">
        <f t="shared" ref="V178" si="227">IF(AND(N178="NA",U178="NA",G178="NA"),"NA",MIN(N178,U178,G178))</f>
        <v>10.921146353918587</v>
      </c>
      <c r="W178" s="105">
        <f t="shared" ref="W178" si="228">IF(V178&gt;100000,100000,IF(ISNUMBER(ROUND(V178*1000000,2-LEN(INT(V178*1000000)))/1000000),ROUND(V178*1000000,2-LEN(INT(V178*1000000)))/1000000,"NA"))</f>
        <v>11</v>
      </c>
      <c r="X178" s="100" t="str">
        <f t="shared" ref="X178" si="229">IF(W178=100000,"Max Limit",IF(V178=G178,"Csat",IF(V178=N178,"Cancer",IF(V178=U178,"Noncancer",""))))</f>
        <v>Noncancer</v>
      </c>
      <c r="Y178" s="70"/>
    </row>
    <row r="179" spans="1:25" ht="12">
      <c r="A179" s="424" t="s">
        <v>1023</v>
      </c>
      <c r="B179" s="566" t="s">
        <v>237</v>
      </c>
      <c r="C179" s="85">
        <f>1/(('Com-Ind Equations'!$B$123*3600)/(0.036*(1-'Com-Ind Equations'!$B$124)*(('Com-Ind Equations'!$B$125/'Com-Ind Equations'!$B$126)^3)*'Com-Ind Equations'!$B$127))</f>
        <v>1.4713536180231943E-9</v>
      </c>
      <c r="D179" s="90">
        <f>(('Com-Ind Equations'!$B$103^(10/3)*'Chemical Info'!AH180*'Chemical Info'!AN180*41+'Com-Ind Equations'!$B$106^(10/3)*'Chemical Info'!AJ180)/'Com-Ind Equations'!$B$108^2)/('Com-Ind Equations'!$B$110*'Chemical Info'!AL180*'Com-Ind Equations'!$B$113+'Com-Ind Equations'!$B$106+'Com-Ind Equations'!$B$103*'Chemical Info'!AN180*41)</f>
        <v>2.2544241071914105E-9</v>
      </c>
      <c r="E179" s="65">
        <f>IF(D179=0,"NA",1/(('Com-Ind Equations'!$B$74*(3.14*D179*'Com-Ind Equations'!$B$76)^(1/2)*0.0001)/(2*'Com-Ind Equations'!$B$77*D179)))</f>
        <v>2.7870604840467502E-7</v>
      </c>
      <c r="F179" s="65">
        <f>IF(D179=0,"NA",(1/('Com-Ind Equations'!$B$88*('Com-Ind Equations'!$B$89*(31500000))/('Com-Ind Equations'!$B$90*'Com-Ind Equations'!$B$91*1000000))))</f>
        <v>6.1914410640015851E-5</v>
      </c>
      <c r="G179" s="120"/>
      <c r="H179" s="112" t="str">
        <f>IF('Chemical Info'!H180="NA","NA",IF('Chemical Info'!E180="Yes",'Chemical Info'!H180*'Chemical Info'!AD180*'Com-Ind Equations'!$B$18*'Com-Ind Equations'!$B$22*(('Com-Ind Equations'!$B$24*'Com-Ind Equations'!$B$25)/'Com-Ind Equations'!$B$26),'Chemical Info'!H180*'Chemical Info'!AD180*'Com-Ind Equations'!$B$17*'Com-Ind Equations'!$B$22*('Com-Ind Equations'!$B$24*'Com-Ind Equations'!$B$25/'Com-Ind Equations'!$B$26)))</f>
        <v>NA</v>
      </c>
      <c r="I179" s="108" t="str">
        <f>IF('Chemical Info'!H180="NA","NA",IF('Chemical Info'!E180="Yes",0,('Chemical Info'!H180/'Chemical Info'!AF180)*'Com-Ind Equations'!$B$19*'Chemical Info'!AB180*'Com-Ind Equations'!$B$22*(('Com-Ind Equations'!$B$24*'Com-Ind Equations'!$B$29*'Com-Ind Equations'!$B$30)/'Com-Ind Equations'!$B$26)))</f>
        <v>NA</v>
      </c>
      <c r="J179" s="115" t="str">
        <f>IF('Chemical Info'!J180="NA","NA",IF(E179="NA",'Com-Ind Equations'!$B$20*1000*'Com-Ind Equations'!$B$24*'Com-Ind Equations'!$B$21*'Chemical Info'!J180*'Com-Ind Calculations'!C179,IF('Chemical Info'!E180="Yes",'Com-Ind Equations'!$B$20*1000*'Com-Ind Equations'!$B$24*'Com-Ind Equations'!$B$21*'Chemical Info'!J180*'Com-Ind Calculations'!E179,'Com-Ind Equations'!$B$20*1000*'Com-Ind Equations'!$B$24*'Com-Ind Equations'!$B$21*'Chemical Info'!J180*('Com-Ind Calculations'!C179+'Com-Ind Calculations'!E179))))</f>
        <v>NA</v>
      </c>
      <c r="K179" s="117" t="str">
        <f>IF('Chemical Info'!J180="NA","NA",IF(F179="NA",'Com-Ind Equations'!$B$20*1000*'Com-Ind Equations'!$B$24*'Com-Ind Equations'!$B$21*'Chemical Info'!J180*'Com-Ind Calculations'!C179,IF('Chemical Info'!E180="Yes",'Com-Ind Equations'!$B$20*1000*'Com-Ind Equations'!$B$24*'Com-Ind Equations'!$B$21*'Chemical Info'!J180*'Com-Ind Calculations'!F179,'Com-Ind Equations'!$B$20*1000*'Com-Ind Equations'!$B$24*'Com-Ind Equations'!$B$21*'Chemical Info'!J180*('Com-Ind Calculations'!C179+'Com-Ind Calculations'!F179))))</f>
        <v>NA</v>
      </c>
      <c r="L179" s="95" t="str">
        <f>IF(AND(H179="NA",I179="NA",J179="NA"),"NA",IF(H179="NA",'Com-Ind Equations'!$B$13*'Com-Ind Equations'!$B$14/J179,IF(J179="NA",'Com-Ind Equations'!$B$13*'Com-Ind Equations'!$B$14/(H179+I179),'Com-Ind Equations'!$B$13*'Com-Ind Equations'!$B$14/(H179+I179+J179))))</f>
        <v>NA</v>
      </c>
      <c r="M179" s="95" t="str">
        <f>IF(AND(H179="NA",I179="NA",K179="NA"),"NA",IF(H179="NA",'Com-Ind Equations'!$B$13*'Com-Ind Equations'!$B$14/K179,IF(K179="NA",'Com-Ind Equations'!$B$13*'Com-Ind Equations'!$B$14/(H179+I179),'Com-Ind Equations'!$B$13*'Com-Ind Equations'!$B$14/(H179+I179+K179))))</f>
        <v>NA</v>
      </c>
      <c r="N179" s="95" t="str">
        <f t="shared" si="210"/>
        <v>NA</v>
      </c>
      <c r="O179" s="94">
        <f>IF('Chemical Info'!L180="NA","NA",IF('Chemical Info'!E180="Yes",(('Com-Ind Equations'!$B$46*'Chemical Info'!AD180*'Com-Ind Equations'!$B$48*'Com-Ind Equations'!$B$49*'Com-Ind Equations'!$B$51)/('Com-Ind Equations'!$B$55*'Com-Ind Equations'!$B$56))/'Chemical Info'!L180,(('Com-Ind Equations'!$B$46*'Chemical Info'!AD180*'Com-Ind Equations'!$B$48*'Com-Ind Equations'!$B$49*'Com-Ind Equations'!$B$50)/('Com-Ind Equations'!$B$55*'Com-Ind Equations'!$B$56))/'Chemical Info'!L180))</f>
        <v>6.1643835616438354E-5</v>
      </c>
      <c r="P179" s="90">
        <f>IF('Chemical Info'!L180="NA","NA", IF('Chemical Info'!E180="Yes",0,((('Com-Ind Equations'!$B$58*'Com-Ind Equations'!$B$59*'Com-Ind Equations'!$B$48*'Com-Ind Equations'!$B$52*'Com-Ind Equations'!$B$49*'Chemical Info'!AB180)/('Com-Ind Equations'!$B$55*'Com-Ind Equations'!$B$56))/('Chemical Info'!L180*'Chemical Info'!AF180))))</f>
        <v>0</v>
      </c>
      <c r="Q179" s="90" t="str">
        <f>IF('Chemical Info'!N180="NA","NA",IF('Com-Ind Calculations'!E179="NA",(('Com-Ind Equations'!$B$53*'Com-Ind Equations'!$B$49*'Com-Ind Equations'!$B$54*'Com-Ind Calculations'!C179)/('Com-Ind Equations'!$B$56))/('Chemical Info'!N180),IF('Chemical Info'!E180="Yes",(('Com-Ind Equations'!$B$53*'Com-Ind Equations'!$B$49*'Com-Ind Equations'!$B$54*'Com-Ind Calculations'!E179)/('Com-Ind Equations'!$B$56))/('Chemical Info'!N180),(('Com-Ind Equations'!$B$53*'Com-Ind Equations'!$B$49*'Com-Ind Equations'!$B$54*('Com-Ind Calculations'!C179+'Com-Ind Calculations'!E179))/('Com-Ind Equations'!$B$56))/('Chemical Info'!N180))))</f>
        <v>NA</v>
      </c>
      <c r="R179" s="90" t="str">
        <f>IF('Chemical Info'!N180="NA","NA",IF('Com-Ind Calculations'!F179="NA",(('Com-Ind Equations'!$B$53*'Com-Ind Equations'!$B$49*'Com-Ind Equations'!$B$54*'Com-Ind Calculations'!C179)/('Com-Ind Equations'!$B$56))/('Chemical Info'!N180),IF('Chemical Info'!E180="Yes",(('Com-Ind Equations'!$B$53*'Com-Ind Equations'!$B$49*'Com-Ind Equations'!$B$54*'Com-Ind Calculations'!F179)/('Com-Ind Equations'!$B$56))/('Chemical Info'!N180),(('Com-Ind Equations'!$B$53*'Com-Ind Equations'!$B$49*'Com-Ind Equations'!$B$54*('Com-Ind Calculations'!C179+'Com-Ind Calculations'!F179))/('Com-Ind Equations'!$B$56))/('Chemical Info'!N180))))</f>
        <v>NA</v>
      </c>
      <c r="S179" s="90">
        <f>IF(AND(O179="NA",P179="NA",Q179="NA"),"NA",IF(O179="NA",'Com-Ind Equations'!$B$45/'Com-Ind Calculations'!Q179,IF('Com-Ind Calculations'!Q179="NA",'Com-Ind Equations'!$B$45/('Com-Ind Calculations'!O179+'Com-Ind Calculations'!P179),'Com-Ind Equations'!$B$45/('Com-Ind Calculations'!O179+'Com-Ind Calculations'!P179+'Com-Ind Calculations'!Q179))))</f>
        <v>3244.4444444444448</v>
      </c>
      <c r="T179" s="95">
        <f>IF(AND(O179="NA",P179="NA",R179="NA"),"NA",IF(O179="NA",'Com-Ind Equations'!$B$45/R179,IF(R179="NA",'Com-Ind Equations'!$B$45/(O179+P179),'Com-Ind Equations'!$B$45/(O179+P179+R179))))</f>
        <v>3244.4444444444448</v>
      </c>
      <c r="U179" s="97">
        <f t="shared" si="211"/>
        <v>3244.4444444444448</v>
      </c>
      <c r="V179" s="101">
        <f t="shared" si="212"/>
        <v>3244.4444444444448</v>
      </c>
      <c r="W179" s="105">
        <f t="shared" si="213"/>
        <v>3200</v>
      </c>
      <c r="X179" s="100" t="str">
        <f t="shared" si="214"/>
        <v>Noncancer</v>
      </c>
      <c r="Y179" s="70"/>
    </row>
    <row r="180" spans="1:25">
      <c r="A180" s="413" t="s">
        <v>178</v>
      </c>
      <c r="B180" s="566" t="s">
        <v>231</v>
      </c>
      <c r="C180" s="85">
        <f>1/(('Com-Ind Equations'!$B$123*3600)/(0.036*(1-'Com-Ind Equations'!$B$124)*(('Com-Ind Equations'!$B$125/'Com-Ind Equations'!$B$126)^3)*'Com-Ind Equations'!$B$127))</f>
        <v>1.4713536180231943E-9</v>
      </c>
      <c r="D180" s="90">
        <f>(('Com-Ind Equations'!$B$103^(10/3)*'Chemical Info'!AH181*'Chemical Info'!AN181*41+'Com-Ind Equations'!$B$106^(10/3)*'Chemical Info'!AJ181)/'Com-Ind Equations'!$B$108^2)/('Com-Ind Equations'!$B$110*'Chemical Info'!AL181*'Com-Ind Equations'!$B$113+'Com-Ind Equations'!$B$106+'Com-Ind Equations'!$B$103*'Chemical Info'!AN181*41)</f>
        <v>2.8862856982398843E-8</v>
      </c>
      <c r="E180" s="65">
        <f>IF(D180=0,"NA",1/(('Com-Ind Equations'!$B$74*(3.14*D180*'Com-Ind Equations'!$B$76)^(1/2)*0.0001)/(2*'Com-Ind Equations'!$B$77*D180)))</f>
        <v>9.9723667624518874E-7</v>
      </c>
      <c r="F180" s="65">
        <f>IF(D180=0,"NA",(1/('Com-Ind Equations'!$B$88*('Com-Ind Equations'!$B$89*(31500000))/('Com-Ind Equations'!$B$90*'Com-Ind Equations'!$B$91*1000000))))</f>
        <v>6.1914410640015851E-5</v>
      </c>
      <c r="G180" s="95" t="str">
        <f>IF('Chemical Info'!E181="Yes",('Chemical Info'!AP181/'Com-Ind Equations'!$B$139)*((('Chemical Info'!AL181*'Com-Ind Equations'!$B$141)*'Com-Ind Equations'!$B$139)+'Com-Ind Equations'!$B$142+('Chemical Info'!AN181*41)*'Com-Ind Equations'!$B$144),"NA")</f>
        <v>NA</v>
      </c>
      <c r="H180" s="112">
        <f>IF('Chemical Info'!H181="NA","NA",IF('Chemical Info'!E181="Yes",'Chemical Info'!H181*'Chemical Info'!AD181*'Com-Ind Equations'!$B$18*'Com-Ind Equations'!$B$22*(('Com-Ind Equations'!$B$24*'Com-Ind Equations'!$B$25)/'Com-Ind Equations'!$B$26),'Chemical Info'!H181*'Chemical Info'!AD181*'Com-Ind Equations'!$B$17*'Com-Ind Equations'!$B$22*('Com-Ind Equations'!$B$24*'Com-Ind Equations'!$B$25/'Com-Ind Equations'!$B$26)))</f>
        <v>2.34375E-2</v>
      </c>
      <c r="I180" s="108">
        <f>IF('Chemical Info'!H181="NA","NA",IF('Chemical Info'!E181="Yes",0,('Chemical Info'!H181/'Chemical Info'!AF181)*'Com-Ind Equations'!$B$19*'Chemical Info'!AB181*'Com-Ind Equations'!$B$22*(('Com-Ind Equations'!$B$24*'Com-Ind Equations'!$B$29*'Com-Ind Equations'!$B$30)/'Com-Ind Equations'!$B$26)))</f>
        <v>9.2848274999999987E-3</v>
      </c>
      <c r="J180" s="115" t="str">
        <f>IF('Chemical Info'!J181="NA","NA",IF(E180="NA",'Com-Ind Equations'!$B$20*1000*'Com-Ind Equations'!$B$24*'Com-Ind Equations'!$B$21*'Chemical Info'!J181*'Com-Ind Calculations'!C180,IF('Chemical Info'!E181="Yes",'Com-Ind Equations'!$B$20*1000*'Com-Ind Equations'!$B$24*'Com-Ind Equations'!$B$21*'Chemical Info'!J181*'Com-Ind Calculations'!E180,'Com-Ind Equations'!$B$20*1000*'Com-Ind Equations'!$B$24*'Com-Ind Equations'!$B$21*'Chemical Info'!J181*('Com-Ind Calculations'!C180+'Com-Ind Calculations'!E180))))</f>
        <v>NA</v>
      </c>
      <c r="K180" s="117" t="str">
        <f>IF('Chemical Info'!J181="NA","NA",IF(F180="NA",'Com-Ind Equations'!$B$20*1000*'Com-Ind Equations'!$B$24*'Com-Ind Equations'!$B$21*'Chemical Info'!J181*'Com-Ind Calculations'!C180,IF('Chemical Info'!E181="Yes",'Com-Ind Equations'!$B$20*1000*'Com-Ind Equations'!$B$24*'Com-Ind Equations'!$B$21*'Chemical Info'!J181*'Com-Ind Calculations'!F180,'Com-Ind Equations'!$B$20*1000*'Com-Ind Equations'!$B$24*'Com-Ind Equations'!$B$21*'Chemical Info'!J181*('Com-Ind Calculations'!C180+'Com-Ind Calculations'!F180))))</f>
        <v>NA</v>
      </c>
      <c r="L180" s="95">
        <f>IF(AND(H180="NA",I180="NA",J180="NA"),"NA",IF(H180="NA",'Com-Ind Equations'!$B$13*'Com-Ind Equations'!$B$14/J180,IF(J180="NA",'Com-Ind Equations'!$B$13*'Com-Ind Equations'!$B$14/(H180+I180),'Com-Ind Equations'!$B$13*'Com-Ind Equations'!$B$14/(H180+I180+J180))))</f>
        <v>7.8081242845576933</v>
      </c>
      <c r="M180" s="95">
        <f>IF(AND(H180="NA",I180="NA",K180="NA"),"NA",IF(H180="NA",'Com-Ind Equations'!$B$13*'Com-Ind Equations'!$B$14/K180,IF(K180="NA",'Com-Ind Equations'!$B$13*'Com-Ind Equations'!$B$14/(H180+I180),'Com-Ind Equations'!$B$13*'Com-Ind Equations'!$B$14/(H180+I180+K180))))</f>
        <v>7.8081242845576933</v>
      </c>
      <c r="N180" s="95">
        <f t="shared" si="210"/>
        <v>7.8081242845576933</v>
      </c>
      <c r="O180" s="94">
        <f>IF('Chemical Info'!L181="NA","NA",IF('Chemical Info'!E181="Yes",(('Com-Ind Equations'!$B$46*'Chemical Info'!AD181*'Com-Ind Equations'!$B$48*'Com-Ind Equations'!$B$49*'Com-Ind Equations'!$B$51)/('Com-Ind Equations'!$B$55*'Com-Ind Equations'!$B$56))/'Chemical Info'!L181,(('Com-Ind Equations'!$B$46*'Chemical Info'!AD181*'Com-Ind Equations'!$B$48*'Com-Ind Equations'!$B$49*'Com-Ind Equations'!$B$50)/('Com-Ind Equations'!$B$55*'Com-Ind Equations'!$B$56))/'Chemical Info'!L181))</f>
        <v>1.0837523842552451E-3</v>
      </c>
      <c r="P180" s="90">
        <f>IF('Chemical Info'!L181="NA","NA", IF('Chemical Info'!E181="Yes",0,((('Com-Ind Equations'!$B$58*'Com-Ind Equations'!$B$59*'Com-Ind Equations'!$B$48*'Com-Ind Equations'!$B$52*'Com-Ind Equations'!$B$49*'Chemical Info'!AB181)/('Com-Ind Equations'!$B$55*'Com-Ind Equations'!$B$56))/('Chemical Info'!L181*'Chemical Info'!AF181))))</f>
        <v>4.2933136812900983E-4</v>
      </c>
      <c r="Q180" s="90" t="str">
        <f>IF('Chemical Info'!N181="NA","NA",IF('Com-Ind Calculations'!E180="NA",(('Com-Ind Equations'!$B$53*'Com-Ind Equations'!$B$49*'Com-Ind Equations'!$B$54*'Com-Ind Calculations'!C180)/('Com-Ind Equations'!$B$56))/('Chemical Info'!N181),IF('Chemical Info'!E181="Yes",(('Com-Ind Equations'!$B$53*'Com-Ind Equations'!$B$49*'Com-Ind Equations'!$B$54*'Com-Ind Calculations'!E180)/('Com-Ind Equations'!$B$56))/('Chemical Info'!N181),(('Com-Ind Equations'!$B$53*'Com-Ind Equations'!$B$49*'Com-Ind Equations'!$B$54*('Com-Ind Calculations'!C180+'Com-Ind Calculations'!E180))/('Com-Ind Equations'!$B$56))/('Chemical Info'!N181))))</f>
        <v>NA</v>
      </c>
      <c r="R180" s="90" t="str">
        <f>IF('Chemical Info'!N181="NA","NA",IF('Com-Ind Calculations'!F180="NA",(('Com-Ind Equations'!$B$53*'Com-Ind Equations'!$B$49*'Com-Ind Equations'!$B$54*'Com-Ind Calculations'!C180)/('Com-Ind Equations'!$B$56))/('Chemical Info'!N181),IF('Chemical Info'!E181="Yes",(('Com-Ind Equations'!$B$53*'Com-Ind Equations'!$B$49*'Com-Ind Equations'!$B$54*'Com-Ind Calculations'!F180)/('Com-Ind Equations'!$B$56))/('Chemical Info'!N181),(('Com-Ind Equations'!$B$53*'Com-Ind Equations'!$B$49*'Com-Ind Equations'!$B$54*('Com-Ind Calculations'!C180+'Com-Ind Calculations'!F180))/('Com-Ind Equations'!$B$56))/('Chemical Info'!N181))))</f>
        <v>NA</v>
      </c>
      <c r="S180" s="90">
        <f>IF(AND(O180="NA",P180="NA",Q180="NA"),"NA",IF(O180="NA",'Com-Ind Equations'!$B$45/'Com-Ind Calculations'!Q180,IF('Com-Ind Calculations'!Q180="NA",'Com-Ind Equations'!$B$45/('Com-Ind Calculations'!O180+'Com-Ind Calculations'!P180),'Com-Ind Equations'!$B$45/('Com-Ind Calculations'!O180+'Com-Ind Calculations'!P180+'Com-Ind Calculations'!Q180))))</f>
        <v>132.18038967429811</v>
      </c>
      <c r="T180" s="95">
        <f>IF(AND(O180="NA",P180="NA",R180="NA"),"NA",IF(O180="NA",'Com-Ind Equations'!$B$45/R180,IF(R180="NA",'Com-Ind Equations'!$B$45/(O180+P180),'Com-Ind Equations'!$B$45/(O180+P180+R180))))</f>
        <v>132.18038967429811</v>
      </c>
      <c r="U180" s="97">
        <f t="shared" si="211"/>
        <v>132.18038967429811</v>
      </c>
      <c r="V180" s="101">
        <f t="shared" si="212"/>
        <v>7.8081242845576933</v>
      </c>
      <c r="W180" s="105">
        <f t="shared" si="213"/>
        <v>7.8</v>
      </c>
      <c r="X180" s="100" t="str">
        <f t="shared" si="214"/>
        <v>Cancer</v>
      </c>
      <c r="Y180" s="70"/>
    </row>
    <row r="181" spans="1:25">
      <c r="A181" s="568" t="s">
        <v>389</v>
      </c>
      <c r="B181" s="593"/>
      <c r="C181" s="397"/>
      <c r="D181" s="397"/>
      <c r="E181" s="396"/>
      <c r="F181" s="396"/>
      <c r="G181" s="397" t="str">
        <f>IF('Chemical Info'!E182="YES",('Chemical Info'!AP182/'Com-Ind Equations'!$B$139)*('Chemical Info'!AL182*'Com-Ind Equations'!$B$141*'Com-Ind Equations'!$B$139+'Com-Ind Equations'!$B$142+('Chemical Info'!AN182*41)*'Com-Ind Equations'!$B$144),"")</f>
        <v/>
      </c>
      <c r="H181" s="386"/>
      <c r="I181" s="397"/>
      <c r="J181" s="397"/>
      <c r="K181" s="397"/>
      <c r="L181" s="397"/>
      <c r="M181" s="397"/>
      <c r="N181" s="397"/>
      <c r="O181" s="397"/>
      <c r="P181" s="397"/>
      <c r="Q181" s="397"/>
      <c r="R181" s="397"/>
      <c r="S181" s="397"/>
      <c r="T181" s="397"/>
      <c r="U181" s="397"/>
      <c r="V181" s="398"/>
      <c r="W181" s="399"/>
      <c r="X181" s="400"/>
      <c r="Y181" s="401"/>
    </row>
    <row r="182" spans="1:25" ht="12">
      <c r="A182" s="560" t="s">
        <v>954</v>
      </c>
      <c r="B182" s="566" t="s">
        <v>233</v>
      </c>
      <c r="C182" s="85">
        <f>1/(('Com-Ind Equations'!$B$123*3600)/(0.036*(1-'Com-Ind Equations'!$B$124)*(('Com-Ind Equations'!$B$125/'Com-Ind Equations'!$B$126)^3)*'Com-Ind Equations'!$B$127))</f>
        <v>1.4713536180231943E-9</v>
      </c>
      <c r="D182" s="90">
        <f>(('Com-Ind Equations'!$B$103^(10/3)*'Chemical Info'!AH183*'Chemical Info'!AN183*41+'Com-Ind Equations'!$B$106^(10/3)*'Chemical Info'!AJ183)/'Com-Ind Equations'!$B$108^2)/('Com-Ind Equations'!$B$110*'Chemical Info'!AL183*'Com-Ind Equations'!$B$113+'Com-Ind Equations'!$B$106+'Com-Ind Equations'!$B$103*'Chemical Info'!AN183*41)</f>
        <v>7.9740607234645414E-8</v>
      </c>
      <c r="E182" s="65">
        <f>IF(D182=0,"NA",1/(('Com-Ind Equations'!$B$74*(3.14*D182*'Com-Ind Equations'!$B$76)^(1/2)*0.0001)/(2*'Com-Ind Equations'!$B$77*D182)))</f>
        <v>1.6575565469098429E-6</v>
      </c>
      <c r="F182" s="65">
        <f>IF(D182=0,"NA",(1/('Com-Ind Equations'!$B$88*('Com-Ind Equations'!$B$89*(31500000))/('Com-Ind Equations'!$B$90*'Com-Ind Equations'!$B$91*1000000))))</f>
        <v>6.1914410640015851E-5</v>
      </c>
      <c r="G182" s="95">
        <f>IF('Chemical Info'!E183="Yes",('Chemical Info'!AP183/'Com-Ind Equations'!$B$139)*((('Chemical Info'!AL183*'Com-Ind Equations'!$B$141)*'Com-Ind Equations'!$B$139)+'Com-Ind Equations'!$B$142+('Chemical Info'!AN183*41)*'Com-Ind Equations'!$B$144),"NA")</f>
        <v>328.09222329333329</v>
      </c>
      <c r="H182" s="112">
        <f>IF('Chemical Info'!H183="NA","NA",IF('Chemical Info'!E183="Yes",'Chemical Info'!H183*'Chemical Info'!AD183*'Com-Ind Equations'!$B$18*'Com-Ind Equations'!$B$22*(('Com-Ind Equations'!$B$24*'Com-Ind Equations'!$B$25)/'Com-Ind Equations'!$B$26),'Chemical Info'!H183*'Chemical Info'!AD183*'Com-Ind Equations'!$B$17*'Com-Ind Equations'!$B$22*('Com-Ind Equations'!$B$24*'Com-Ind Equations'!$B$25/'Com-Ind Equations'!$B$26)))</f>
        <v>1.125E-2</v>
      </c>
      <c r="I182" s="562">
        <f>IF('Chemical Info'!H183="NA","NA",('Chemical Info'!H183/'Chemical Info'!AF183)*'Com-Ind Equations'!$B$19*'Chemical Info'!AB183*'Com-Ind Equations'!$B$22*(('Com-Ind Equations'!$B$24*'Com-Ind Equations'!$B$29*'Com-Ind Equations'!$B$30)/'Com-Ind Equations'!$B$26))</f>
        <v>6.6660299999999999E-3</v>
      </c>
      <c r="J182" s="115">
        <f>IF('Chemical Info'!J183="NA","NA",IF(E182="NA",'Com-Ind Equations'!$B$20*1000*'Com-Ind Equations'!$B$24*'Com-Ind Equations'!$B$21*'Chemical Info'!J183*'Com-Ind Calculations'!C182,IF('Chemical Info'!E183="Yes",'Com-Ind Equations'!$B$20*1000*'Com-Ind Equations'!$B$24*'Com-Ind Equations'!$B$21*'Chemical Info'!J183*'Com-Ind Calculations'!E182,'Com-Ind Equations'!$B$20*1000*'Com-Ind Equations'!$B$24*'Com-Ind Equations'!$B$21*'Chemical Info'!J183*('Com-Ind Calculations'!C182+'Com-Ind Calculations'!E182))))</f>
        <v>1.7715135595098945E-3</v>
      </c>
      <c r="K182" s="117">
        <f>IF('Chemical Info'!J183="NA","NA",IF(F182="NA",'Com-Ind Equations'!$B$20*1000*'Com-Ind Equations'!$B$24*'Com-Ind Equations'!$B$21*'Chemical Info'!J183*'Com-Ind Calculations'!C182,IF('Chemical Info'!E183="Yes",'Com-Ind Equations'!$B$20*1000*'Com-Ind Equations'!$B$24*'Com-Ind Equations'!$B$21*'Chemical Info'!J183*'Com-Ind Calculations'!F182,'Com-Ind Equations'!$B$20*1000*'Com-Ind Equations'!$B$24*'Com-Ind Equations'!$B$21*'Chemical Info'!J183*('Com-Ind Calculations'!C182+'Com-Ind Calculations'!F182))))</f>
        <v>6.6171026371516936E-2</v>
      </c>
      <c r="L182" s="95">
        <f>IF(AND(H182="NA",I182="NA",J182="NA"),"NA",IF(H182="NA",'Com-Ind Equations'!$B$13*'Com-Ind Equations'!$B$14/J182,IF(J182="NA",'Com-Ind Equations'!$B$13*'Com-Ind Equations'!$B$14/(H182+I182),'Com-Ind Equations'!$B$13*'Com-Ind Equations'!$B$14/(H182+I182+J182))))</f>
        <v>12.977749063904064</v>
      </c>
      <c r="M182" s="95">
        <f>IF(AND(H182="NA",I182="NA",K182="NA"),"NA",IF(H182="NA",'Com-Ind Equations'!$B$13*'Com-Ind Equations'!$B$14/K182,IF(K182="NA",'Com-Ind Equations'!$B$13*'Com-Ind Equations'!$B$14/(H182+I182),'Com-Ind Equations'!$B$13*'Com-Ind Equations'!$B$14/(H182+I182+K182))))</f>
        <v>3.0385175914725715</v>
      </c>
      <c r="N182" s="95">
        <f>IF(AND(L182="NA",M182="NA"),"NA",MAX(L182,M182))</f>
        <v>12.977749063904064</v>
      </c>
      <c r="O182" s="94">
        <f>IF('Chemical Info'!L183="NA","NA",IF('Chemical Info'!E183="Yes",(('Com-Ind Equations'!$B$46*'Chemical Info'!AD183*'Com-Ind Equations'!$B$48*'Com-Ind Equations'!$B$49*'Com-Ind Equations'!$B$51)/('Com-Ind Equations'!$B$55*'Com-Ind Equations'!$B$56))/'Chemical Info'!L183,(('Com-Ind Equations'!$B$46*'Chemical Info'!AD183*'Com-Ind Equations'!$B$48*'Com-Ind Equations'!$B$49*'Com-Ind Equations'!$B$50)/('Com-Ind Equations'!$B$55*'Com-Ind Equations'!$B$56))/'Chemical Info'!L183))</f>
        <v>1.2328767123287669E-2</v>
      </c>
      <c r="P182" s="564">
        <f>IF('Chemical Info'!L183="NA","NA", ((('Com-Ind Equations'!$B$58*'Com-Ind Equations'!$B$59*'Com-Ind Equations'!$B$48*'Com-Ind Equations'!$B$52*'Com-Ind Equations'!$B$49*'Chemical Info'!AB183)/('Com-Ind Equations'!$B$55*'Com-Ind Equations'!$B$56))/('Chemical Info'!L183*'Chemical Info'!AF183)))</f>
        <v>7.3052383561643822E-3</v>
      </c>
      <c r="Q182" s="90" t="str">
        <f>IF('Chemical Info'!N183="NA","NA",IF('Com-Ind Calculations'!E182="NA",(('Com-Ind Equations'!$B$53*'Com-Ind Equations'!$B$49*'Com-Ind Equations'!$B$54*'Com-Ind Calculations'!C182)/('Com-Ind Equations'!$B$56))/('Chemical Info'!N183),IF('Chemical Info'!E183="Yes",(('Com-Ind Equations'!$B$53*'Com-Ind Equations'!$B$49*'Com-Ind Equations'!$B$54*'Com-Ind Calculations'!E182)/('Com-Ind Equations'!$B$56))/('Chemical Info'!N183),(('Com-Ind Equations'!$B$53*'Com-Ind Equations'!$B$49*'Com-Ind Equations'!$B$54*('Com-Ind Calculations'!C182+'Com-Ind Calculations'!E182))/('Com-Ind Equations'!$B$56))/('Chemical Info'!N183))))</f>
        <v>NA</v>
      </c>
      <c r="R182" s="90" t="str">
        <f>IF('Chemical Info'!N183="NA","NA",IF('Com-Ind Calculations'!F182="NA",(('Com-Ind Equations'!$B$53*'Com-Ind Equations'!$B$49*'Com-Ind Equations'!$B$54*'Com-Ind Calculations'!C182)/('Com-Ind Equations'!$B$56))/('Chemical Info'!N183),IF('Chemical Info'!E183="Yes",(('Com-Ind Equations'!$B$53*'Com-Ind Equations'!$B$49*'Com-Ind Equations'!$B$54*'Com-Ind Calculations'!F182)/('Com-Ind Equations'!$B$56))/('Chemical Info'!N183),(('Com-Ind Equations'!$B$53*'Com-Ind Equations'!$B$49*'Com-Ind Equations'!$B$54*('Com-Ind Calculations'!C182+'Com-Ind Calculations'!F182))/('Com-Ind Equations'!$B$56))/('Chemical Info'!N183))))</f>
        <v>NA</v>
      </c>
      <c r="S182" s="90">
        <f>IF(AND(O182="NA",P182="NA",Q182="NA"),"NA",IF(O182="NA",'Com-Ind Equations'!$B$45/'Com-Ind Calculations'!Q182,IF('Com-Ind Calculations'!Q182="NA",'Com-Ind Equations'!$B$45/('Com-Ind Calculations'!O182+'Com-Ind Calculations'!P182),'Com-Ind Equations'!$B$45/('Com-Ind Calculations'!O182+'Com-Ind Calculations'!P182+'Com-Ind Calculations'!Q182))))</f>
        <v>10.18640848446894</v>
      </c>
      <c r="T182" s="95">
        <f>IF(AND(O182="NA",P182="NA",R182="NA"),"NA",IF(O182="NA",'Com-Ind Equations'!$B$45/R182,IF(R182="NA",'Com-Ind Equations'!$B$45/(O182+P182),'Com-Ind Equations'!$B$45/(O182+P182+R182))))</f>
        <v>10.18640848446894</v>
      </c>
      <c r="U182" s="97">
        <f>IF(AND(S182="NA",T182="NA"),"NA",MAX(S182,T182))</f>
        <v>10.18640848446894</v>
      </c>
      <c r="V182" s="101">
        <f>IF(AND(N182="NA",U182="NA",G182="NA"),"NA",MIN(N182,U182,G182))</f>
        <v>10.18640848446894</v>
      </c>
      <c r="W182" s="105">
        <f>IF(V182&gt;100000,100000,IF(ISNUMBER(ROUND(V182*1000000,2-LEN(INT(V182*1000000)))/1000000),ROUND(V182*1000000,2-LEN(INT(V182*1000000)))/1000000,"NA"))</f>
        <v>10</v>
      </c>
      <c r="X182" s="100" t="str">
        <f>IF(W182=100000,"Max Limit",IF(V182=G182,"Csat",IF(V182=N182,"Cancer",IF(V182=U182,"Noncancer",""))))</f>
        <v>Noncancer</v>
      </c>
      <c r="Y182" s="70"/>
    </row>
    <row r="183" spans="1:25">
      <c r="A183" s="567" t="s">
        <v>893</v>
      </c>
      <c r="B183" s="593"/>
      <c r="C183" s="397"/>
      <c r="D183" s="397"/>
      <c r="E183" s="396"/>
      <c r="F183" s="396"/>
      <c r="G183" s="397" t="str">
        <f>IF('Chemical Info'!E184="YES",('Chemical Info'!AP184/'Com-Ind Equations'!$B$139)*('Chemical Info'!AL184*'Com-Ind Equations'!$B$141*'Com-Ind Equations'!$B$139+'Com-Ind Equations'!$B$142+('Chemical Info'!AN184*41)*'Com-Ind Equations'!$B$144),"")</f>
        <v/>
      </c>
      <c r="H183" s="386"/>
      <c r="I183" s="397"/>
      <c r="J183" s="397"/>
      <c r="K183" s="397"/>
      <c r="L183" s="397"/>
      <c r="M183" s="397"/>
      <c r="N183" s="397"/>
      <c r="O183" s="397"/>
      <c r="P183" s="397"/>
      <c r="Q183" s="397"/>
      <c r="R183" s="397"/>
      <c r="S183" s="397"/>
      <c r="T183" s="397"/>
      <c r="U183" s="397"/>
      <c r="V183" s="398"/>
      <c r="W183" s="399"/>
      <c r="X183" s="400"/>
      <c r="Y183" s="401"/>
    </row>
    <row r="184" spans="1:25" ht="12">
      <c r="A184" s="424" t="s">
        <v>1024</v>
      </c>
      <c r="B184" s="566" t="s">
        <v>46</v>
      </c>
      <c r="C184" s="85">
        <f>1/(('Com-Ind Equations'!$B$123*3600)/(0.036*(1-'Com-Ind Equations'!$B$124)*(('Com-Ind Equations'!$B$125/'Com-Ind Equations'!$B$126)^3)*'Com-Ind Equations'!$B$127))</f>
        <v>1.4713536180231943E-9</v>
      </c>
      <c r="D184" s="90">
        <f>(('Com-Ind Equations'!$B$103^(10/3)*'Chemical Info'!AH185*'Chemical Info'!AN185*41+'Com-Ind Equations'!$B$106^(10/3)*'Chemical Info'!AJ185)/'Com-Ind Equations'!$B$108^2)/('Com-Ind Equations'!$B$110*'Chemical Info'!AL185*'Com-Ind Equations'!$B$113+'Com-Ind Equations'!$B$106+'Com-Ind Equations'!$B$103*'Chemical Info'!AN185*41)</f>
        <v>6.9886887588204649E-9</v>
      </c>
      <c r="E184" s="65">
        <f>IF(D184=0,"NA",1/(('Com-Ind Equations'!$B$74*(3.14*D184*'Com-Ind Equations'!$B$76)^(1/2)*0.0001)/(2*'Com-Ind Equations'!$B$77*D184)))</f>
        <v>4.9071172338517456E-7</v>
      </c>
      <c r="F184" s="65">
        <f>IF(D184=0,"NA",(1/('Com-Ind Equations'!$B$88*('Com-Ind Equations'!$B$89*(31500000))/('Com-Ind Equations'!$B$90*'Com-Ind Equations'!$B$91*1000000))))</f>
        <v>6.1914410640015851E-5</v>
      </c>
      <c r="G184" s="120"/>
      <c r="H184" s="112">
        <f>IF('Chemical Info'!H185="NA","NA",IF('Chemical Info'!E185="Yes",'Chemical Info'!H185*'Chemical Info'!AD185*'Com-Ind Equations'!$B$18*'Com-Ind Equations'!$B$22*(('Com-Ind Equations'!$B$24*'Com-Ind Equations'!$B$25)/'Com-Ind Equations'!$B$26),'Chemical Info'!H185*'Chemical Info'!AD185*'Com-Ind Equations'!$B$17*'Com-Ind Equations'!$B$22*('Com-Ind Equations'!$B$24*'Com-Ind Equations'!$B$25/'Com-Ind Equations'!$B$26)))</f>
        <v>9.5624999999999988E-2</v>
      </c>
      <c r="I184" s="108">
        <f>IF('Chemical Info'!H185="NA","NA",IF('Chemical Info'!E185="Yes",0,('Chemical Info'!H185/'Chemical Info'!AF185)*'Com-Ind Equations'!$B$19*'Chemical Info'!AB185*'Com-Ind Equations'!$B$22*(('Com-Ind Equations'!$B$24*'Com-Ind Equations'!$B$29*'Com-Ind Equations'!$B$30)/'Com-Ind Equations'!$B$26)))</f>
        <v>0</v>
      </c>
      <c r="J184" s="115">
        <f>IF('Chemical Info'!J185="NA","NA",IF(E184="NA",'Com-Ind Equations'!$B$20*1000*'Com-Ind Equations'!$B$24*'Com-Ind Equations'!$B$21*'Chemical Info'!J185*'Com-Ind Calculations'!C184,IF('Chemical Info'!E185="Yes",'Com-Ind Equations'!$B$20*1000*'Com-Ind Equations'!$B$24*'Com-Ind Equations'!$B$21*'Chemical Info'!J185*'Com-Ind Calculations'!E184,'Com-Ind Equations'!$B$20*1000*'Com-Ind Equations'!$B$24*'Com-Ind Equations'!$B$21*'Chemical Info'!J185*('Com-Ind Calculations'!C184+'Com-Ind Calculations'!E184))))</f>
        <v>4.5084139586012914E-3</v>
      </c>
      <c r="K184" s="117">
        <f>IF('Chemical Info'!J185="NA","NA",IF(F184="NA",'Com-Ind Equations'!$B$20*1000*'Com-Ind Equations'!$B$24*'Com-Ind Equations'!$B$21*'Chemical Info'!J185*'Com-Ind Calculations'!C184,IF('Chemical Info'!E185="Yes",'Com-Ind Equations'!$B$20*1000*'Com-Ind Equations'!$B$24*'Com-Ind Equations'!$B$21*'Chemical Info'!J185*'Com-Ind Calculations'!F184,'Com-Ind Equations'!$B$20*1000*'Com-Ind Equations'!$B$24*'Com-Ind Equations'!$B$21*'Chemical Info'!J185*('Com-Ind Calculations'!C184+'Com-Ind Calculations'!F184))))</f>
        <v>0.56883864775514559</v>
      </c>
      <c r="L184" s="95">
        <f>IF(AND(H184="NA",I184="NA",J184="NA"),"NA",IF(H184="NA",'Com-Ind Equations'!$B$13*'Com-Ind Equations'!$B$14/J184,IF(J184="NA",'Com-Ind Equations'!$B$13*'Com-Ind Equations'!$B$14/(H184+I184),'Com-Ind Equations'!$B$13*'Com-Ind Equations'!$B$14/(H184+I184+J184))))</f>
        <v>2.5515958150156828</v>
      </c>
      <c r="M184" s="95">
        <f>IF(AND(H184="NA",I184="NA",K184="NA"),"NA",IF(H184="NA",'Com-Ind Equations'!$B$13*'Com-Ind Equations'!$B$14/K184,IF(K184="NA",'Com-Ind Equations'!$B$13*'Com-Ind Equations'!$B$14/(H184+I184),'Com-Ind Equations'!$B$13*'Com-Ind Equations'!$B$14/(H184+I184+K184))))</f>
        <v>0.38452065942688202</v>
      </c>
      <c r="N184" s="95">
        <f t="shared" ref="N184:N202" si="230">IF(AND(L184="NA",M184="NA"),"NA",MAX(L184,M184))</f>
        <v>2.5515958150156828</v>
      </c>
      <c r="O184" s="94">
        <f>IF('Chemical Info'!L185="NA","NA",IF('Chemical Info'!E185="Yes",(('Com-Ind Equations'!$B$46*'Chemical Info'!AD185*'Com-Ind Equations'!$B$48*'Com-Ind Equations'!$B$49*'Com-Ind Equations'!$B$51)/('Com-Ind Equations'!$B$55*'Com-Ind Equations'!$B$56))/'Chemical Info'!L185,(('Com-Ind Equations'!$B$46*'Chemical Info'!AD185*'Com-Ind Equations'!$B$48*'Com-Ind Equations'!$B$49*'Com-Ind Equations'!$B$50)/('Com-Ind Equations'!$B$55*'Com-Ind Equations'!$B$56))/'Chemical Info'!L185))</f>
        <v>2.0547945205479451E-2</v>
      </c>
      <c r="P184" s="90">
        <f>IF('Chemical Info'!L185="NA","NA", IF('Chemical Info'!E185="Yes",0,((('Com-Ind Equations'!$B$58*'Com-Ind Equations'!$B$59*'Com-Ind Equations'!$B$48*'Com-Ind Equations'!$B$52*'Com-Ind Equations'!$B$49*'Chemical Info'!AB185)/('Com-Ind Equations'!$B$55*'Com-Ind Equations'!$B$56))/('Chemical Info'!L185*'Chemical Info'!AF185))))</f>
        <v>0</v>
      </c>
      <c r="Q184" s="90" t="str">
        <f>IF('Chemical Info'!N185="NA","NA",IF('Com-Ind Calculations'!E184="NA",(('Com-Ind Equations'!$B$53*'Com-Ind Equations'!$B$49*'Com-Ind Equations'!$B$54*'Com-Ind Calculations'!C184)/('Com-Ind Equations'!$B$56))/('Chemical Info'!N185),IF('Chemical Info'!E185="Yes",(('Com-Ind Equations'!$B$53*'Com-Ind Equations'!$B$49*'Com-Ind Equations'!$B$54*'Com-Ind Calculations'!E184)/('Com-Ind Equations'!$B$56))/('Chemical Info'!N185),(('Com-Ind Equations'!$B$53*'Com-Ind Equations'!$B$49*'Com-Ind Equations'!$B$54*('Com-Ind Calculations'!C184+'Com-Ind Calculations'!E184))/('Com-Ind Equations'!$B$56))/('Chemical Info'!N185))))</f>
        <v>NA</v>
      </c>
      <c r="R184" s="90" t="str">
        <f>IF('Chemical Info'!N185="NA","NA",IF('Com-Ind Calculations'!F184="NA",(('Com-Ind Equations'!$B$53*'Com-Ind Equations'!$B$49*'Com-Ind Equations'!$B$54*'Com-Ind Calculations'!C184)/('Com-Ind Equations'!$B$56))/('Chemical Info'!N185),IF('Chemical Info'!E185="Yes",(('Com-Ind Equations'!$B$53*'Com-Ind Equations'!$B$49*'Com-Ind Equations'!$B$54*'Com-Ind Calculations'!F184)/('Com-Ind Equations'!$B$56))/('Chemical Info'!N185),(('Com-Ind Equations'!$B$53*'Com-Ind Equations'!$B$49*'Com-Ind Equations'!$B$54*('Com-Ind Calculations'!C184+'Com-Ind Calculations'!F184))/('Com-Ind Equations'!$B$56))/('Chemical Info'!N185))))</f>
        <v>NA</v>
      </c>
      <c r="S184" s="90">
        <f>IF(AND(O184="NA",P184="NA",Q184="NA"),"NA",IF(O184="NA",'Com-Ind Equations'!$B$45/'Com-Ind Calculations'!Q184,IF('Com-Ind Calculations'!Q184="NA",'Com-Ind Equations'!$B$45/('Com-Ind Calculations'!O184+'Com-Ind Calculations'!P184),'Com-Ind Equations'!$B$45/('Com-Ind Calculations'!O184+'Com-Ind Calculations'!P184+'Com-Ind Calculations'!Q184))))</f>
        <v>9.7333333333333343</v>
      </c>
      <c r="T184" s="95">
        <f>IF(AND(O184="NA",P184="NA",R184="NA"),"NA",IF(O184="NA",'Com-Ind Equations'!$B$45/R184,IF(R184="NA",'Com-Ind Equations'!$B$45/(O184+P184),'Com-Ind Equations'!$B$45/(O184+P184+R184))))</f>
        <v>9.7333333333333343</v>
      </c>
      <c r="U184" s="97">
        <f t="shared" ref="U184:U202" si="231">IF(AND(S184="NA",T184="NA"),"NA",MAX(S184,T184))</f>
        <v>9.7333333333333343</v>
      </c>
      <c r="V184" s="101">
        <f t="shared" ref="V184:V202" si="232">IF(AND(N184="NA",U184="NA",G184="NA"),"NA",MIN(N184,U184,G184))</f>
        <v>2.5515958150156828</v>
      </c>
      <c r="W184" s="105">
        <f t="shared" ref="W184:W202" si="233">IF(V184&gt;100000,100000,IF(ISNUMBER(ROUND(V184*1000000,2-LEN(INT(V184*1000000)))/1000000),ROUND(V184*1000000,2-LEN(INT(V184*1000000)))/1000000,"NA"))</f>
        <v>2.6</v>
      </c>
      <c r="X184" s="100" t="str">
        <f t="shared" ref="X184:X202" si="234">IF(W184=100000,"Max Limit",IF(V184=G184,"Csat",IF(V184=N184,"Cancer",IF(V184=U184,"Noncancer",""))))</f>
        <v>Cancer</v>
      </c>
      <c r="Y184" s="70"/>
    </row>
    <row r="185" spans="1:25">
      <c r="A185" s="413" t="s">
        <v>191</v>
      </c>
      <c r="B185" s="566" t="s">
        <v>192</v>
      </c>
      <c r="C185" s="85">
        <f>1/(('Com-Ind Equations'!$B$123*3600)/(0.036*(1-'Com-Ind Equations'!$B$124)*(('Com-Ind Equations'!$B$125/'Com-Ind Equations'!$B$126)^3)*'Com-Ind Equations'!$B$127))</f>
        <v>1.4713536180231943E-9</v>
      </c>
      <c r="D185" s="90">
        <f>(('Com-Ind Equations'!$B$103^(10/3)*'Chemical Info'!AH186*'Chemical Info'!AN186*41+'Com-Ind Equations'!$B$106^(10/3)*'Chemical Info'!AJ186)/'Com-Ind Equations'!$B$108^2)/('Com-Ind Equations'!$B$110*'Chemical Info'!AL186*'Com-Ind Equations'!$B$113+'Com-Ind Equations'!$B$106+'Com-Ind Equations'!$B$103*'Chemical Info'!AN186*41)</f>
        <v>1.5647967483035394E-9</v>
      </c>
      <c r="E185" s="65">
        <f>IF(D185=0,"NA",1/(('Com-Ind Equations'!$B$74*(3.14*D185*'Com-Ind Equations'!$B$76)^(1/2)*0.0001)/(2*'Com-Ind Equations'!$B$77*D185)))</f>
        <v>2.3219750631969113E-7</v>
      </c>
      <c r="F185" s="65">
        <f>IF(D185=0,"NA",(1/('Com-Ind Equations'!$B$88*('Com-Ind Equations'!$B$89*(31500000))/('Com-Ind Equations'!$B$90*'Com-Ind Equations'!$B$91*1000000))))</f>
        <v>6.1914410640015851E-5</v>
      </c>
      <c r="G185" s="95" t="str">
        <f>IF('Chemical Info'!E186="Yes",('Chemical Info'!AP186/'Com-Ind Equations'!$B$139)*((('Chemical Info'!AL186*'Com-Ind Equations'!$B$141)*'Com-Ind Equations'!$B$139)+'Com-Ind Equations'!$B$142+('Chemical Info'!AN186*41)*'Com-Ind Equations'!$B$144),"NA")</f>
        <v>NA</v>
      </c>
      <c r="H185" s="112">
        <f>IF('Chemical Info'!H186="NA","NA",IF('Chemical Info'!E186="Yes",'Chemical Info'!H186*'Chemical Info'!AD186*'Com-Ind Equations'!$B$18*'Com-Ind Equations'!$B$22*(('Com-Ind Equations'!$B$24*'Com-Ind Equations'!$B$25)/'Com-Ind Equations'!$B$26),'Chemical Info'!H186*'Chemical Info'!AD186*'Com-Ind Equations'!$B$17*'Com-Ind Equations'!$B$22*('Com-Ind Equations'!$B$24*'Com-Ind Equations'!$B$25/'Com-Ind Equations'!$B$26)))</f>
        <v>1.5624999999999998E-4</v>
      </c>
      <c r="I185" s="108">
        <f>IF('Chemical Info'!H186="NA","NA",IF('Chemical Info'!E186="Yes",0,('Chemical Info'!H186/'Chemical Info'!AF186)*'Com-Ind Equations'!$B$19*'Chemical Info'!AB186*'Com-Ind Equations'!$B$22*(('Com-Ind Equations'!$B$24*'Com-Ind Equations'!$B$29*'Com-Ind Equations'!$B$30)/'Com-Ind Equations'!$B$26)))</f>
        <v>4.7614500000000003E-5</v>
      </c>
      <c r="J185" s="115" t="str">
        <f>IF('Chemical Info'!J186="NA","NA",IF(E185="NA",'Com-Ind Equations'!$B$20*1000*'Com-Ind Equations'!$B$24*'Com-Ind Equations'!$B$21*'Chemical Info'!J186*'Com-Ind Calculations'!C185,IF('Chemical Info'!E186="Yes",'Com-Ind Equations'!$B$20*1000*'Com-Ind Equations'!$B$24*'Com-Ind Equations'!$B$21*'Chemical Info'!J186*'Com-Ind Calculations'!E185,'Com-Ind Equations'!$B$20*1000*'Com-Ind Equations'!$B$24*'Com-Ind Equations'!$B$21*'Chemical Info'!J186*('Com-Ind Calculations'!C185+'Com-Ind Calculations'!E185))))</f>
        <v>NA</v>
      </c>
      <c r="K185" s="117" t="str">
        <f>IF('Chemical Info'!J186="NA","NA",IF(F185="NA",'Com-Ind Equations'!$B$20*1000*'Com-Ind Equations'!$B$24*'Com-Ind Equations'!$B$21*'Chemical Info'!J186*'Com-Ind Calculations'!C185,IF('Chemical Info'!E186="Yes",'Com-Ind Equations'!$B$20*1000*'Com-Ind Equations'!$B$24*'Com-Ind Equations'!$B$21*'Chemical Info'!J186*'Com-Ind Calculations'!F185,'Com-Ind Equations'!$B$20*1000*'Com-Ind Equations'!$B$24*'Com-Ind Equations'!$B$21*'Chemical Info'!J186*('Com-Ind Calculations'!C185+'Com-Ind Calculations'!F185))))</f>
        <v>NA</v>
      </c>
      <c r="L185" s="95">
        <f>IF(AND(H185="NA",I185="NA",J185="NA"),"NA",IF(H185="NA",'Com-Ind Equations'!$B$13*'Com-Ind Equations'!$B$14/J185,IF(J185="NA",'Com-Ind Equations'!$B$13*'Com-Ind Equations'!$B$14/(H185+I185),'Com-Ind Equations'!$B$13*'Com-Ind Equations'!$B$14/(H185+I185+J185))))</f>
        <v>1253.283430906313</v>
      </c>
      <c r="M185" s="95">
        <f>IF(AND(H185="NA",I185="NA",K185="NA"),"NA",IF(H185="NA",'Com-Ind Equations'!$B$13*'Com-Ind Equations'!$B$14/K185,IF(K185="NA",'Com-Ind Equations'!$B$13*'Com-Ind Equations'!$B$14/(H185+I185),'Com-Ind Equations'!$B$13*'Com-Ind Equations'!$B$14/(H185+I185+K185))))</f>
        <v>1253.283430906313</v>
      </c>
      <c r="N185" s="95">
        <f t="shared" si="230"/>
        <v>1253.283430906313</v>
      </c>
      <c r="O185" s="94" t="str">
        <f>IF('Chemical Info'!L186="NA","NA",IF('Chemical Info'!E186="Yes",(('Com-Ind Equations'!$B$46*'Chemical Info'!AD186*'Com-Ind Equations'!$B$48*'Com-Ind Equations'!$B$49*'Com-Ind Equations'!$B$51)/('Com-Ind Equations'!$B$55*'Com-Ind Equations'!$B$56))/'Chemical Info'!L186,(('Com-Ind Equations'!$B$46*'Chemical Info'!AD186*'Com-Ind Equations'!$B$48*'Com-Ind Equations'!$B$49*'Com-Ind Equations'!$B$50)/('Com-Ind Equations'!$B$55*'Com-Ind Equations'!$B$56))/'Chemical Info'!L186))</f>
        <v>NA</v>
      </c>
      <c r="P185" s="90" t="str">
        <f>IF('Chemical Info'!L186="NA","NA", IF('Chemical Info'!E186="Yes",0,((('Com-Ind Equations'!$B$58*'Com-Ind Equations'!$B$59*'Com-Ind Equations'!$B$48*'Com-Ind Equations'!$B$52*'Com-Ind Equations'!$B$49*'Chemical Info'!AB186)/('Com-Ind Equations'!$B$55*'Com-Ind Equations'!$B$56))/('Chemical Info'!L186*'Chemical Info'!AF186))))</f>
        <v>NA</v>
      </c>
      <c r="Q185" s="90" t="str">
        <f>IF('Chemical Info'!N186="NA","NA",IF('Com-Ind Calculations'!E185="NA",(('Com-Ind Equations'!$B$53*'Com-Ind Equations'!$B$49*'Com-Ind Equations'!$B$54*'Com-Ind Calculations'!C185)/('Com-Ind Equations'!$B$56))/('Chemical Info'!N186),IF('Chemical Info'!E186="Yes",(('Com-Ind Equations'!$B$53*'Com-Ind Equations'!$B$49*'Com-Ind Equations'!$B$54*'Com-Ind Calculations'!E185)/('Com-Ind Equations'!$B$56))/('Chemical Info'!N186),(('Com-Ind Equations'!$B$53*'Com-Ind Equations'!$B$49*'Com-Ind Equations'!$B$54*('Com-Ind Calculations'!C185+'Com-Ind Calculations'!E185))/('Com-Ind Equations'!$B$56))/('Chemical Info'!N186))))</f>
        <v>NA</v>
      </c>
      <c r="R185" s="90" t="str">
        <f>IF('Chemical Info'!N186="NA","NA",IF('Com-Ind Calculations'!F185="NA",(('Com-Ind Equations'!$B$53*'Com-Ind Equations'!$B$49*'Com-Ind Equations'!$B$54*'Com-Ind Calculations'!C185)/('Com-Ind Equations'!$B$56))/('Chemical Info'!N186),IF('Chemical Info'!E186="Yes",(('Com-Ind Equations'!$B$53*'Com-Ind Equations'!$B$49*'Com-Ind Equations'!$B$54*'Com-Ind Calculations'!F185)/('Com-Ind Equations'!$B$56))/('Chemical Info'!N186),(('Com-Ind Equations'!$B$53*'Com-Ind Equations'!$B$49*'Com-Ind Equations'!$B$54*('Com-Ind Calculations'!C185+'Com-Ind Calculations'!F185))/('Com-Ind Equations'!$B$56))/('Chemical Info'!N186))))</f>
        <v>NA</v>
      </c>
      <c r="S185" s="90" t="str">
        <f>IF(AND(O185="NA",P185="NA",Q185="NA"),"NA",IF(O185="NA",'Com-Ind Equations'!$B$45/'Com-Ind Calculations'!Q185,IF('Com-Ind Calculations'!Q185="NA",'Com-Ind Equations'!$B$45/('Com-Ind Calculations'!O185+'Com-Ind Calculations'!P185),'Com-Ind Equations'!$B$45/('Com-Ind Calculations'!O185+'Com-Ind Calculations'!P185+'Com-Ind Calculations'!Q185))))</f>
        <v>NA</v>
      </c>
      <c r="T185" s="95" t="str">
        <f>IF(AND(O185="NA",P185="NA",R185="NA"),"NA",IF(O185="NA",'Com-Ind Equations'!$B$45/R185,IF(R185="NA",'Com-Ind Equations'!$B$45/(O185+P185),'Com-Ind Equations'!$B$45/(O185+P185+R185))))</f>
        <v>NA</v>
      </c>
      <c r="U185" s="97" t="str">
        <f t="shared" si="231"/>
        <v>NA</v>
      </c>
      <c r="V185" s="101">
        <f t="shared" si="232"/>
        <v>1253.283430906313</v>
      </c>
      <c r="W185" s="105">
        <f t="shared" si="233"/>
        <v>1300</v>
      </c>
      <c r="X185" s="100" t="str">
        <f t="shared" si="234"/>
        <v>Cancer</v>
      </c>
      <c r="Y185" s="70"/>
    </row>
    <row r="186" spans="1:25">
      <c r="A186" s="413" t="s">
        <v>193</v>
      </c>
      <c r="B186" s="566" t="s">
        <v>194</v>
      </c>
      <c r="C186" s="85">
        <f>1/(('Com-Ind Equations'!$B$123*3600)/(0.036*(1-'Com-Ind Equations'!$B$124)*(('Com-Ind Equations'!$B$125/'Com-Ind Equations'!$B$126)^3)*'Com-Ind Equations'!$B$127))</f>
        <v>1.4713536180231943E-9</v>
      </c>
      <c r="D186" s="90">
        <f>(('Com-Ind Equations'!$B$103^(10/3)*'Chemical Info'!AH187*'Chemical Info'!AN187*41+'Com-Ind Equations'!$B$106^(10/3)*'Chemical Info'!AJ187)/'Com-Ind Equations'!$B$108^2)/('Com-Ind Equations'!$B$110*'Chemical Info'!AL187*'Com-Ind Equations'!$B$113+'Com-Ind Equations'!$B$106+'Com-Ind Equations'!$B$103*'Chemical Info'!AN187*41)</f>
        <v>1.7703781354493744E-7</v>
      </c>
      <c r="E186" s="65">
        <f>IF(D186=0,"NA",1/(('Com-Ind Equations'!$B$74*(3.14*D186*'Com-Ind Equations'!$B$76)^(1/2)*0.0001)/(2*'Com-Ind Equations'!$B$77*D186)))</f>
        <v>2.4697989548445502E-6</v>
      </c>
      <c r="F186" s="65">
        <f>IF(D186=0,"NA",(1/('Com-Ind Equations'!$B$88*('Com-Ind Equations'!$B$89*(31500000))/('Com-Ind Equations'!$B$90*'Com-Ind Equations'!$B$91*1000000))))</f>
        <v>6.1914410640015851E-5</v>
      </c>
      <c r="G186" s="95" t="str">
        <f>IF('Chemical Info'!E187="Yes",('Chemical Info'!AP187/'Com-Ind Equations'!$B$139)*((('Chemical Info'!AL187*'Com-Ind Equations'!$B$141)*'Com-Ind Equations'!$B$139)+'Com-Ind Equations'!$B$142+('Chemical Info'!AN187*41)*'Com-Ind Equations'!$B$144),"NA")</f>
        <v>NA</v>
      </c>
      <c r="H186" s="112" t="str">
        <f>IF('Chemical Info'!H187="NA","NA",IF('Chemical Info'!E187="Yes",'Chemical Info'!H187*'Chemical Info'!AD187*'Com-Ind Equations'!$B$18*'Com-Ind Equations'!$B$22*(('Com-Ind Equations'!$B$24*'Com-Ind Equations'!$B$25)/'Com-Ind Equations'!$B$26),'Chemical Info'!H187*'Chemical Info'!AD187*'Com-Ind Equations'!$B$17*'Com-Ind Equations'!$B$22*('Com-Ind Equations'!$B$24*'Com-Ind Equations'!$B$25/'Com-Ind Equations'!$B$26)))</f>
        <v>NA</v>
      </c>
      <c r="I186" s="108" t="str">
        <f>IF('Chemical Info'!H187="NA","NA",IF('Chemical Info'!E187="Yes",0,('Chemical Info'!H187/'Chemical Info'!AF187)*'Com-Ind Equations'!$B$19*'Chemical Info'!AB187*'Com-Ind Equations'!$B$22*(('Com-Ind Equations'!$B$24*'Com-Ind Equations'!$B$29*'Com-Ind Equations'!$B$30)/'Com-Ind Equations'!$B$26)))</f>
        <v>NA</v>
      </c>
      <c r="J186" s="115" t="str">
        <f>IF('Chemical Info'!J187="NA","NA",IF(E186="NA",'Com-Ind Equations'!$B$20*1000*'Com-Ind Equations'!$B$24*'Com-Ind Equations'!$B$21*'Chemical Info'!J187*'Com-Ind Calculations'!C186,IF('Chemical Info'!E187="Yes",'Com-Ind Equations'!$B$20*1000*'Com-Ind Equations'!$B$24*'Com-Ind Equations'!$B$21*'Chemical Info'!J187*'Com-Ind Calculations'!E186,'Com-Ind Equations'!$B$20*1000*'Com-Ind Equations'!$B$24*'Com-Ind Equations'!$B$21*'Chemical Info'!J187*('Com-Ind Calculations'!C186+'Com-Ind Calculations'!E186))))</f>
        <v>NA</v>
      </c>
      <c r="K186" s="117" t="str">
        <f>IF('Chemical Info'!J187="NA","NA",IF(F186="NA",'Com-Ind Equations'!$B$20*1000*'Com-Ind Equations'!$B$24*'Com-Ind Equations'!$B$21*'Chemical Info'!J187*'Com-Ind Calculations'!C186,IF('Chemical Info'!E187="Yes",'Com-Ind Equations'!$B$20*1000*'Com-Ind Equations'!$B$24*'Com-Ind Equations'!$B$21*'Chemical Info'!J187*'Com-Ind Calculations'!F186,'Com-Ind Equations'!$B$20*1000*'Com-Ind Equations'!$B$24*'Com-Ind Equations'!$B$21*'Chemical Info'!J187*('Com-Ind Calculations'!C186+'Com-Ind Calculations'!F186))))</f>
        <v>NA</v>
      </c>
      <c r="L186" s="95" t="str">
        <f>IF(AND(H186="NA",I186="NA",J186="NA"),"NA",IF(H186="NA",'Com-Ind Equations'!$B$13*'Com-Ind Equations'!$B$14/J186,IF(J186="NA",'Com-Ind Equations'!$B$13*'Com-Ind Equations'!$B$14/(H186+I186),'Com-Ind Equations'!$B$13*'Com-Ind Equations'!$B$14/(H186+I186+J186))))</f>
        <v>NA</v>
      </c>
      <c r="M186" s="95" t="str">
        <f>IF(AND(H186="NA",I186="NA",K186="NA"),"NA",IF(H186="NA",'Com-Ind Equations'!$B$13*'Com-Ind Equations'!$B$14/K186,IF(K186="NA",'Com-Ind Equations'!$B$13*'Com-Ind Equations'!$B$14/(H186+I186),'Com-Ind Equations'!$B$13*'Com-Ind Equations'!$B$14/(H186+I186+K186))))</f>
        <v>NA</v>
      </c>
      <c r="N186" s="95" t="str">
        <f t="shared" si="230"/>
        <v>NA</v>
      </c>
      <c r="O186" s="94">
        <f>IF('Chemical Info'!L187="NA","NA",IF('Chemical Info'!E187="Yes",(('Com-Ind Equations'!$B$46*'Chemical Info'!AD187*'Com-Ind Equations'!$B$48*'Com-Ind Equations'!$B$49*'Com-Ind Equations'!$B$51)/('Com-Ind Equations'!$B$55*'Com-Ind Equations'!$B$56))/'Chemical Info'!L187,(('Com-Ind Equations'!$B$46*'Chemical Info'!AD187*'Com-Ind Equations'!$B$48*'Com-Ind Equations'!$B$49*'Com-Ind Equations'!$B$50)/('Com-Ind Equations'!$B$55*'Com-Ind Equations'!$B$56))/'Chemical Info'!L187))</f>
        <v>5.7077625570776247E-5</v>
      </c>
      <c r="P186" s="90">
        <f>IF('Chemical Info'!L187="NA","NA", IF('Chemical Info'!E187="Yes",0,((('Com-Ind Equations'!$B$58*'Com-Ind Equations'!$B$59*'Com-Ind Equations'!$B$48*'Com-Ind Equations'!$B$52*'Com-Ind Equations'!$B$49*'Chemical Info'!AB187)/('Com-Ind Equations'!$B$55*'Com-Ind Equations'!$B$56))/('Chemical Info'!L187*'Chemical Info'!AF187))))</f>
        <v>1.7393424657534246E-5</v>
      </c>
      <c r="Q186" s="90" t="str">
        <f>IF('Chemical Info'!N187="NA","NA",IF('Com-Ind Calculations'!E186="NA",(('Com-Ind Equations'!$B$53*'Com-Ind Equations'!$B$49*'Com-Ind Equations'!$B$54*'Com-Ind Calculations'!C186)/('Com-Ind Equations'!$B$56))/('Chemical Info'!N187),IF('Chemical Info'!E187="Yes",(('Com-Ind Equations'!$B$53*'Com-Ind Equations'!$B$49*'Com-Ind Equations'!$B$54*'Com-Ind Calculations'!E186)/('Com-Ind Equations'!$B$56))/('Chemical Info'!N187),(('Com-Ind Equations'!$B$53*'Com-Ind Equations'!$B$49*'Com-Ind Equations'!$B$54*('Com-Ind Calculations'!C186+'Com-Ind Calculations'!E186))/('Com-Ind Equations'!$B$56))/('Chemical Info'!N187))))</f>
        <v>NA</v>
      </c>
      <c r="R186" s="90" t="str">
        <f>IF('Chemical Info'!N187="NA","NA",IF('Com-Ind Calculations'!F186="NA",(('Com-Ind Equations'!$B$53*'Com-Ind Equations'!$B$49*'Com-Ind Equations'!$B$54*'Com-Ind Calculations'!C186)/('Com-Ind Equations'!$B$56))/('Chemical Info'!N187),IF('Chemical Info'!E187="Yes",(('Com-Ind Equations'!$B$53*'Com-Ind Equations'!$B$49*'Com-Ind Equations'!$B$54*'Com-Ind Calculations'!F186)/('Com-Ind Equations'!$B$56))/('Chemical Info'!N187),(('Com-Ind Equations'!$B$53*'Com-Ind Equations'!$B$49*'Com-Ind Equations'!$B$54*('Com-Ind Calculations'!C186+'Com-Ind Calculations'!F186))/('Com-Ind Equations'!$B$56))/('Chemical Info'!N187))))</f>
        <v>NA</v>
      </c>
      <c r="S186" s="90">
        <f>IF(AND(O186="NA",P186="NA",Q186="NA"),"NA",IF(O186="NA",'Com-Ind Equations'!$B$45/'Com-Ind Calculations'!Q186,IF('Com-Ind Calculations'!Q186="NA",'Com-Ind Equations'!$B$45/('Com-Ind Calculations'!O186+'Com-Ind Calculations'!P186),'Com-Ind Equations'!$B$45/('Com-Ind Calculations'!O186+'Com-Ind Calculations'!P186+'Com-Ind Calculations'!Q186))))</f>
        <v>2685.6073519420993</v>
      </c>
      <c r="T186" s="95">
        <f>IF(AND(O186="NA",P186="NA",R186="NA"),"NA",IF(O186="NA",'Com-Ind Equations'!$B$45/R186,IF(R186="NA",'Com-Ind Equations'!$B$45/(O186+P186),'Com-Ind Equations'!$B$45/(O186+P186+R186))))</f>
        <v>2685.6073519420993</v>
      </c>
      <c r="U186" s="97">
        <f t="shared" si="231"/>
        <v>2685.6073519420993</v>
      </c>
      <c r="V186" s="101">
        <f t="shared" si="232"/>
        <v>2685.6073519420993</v>
      </c>
      <c r="W186" s="105">
        <f t="shared" si="233"/>
        <v>2700</v>
      </c>
      <c r="X186" s="100" t="str">
        <f t="shared" si="234"/>
        <v>Noncancer</v>
      </c>
      <c r="Y186" s="70"/>
    </row>
    <row r="187" spans="1:25" ht="12">
      <c r="A187" s="636" t="s">
        <v>1030</v>
      </c>
      <c r="B187" s="590" t="s">
        <v>426</v>
      </c>
      <c r="C187" s="85">
        <f>1/(('Com-Ind Equations'!$B$123*3600)/(0.036*(1-'Com-Ind Equations'!$B$124)*(('Com-Ind Equations'!$B$125/'Com-Ind Equations'!$B$126)^3)*'Com-Ind Equations'!$B$127))</f>
        <v>1.4713536180231943E-9</v>
      </c>
      <c r="D187" s="90">
        <f>(('Com-Ind Equations'!$B$103^(10/3)*'Chemical Info'!AH188*'Chemical Info'!AN188*41+'Com-Ind Equations'!$B$106^(10/3)*'Chemical Info'!AJ188)/'Com-Ind Equations'!$B$108^2)/('Com-Ind Equations'!$B$110*'Chemical Info'!AL188*'Com-Ind Equations'!$B$113+'Com-Ind Equations'!$B$106+'Com-Ind Equations'!$B$103*'Chemical Info'!AN188*41)</f>
        <v>1.733060586620051E-8</v>
      </c>
      <c r="E187" s="65">
        <f>IF(D187=0,"NA",1/(('Com-Ind Equations'!$B$74*(3.14*D187*'Com-Ind Equations'!$B$76)^(1/2)*0.0001)/(2*'Com-Ind Equations'!$B$77*D187)))</f>
        <v>7.7274367083612035E-7</v>
      </c>
      <c r="F187" s="65">
        <f>IF(D187=0,"NA",(1/('Com-Ind Equations'!$B$88*('Com-Ind Equations'!$B$89*(31500000))/('Com-Ind Equations'!$B$90*'Com-Ind Equations'!$B$91*1000000))))</f>
        <v>6.1914410640015851E-5</v>
      </c>
      <c r="G187" s="120"/>
      <c r="H187" s="112">
        <f>IF('Chemical Info'!H188="NA","NA",IF('Chemical Info'!E188="Yes",'Chemical Info'!H188*'Chemical Info'!AD188*'Com-Ind Equations'!$B$18*'Com-Ind Equations'!$B$22*(('Com-Ind Equations'!$B$24*'Com-Ind Equations'!$B$25)/'Com-Ind Equations'!$B$26),'Chemical Info'!H188*'Chemical Info'!AD188*'Com-Ind Equations'!$B$17*'Com-Ind Equations'!$B$22*('Com-Ind Equations'!$B$24*'Com-Ind Equations'!$B$25/'Com-Ind Equations'!$B$26)))</f>
        <v>1.9687499999999996E-3</v>
      </c>
      <c r="I187" s="562">
        <f>IF('Chemical Info'!H188="NA","NA",('Chemical Info'!H188/'Chemical Info'!AF188)*'Com-Ind Equations'!$B$19*'Chemical Info'!AB188*'Com-Ind Equations'!$B$22*(('Com-Ind Equations'!$B$24*'Com-Ind Equations'!$B$29*'Com-Ind Equations'!$B$30)/'Com-Ind Equations'!$B$26))</f>
        <v>3.3330149999999994E-4</v>
      </c>
      <c r="J187" s="115">
        <f>IF('Chemical Info'!J188="NA","NA",IF(E187="NA",'Com-Ind Equations'!$B$20*1000*'Com-Ind Equations'!$B$24*'Com-Ind Equations'!$B$21*'Chemical Info'!J188*'Com-Ind Calculations'!C187,IF('Chemical Info'!E188="Yes",'Com-Ind Equations'!$B$20*1000*'Com-Ind Equations'!$B$24*'Com-Ind Equations'!$B$21*'Chemical Info'!J188*'Com-Ind Calculations'!E187,'Com-Ind Equations'!$B$20*1000*'Com-Ind Equations'!$B$24*'Com-Ind Equations'!$B$21*'Chemical Info'!J188*('Com-Ind Calculations'!C187+'Com-Ind Calculations'!E187))))</f>
        <v>1.4488943828177257E-4</v>
      </c>
      <c r="K187" s="117">
        <f>IF('Chemical Info'!J188="NA","NA",IF(F187="NA",'Com-Ind Equations'!$B$20*1000*'Com-Ind Equations'!$B$24*'Com-Ind Equations'!$B$21*'Chemical Info'!J188*'Com-Ind Calculations'!C187,IF('Chemical Info'!E188="Yes",'Com-Ind Equations'!$B$20*1000*'Com-Ind Equations'!$B$24*'Com-Ind Equations'!$B$21*'Chemical Info'!J188*'Com-Ind Calculations'!F187,'Com-Ind Equations'!$B$20*1000*'Com-Ind Equations'!$B$24*'Com-Ind Equations'!$B$21*'Chemical Info'!J188*('Com-Ind Calculations'!C187+'Com-Ind Calculations'!F187))))</f>
        <v>1.1608951995002972E-2</v>
      </c>
      <c r="L187" s="95">
        <f>IF(AND(H187="NA",I187="NA",J187="NA"),"NA",IF(H187="NA",'Com-Ind Equations'!$B$13*'Com-Ind Equations'!$B$14/J187,IF(J187="NA",'Com-Ind Equations'!$B$13*'Com-Ind Equations'!$B$14/(H187+I187),'Com-Ind Equations'!$B$13*'Com-Ind Equations'!$B$14/(H187+I187+J187))))</f>
        <v>104.41608786005708</v>
      </c>
      <c r="M187" s="95">
        <f>IF(AND(H187="NA",I187="NA",K187="NA"),"NA",IF(H187="NA",'Com-Ind Equations'!$B$13*'Com-Ind Equations'!$B$14/K187,IF(K187="NA",'Com-Ind Equations'!$B$13*'Com-Ind Equations'!$B$14/(H187+I187),'Com-Ind Equations'!$B$13*'Com-Ind Equations'!$B$14/(H187+I187+K187))))</f>
        <v>18.366755503424265</v>
      </c>
      <c r="N187" s="95">
        <f t="shared" si="230"/>
        <v>104.41608786005708</v>
      </c>
      <c r="O187" s="94">
        <f>IF('Chemical Info'!L188="NA","NA",IF('Chemical Info'!E188="Yes",(('Com-Ind Equations'!$B$46*'Chemical Info'!AD188*'Com-Ind Equations'!$B$48*'Com-Ind Equations'!$B$49*'Com-Ind Equations'!$B$51)/('Com-Ind Equations'!$B$55*'Com-Ind Equations'!$B$56))/'Chemical Info'!L188,(('Com-Ind Equations'!$B$46*'Chemical Info'!AD188*'Com-Ind Equations'!$B$48*'Com-Ind Equations'!$B$49*'Com-Ind Equations'!$B$50)/('Com-Ind Equations'!$B$55*'Com-Ind Equations'!$B$56))/'Chemical Info'!L188))</f>
        <v>1.2328767123287671E-3</v>
      </c>
      <c r="P187" s="564">
        <f>IF('Chemical Info'!L188="NA","NA", ((('Com-Ind Equations'!$B$58*'Com-Ind Equations'!$B$59*'Com-Ind Equations'!$B$48*'Com-Ind Equations'!$B$52*'Com-Ind Equations'!$B$49*'Chemical Info'!AB188)/('Com-Ind Equations'!$B$55*'Com-Ind Equations'!$B$56))/('Chemical Info'!L188*'Chemical Info'!AF188)))</f>
        <v>2.0872109589041094E-4</v>
      </c>
      <c r="Q187" s="90">
        <f>IF('Chemical Info'!N188="NA","NA",IF('Com-Ind Calculations'!E187="NA",(('Com-Ind Equations'!$B$53*'Com-Ind Equations'!$B$49*'Com-Ind Equations'!$B$54*'Com-Ind Calculations'!C187)/('Com-Ind Equations'!$B$56))/('Chemical Info'!N188),IF('Chemical Info'!E188="Yes",(('Com-Ind Equations'!$B$53*'Com-Ind Equations'!$B$49*'Com-Ind Equations'!$B$54*'Com-Ind Calculations'!E187)/('Com-Ind Equations'!$B$56))/('Chemical Info'!N188),(('Com-Ind Equations'!$B$53*'Com-Ind Equations'!$B$49*'Com-Ind Equations'!$B$54*('Com-Ind Calculations'!C187+'Com-Ind Calculations'!E187))/('Com-Ind Equations'!$B$56))/('Chemical Info'!N188))))</f>
        <v>2.2683278008888075E-4</v>
      </c>
      <c r="R187" s="90">
        <f>IF('Chemical Info'!N188="NA","NA",IF('Com-Ind Calculations'!F187="NA",(('Com-Ind Equations'!$B$53*'Com-Ind Equations'!$B$49*'Com-Ind Equations'!$B$54*'Com-Ind Calculations'!C187)/('Com-Ind Equations'!$B$56))/('Chemical Info'!N188),IF('Chemical Info'!E188="Yes",(('Com-Ind Equations'!$B$53*'Com-Ind Equations'!$B$49*'Com-Ind Equations'!$B$54*'Com-Ind Calculations'!F187)/('Com-Ind Equations'!$B$56))/('Chemical Info'!N188),(('Com-Ind Equations'!$B$53*'Com-Ind Equations'!$B$49*'Com-Ind Equations'!$B$54*('Com-Ind Calculations'!C187+'Com-Ind Calculations'!F187))/('Com-Ind Equations'!$B$56))/('Chemical Info'!N188))))</f>
        <v>1.8174484532294283E-2</v>
      </c>
      <c r="S187" s="90">
        <f>IF(AND(O187="NA",P187="NA",Q187="NA"),"NA",IF(O187="NA",'Com-Ind Equations'!$B$45/'Com-Ind Calculations'!Q187,IF('Com-Ind Calculations'!Q187="NA",'Com-Ind Equations'!$B$45/('Com-Ind Calculations'!O187+'Com-Ind Calculations'!P187),'Com-Ind Equations'!$B$45/('Com-Ind Calculations'!O187+'Com-Ind Calculations'!P187+'Com-Ind Calculations'!Q187))))</f>
        <v>119.87313191303829</v>
      </c>
      <c r="T187" s="95">
        <f>IF(AND(O187="NA",P187="NA",R187="NA"),"NA",IF(O187="NA",'Com-Ind Equations'!$B$45/R187,IF(R187="NA",'Com-Ind Equations'!$B$45/(O187+P187),'Com-Ind Equations'!$B$45/(O187+P187+R187))))</f>
        <v>10.195715766697017</v>
      </c>
      <c r="U187" s="97">
        <f t="shared" si="231"/>
        <v>119.87313191303829</v>
      </c>
      <c r="V187" s="101">
        <f t="shared" si="232"/>
        <v>104.41608786005708</v>
      </c>
      <c r="W187" s="105">
        <f t="shared" si="233"/>
        <v>100</v>
      </c>
      <c r="X187" s="100" t="str">
        <f t="shared" si="234"/>
        <v>Cancer</v>
      </c>
      <c r="Y187" s="70"/>
    </row>
    <row r="188" spans="1:25">
      <c r="A188" s="373" t="s">
        <v>492</v>
      </c>
      <c r="B188" s="566" t="s">
        <v>1</v>
      </c>
      <c r="C188" s="85">
        <f>1/(('Com-Ind Equations'!$B$123*3600)/(0.036*(1-'Com-Ind Equations'!$B$124)*(('Com-Ind Equations'!$B$125/'Com-Ind Equations'!$B$126)^3)*'Com-Ind Equations'!$B$127))</f>
        <v>1.4713536180231943E-9</v>
      </c>
      <c r="D188" s="90">
        <f>(('Com-Ind Equations'!$B$103^(10/3)*'Chemical Info'!AH189*'Chemical Info'!AN189*41+'Com-Ind Equations'!$B$106^(10/3)*'Chemical Info'!AJ189)/'Com-Ind Equations'!$B$108^2)/('Com-Ind Equations'!$B$110*'Chemical Info'!AL189*'Com-Ind Equations'!$B$113+'Com-Ind Equations'!$B$106+'Com-Ind Equations'!$B$103*'Chemical Info'!AN189*41)</f>
        <v>8.3500606711566645E-10</v>
      </c>
      <c r="E188" s="65">
        <f>IF(D188=0,"NA",1/(('Com-Ind Equations'!$B$74*(3.14*D188*'Com-Ind Equations'!$B$76)^(1/2)*0.0001)/(2*'Com-Ind Equations'!$B$77*D188)))</f>
        <v>1.6961857073675887E-7</v>
      </c>
      <c r="F188" s="65">
        <f>IF(D188=0,"NA",(1/('Com-Ind Equations'!$B$88*('Com-Ind Equations'!$B$89*(31500000))/('Com-Ind Equations'!$B$90*'Com-Ind Equations'!$B$91*1000000))))</f>
        <v>6.1914410640015851E-5</v>
      </c>
      <c r="G188" s="95" t="str">
        <f>IF('Chemical Info'!E189="Yes",('Chemical Info'!AP189/'Com-Ind Equations'!$B$139)*((('Chemical Info'!AL189*'Com-Ind Equations'!$B$141)*'Com-Ind Equations'!$B$139)+'Com-Ind Equations'!$B$142+('Chemical Info'!AN189*41)*'Com-Ind Equations'!$B$144),"NA")</f>
        <v>NA</v>
      </c>
      <c r="H188" s="112">
        <f>IF('Chemical Info'!H189="NA","NA",IF('Chemical Info'!E189="Yes",'Chemical Info'!H189*'Chemical Info'!AD189*'Com-Ind Equations'!$B$18*'Com-Ind Equations'!$B$22*(('Com-Ind Equations'!$B$24*'Com-Ind Equations'!$B$25)/'Com-Ind Equations'!$B$26),'Chemical Info'!H189*'Chemical Info'!AD189*'Com-Ind Equations'!$B$17*'Com-Ind Equations'!$B$22*('Com-Ind Equations'!$B$24*'Com-Ind Equations'!$B$25/'Com-Ind Equations'!$B$26)))</f>
        <v>1.8749999999999999E-3</v>
      </c>
      <c r="I188" s="108">
        <f>IF('Chemical Info'!H189="NA","NA",IF('Chemical Info'!E189="Yes",0,('Chemical Info'!H189/'Chemical Info'!AF189)*'Com-Ind Equations'!$B$19*'Chemical Info'!AB189*'Com-Ind Equations'!$B$22*(('Com-Ind Equations'!$B$24*'Com-Ind Equations'!$B$29*'Com-Ind Equations'!$B$30)/'Com-Ind Equations'!$B$26)))</f>
        <v>5.7137399999999982E-4</v>
      </c>
      <c r="J188" s="115" t="str">
        <f>IF('Chemical Info'!J189="NA","NA",IF(E188="NA",'Com-Ind Equations'!$B$20*1000*'Com-Ind Equations'!$B$24*'Com-Ind Equations'!$B$21*'Chemical Info'!J189*'Com-Ind Calculations'!C188,IF('Chemical Info'!E189="Yes",'Com-Ind Equations'!$B$20*1000*'Com-Ind Equations'!$B$24*'Com-Ind Equations'!$B$21*'Chemical Info'!J189*'Com-Ind Calculations'!E188,'Com-Ind Equations'!$B$20*1000*'Com-Ind Equations'!$B$24*'Com-Ind Equations'!$B$21*'Chemical Info'!J189*('Com-Ind Calculations'!C188+'Com-Ind Calculations'!E188))))</f>
        <v>NA</v>
      </c>
      <c r="K188" s="117" t="str">
        <f>IF('Chemical Info'!J189="NA","NA",IF(F188="NA",'Com-Ind Equations'!$B$20*1000*'Com-Ind Equations'!$B$24*'Com-Ind Equations'!$B$21*'Chemical Info'!J189*'Com-Ind Calculations'!C188,IF('Chemical Info'!E189="Yes",'Com-Ind Equations'!$B$20*1000*'Com-Ind Equations'!$B$24*'Com-Ind Equations'!$B$21*'Chemical Info'!J189*'Com-Ind Calculations'!F188,'Com-Ind Equations'!$B$20*1000*'Com-Ind Equations'!$B$24*'Com-Ind Equations'!$B$21*'Chemical Info'!J189*('Com-Ind Calculations'!C188+'Com-Ind Calculations'!F188))))</f>
        <v>NA</v>
      </c>
      <c r="L188" s="95">
        <f>IF(AND(H188="NA",I188="NA",J188="NA"),"NA",IF(H188="NA",'Com-Ind Equations'!$B$13*'Com-Ind Equations'!$B$14/J188,IF(J188="NA",'Com-Ind Equations'!$B$13*'Com-Ind Equations'!$B$14/(H188+I188),'Com-Ind Equations'!$B$13*'Com-Ind Equations'!$B$14/(H188+I188+J188))))</f>
        <v>104.44028590885941</v>
      </c>
      <c r="M188" s="95">
        <f>IF(AND(H188="NA",I188="NA",K188="NA"),"NA",IF(H188="NA",'Com-Ind Equations'!$B$13*'Com-Ind Equations'!$B$14/K188,IF(K188="NA",'Com-Ind Equations'!$B$13*'Com-Ind Equations'!$B$14/(H188+I188),'Com-Ind Equations'!$B$13*'Com-Ind Equations'!$B$14/(H188+I188+K188))))</f>
        <v>104.44028590885941</v>
      </c>
      <c r="N188" s="95">
        <f t="shared" si="230"/>
        <v>104.44028590885941</v>
      </c>
      <c r="O188" s="94">
        <f>IF('Chemical Info'!L189="NA","NA",IF('Chemical Info'!E189="Yes",(('Com-Ind Equations'!$B$46*'Chemical Info'!AD189*'Com-Ind Equations'!$B$48*'Com-Ind Equations'!$B$49*'Com-Ind Equations'!$B$51)/('Com-Ind Equations'!$B$55*'Com-Ind Equations'!$B$56))/'Chemical Info'!L189,(('Com-Ind Equations'!$B$46*'Chemical Info'!AD189*'Com-Ind Equations'!$B$48*'Com-Ind Equations'!$B$49*'Com-Ind Equations'!$B$50)/('Com-Ind Equations'!$B$55*'Com-Ind Equations'!$B$56))/'Chemical Info'!L189))</f>
        <v>1.7123287671232874E-3</v>
      </c>
      <c r="P188" s="90">
        <f>IF('Chemical Info'!L189="NA","NA", IF('Chemical Info'!E189="Yes",0,((('Com-Ind Equations'!$B$58*'Com-Ind Equations'!$B$59*'Com-Ind Equations'!$B$48*'Com-Ind Equations'!$B$52*'Com-Ind Equations'!$B$49*'Chemical Info'!AB189)/('Com-Ind Equations'!$B$55*'Com-Ind Equations'!$B$56))/('Chemical Info'!L189*'Chemical Info'!AF189))))</f>
        <v>5.2180273972602732E-4</v>
      </c>
      <c r="Q188" s="90" t="str">
        <f>IF('Chemical Info'!N189="NA","NA",IF('Com-Ind Calculations'!E188="NA",(('Com-Ind Equations'!$B$53*'Com-Ind Equations'!$B$49*'Com-Ind Equations'!$B$54*'Com-Ind Calculations'!C188)/('Com-Ind Equations'!$B$56))/('Chemical Info'!N189),IF('Chemical Info'!E189="Yes",(('Com-Ind Equations'!$B$53*'Com-Ind Equations'!$B$49*'Com-Ind Equations'!$B$54*'Com-Ind Calculations'!E188)/('Com-Ind Equations'!$B$56))/('Chemical Info'!N189),(('Com-Ind Equations'!$B$53*'Com-Ind Equations'!$B$49*'Com-Ind Equations'!$B$54*('Com-Ind Calculations'!C188+'Com-Ind Calculations'!E188))/('Com-Ind Equations'!$B$56))/('Chemical Info'!N189))))</f>
        <v>NA</v>
      </c>
      <c r="R188" s="90" t="str">
        <f>IF('Chemical Info'!N189="NA","NA",IF('Com-Ind Calculations'!F188="NA",(('Com-Ind Equations'!$B$53*'Com-Ind Equations'!$B$49*'Com-Ind Equations'!$B$54*'Com-Ind Calculations'!C188)/('Com-Ind Equations'!$B$56))/('Chemical Info'!N189),IF('Chemical Info'!E189="Yes",(('Com-Ind Equations'!$B$53*'Com-Ind Equations'!$B$49*'Com-Ind Equations'!$B$54*'Com-Ind Calculations'!F188)/('Com-Ind Equations'!$B$56))/('Chemical Info'!N189),(('Com-Ind Equations'!$B$53*'Com-Ind Equations'!$B$49*'Com-Ind Equations'!$B$54*('Com-Ind Calculations'!C188+'Com-Ind Calculations'!F188))/('Com-Ind Equations'!$B$56))/('Chemical Info'!N189))))</f>
        <v>NA</v>
      </c>
      <c r="S188" s="90">
        <f>IF(AND(O188="NA",P188="NA",Q188="NA"),"NA",IF(O188="NA",'Com-Ind Equations'!$B$45/'Com-Ind Calculations'!Q188,IF('Com-Ind Calculations'!Q188="NA",'Com-Ind Equations'!$B$45/('Com-Ind Calculations'!O188+'Com-Ind Calculations'!P188),'Com-Ind Equations'!$B$45/('Com-Ind Calculations'!O188+'Com-Ind Calculations'!P188+'Com-Ind Calculations'!Q188))))</f>
        <v>89.520245064736656</v>
      </c>
      <c r="T188" s="95">
        <f>IF(AND(O188="NA",P188="NA",R188="NA"),"NA",IF(O188="NA",'Com-Ind Equations'!$B$45/R188,IF(R188="NA",'Com-Ind Equations'!$B$45/(O188+P188),'Com-Ind Equations'!$B$45/(O188+P188+R188))))</f>
        <v>89.520245064736656</v>
      </c>
      <c r="U188" s="97">
        <f t="shared" si="231"/>
        <v>89.520245064736656</v>
      </c>
      <c r="V188" s="101">
        <f t="shared" si="232"/>
        <v>89.520245064736656</v>
      </c>
      <c r="W188" s="105">
        <f t="shared" si="233"/>
        <v>90</v>
      </c>
      <c r="X188" s="100" t="str">
        <f t="shared" si="234"/>
        <v>Noncancer</v>
      </c>
      <c r="Y188" s="70"/>
    </row>
    <row r="189" spans="1:25" ht="12">
      <c r="A189" s="424" t="s">
        <v>1033</v>
      </c>
      <c r="B189" s="566" t="s">
        <v>2</v>
      </c>
      <c r="C189" s="85">
        <f>1/(('Com-Ind Equations'!$B$123*3600)/(0.036*(1-'Com-Ind Equations'!$B$124)*(('Com-Ind Equations'!$B$125/'Com-Ind Equations'!$B$126)^3)*'Com-Ind Equations'!$B$127))</f>
        <v>1.4713536180231943E-9</v>
      </c>
      <c r="D189" s="90">
        <f>(('Com-Ind Equations'!$B$103^(10/3)*'Chemical Info'!AH190*'Chemical Info'!AN190*41+'Com-Ind Equations'!$B$106^(10/3)*'Chemical Info'!AJ190)/'Com-Ind Equations'!$B$108^2)/('Com-Ind Equations'!$B$110*'Chemical Info'!AL190*'Com-Ind Equations'!$B$113+'Com-Ind Equations'!$B$106+'Com-Ind Equations'!$B$103*'Chemical Info'!AN190*41)</f>
        <v>5.0578460924421255E-9</v>
      </c>
      <c r="E189" s="65">
        <f>IF(D189=0,"NA",1/(('Com-Ind Equations'!$B$74*(3.14*D189*'Com-Ind Equations'!$B$76)^(1/2)*0.0001)/(2*'Com-Ind Equations'!$B$77*D189)))</f>
        <v>4.1745665491138206E-7</v>
      </c>
      <c r="F189" s="65">
        <f>IF(D189=0,"NA",(1/('Com-Ind Equations'!$B$88*('Com-Ind Equations'!$B$89*(31500000))/('Com-Ind Equations'!$B$90*'Com-Ind Equations'!$B$91*1000000))))</f>
        <v>6.1914410640015851E-5</v>
      </c>
      <c r="G189" s="120"/>
      <c r="H189" s="112">
        <f>IF('Chemical Info'!H190="NA","NA",IF('Chemical Info'!E190="Yes",'Chemical Info'!H190*'Chemical Info'!AD190*'Com-Ind Equations'!$B$18*'Com-Ind Equations'!$B$22*(('Com-Ind Equations'!$B$24*'Com-Ind Equations'!$B$25)/'Com-Ind Equations'!$B$26),'Chemical Info'!H190*'Chemical Info'!AD190*'Com-Ind Equations'!$B$17*'Com-Ind Equations'!$B$22*('Com-Ind Equations'!$B$24*'Com-Ind Equations'!$B$25/'Com-Ind Equations'!$B$26)))</f>
        <v>1.9124999999999999E-3</v>
      </c>
      <c r="I189" s="108">
        <f>IF('Chemical Info'!H190="NA","NA",IF('Chemical Info'!E190="Yes",0,('Chemical Info'!H190/'Chemical Info'!AF190)*'Com-Ind Equations'!$B$19*'Chemical Info'!AB190*'Com-Ind Equations'!$B$22*(('Com-Ind Equations'!$B$24*'Com-Ind Equations'!$B$29*'Com-Ind Equations'!$B$30)/'Com-Ind Equations'!$B$26)))</f>
        <v>0</v>
      </c>
      <c r="J189" s="115">
        <f>IF('Chemical Info'!J190="NA","NA",IF(E189="NA",'Com-Ind Equations'!$B$20*1000*'Com-Ind Equations'!$B$24*'Com-Ind Equations'!$B$21*'Chemical Info'!J190*'Com-Ind Calculations'!C189,IF('Chemical Info'!E190="Yes",'Com-Ind Equations'!$B$20*1000*'Com-Ind Equations'!$B$24*'Com-Ind Equations'!$B$21*'Chemical Info'!J190*'Com-Ind Calculations'!E189,'Com-Ind Equations'!$B$20*1000*'Com-Ind Equations'!$B$24*'Com-Ind Equations'!$B$21*'Chemical Info'!J190*('Com-Ind Calculations'!C189+'Com-Ind Calculations'!E189))))</f>
        <v>7.5924929112007613E-5</v>
      </c>
      <c r="K189" s="117">
        <f>IF('Chemical Info'!J190="NA","NA",IF(F189="NA",'Com-Ind Equations'!$B$20*1000*'Com-Ind Equations'!$B$24*'Com-Ind Equations'!$B$21*'Chemical Info'!J190*'Com-Ind Calculations'!C189,IF('Chemical Info'!E190="Yes",'Com-Ind Equations'!$B$20*1000*'Com-Ind Equations'!$B$24*'Com-Ind Equations'!$B$21*'Chemical Info'!J190*'Com-Ind Calculations'!F189,'Com-Ind Equations'!$B$20*1000*'Com-Ind Equations'!$B$24*'Com-Ind Equations'!$B$21*'Chemical Info'!J190*('Com-Ind Calculations'!C189+'Com-Ind Calculations'!F189))))</f>
        <v>1.1260683435152883E-2</v>
      </c>
      <c r="L189" s="95">
        <f>IF(AND(H189="NA",I189="NA",J189="NA"),"NA",IF(H189="NA",'Com-Ind Equations'!$B$13*'Com-Ind Equations'!$B$14/J189,IF(J189="NA",'Com-Ind Equations'!$B$13*'Com-Ind Equations'!$B$14/(H189+I189),'Com-Ind Equations'!$B$13*'Com-Ind Equations'!$B$14/(H189+I189+J189))))</f>
        <v>128.49366162096015</v>
      </c>
      <c r="M189" s="95">
        <f>IF(AND(H189="NA",I189="NA",K189="NA"),"NA",IF(H189="NA",'Com-Ind Equations'!$B$13*'Com-Ind Equations'!$B$14/K189,IF(K189="NA",'Com-Ind Equations'!$B$13*'Com-Ind Equations'!$B$14/(H189+I189),'Com-Ind Equations'!$B$13*'Com-Ind Equations'!$B$14/(H189+I189+K189))))</f>
        <v>19.395463614223541</v>
      </c>
      <c r="N189" s="95">
        <f t="shared" si="230"/>
        <v>128.49366162096015</v>
      </c>
      <c r="O189" s="94">
        <f>IF('Chemical Info'!L190="NA","NA",IF('Chemical Info'!E190="Yes",(('Com-Ind Equations'!$B$46*'Chemical Info'!AD190*'Com-Ind Equations'!$B$48*'Com-Ind Equations'!$B$49*'Com-Ind Equations'!$B$51)/('Com-Ind Equations'!$B$55*'Com-Ind Equations'!$B$56))/'Chemical Info'!L190,(('Com-Ind Equations'!$B$46*'Chemical Info'!AD190*'Com-Ind Equations'!$B$48*'Com-Ind Equations'!$B$49*'Com-Ind Equations'!$B$50)/('Com-Ind Equations'!$B$55*'Com-Ind Equations'!$B$56))/'Chemical Info'!L190))</f>
        <v>1.2328767123287671E-3</v>
      </c>
      <c r="P189" s="90">
        <f>IF('Chemical Info'!L190="NA","NA", IF('Chemical Info'!E190="Yes",0,((('Com-Ind Equations'!$B$58*'Com-Ind Equations'!$B$59*'Com-Ind Equations'!$B$48*'Com-Ind Equations'!$B$52*'Com-Ind Equations'!$B$49*'Chemical Info'!AB190)/('Com-Ind Equations'!$B$55*'Com-Ind Equations'!$B$56))/('Chemical Info'!L190*'Chemical Info'!AF190))))</f>
        <v>0</v>
      </c>
      <c r="Q189" s="90" t="str">
        <f>IF('Chemical Info'!N190="NA","NA",IF('Com-Ind Calculations'!E189="NA",(('Com-Ind Equations'!$B$53*'Com-Ind Equations'!$B$49*'Com-Ind Equations'!$B$54*'Com-Ind Calculations'!C189)/('Com-Ind Equations'!$B$56))/('Chemical Info'!N190),IF('Chemical Info'!E190="Yes",(('Com-Ind Equations'!$B$53*'Com-Ind Equations'!$B$49*'Com-Ind Equations'!$B$54*'Com-Ind Calculations'!E189)/('Com-Ind Equations'!$B$56))/('Chemical Info'!N190),(('Com-Ind Equations'!$B$53*'Com-Ind Equations'!$B$49*'Com-Ind Equations'!$B$54*('Com-Ind Calculations'!C189+'Com-Ind Calculations'!E189))/('Com-Ind Equations'!$B$56))/('Chemical Info'!N190))))</f>
        <v>NA</v>
      </c>
      <c r="R189" s="90" t="str">
        <f>IF('Chemical Info'!N190="NA","NA",IF('Com-Ind Calculations'!F189="NA",(('Com-Ind Equations'!$B$53*'Com-Ind Equations'!$B$49*'Com-Ind Equations'!$B$54*'Com-Ind Calculations'!C189)/('Com-Ind Equations'!$B$56))/('Chemical Info'!N190),IF('Chemical Info'!E190="Yes",(('Com-Ind Equations'!$B$53*'Com-Ind Equations'!$B$49*'Com-Ind Equations'!$B$54*'Com-Ind Calculations'!F189)/('Com-Ind Equations'!$B$56))/('Chemical Info'!N190),(('Com-Ind Equations'!$B$53*'Com-Ind Equations'!$B$49*'Com-Ind Equations'!$B$54*('Com-Ind Calculations'!C189+'Com-Ind Calculations'!F189))/('Com-Ind Equations'!$B$56))/('Chemical Info'!N190))))</f>
        <v>NA</v>
      </c>
      <c r="S189" s="90">
        <f>IF(AND(O189="NA",P189="NA",Q189="NA"),"NA",IF(O189="NA",'Com-Ind Equations'!$B$45/'Com-Ind Calculations'!Q189,IF('Com-Ind Calculations'!Q189="NA",'Com-Ind Equations'!$B$45/('Com-Ind Calculations'!O189+'Com-Ind Calculations'!P189),'Com-Ind Equations'!$B$45/('Com-Ind Calculations'!O189+'Com-Ind Calculations'!P189+'Com-Ind Calculations'!Q189))))</f>
        <v>162.22222222222223</v>
      </c>
      <c r="T189" s="95">
        <f>IF(AND(O189="NA",P189="NA",R189="NA"),"NA",IF(O189="NA",'Com-Ind Equations'!$B$45/R189,IF(R189="NA",'Com-Ind Equations'!$B$45/(O189+P189),'Com-Ind Equations'!$B$45/(O189+P189+R189))))</f>
        <v>162.22222222222223</v>
      </c>
      <c r="U189" s="97">
        <f t="shared" si="231"/>
        <v>162.22222222222223</v>
      </c>
      <c r="V189" s="101">
        <f t="shared" si="232"/>
        <v>128.49366162096015</v>
      </c>
      <c r="W189" s="105">
        <f t="shared" si="233"/>
        <v>130</v>
      </c>
      <c r="X189" s="100" t="str">
        <f t="shared" si="234"/>
        <v>Cancer</v>
      </c>
      <c r="Y189" s="70"/>
    </row>
    <row r="190" spans="1:25">
      <c r="A190" s="413" t="s">
        <v>409</v>
      </c>
      <c r="B190" s="566" t="s">
        <v>3</v>
      </c>
      <c r="C190" s="85">
        <f>1/(('Com-Ind Equations'!$B$123*3600)/(0.036*(1-'Com-Ind Equations'!$B$124)*(('Com-Ind Equations'!$B$125/'Com-Ind Equations'!$B$126)^3)*'Com-Ind Equations'!$B$127))</f>
        <v>1.4713536180231943E-9</v>
      </c>
      <c r="D190" s="90">
        <f>(('Com-Ind Equations'!$B$103^(10/3)*'Chemical Info'!AH191*'Chemical Info'!AN191*41+'Com-Ind Equations'!$B$106^(10/3)*'Chemical Info'!AJ191)/'Com-Ind Equations'!$B$108^2)/('Com-Ind Equations'!$B$110*'Chemical Info'!AL191*'Com-Ind Equations'!$B$113+'Com-Ind Equations'!$B$106+'Com-Ind Equations'!$B$103*'Chemical Info'!AN191*41)</f>
        <v>6.7804632020698571E-10</v>
      </c>
      <c r="E190" s="65">
        <f>IF(D190=0,"NA",1/(('Com-Ind Equations'!$B$74*(3.14*D190*'Com-Ind Equations'!$B$76)^(1/2)*0.0001)/(2*'Com-Ind Equations'!$B$77*D190)))</f>
        <v>1.5284747388843376E-7</v>
      </c>
      <c r="F190" s="65">
        <f>IF(D190=0,"NA",(1/('Com-Ind Equations'!$B$88*('Com-Ind Equations'!$B$89*(31500000))/('Com-Ind Equations'!$B$90*'Com-Ind Equations'!$B$91*1000000))))</f>
        <v>6.1914410640015851E-5</v>
      </c>
      <c r="G190" s="95" t="str">
        <f>IF('Chemical Info'!E191="Yes",('Chemical Info'!AP191/'Com-Ind Equations'!$B$139)*((('Chemical Info'!AL191*'Com-Ind Equations'!$B$141)*'Com-Ind Equations'!$B$139)+'Com-Ind Equations'!$B$142+('Chemical Info'!AN191*41)*'Com-Ind Equations'!$B$144),"NA")</f>
        <v>NA</v>
      </c>
      <c r="H190" s="112">
        <f>IF('Chemical Info'!H191="NA","NA",IF('Chemical Info'!E191="Yes",'Chemical Info'!H191*'Chemical Info'!AD191*'Com-Ind Equations'!$B$18*'Com-Ind Equations'!$B$22*(('Com-Ind Equations'!$B$24*'Com-Ind Equations'!$B$25)/'Com-Ind Equations'!$B$26),'Chemical Info'!H191*'Chemical Info'!AD191*'Com-Ind Equations'!$B$17*'Com-Ind Equations'!$B$22*('Com-Ind Equations'!$B$24*'Com-Ind Equations'!$B$25/'Com-Ind Equations'!$B$26)))</f>
        <v>2.6562499999999998E-3</v>
      </c>
      <c r="I190" s="108">
        <f>IF('Chemical Info'!H191="NA","NA",IF('Chemical Info'!E191="Yes",0,('Chemical Info'!H191/'Chemical Info'!AF191)*'Com-Ind Equations'!$B$19*'Chemical Info'!AB191*'Com-Ind Equations'!$B$22*(('Com-Ind Equations'!$B$24*'Com-Ind Equations'!$B$29*'Com-Ind Equations'!$B$30)/'Com-Ind Equations'!$B$26)))</f>
        <v>2.4283395E-4</v>
      </c>
      <c r="J190" s="115">
        <f>IF('Chemical Info'!J191="NA","NA",IF(E190="NA",'Com-Ind Equations'!$B$20*1000*'Com-Ind Equations'!$B$24*'Com-Ind Equations'!$B$21*'Chemical Info'!J191*'Com-Ind Calculations'!C190,IF('Chemical Info'!E191="Yes",'Com-Ind Equations'!$B$20*1000*'Com-Ind Equations'!$B$24*'Com-Ind Equations'!$B$21*'Chemical Info'!J191*'Com-Ind Calculations'!E190,'Com-Ind Equations'!$B$20*1000*'Com-Ind Equations'!$B$24*'Com-Ind Equations'!$B$21*'Chemical Info'!J191*('Com-Ind Calculations'!C190+'Com-Ind Calculations'!E190))))</f>
        <v>2.8066736752736861E-5</v>
      </c>
      <c r="K190" s="117">
        <f>IF('Chemical Info'!J191="NA","NA",IF(F190="NA",'Com-Ind Equations'!$B$20*1000*'Com-Ind Equations'!$B$24*'Com-Ind Equations'!$B$21*'Chemical Info'!J191*'Com-Ind Calculations'!C190,IF('Chemical Info'!E191="Yes",'Com-Ind Equations'!$B$20*1000*'Com-Ind Equations'!$B$24*'Com-Ind Equations'!$B$21*'Chemical Info'!J191*'Com-Ind Calculations'!F190,'Com-Ind Equations'!$B$20*1000*'Com-Ind Equations'!$B$24*'Com-Ind Equations'!$B$21*'Chemical Info'!J191*('Com-Ind Calculations'!C190+'Com-Ind Calculations'!F190))))</f>
        <v>1.126095103759216E-2</v>
      </c>
      <c r="L190" s="95">
        <f>IF(AND(H190="NA",I190="NA",J190="NA"),"NA",IF(H190="NA",'Com-Ind Equations'!$B$13*'Com-Ind Equations'!$B$14/J190,IF(J190="NA",'Com-Ind Equations'!$B$13*'Com-Ind Equations'!$B$14/(H190+I190),'Com-Ind Equations'!$B$13*'Com-Ind Equations'!$B$14/(H190+I190+J190))))</f>
        <v>87.286247734462023</v>
      </c>
      <c r="M190" s="95">
        <f>IF(AND(H190="NA",I190="NA",K190="NA"),"NA",IF(H190="NA",'Com-Ind Equations'!$B$13*'Com-Ind Equations'!$B$14/K190,IF(K190="NA",'Com-Ind Equations'!$B$13*'Com-Ind Equations'!$B$14/(H190+I190),'Com-Ind Equations'!$B$13*'Com-Ind Equations'!$B$14/(H190+I190+K190))))</f>
        <v>18.043740726903845</v>
      </c>
      <c r="N190" s="95">
        <f t="shared" si="230"/>
        <v>87.286247734462023</v>
      </c>
      <c r="O190" s="94">
        <f>IF('Chemical Info'!L191="NA","NA",IF('Chemical Info'!E191="Yes",(('Com-Ind Equations'!$B$46*'Chemical Info'!AD191*'Com-Ind Equations'!$B$48*'Com-Ind Equations'!$B$49*'Com-Ind Equations'!$B$51)/('Com-Ind Equations'!$B$55*'Com-Ind Equations'!$B$56))/'Chemical Info'!L191,(('Com-Ind Equations'!$B$46*'Chemical Info'!AD191*'Com-Ind Equations'!$B$48*'Com-Ind Equations'!$B$49*'Com-Ind Equations'!$B$50)/('Com-Ind Equations'!$B$55*'Com-Ind Equations'!$B$56))/'Chemical Info'!L191))</f>
        <v>1.7123287671232874E-3</v>
      </c>
      <c r="P190" s="90">
        <f>IF('Chemical Info'!L191="NA","NA", IF('Chemical Info'!E191="Yes",0,((('Com-Ind Equations'!$B$58*'Com-Ind Equations'!$B$59*'Com-Ind Equations'!$B$48*'Com-Ind Equations'!$B$52*'Com-Ind Equations'!$B$49*'Chemical Info'!AB191)/('Com-Ind Equations'!$B$55*'Com-Ind Equations'!$B$56))/('Chemical Info'!L191*'Chemical Info'!AF191))))</f>
        <v>1.5654082191780819E-4</v>
      </c>
      <c r="Q190" s="90" t="str">
        <f>IF('Chemical Info'!N191="NA","NA",IF('Com-Ind Calculations'!E190="NA",(('Com-Ind Equations'!$B$53*'Com-Ind Equations'!$B$49*'Com-Ind Equations'!$B$54*'Com-Ind Calculations'!C190)/('Com-Ind Equations'!$B$56))/('Chemical Info'!N191),IF('Chemical Info'!E191="Yes",(('Com-Ind Equations'!$B$53*'Com-Ind Equations'!$B$49*'Com-Ind Equations'!$B$54*'Com-Ind Calculations'!E190)/('Com-Ind Equations'!$B$56))/('Chemical Info'!N191),(('Com-Ind Equations'!$B$53*'Com-Ind Equations'!$B$49*'Com-Ind Equations'!$B$54*('Com-Ind Calculations'!C190+'Com-Ind Calculations'!E190))/('Com-Ind Equations'!$B$56))/('Chemical Info'!N191))))</f>
        <v>NA</v>
      </c>
      <c r="R190" s="90" t="str">
        <f>IF('Chemical Info'!N191="NA","NA",IF('Com-Ind Calculations'!F190="NA",(('Com-Ind Equations'!$B$53*'Com-Ind Equations'!$B$49*'Com-Ind Equations'!$B$54*'Com-Ind Calculations'!C190)/('Com-Ind Equations'!$B$56))/('Chemical Info'!N191),IF('Chemical Info'!E191="Yes",(('Com-Ind Equations'!$B$53*'Com-Ind Equations'!$B$49*'Com-Ind Equations'!$B$54*'Com-Ind Calculations'!F190)/('Com-Ind Equations'!$B$56))/('Chemical Info'!N191),(('Com-Ind Equations'!$B$53*'Com-Ind Equations'!$B$49*'Com-Ind Equations'!$B$54*('Com-Ind Calculations'!C190+'Com-Ind Calculations'!F190))/('Com-Ind Equations'!$B$56))/('Chemical Info'!N191))))</f>
        <v>NA</v>
      </c>
      <c r="S190" s="90">
        <f>IF(AND(O190="NA",P190="NA",Q190="NA"),"NA",IF(O190="NA",'Com-Ind Equations'!$B$45/'Com-Ind Calculations'!Q190,IF('Com-Ind Calculations'!Q190="NA",'Com-Ind Equations'!$B$45/('Com-Ind Calculations'!O190+'Com-Ind Calculations'!P190),'Com-Ind Equations'!$B$45/('Com-Ind Calculations'!O190+'Com-Ind Calculations'!P190+'Com-Ind Calculations'!Q190))))</f>
        <v>107.01656293878625</v>
      </c>
      <c r="T190" s="95">
        <f>IF(AND(O190="NA",P190="NA",R190="NA"),"NA",IF(O190="NA",'Com-Ind Equations'!$B$45/R190,IF(R190="NA",'Com-Ind Equations'!$B$45/(O190+P190),'Com-Ind Equations'!$B$45/(O190+P190+R190))))</f>
        <v>107.01656293878625</v>
      </c>
      <c r="U190" s="97">
        <f t="shared" si="231"/>
        <v>107.01656293878625</v>
      </c>
      <c r="V190" s="101">
        <f t="shared" si="232"/>
        <v>87.286247734462023</v>
      </c>
      <c r="W190" s="105">
        <f t="shared" si="233"/>
        <v>87</v>
      </c>
      <c r="X190" s="100" t="str">
        <f t="shared" si="234"/>
        <v>Cancer</v>
      </c>
      <c r="Y190" s="70"/>
    </row>
    <row r="191" spans="1:25">
      <c r="A191" s="413" t="s">
        <v>4</v>
      </c>
      <c r="B191" s="566" t="s">
        <v>5</v>
      </c>
      <c r="C191" s="85">
        <f>1/(('Com-Ind Equations'!$B$123*3600)/(0.036*(1-'Com-Ind Equations'!$B$124)*(('Com-Ind Equations'!$B$125/'Com-Ind Equations'!$B$126)^3)*'Com-Ind Equations'!$B$127))</f>
        <v>1.4713536180231943E-9</v>
      </c>
      <c r="D191" s="90">
        <f>(('Com-Ind Equations'!$B$103^(10/3)*'Chemical Info'!AH192*'Chemical Info'!AN192*41+'Com-Ind Equations'!$B$106^(10/3)*'Chemical Info'!AJ192)/'Com-Ind Equations'!$B$108^2)/('Com-Ind Equations'!$B$110*'Chemical Info'!AL192*'Com-Ind Equations'!$B$113+'Com-Ind Equations'!$B$106+'Com-Ind Equations'!$B$103*'Chemical Info'!AN192*41)</f>
        <v>2.0829838641904093E-9</v>
      </c>
      <c r="E191" s="65">
        <f>IF(D191=0,"NA",1/(('Com-Ind Equations'!$B$74*(3.14*D191*'Com-Ind Equations'!$B$76)^(1/2)*0.0001)/(2*'Com-Ind Equations'!$B$77*D191)))</f>
        <v>2.6789927401001947E-7</v>
      </c>
      <c r="F191" s="65">
        <f>IF(D191=0,"NA",(1/('Com-Ind Equations'!$B$88*('Com-Ind Equations'!$B$89*(31500000))/('Com-Ind Equations'!$B$90*'Com-Ind Equations'!$B$91*1000000))))</f>
        <v>6.1914410640015851E-5</v>
      </c>
      <c r="G191" s="95" t="str">
        <f>IF('Chemical Info'!E192="Yes",('Chemical Info'!AP192/'Com-Ind Equations'!$B$139)*((('Chemical Info'!AL192*'Com-Ind Equations'!$B$141)*'Com-Ind Equations'!$B$139)+'Com-Ind Equations'!$B$142+('Chemical Info'!AN192*41)*'Com-Ind Equations'!$B$144),"NA")</f>
        <v>NA</v>
      </c>
      <c r="H191" s="112" t="str">
        <f>IF('Chemical Info'!H192="NA","NA",IF('Chemical Info'!E192="Yes",'Chemical Info'!H192*'Chemical Info'!AD192*'Com-Ind Equations'!$B$18*'Com-Ind Equations'!$B$22*(('Com-Ind Equations'!$B$24*'Com-Ind Equations'!$B$25)/'Com-Ind Equations'!$B$26),'Chemical Info'!H192*'Chemical Info'!AD192*'Com-Ind Equations'!$B$17*'Com-Ind Equations'!$B$22*('Com-Ind Equations'!$B$24*'Com-Ind Equations'!$B$25/'Com-Ind Equations'!$B$26)))</f>
        <v>NA</v>
      </c>
      <c r="I191" s="108" t="str">
        <f>IF('Chemical Info'!H192="NA","NA",IF('Chemical Info'!E192="Yes",0,('Chemical Info'!H192/'Chemical Info'!AF192)*'Com-Ind Equations'!$B$19*'Chemical Info'!AB192*'Com-Ind Equations'!$B$22*(('Com-Ind Equations'!$B$24*'Com-Ind Equations'!$B$29*'Com-Ind Equations'!$B$30)/'Com-Ind Equations'!$B$26)))</f>
        <v>NA</v>
      </c>
      <c r="J191" s="115" t="str">
        <f>IF('Chemical Info'!J192="NA","NA",IF(E191="NA",'Com-Ind Equations'!$B$20*1000*'Com-Ind Equations'!$B$24*'Com-Ind Equations'!$B$21*'Chemical Info'!J192*'Com-Ind Calculations'!C191,IF('Chemical Info'!E192="Yes",'Com-Ind Equations'!$B$20*1000*'Com-Ind Equations'!$B$24*'Com-Ind Equations'!$B$21*'Chemical Info'!J192*'Com-Ind Calculations'!E191,'Com-Ind Equations'!$B$20*1000*'Com-Ind Equations'!$B$24*'Com-Ind Equations'!$B$21*'Chemical Info'!J192*('Com-Ind Calculations'!C191+'Com-Ind Calculations'!E191))))</f>
        <v>NA</v>
      </c>
      <c r="K191" s="117" t="str">
        <f>IF('Chemical Info'!J192="NA","NA",IF(F191="NA",'Com-Ind Equations'!$B$20*1000*'Com-Ind Equations'!$B$24*'Com-Ind Equations'!$B$21*'Chemical Info'!J192*'Com-Ind Calculations'!C191,IF('Chemical Info'!E192="Yes",'Com-Ind Equations'!$B$20*1000*'Com-Ind Equations'!$B$24*'Com-Ind Equations'!$B$21*'Chemical Info'!J192*'Com-Ind Calculations'!F191,'Com-Ind Equations'!$B$20*1000*'Com-Ind Equations'!$B$24*'Com-Ind Equations'!$B$21*'Chemical Info'!J192*('Com-Ind Calculations'!C191+'Com-Ind Calculations'!F191))))</f>
        <v>NA</v>
      </c>
      <c r="L191" s="95" t="str">
        <f>IF(AND(H191="NA",I191="NA",J191="NA"),"NA",IF(H191="NA",'Com-Ind Equations'!$B$13*'Com-Ind Equations'!$B$14/J191,IF(J191="NA",'Com-Ind Equations'!$B$13*'Com-Ind Equations'!$B$14/(H191+I191),'Com-Ind Equations'!$B$13*'Com-Ind Equations'!$B$14/(H191+I191+J191))))</f>
        <v>NA</v>
      </c>
      <c r="M191" s="95" t="str">
        <f>IF(AND(H191="NA",I191="NA",K191="NA"),"NA",IF(H191="NA",'Com-Ind Equations'!$B$13*'Com-Ind Equations'!$B$14/K191,IF(K191="NA",'Com-Ind Equations'!$B$13*'Com-Ind Equations'!$B$14/(H191+I191),'Com-Ind Equations'!$B$13*'Com-Ind Equations'!$B$14/(H191+I191+K191))))</f>
        <v>NA</v>
      </c>
      <c r="N191" s="95" t="str">
        <f t="shared" si="230"/>
        <v>NA</v>
      </c>
      <c r="O191" s="94">
        <f>IF('Chemical Info'!L192="NA","NA",IF('Chemical Info'!E192="Yes",(('Com-Ind Equations'!$B$46*'Chemical Info'!AD192*'Com-Ind Equations'!$B$48*'Com-Ind Equations'!$B$49*'Com-Ind Equations'!$B$51)/('Com-Ind Equations'!$B$55*'Com-Ind Equations'!$B$56))/'Chemical Info'!L192,(('Com-Ind Equations'!$B$46*'Chemical Info'!AD192*'Com-Ind Equations'!$B$48*'Com-Ind Equations'!$B$49*'Com-Ind Equations'!$B$50)/('Com-Ind Equations'!$B$55*'Com-Ind Equations'!$B$56))/'Chemical Info'!L192))</f>
        <v>1.2230919765166338E-3</v>
      </c>
      <c r="P191" s="90">
        <f>IF('Chemical Info'!L192="NA","NA", IF('Chemical Info'!E192="Yes",0,((('Com-Ind Equations'!$B$58*'Com-Ind Equations'!$B$59*'Com-Ind Equations'!$B$48*'Com-Ind Equations'!$B$52*'Com-Ind Equations'!$B$49*'Chemical Info'!AB192)/('Com-Ind Equations'!$B$55*'Com-Ind Equations'!$B$56))/('Chemical Info'!L192*'Chemical Info'!AF192))))</f>
        <v>3.7271624266144811E-4</v>
      </c>
      <c r="Q191" s="90" t="str">
        <f>IF('Chemical Info'!N192="NA","NA",IF('Com-Ind Calculations'!E191="NA",(('Com-Ind Equations'!$B$53*'Com-Ind Equations'!$B$49*'Com-Ind Equations'!$B$54*'Com-Ind Calculations'!C191)/('Com-Ind Equations'!$B$56))/('Chemical Info'!N192),IF('Chemical Info'!E192="Yes",(('Com-Ind Equations'!$B$53*'Com-Ind Equations'!$B$49*'Com-Ind Equations'!$B$54*'Com-Ind Calculations'!E191)/('Com-Ind Equations'!$B$56))/('Chemical Info'!N192),(('Com-Ind Equations'!$B$53*'Com-Ind Equations'!$B$49*'Com-Ind Equations'!$B$54*('Com-Ind Calculations'!C191+'Com-Ind Calculations'!E191))/('Com-Ind Equations'!$B$56))/('Chemical Info'!N192))))</f>
        <v>NA</v>
      </c>
      <c r="R191" s="90" t="str">
        <f>IF('Chemical Info'!N192="NA","NA",IF('Com-Ind Calculations'!F191="NA",(('Com-Ind Equations'!$B$53*'Com-Ind Equations'!$B$49*'Com-Ind Equations'!$B$54*'Com-Ind Calculations'!C191)/('Com-Ind Equations'!$B$56))/('Chemical Info'!N192),IF('Chemical Info'!E192="Yes",(('Com-Ind Equations'!$B$53*'Com-Ind Equations'!$B$49*'Com-Ind Equations'!$B$54*'Com-Ind Calculations'!F191)/('Com-Ind Equations'!$B$56))/('Chemical Info'!N192),(('Com-Ind Equations'!$B$53*'Com-Ind Equations'!$B$49*'Com-Ind Equations'!$B$54*('Com-Ind Calculations'!C191+'Com-Ind Calculations'!F191))/('Com-Ind Equations'!$B$56))/('Chemical Info'!N192))))</f>
        <v>NA</v>
      </c>
      <c r="S191" s="90">
        <f>IF(AND(O191="NA",P191="NA",Q191="NA"),"NA",IF(O191="NA",'Com-Ind Equations'!$B$45/'Com-Ind Calculations'!Q191,IF('Com-Ind Calculations'!Q191="NA",'Com-Ind Equations'!$B$45/('Com-Ind Calculations'!O191+'Com-Ind Calculations'!P191),'Com-Ind Equations'!$B$45/('Com-Ind Calculations'!O191+'Com-Ind Calculations'!P191+'Com-Ind Calculations'!Q191))))</f>
        <v>125.32834309063131</v>
      </c>
      <c r="T191" s="95">
        <f>IF(AND(O191="NA",P191="NA",R191="NA"),"NA",IF(O191="NA",'Com-Ind Equations'!$B$45/R191,IF(R191="NA",'Com-Ind Equations'!$B$45/(O191+P191),'Com-Ind Equations'!$B$45/(O191+P191+R191))))</f>
        <v>125.32834309063131</v>
      </c>
      <c r="U191" s="97">
        <f t="shared" si="231"/>
        <v>125.32834309063131</v>
      </c>
      <c r="V191" s="101">
        <f t="shared" si="232"/>
        <v>125.32834309063131</v>
      </c>
      <c r="W191" s="105">
        <f t="shared" si="233"/>
        <v>130</v>
      </c>
      <c r="X191" s="100" t="str">
        <f t="shared" si="234"/>
        <v>Noncancer</v>
      </c>
      <c r="Y191" s="70"/>
    </row>
    <row r="192" spans="1:25" s="2" customFormat="1">
      <c r="A192" s="67" t="s">
        <v>6</v>
      </c>
      <c r="B192" s="566" t="s">
        <v>7</v>
      </c>
      <c r="C192" s="85">
        <f>1/(('Com-Ind Equations'!$B$123*3600)/(0.036*(1-'Com-Ind Equations'!$B$124)*(('Com-Ind Equations'!$B$125/'Com-Ind Equations'!$B$126)^3)*'Com-Ind Equations'!$B$127))</f>
        <v>1.4713536180231943E-9</v>
      </c>
      <c r="D192" s="90">
        <f>(('Com-Ind Equations'!$B$103^(10/3)*'Chemical Info'!AH193*'Chemical Info'!AN193*41+'Com-Ind Equations'!$B$106^(10/3)*'Chemical Info'!AJ193)/'Com-Ind Equations'!$B$108^2)/('Com-Ind Equations'!$B$110*'Chemical Info'!AL193*'Com-Ind Equations'!$B$113+'Com-Ind Equations'!$B$106+'Com-Ind Equations'!$B$103*'Chemical Info'!AN193*41)</f>
        <v>4.3394601094769705E-9</v>
      </c>
      <c r="E192" s="65">
        <f>IF(D192=0,"NA",1/(('Com-Ind Equations'!$B$74*(3.14*D192*'Com-Ind Equations'!$B$76)^(1/2)*0.0001)/(2*'Com-Ind Equations'!$B$77*D192)))</f>
        <v>3.8667530261249325E-7</v>
      </c>
      <c r="F192" s="65">
        <f>IF(D192=0,"NA",(1/('Com-Ind Equations'!$B$88*('Com-Ind Equations'!$B$89*(31500000))/('Com-Ind Equations'!$B$90*'Com-Ind Equations'!$B$91*1000000))))</f>
        <v>6.1914410640015851E-5</v>
      </c>
      <c r="G192" s="95" t="str">
        <f>IF('Chemical Info'!E193="Yes",('Chemical Info'!AP193/'Com-Ind Equations'!$B$139)*((('Chemical Info'!AL193*'Com-Ind Equations'!$B$141)*'Com-Ind Equations'!$B$139)+'Com-Ind Equations'!$B$142+('Chemical Info'!AN193*41)*'Com-Ind Equations'!$B$144),"NA")</f>
        <v>NA</v>
      </c>
      <c r="H192" s="112">
        <f>IF('Chemical Info'!H193="NA","NA",IF('Chemical Info'!E193="Yes",'Chemical Info'!H193*'Chemical Info'!AD193*'Com-Ind Equations'!$B$18*'Com-Ind Equations'!$B$22*(('Com-Ind Equations'!$B$24*'Com-Ind Equations'!$B$25)/'Com-Ind Equations'!$B$26),'Chemical Info'!H193*'Chemical Info'!AD193*'Com-Ind Equations'!$B$17*'Com-Ind Equations'!$B$22*('Com-Ind Equations'!$B$24*'Com-Ind Equations'!$B$25/'Com-Ind Equations'!$B$26)))</f>
        <v>0.125</v>
      </c>
      <c r="I192" s="108">
        <f>IF('Chemical Info'!H193="NA","NA",IF('Chemical Info'!E193="Yes",0,('Chemical Info'!H193/'Chemical Info'!AF193)*'Com-Ind Equations'!$B$19*'Chemical Info'!AB193*'Com-Ind Equations'!$B$22*(('Com-Ind Equations'!$B$24*'Com-Ind Equations'!$B$29*'Com-Ind Equations'!$B$30)/'Com-Ind Equations'!$B$26)))</f>
        <v>3.8091599999999996E-2</v>
      </c>
      <c r="J192" s="115">
        <f>IF('Chemical Info'!J193="NA","NA",IF(E192="NA",'Com-Ind Equations'!$B$20*1000*'Com-Ind Equations'!$B$24*'Com-Ind Equations'!$B$21*'Chemical Info'!J193*'Com-Ind Calculations'!C192,IF('Chemical Info'!E193="Yes",'Com-Ind Equations'!$B$20*1000*'Com-Ind Equations'!$B$24*'Com-Ind Equations'!$B$21*'Chemical Info'!J193*'Com-Ind Calculations'!E192,'Com-Ind Equations'!$B$20*1000*'Com-Ind Equations'!$B$24*'Com-Ind Equations'!$B$21*'Chemical Info'!J193*('Com-Ind Calculations'!C192+'Com-Ind Calculations'!E192))))</f>
        <v>3.3477649099882046E-3</v>
      </c>
      <c r="K192" s="117">
        <f>IF('Chemical Info'!J193="NA","NA",IF(F192="NA",'Com-Ind Equations'!$B$20*1000*'Com-Ind Equations'!$B$24*'Com-Ind Equations'!$B$21*'Chemical Info'!J193*'Com-Ind Calculations'!C192,IF('Chemical Info'!E193="Yes",'Com-Ind Equations'!$B$20*1000*'Com-Ind Equations'!$B$24*'Com-Ind Equations'!$B$21*'Chemical Info'!J193*'Com-Ind Calculations'!F192,'Com-Ind Equations'!$B$20*1000*'Com-Ind Equations'!$B$24*'Com-Ind Equations'!$B$21*'Chemical Info'!J193*('Com-Ind Calculations'!C192+'Com-Ind Calculations'!F192))))</f>
        <v>0.53402448219509213</v>
      </c>
      <c r="L192" s="95">
        <f>IF(AND(H192="NA",I192="NA",J192="NA"),"NA",IF(H192="NA",'Com-Ind Equations'!$B$13*'Com-Ind Equations'!$B$14/J192,IF(J192="NA",'Com-Ind Equations'!$B$13*'Com-Ind Equations'!$B$14/(H192+I192),'Com-Ind Equations'!$B$13*'Com-Ind Equations'!$B$14/(H192+I192+J192))))</f>
        <v>1.5350935768000349</v>
      </c>
      <c r="M192" s="95">
        <f>IF(AND(H192="NA",I192="NA",K192="NA"),"NA",IF(H192="NA",'Com-Ind Equations'!$B$13*'Com-Ind Equations'!$B$14/K192,IF(K192="NA",'Com-Ind Equations'!$B$13*'Com-Ind Equations'!$B$14/(H192+I192),'Com-Ind Equations'!$B$13*'Com-Ind Equations'!$B$14/(H192+I192+K192))))</f>
        <v>0.36650997807348934</v>
      </c>
      <c r="N192" s="95">
        <f t="shared" si="230"/>
        <v>1.5350935768000349</v>
      </c>
      <c r="O192" s="94">
        <f>IF('Chemical Info'!L193="NA","NA",IF('Chemical Info'!E193="Yes",(('Com-Ind Equations'!$B$46*'Chemical Info'!AD193*'Com-Ind Equations'!$B$48*'Com-Ind Equations'!$B$49*'Com-Ind Equations'!$B$51)/('Com-Ind Equations'!$B$55*'Com-Ind Equations'!$B$56))/'Chemical Info'!L193,(('Com-Ind Equations'!$B$46*'Chemical Info'!AD193*'Com-Ind Equations'!$B$48*'Com-Ind Equations'!$B$49*'Com-Ind Equations'!$B$50)/('Com-Ind Equations'!$B$55*'Com-Ind Equations'!$B$56))/'Chemical Info'!L193))</f>
        <v>1.9910799617712641E-2</v>
      </c>
      <c r="P192" s="90">
        <f>IF('Chemical Info'!L193="NA","NA", IF('Chemical Info'!E193="Yes",0,((('Com-Ind Equations'!$B$58*'Com-Ind Equations'!$B$59*'Com-Ind Equations'!$B$48*'Com-Ind Equations'!$B$52*'Com-Ind Equations'!$B$49*'Chemical Info'!AB193)/('Com-Ind Equations'!$B$55*'Com-Ind Equations'!$B$56))/('Chemical Info'!L193*'Chemical Info'!AF193))))</f>
        <v>6.067473717744503E-3</v>
      </c>
      <c r="Q192" s="90" t="str">
        <f>IF('Chemical Info'!N193="NA","NA",IF('Com-Ind Calculations'!E192="NA",(('Com-Ind Equations'!$B$53*'Com-Ind Equations'!$B$49*'Com-Ind Equations'!$B$54*'Com-Ind Calculations'!C192)/('Com-Ind Equations'!$B$56))/('Chemical Info'!N193),IF('Chemical Info'!E193="Yes",(('Com-Ind Equations'!$B$53*'Com-Ind Equations'!$B$49*'Com-Ind Equations'!$B$54*'Com-Ind Calculations'!E192)/('Com-Ind Equations'!$B$56))/('Chemical Info'!N193),(('Com-Ind Equations'!$B$53*'Com-Ind Equations'!$B$49*'Com-Ind Equations'!$B$54*('Com-Ind Calculations'!C192+'Com-Ind Calculations'!E192))/('Com-Ind Equations'!$B$56))/('Chemical Info'!N193))))</f>
        <v>NA</v>
      </c>
      <c r="R192" s="90" t="str">
        <f>IF('Chemical Info'!N193="NA","NA",IF('Com-Ind Calculations'!F192="NA",(('Com-Ind Equations'!$B$53*'Com-Ind Equations'!$B$49*'Com-Ind Equations'!$B$54*'Com-Ind Calculations'!C192)/('Com-Ind Equations'!$B$56))/('Chemical Info'!N193),IF('Chemical Info'!E193="Yes",(('Com-Ind Equations'!$B$53*'Com-Ind Equations'!$B$49*'Com-Ind Equations'!$B$54*'Com-Ind Calculations'!F192)/('Com-Ind Equations'!$B$56))/('Chemical Info'!N193),(('Com-Ind Equations'!$B$53*'Com-Ind Equations'!$B$49*'Com-Ind Equations'!$B$54*('Com-Ind Calculations'!C192+'Com-Ind Calculations'!F192))/('Com-Ind Equations'!$B$56))/('Chemical Info'!N193))))</f>
        <v>NA</v>
      </c>
      <c r="S192" s="90">
        <f>IF(AND(O192="NA",P192="NA",Q192="NA"),"NA",IF(O192="NA",'Com-Ind Equations'!$B$45/'Com-Ind Calculations'!Q192,IF('Com-Ind Calculations'!Q192="NA",'Com-Ind Equations'!$B$45/('Com-Ind Calculations'!O192+'Com-Ind Calculations'!P192),'Com-Ind Equations'!$B$45/('Com-Ind Calculations'!O192+'Com-Ind Calculations'!P192+'Com-Ind Calculations'!Q192))))</f>
        <v>7.6987410755673524</v>
      </c>
      <c r="T192" s="95">
        <f>IF(AND(O192="NA",P192="NA",R192="NA"),"NA",IF(O192="NA",'Com-Ind Equations'!$B$45/R192,IF(R192="NA",'Com-Ind Equations'!$B$45/(O192+P192),'Com-Ind Equations'!$B$45/(O192+P192+R192))))</f>
        <v>7.6987410755673524</v>
      </c>
      <c r="U192" s="97">
        <f t="shared" si="231"/>
        <v>7.6987410755673524</v>
      </c>
      <c r="V192" s="101">
        <f t="shared" si="232"/>
        <v>1.5350935768000349</v>
      </c>
      <c r="W192" s="105">
        <f t="shared" si="233"/>
        <v>1.5</v>
      </c>
      <c r="X192" s="100" t="str">
        <f t="shared" si="234"/>
        <v>Cancer</v>
      </c>
      <c r="Y192" s="70"/>
    </row>
    <row r="193" spans="1:25" ht="12">
      <c r="A193" s="424" t="s">
        <v>1026</v>
      </c>
      <c r="B193" s="566" t="s">
        <v>135</v>
      </c>
      <c r="C193" s="85">
        <f>1/(('Com-Ind Equations'!$B$123*3600)/(0.036*(1-'Com-Ind Equations'!$B$124)*(('Com-Ind Equations'!$B$125/'Com-Ind Equations'!$B$126)^3)*'Com-Ind Equations'!$B$127))</f>
        <v>1.4713536180231943E-9</v>
      </c>
      <c r="D193" s="90">
        <f>(('Com-Ind Equations'!$B$103^(10/3)*'Chemical Info'!AH194*'Chemical Info'!AN194*41+'Com-Ind Equations'!$B$106^(10/3)*'Chemical Info'!AJ194)/'Com-Ind Equations'!$B$108^2)/('Com-Ind Equations'!$B$110*'Chemical Info'!AL194*'Com-Ind Equations'!$B$113+'Com-Ind Equations'!$B$106+'Com-Ind Equations'!$B$103*'Chemical Info'!AN194*41)</f>
        <v>7.581096068592874E-8</v>
      </c>
      <c r="E193" s="65">
        <f>IF(D193=0,"NA",1/(('Com-Ind Equations'!$B$74*(3.14*D193*'Com-Ind Equations'!$B$76)^(1/2)*0.0001)/(2*'Com-Ind Equations'!$B$77*D193)))</f>
        <v>1.6161980703304632E-6</v>
      </c>
      <c r="F193" s="65">
        <f>IF(D193=0,"NA",(1/('Com-Ind Equations'!$B$88*('Com-Ind Equations'!$B$89*(31500000))/('Com-Ind Equations'!$B$90*'Com-Ind Equations'!$B$91*1000000))))</f>
        <v>6.1914410640015851E-5</v>
      </c>
      <c r="G193" s="120"/>
      <c r="H193" s="112" t="str">
        <f>IF('Chemical Info'!H194="NA","NA",IF('Chemical Info'!E194="Yes",'Chemical Info'!H194*'Chemical Info'!AD194*'Com-Ind Equations'!$B$18*'Com-Ind Equations'!$B$22*(('Com-Ind Equations'!$B$24*'Com-Ind Equations'!$B$25)/'Com-Ind Equations'!$B$26),'Chemical Info'!H194*'Chemical Info'!AD194*'Com-Ind Equations'!$B$17*'Com-Ind Equations'!$B$22*('Com-Ind Equations'!$B$24*'Com-Ind Equations'!$B$25/'Com-Ind Equations'!$B$26)))</f>
        <v>NA</v>
      </c>
      <c r="I193" s="108" t="str">
        <f>IF('Chemical Info'!H194="NA","NA",IF('Chemical Info'!E194="Yes",0,('Chemical Info'!H194/'Chemical Info'!AF194)*'Com-Ind Equations'!$B$19*'Chemical Info'!AB194*'Com-Ind Equations'!$B$22*(('Com-Ind Equations'!$B$24*'Com-Ind Equations'!$B$29*'Com-Ind Equations'!$B$30)/'Com-Ind Equations'!$B$26)))</f>
        <v>NA</v>
      </c>
      <c r="J193" s="115" t="str">
        <f>IF('Chemical Info'!J194="NA","NA",IF(E193="NA",'Com-Ind Equations'!$B$20*1000*'Com-Ind Equations'!$B$24*'Com-Ind Equations'!$B$21*'Chemical Info'!J194*'Com-Ind Calculations'!C193,IF('Chemical Info'!E194="Yes",'Com-Ind Equations'!$B$20*1000*'Com-Ind Equations'!$B$24*'Com-Ind Equations'!$B$21*'Chemical Info'!J194*'Com-Ind Calculations'!E193,'Com-Ind Equations'!$B$20*1000*'Com-Ind Equations'!$B$24*'Com-Ind Equations'!$B$21*'Chemical Info'!J194*('Com-Ind Calculations'!C193+'Com-Ind Calculations'!E193))))</f>
        <v>NA</v>
      </c>
      <c r="K193" s="117" t="str">
        <f>IF('Chemical Info'!J194="NA","NA",IF(F193="NA",'Com-Ind Equations'!$B$20*1000*'Com-Ind Equations'!$B$24*'Com-Ind Equations'!$B$21*'Chemical Info'!J194*'Com-Ind Calculations'!C193,IF('Chemical Info'!E194="Yes",'Com-Ind Equations'!$B$20*1000*'Com-Ind Equations'!$B$24*'Com-Ind Equations'!$B$21*'Chemical Info'!J194*'Com-Ind Calculations'!F193,'Com-Ind Equations'!$B$20*1000*'Com-Ind Equations'!$B$24*'Com-Ind Equations'!$B$21*'Chemical Info'!J194*('Com-Ind Calculations'!C193+'Com-Ind Calculations'!F193))))</f>
        <v>NA</v>
      </c>
      <c r="L193" s="95" t="str">
        <f>IF(AND(H193="NA",I193="NA",J193="NA"),"NA",IF(H193="NA",'Com-Ind Equations'!$B$13*'Com-Ind Equations'!$B$14/J193,IF(J193="NA",'Com-Ind Equations'!$B$13*'Com-Ind Equations'!$B$14/(H193+I193),'Com-Ind Equations'!$B$13*'Com-Ind Equations'!$B$14/(H193+I193+J193))))</f>
        <v>NA</v>
      </c>
      <c r="M193" s="95" t="str">
        <f>IF(AND(H193="NA",I193="NA",K193="NA"),"NA",IF(H193="NA",'Com-Ind Equations'!$B$13*'Com-Ind Equations'!$B$14/K193,IF(K193="NA",'Com-Ind Equations'!$B$13*'Com-Ind Equations'!$B$14/(H193+I193),'Com-Ind Equations'!$B$13*'Com-Ind Equations'!$B$14/(H193+I193+K193))))</f>
        <v>NA</v>
      </c>
      <c r="N193" s="95" t="str">
        <f t="shared" si="230"/>
        <v>NA</v>
      </c>
      <c r="O193" s="94">
        <f>IF('Chemical Info'!L194="NA","NA",IF('Chemical Info'!E194="Yes",(('Com-Ind Equations'!$B$46*'Chemical Info'!AD194*'Com-Ind Equations'!$B$48*'Com-Ind Equations'!$B$49*'Com-Ind Equations'!$B$51)/('Com-Ind Equations'!$B$55*'Com-Ind Equations'!$B$56))/'Chemical Info'!L194,(('Com-Ind Equations'!$B$46*'Chemical Info'!AD194*'Com-Ind Equations'!$B$48*'Com-Ind Equations'!$B$49*'Com-Ind Equations'!$B$50)/('Com-Ind Equations'!$B$55*'Com-Ind Equations'!$B$56))/'Chemical Info'!L194))</f>
        <v>1.0273972602739725E-4</v>
      </c>
      <c r="P193" s="90">
        <f>IF('Chemical Info'!L194="NA","NA", IF('Chemical Info'!E194="Yes",0,((('Com-Ind Equations'!$B$58*'Com-Ind Equations'!$B$59*'Com-Ind Equations'!$B$48*'Com-Ind Equations'!$B$52*'Com-Ind Equations'!$B$49*'Chemical Info'!AB194)/('Com-Ind Equations'!$B$55*'Com-Ind Equations'!$B$56))/('Chemical Info'!L194*'Chemical Info'!AF194))))</f>
        <v>0</v>
      </c>
      <c r="Q193" s="90" t="str">
        <f>IF('Chemical Info'!N194="NA","NA",IF('Com-Ind Calculations'!E193="NA",(('Com-Ind Equations'!$B$53*'Com-Ind Equations'!$B$49*'Com-Ind Equations'!$B$54*'Com-Ind Calculations'!C193)/('Com-Ind Equations'!$B$56))/('Chemical Info'!N194),IF('Chemical Info'!E194="Yes",(('Com-Ind Equations'!$B$53*'Com-Ind Equations'!$B$49*'Com-Ind Equations'!$B$54*'Com-Ind Calculations'!E193)/('Com-Ind Equations'!$B$56))/('Chemical Info'!N194),(('Com-Ind Equations'!$B$53*'Com-Ind Equations'!$B$49*'Com-Ind Equations'!$B$54*('Com-Ind Calculations'!C193+'Com-Ind Calculations'!E193))/('Com-Ind Equations'!$B$56))/('Chemical Info'!N194))))</f>
        <v>NA</v>
      </c>
      <c r="R193" s="90" t="str">
        <f>IF('Chemical Info'!N194="NA","NA",IF('Com-Ind Calculations'!F193="NA",(('Com-Ind Equations'!$B$53*'Com-Ind Equations'!$B$49*'Com-Ind Equations'!$B$54*'Com-Ind Calculations'!C193)/('Com-Ind Equations'!$B$56))/('Chemical Info'!N194),IF('Chemical Info'!E194="Yes",(('Com-Ind Equations'!$B$53*'Com-Ind Equations'!$B$49*'Com-Ind Equations'!$B$54*'Com-Ind Calculations'!F193)/('Com-Ind Equations'!$B$56))/('Chemical Info'!N194),(('Com-Ind Equations'!$B$53*'Com-Ind Equations'!$B$49*'Com-Ind Equations'!$B$54*('Com-Ind Calculations'!C193+'Com-Ind Calculations'!F193))/('Com-Ind Equations'!$B$56))/('Chemical Info'!N194))))</f>
        <v>NA</v>
      </c>
      <c r="S193" s="90">
        <f>IF(AND(O193="NA",P193="NA",Q193="NA"),"NA",IF(O193="NA",'Com-Ind Equations'!$B$45/'Com-Ind Calculations'!Q193,IF('Com-Ind Calculations'!Q193="NA",'Com-Ind Equations'!$B$45/('Com-Ind Calculations'!O193+'Com-Ind Calculations'!P193),'Com-Ind Equations'!$B$45/('Com-Ind Calculations'!O193+'Com-Ind Calculations'!P193+'Com-Ind Calculations'!Q193))))</f>
        <v>1946.666666666667</v>
      </c>
      <c r="T193" s="95">
        <f>IF(AND(O193="NA",P193="NA",R193="NA"),"NA",IF(O193="NA",'Com-Ind Equations'!$B$45/R193,IF(R193="NA",'Com-Ind Equations'!$B$45/(O193+P193),'Com-Ind Equations'!$B$45/(O193+P193+R193))))</f>
        <v>1946.666666666667</v>
      </c>
      <c r="U193" s="97">
        <f t="shared" si="231"/>
        <v>1946.666666666667</v>
      </c>
      <c r="V193" s="101">
        <f t="shared" si="232"/>
        <v>1946.666666666667</v>
      </c>
      <c r="W193" s="105">
        <f t="shared" si="233"/>
        <v>1900</v>
      </c>
      <c r="X193" s="100" t="str">
        <f t="shared" si="234"/>
        <v>Noncancer</v>
      </c>
      <c r="Y193" s="70"/>
    </row>
    <row r="194" spans="1:25">
      <c r="A194" s="413" t="s">
        <v>136</v>
      </c>
      <c r="B194" s="566" t="s">
        <v>137</v>
      </c>
      <c r="C194" s="85">
        <f>1/(('Com-Ind Equations'!$B$123*3600)/(0.036*(1-'Com-Ind Equations'!$B$124)*(('Com-Ind Equations'!$B$125/'Com-Ind Equations'!$B$126)^3)*'Com-Ind Equations'!$B$127))</f>
        <v>1.4713536180231943E-9</v>
      </c>
      <c r="D194" s="90">
        <f>(('Com-Ind Equations'!$B$103^(10/3)*'Chemical Info'!AH195*'Chemical Info'!AN195*41+'Com-Ind Equations'!$B$106^(10/3)*'Chemical Info'!AJ195)/'Com-Ind Equations'!$B$108^2)/('Com-Ind Equations'!$B$110*'Chemical Info'!AL195*'Com-Ind Equations'!$B$113+'Com-Ind Equations'!$B$106+'Com-Ind Equations'!$B$103*'Chemical Info'!AN195*41)</f>
        <v>7.9460007176839244E-9</v>
      </c>
      <c r="E194" s="65">
        <f>IF(D194=0,"NA",1/(('Com-Ind Equations'!$B$74*(3.14*D194*'Com-Ind Equations'!$B$76)^(1/2)*0.0001)/(2*'Com-Ind Equations'!$B$77*D194)))</f>
        <v>5.2324234555609037E-7</v>
      </c>
      <c r="F194" s="65">
        <f>IF(D194=0,"NA",(1/('Com-Ind Equations'!$B$88*('Com-Ind Equations'!$B$89*(31500000))/('Com-Ind Equations'!$B$90*'Com-Ind Equations'!$B$91*1000000))))</f>
        <v>6.1914410640015851E-5</v>
      </c>
      <c r="G194" s="95" t="str">
        <f>IF('Chemical Info'!E195="Yes",('Chemical Info'!AP195/'Com-Ind Equations'!$B$139)*((('Chemical Info'!AL195*'Com-Ind Equations'!$B$141)*'Com-Ind Equations'!$B$139)+'Com-Ind Equations'!$B$142+('Chemical Info'!AN195*41)*'Com-Ind Equations'!$B$144),"NA")</f>
        <v>NA</v>
      </c>
      <c r="H194" s="112" t="str">
        <f>IF('Chemical Info'!H195="NA","NA",IF('Chemical Info'!E195="Yes",'Chemical Info'!H195*'Chemical Info'!AD195*'Com-Ind Equations'!$B$18*'Com-Ind Equations'!$B$22*(('Com-Ind Equations'!$B$24*'Com-Ind Equations'!$B$25)/'Com-Ind Equations'!$B$26),'Chemical Info'!H195*'Chemical Info'!AD195*'Com-Ind Equations'!$B$17*'Com-Ind Equations'!$B$22*('Com-Ind Equations'!$B$24*'Com-Ind Equations'!$B$25/'Com-Ind Equations'!$B$26)))</f>
        <v>NA</v>
      </c>
      <c r="I194" s="108" t="str">
        <f>IF('Chemical Info'!H195="NA","NA",IF('Chemical Info'!E195="Yes",0,('Chemical Info'!H195/'Chemical Info'!AF195)*'Com-Ind Equations'!$B$19*'Chemical Info'!AB195*'Com-Ind Equations'!$B$22*(('Com-Ind Equations'!$B$24*'Com-Ind Equations'!$B$29*'Com-Ind Equations'!$B$30)/'Com-Ind Equations'!$B$26)))</f>
        <v>NA</v>
      </c>
      <c r="J194" s="115" t="str">
        <f>IF('Chemical Info'!J195="NA","NA",IF(E194="NA",'Com-Ind Equations'!$B$20*1000*'Com-Ind Equations'!$B$24*'Com-Ind Equations'!$B$21*'Chemical Info'!J195*'Com-Ind Calculations'!C194,IF('Chemical Info'!E195="Yes",'Com-Ind Equations'!$B$20*1000*'Com-Ind Equations'!$B$24*'Com-Ind Equations'!$B$21*'Chemical Info'!J195*'Com-Ind Calculations'!E194,'Com-Ind Equations'!$B$20*1000*'Com-Ind Equations'!$B$24*'Com-Ind Equations'!$B$21*'Chemical Info'!J195*('Com-Ind Calculations'!C194+'Com-Ind Calculations'!E194))))</f>
        <v>NA</v>
      </c>
      <c r="K194" s="117" t="str">
        <f>IF('Chemical Info'!J195="NA","NA",IF(F194="NA",'Com-Ind Equations'!$B$20*1000*'Com-Ind Equations'!$B$24*'Com-Ind Equations'!$B$21*'Chemical Info'!J195*'Com-Ind Calculations'!C194,IF('Chemical Info'!E195="Yes",'Com-Ind Equations'!$B$20*1000*'Com-Ind Equations'!$B$24*'Com-Ind Equations'!$B$21*'Chemical Info'!J195*'Com-Ind Calculations'!F194,'Com-Ind Equations'!$B$20*1000*'Com-Ind Equations'!$B$24*'Com-Ind Equations'!$B$21*'Chemical Info'!J195*('Com-Ind Calculations'!C194+'Com-Ind Calculations'!F194))))</f>
        <v>NA</v>
      </c>
      <c r="L194" s="95" t="str">
        <f>IF(AND(H194="NA",I194="NA",J194="NA"),"NA",IF(H194="NA",'Com-Ind Equations'!$B$13*'Com-Ind Equations'!$B$14/J194,IF(J194="NA",'Com-Ind Equations'!$B$13*'Com-Ind Equations'!$B$14/(H194+I194),'Com-Ind Equations'!$B$13*'Com-Ind Equations'!$B$14/(H194+I194+J194))))</f>
        <v>NA</v>
      </c>
      <c r="M194" s="95" t="str">
        <f>IF(AND(H194="NA",I194="NA",K194="NA"),"NA",IF(H194="NA",'Com-Ind Equations'!$B$13*'Com-Ind Equations'!$B$14/K194,IF(K194="NA",'Com-Ind Equations'!$B$13*'Com-Ind Equations'!$B$14/(H194+I194),'Com-Ind Equations'!$B$13*'Com-Ind Equations'!$B$14/(H194+I194+K194))))</f>
        <v>NA</v>
      </c>
      <c r="N194" s="95" t="str">
        <f t="shared" si="230"/>
        <v>NA</v>
      </c>
      <c r="O194" s="94">
        <f>IF('Chemical Info'!L195="NA","NA",IF('Chemical Info'!E195="Yes",(('Com-Ind Equations'!$B$46*'Chemical Info'!AD195*'Com-Ind Equations'!$B$48*'Com-Ind Equations'!$B$49*'Com-Ind Equations'!$B$51)/('Com-Ind Equations'!$B$55*'Com-Ind Equations'!$B$56))/'Chemical Info'!L195,(('Com-Ind Equations'!$B$46*'Chemical Info'!AD195*'Com-Ind Equations'!$B$48*'Com-Ind Equations'!$B$49*'Com-Ind Equations'!$B$50)/('Com-Ind Equations'!$B$55*'Com-Ind Equations'!$B$56))/'Chemical Info'!L195))</f>
        <v>2.8538812785388122E-3</v>
      </c>
      <c r="P194" s="90">
        <f>IF('Chemical Info'!L195="NA","NA", IF('Chemical Info'!E195="Yes",0,((('Com-Ind Equations'!$B$58*'Com-Ind Equations'!$B$59*'Com-Ind Equations'!$B$48*'Com-Ind Equations'!$B$52*'Com-Ind Equations'!$B$49*'Chemical Info'!AB195)/('Com-Ind Equations'!$B$55*'Com-Ind Equations'!$B$56))/('Chemical Info'!L195*'Chemical Info'!AF195))))</f>
        <v>8.696712328767123E-4</v>
      </c>
      <c r="Q194" s="90" t="str">
        <f>IF('Chemical Info'!N195="NA","NA",IF('Com-Ind Calculations'!E194="NA",(('Com-Ind Equations'!$B$53*'Com-Ind Equations'!$B$49*'Com-Ind Equations'!$B$54*'Com-Ind Calculations'!C194)/('Com-Ind Equations'!$B$56))/('Chemical Info'!N195),IF('Chemical Info'!E195="Yes",(('Com-Ind Equations'!$B$53*'Com-Ind Equations'!$B$49*'Com-Ind Equations'!$B$54*'Com-Ind Calculations'!E194)/('Com-Ind Equations'!$B$56))/('Chemical Info'!N195),(('Com-Ind Equations'!$B$53*'Com-Ind Equations'!$B$49*'Com-Ind Equations'!$B$54*('Com-Ind Calculations'!C194+'Com-Ind Calculations'!E194))/('Com-Ind Equations'!$B$56))/('Chemical Info'!N195))))</f>
        <v>NA</v>
      </c>
      <c r="R194" s="90" t="str">
        <f>IF('Chemical Info'!N195="NA","NA",IF('Com-Ind Calculations'!F194="NA",(('Com-Ind Equations'!$B$53*'Com-Ind Equations'!$B$49*'Com-Ind Equations'!$B$54*'Com-Ind Calculations'!C194)/('Com-Ind Equations'!$B$56))/('Chemical Info'!N195),IF('Chemical Info'!E195="Yes",(('Com-Ind Equations'!$B$53*'Com-Ind Equations'!$B$49*'Com-Ind Equations'!$B$54*'Com-Ind Calculations'!F194)/('Com-Ind Equations'!$B$56))/('Chemical Info'!N195),(('Com-Ind Equations'!$B$53*'Com-Ind Equations'!$B$49*'Com-Ind Equations'!$B$54*('Com-Ind Calculations'!C194+'Com-Ind Calculations'!F194))/('Com-Ind Equations'!$B$56))/('Chemical Info'!N195))))</f>
        <v>NA</v>
      </c>
      <c r="S194" s="90">
        <f>IF(AND(O194="NA",P194="NA",Q194="NA"),"NA",IF(O194="NA",'Com-Ind Equations'!$B$45/'Com-Ind Calculations'!Q194,IF('Com-Ind Calculations'!Q194="NA",'Com-Ind Equations'!$B$45/('Com-Ind Calculations'!O194+'Com-Ind Calculations'!P194),'Com-Ind Equations'!$B$45/('Com-Ind Calculations'!O194+'Com-Ind Calculations'!P194+'Com-Ind Calculations'!Q194))))</f>
        <v>53.712147038841991</v>
      </c>
      <c r="T194" s="95">
        <f>IF(AND(O194="NA",P194="NA",R194="NA"),"NA",IF(O194="NA",'Com-Ind Equations'!$B$45/R194,IF(R194="NA",'Com-Ind Equations'!$B$45/(O194+P194),'Com-Ind Equations'!$B$45/(O194+P194+R194))))</f>
        <v>53.712147038841991</v>
      </c>
      <c r="U194" s="97">
        <f t="shared" si="231"/>
        <v>53.712147038841991</v>
      </c>
      <c r="V194" s="101">
        <f t="shared" si="232"/>
        <v>53.712147038841991</v>
      </c>
      <c r="W194" s="105">
        <f t="shared" si="233"/>
        <v>54</v>
      </c>
      <c r="X194" s="100" t="str">
        <f t="shared" si="234"/>
        <v>Noncancer</v>
      </c>
      <c r="Y194" s="70"/>
    </row>
    <row r="195" spans="1:25" ht="12">
      <c r="A195" s="424" t="s">
        <v>1027</v>
      </c>
      <c r="B195" s="566" t="s">
        <v>13</v>
      </c>
      <c r="C195" s="85">
        <f>1/(('Com-Ind Equations'!$B$123*3600)/(0.036*(1-'Com-Ind Equations'!$B$124)*(('Com-Ind Equations'!$B$125/'Com-Ind Equations'!$B$126)^3)*'Com-Ind Equations'!$B$127))</f>
        <v>1.4713536180231943E-9</v>
      </c>
      <c r="D195" s="90">
        <f>(('Com-Ind Equations'!$B$103^(10/3)*'Chemical Info'!AH196*'Chemical Info'!AN196*41+'Com-Ind Equations'!$B$106^(10/3)*'Chemical Info'!AJ196)/'Com-Ind Equations'!$B$108^2)/('Com-Ind Equations'!$B$110*'Chemical Info'!AL196*'Com-Ind Equations'!$B$113+'Com-Ind Equations'!$B$106+'Com-Ind Equations'!$B$103*'Chemical Info'!AN196*41)</f>
        <v>5.5434201664572051E-8</v>
      </c>
      <c r="E195" s="65">
        <f>IF(D195=0,"NA",1/(('Com-Ind Equations'!$B$74*(3.14*D195*'Com-Ind Equations'!$B$76)^(1/2)*0.0001)/(2*'Com-Ind Equations'!$B$77*D195)))</f>
        <v>1.3820300385054207E-6</v>
      </c>
      <c r="F195" s="65">
        <f>IF(D195=0,"NA",(1/('Com-Ind Equations'!$B$88*('Com-Ind Equations'!$B$89*(31500000))/('Com-Ind Equations'!$B$90*'Com-Ind Equations'!$B$91*1000000))))</f>
        <v>6.1914410640015851E-5</v>
      </c>
      <c r="G195" s="120"/>
      <c r="H195" s="112">
        <f>IF('Chemical Info'!H196="NA","NA",IF('Chemical Info'!E196="Yes",'Chemical Info'!H196*'Chemical Info'!AD196*'Com-Ind Equations'!$B$18*'Com-Ind Equations'!$B$22*(('Com-Ind Equations'!$B$24*'Com-Ind Equations'!$B$25)/'Com-Ind Equations'!$B$26),'Chemical Info'!H196*'Chemical Info'!AD196*'Com-Ind Equations'!$B$17*'Com-Ind Equations'!$B$22*('Com-Ind Equations'!$B$24*'Com-Ind Equations'!$B$25/'Com-Ind Equations'!$B$26)))</f>
        <v>2.5312499999999998E-2</v>
      </c>
      <c r="I195" s="108">
        <f>IF('Chemical Info'!H196="NA","NA",IF('Chemical Info'!E196="Yes",0,('Chemical Info'!H196/'Chemical Info'!AF196)*'Com-Ind Equations'!$B$19*'Chemical Info'!AB196*'Com-Ind Equations'!$B$22*(('Com-Ind Equations'!$B$24*'Com-Ind Equations'!$B$29*'Com-Ind Equations'!$B$30)/'Com-Ind Equations'!$B$26)))</f>
        <v>0</v>
      </c>
      <c r="J195" s="115">
        <f>IF('Chemical Info'!J196="NA","NA",IF(E195="NA",'Com-Ind Equations'!$B$20*1000*'Com-Ind Equations'!$B$24*'Com-Ind Equations'!$B$21*'Chemical Info'!J196*'Com-Ind Calculations'!C195,IF('Chemical Info'!E196="Yes",'Com-Ind Equations'!$B$20*1000*'Com-Ind Equations'!$B$24*'Com-Ind Equations'!$B$21*'Chemical Info'!J196*'Com-Ind Calculations'!E195,'Com-Ind Equations'!$B$20*1000*'Com-Ind Equations'!$B$24*'Com-Ind Equations'!$B$21*'Chemical Info'!J196*('Com-Ind Calculations'!C195+'Com-Ind Calculations'!E195))))</f>
        <v>3.3686982188569632E-3</v>
      </c>
      <c r="K195" s="117">
        <f>IF('Chemical Info'!J196="NA","NA",IF(F195="NA",'Com-Ind Equations'!$B$20*1000*'Com-Ind Equations'!$B$24*'Com-Ind Equations'!$B$21*'Chemical Info'!J196*'Com-Ind Calculations'!C195,IF('Chemical Info'!E196="Yes",'Com-Ind Equations'!$B$20*1000*'Com-Ind Equations'!$B$24*'Com-Ind Equations'!$B$21*'Chemical Info'!J196*'Com-Ind Calculations'!F195,'Com-Ind Equations'!$B$20*1000*'Com-Ind Equations'!$B$24*'Com-Ind Equations'!$B$21*'Chemical Info'!J196*('Com-Ind Calculations'!C195+'Com-Ind Calculations'!F195))))</f>
        <v>0.15091637593503865</v>
      </c>
      <c r="L195" s="95">
        <f>IF(AND(H195="NA",I195="NA",J195="NA"),"NA",IF(H195="NA",'Com-Ind Equations'!$B$13*'Com-Ind Equations'!$B$14/J195,IF(J195="NA",'Com-Ind Equations'!$B$13*'Com-Ind Equations'!$B$14/(H195+I195),'Com-Ind Equations'!$B$13*'Com-Ind Equations'!$B$14/(H195+I195+J195))))</f>
        <v>8.9082749629343247</v>
      </c>
      <c r="M195" s="95">
        <f>IF(AND(H195="NA",I195="NA",K195="NA"),"NA",IF(H195="NA",'Com-Ind Equations'!$B$13*'Com-Ind Equations'!$B$14/K195,IF(K195="NA",'Com-Ind Equations'!$B$13*'Com-Ind Equations'!$B$14/(H195+I195),'Com-Ind Equations'!$B$13*'Com-Ind Equations'!$B$14/(H195+I195+K195))))</f>
        <v>1.4498191550298614</v>
      </c>
      <c r="N195" s="95">
        <f t="shared" si="230"/>
        <v>8.9082749629343247</v>
      </c>
      <c r="O195" s="94">
        <f>IF('Chemical Info'!L196="NA","NA",IF('Chemical Info'!E196="Yes",(('Com-Ind Equations'!$B$46*'Chemical Info'!AD196*'Com-Ind Equations'!$B$48*'Com-Ind Equations'!$B$49*'Com-Ind Equations'!$B$51)/('Com-Ind Equations'!$B$55*'Com-Ind Equations'!$B$56))/'Chemical Info'!L196,(('Com-Ind Equations'!$B$46*'Chemical Info'!AD196*'Com-Ind Equations'!$B$48*'Com-Ind Equations'!$B$49*'Com-Ind Equations'!$B$50)/('Com-Ind Equations'!$B$55*'Com-Ind Equations'!$B$56))/'Chemical Info'!L196))</f>
        <v>6.1643835616438346E-3</v>
      </c>
      <c r="P195" s="90">
        <f>IF('Chemical Info'!L196="NA","NA", IF('Chemical Info'!E196="Yes",0,((('Com-Ind Equations'!$B$58*'Com-Ind Equations'!$B$59*'Com-Ind Equations'!$B$48*'Com-Ind Equations'!$B$52*'Com-Ind Equations'!$B$49*'Chemical Info'!AB196)/('Com-Ind Equations'!$B$55*'Com-Ind Equations'!$B$56))/('Chemical Info'!L196*'Chemical Info'!AF196))))</f>
        <v>0</v>
      </c>
      <c r="Q195" s="90" t="str">
        <f>IF('Chemical Info'!N196="NA","NA",IF('Com-Ind Calculations'!E195="NA",(('Com-Ind Equations'!$B$53*'Com-Ind Equations'!$B$49*'Com-Ind Equations'!$B$54*'Com-Ind Calculations'!C195)/('Com-Ind Equations'!$B$56))/('Chemical Info'!N196),IF('Chemical Info'!E196="Yes",(('Com-Ind Equations'!$B$53*'Com-Ind Equations'!$B$49*'Com-Ind Equations'!$B$54*'Com-Ind Calculations'!E195)/('Com-Ind Equations'!$B$56))/('Chemical Info'!N196),(('Com-Ind Equations'!$B$53*'Com-Ind Equations'!$B$49*'Com-Ind Equations'!$B$54*('Com-Ind Calculations'!C195+'Com-Ind Calculations'!E195))/('Com-Ind Equations'!$B$56))/('Chemical Info'!N196))))</f>
        <v>NA</v>
      </c>
      <c r="R195" s="90" t="str">
        <f>IF('Chemical Info'!N196="NA","NA",IF('Com-Ind Calculations'!F195="NA",(('Com-Ind Equations'!$B$53*'Com-Ind Equations'!$B$49*'Com-Ind Equations'!$B$54*'Com-Ind Calculations'!C195)/('Com-Ind Equations'!$B$56))/('Chemical Info'!N196),IF('Chemical Info'!E196="Yes",(('Com-Ind Equations'!$B$53*'Com-Ind Equations'!$B$49*'Com-Ind Equations'!$B$54*'Com-Ind Calculations'!F195)/('Com-Ind Equations'!$B$56))/('Chemical Info'!N196),(('Com-Ind Equations'!$B$53*'Com-Ind Equations'!$B$49*'Com-Ind Equations'!$B$54*('Com-Ind Calculations'!C195+'Com-Ind Calculations'!F195))/('Com-Ind Equations'!$B$56))/('Chemical Info'!N196))))</f>
        <v>NA</v>
      </c>
      <c r="S195" s="90">
        <f>IF(AND(O195="NA",P195="NA",Q195="NA"),"NA",IF(O195="NA",'Com-Ind Equations'!$B$45/'Com-Ind Calculations'!Q195,IF('Com-Ind Calculations'!Q195="NA",'Com-Ind Equations'!$B$45/('Com-Ind Calculations'!O195+'Com-Ind Calculations'!P195),'Com-Ind Equations'!$B$45/('Com-Ind Calculations'!O195+'Com-Ind Calculations'!P195+'Com-Ind Calculations'!Q195))))</f>
        <v>32.44444444444445</v>
      </c>
      <c r="T195" s="95">
        <f>IF(AND(O195="NA",P195="NA",R195="NA"),"NA",IF(O195="NA",'Com-Ind Equations'!$B$45/R195,IF(R195="NA",'Com-Ind Equations'!$B$45/(O195+P195),'Com-Ind Equations'!$B$45/(O195+P195+R195))))</f>
        <v>32.44444444444445</v>
      </c>
      <c r="U195" s="97">
        <f t="shared" si="231"/>
        <v>32.44444444444445</v>
      </c>
      <c r="V195" s="101">
        <f t="shared" si="232"/>
        <v>8.9082749629343247</v>
      </c>
      <c r="W195" s="105">
        <f t="shared" si="233"/>
        <v>8.9</v>
      </c>
      <c r="X195" s="100" t="str">
        <f t="shared" si="234"/>
        <v>Cancer</v>
      </c>
      <c r="Y195" s="70"/>
    </row>
    <row r="196" spans="1:25" ht="12">
      <c r="A196" s="424" t="s">
        <v>1028</v>
      </c>
      <c r="B196" s="566" t="s">
        <v>11</v>
      </c>
      <c r="C196" s="85">
        <f>1/(('Com-Ind Equations'!$B$123*3600)/(0.036*(1-'Com-Ind Equations'!$B$124)*(('Com-Ind Equations'!$B$125/'Com-Ind Equations'!$B$126)^3)*'Com-Ind Equations'!$B$127))</f>
        <v>1.4713536180231943E-9</v>
      </c>
      <c r="D196" s="90">
        <f>(('Com-Ind Equations'!$B$103^(10/3)*'Chemical Info'!AH197*'Chemical Info'!AN197*41+'Com-Ind Equations'!$B$106^(10/3)*'Chemical Info'!AJ197)/'Com-Ind Equations'!$B$108^2)/('Com-Ind Equations'!$B$110*'Chemical Info'!AL197*'Com-Ind Equations'!$B$113+'Com-Ind Equations'!$B$106+'Com-Ind Equations'!$B$103*'Chemical Info'!AN197*41)</f>
        <v>2.6107346780723748E-8</v>
      </c>
      <c r="E196" s="65">
        <f>IF(D196=0,"NA",1/(('Com-Ind Equations'!$B$74*(3.14*D196*'Com-Ind Equations'!$B$76)^(1/2)*0.0001)/(2*'Com-Ind Equations'!$B$77*D196)))</f>
        <v>9.484401985975914E-7</v>
      </c>
      <c r="F196" s="65">
        <f>IF(D196=0,"NA",(1/('Com-Ind Equations'!$B$88*('Com-Ind Equations'!$B$89*(31500000))/('Com-Ind Equations'!$B$90*'Com-Ind Equations'!$B$91*1000000))))</f>
        <v>6.1914410640015851E-5</v>
      </c>
      <c r="G196" s="120"/>
      <c r="H196" s="112">
        <f>IF('Chemical Info'!H197="NA","NA",IF('Chemical Info'!E197="Yes",'Chemical Info'!H197*'Chemical Info'!AD197*'Com-Ind Equations'!$B$18*'Com-Ind Equations'!$B$22*(('Com-Ind Equations'!$B$24*'Com-Ind Equations'!$B$25)/'Com-Ind Equations'!$B$26),'Chemical Info'!H197*'Chemical Info'!AD197*'Com-Ind Equations'!$B$17*'Com-Ind Equations'!$B$22*('Com-Ind Equations'!$B$24*'Com-Ind Equations'!$B$25/'Com-Ind Equations'!$B$26)))</f>
        <v>5.1187499999999997E-2</v>
      </c>
      <c r="I196" s="108">
        <f>IF('Chemical Info'!H197="NA","NA",IF('Chemical Info'!E197="Yes",0,('Chemical Info'!H197/'Chemical Info'!AF197)*'Com-Ind Equations'!$B$19*'Chemical Info'!AB197*'Com-Ind Equations'!$B$22*(('Com-Ind Equations'!$B$24*'Com-Ind Equations'!$B$29*'Com-Ind Equations'!$B$30)/'Com-Ind Equations'!$B$26)))</f>
        <v>0</v>
      </c>
      <c r="J196" s="115">
        <f>IF('Chemical Info'!J197="NA","NA",IF(E196="NA",'Com-Ind Equations'!$B$20*1000*'Com-Ind Equations'!$B$24*'Com-Ind Equations'!$B$21*'Chemical Info'!J197*'Com-Ind Calculations'!C196,IF('Chemical Info'!E197="Yes",'Com-Ind Equations'!$B$20*1000*'Com-Ind Equations'!$B$24*'Com-Ind Equations'!$B$21*'Chemical Info'!J197*'Com-Ind Calculations'!E196,'Com-Ind Equations'!$B$20*1000*'Com-Ind Equations'!$B$24*'Com-Ind Equations'!$B$21*'Chemical Info'!J197*('Com-Ind Calculations'!C196+'Com-Ind Calculations'!E196))))</f>
        <v>4.6236459681632579E-3</v>
      </c>
      <c r="K196" s="117">
        <f>IF('Chemical Info'!J197="NA","NA",IF(F196="NA",'Com-Ind Equations'!$B$20*1000*'Com-Ind Equations'!$B$24*'Com-Ind Equations'!$B$21*'Chemical Info'!J197*'Com-Ind Calculations'!C196,IF('Chemical Info'!E197="Yes",'Com-Ind Equations'!$B$20*1000*'Com-Ind Equations'!$B$24*'Com-Ind Equations'!$B$21*'Chemical Info'!J197*'Com-Ind Calculations'!F196,'Com-Ind Equations'!$B$20*1000*'Com-Ind Equations'!$B$24*'Com-Ind Equations'!$B$21*'Chemical Info'!J197*('Com-Ind Calculations'!C196+'Com-Ind Calculations'!F196))))</f>
        <v>0.3018327518700773</v>
      </c>
      <c r="L196" s="95">
        <f>IF(AND(H196="NA",I196="NA",J196="NA"),"NA",IF(H196="NA",'Com-Ind Equations'!$B$13*'Com-Ind Equations'!$B$14/J196,IF(J196="NA",'Com-Ind Equations'!$B$13*'Com-Ind Equations'!$B$14/(H196+I196),'Com-Ind Equations'!$B$13*'Com-Ind Equations'!$B$14/(H196+I196+J196))))</f>
        <v>4.577938610071663</v>
      </c>
      <c r="M196" s="95">
        <f>IF(AND(H196="NA",I196="NA",K196="NA"),"NA",IF(H196="NA",'Com-Ind Equations'!$B$13*'Com-Ind Equations'!$B$14/K196,IF(K196="NA",'Com-Ind Equations'!$B$13*'Com-Ind Equations'!$B$14/(H196+I196),'Com-Ind Equations'!$B$13*'Com-Ind Equations'!$B$14/(H196+I196+K196))))</f>
        <v>0.72375451166476468</v>
      </c>
      <c r="N196" s="95">
        <f t="shared" si="230"/>
        <v>4.577938610071663</v>
      </c>
      <c r="O196" s="94">
        <f>IF('Chemical Info'!L197="NA","NA",IF('Chemical Info'!E197="Yes",(('Com-Ind Equations'!$B$46*'Chemical Info'!AD197*'Com-Ind Equations'!$B$48*'Com-Ind Equations'!$B$49*'Com-Ind Equations'!$B$51)/('Com-Ind Equations'!$B$55*'Com-Ind Equations'!$B$56))/'Chemical Info'!L197,(('Com-Ind Equations'!$B$46*'Chemical Info'!AD197*'Com-Ind Equations'!$B$48*'Com-Ind Equations'!$B$49*'Com-Ind Equations'!$B$50)/('Com-Ind Equations'!$B$55*'Com-Ind Equations'!$B$56))/'Chemical Info'!L197))</f>
        <v>4.7418335089567963E-2</v>
      </c>
      <c r="P196" s="90">
        <f>IF('Chemical Info'!L197="NA","NA", IF('Chemical Info'!E197="Yes",0,((('Com-Ind Equations'!$B$58*'Com-Ind Equations'!$B$59*'Com-Ind Equations'!$B$48*'Com-Ind Equations'!$B$52*'Com-Ind Equations'!$B$49*'Chemical Info'!AB197)/('Com-Ind Equations'!$B$55*'Com-Ind Equations'!$B$56))/('Chemical Info'!L197*'Chemical Info'!AF197))))</f>
        <v>0</v>
      </c>
      <c r="Q196" s="90" t="str">
        <f>IF('Chemical Info'!N197="NA","NA",IF('Com-Ind Calculations'!E196="NA",(('Com-Ind Equations'!$B$53*'Com-Ind Equations'!$B$49*'Com-Ind Equations'!$B$54*'Com-Ind Calculations'!C196)/('Com-Ind Equations'!$B$56))/('Chemical Info'!N197),IF('Chemical Info'!E197="Yes",(('Com-Ind Equations'!$B$53*'Com-Ind Equations'!$B$49*'Com-Ind Equations'!$B$54*'Com-Ind Calculations'!E196)/('Com-Ind Equations'!$B$56))/('Chemical Info'!N197),(('Com-Ind Equations'!$B$53*'Com-Ind Equations'!$B$49*'Com-Ind Equations'!$B$54*('Com-Ind Calculations'!C196+'Com-Ind Calculations'!E196))/('Com-Ind Equations'!$B$56))/('Chemical Info'!N197))))</f>
        <v>NA</v>
      </c>
      <c r="R196" s="90" t="str">
        <f>IF('Chemical Info'!N197="NA","NA",IF('Com-Ind Calculations'!F196="NA",(('Com-Ind Equations'!$B$53*'Com-Ind Equations'!$B$49*'Com-Ind Equations'!$B$54*'Com-Ind Calculations'!C196)/('Com-Ind Equations'!$B$56))/('Chemical Info'!N197),IF('Chemical Info'!E197="Yes",(('Com-Ind Equations'!$B$53*'Com-Ind Equations'!$B$49*'Com-Ind Equations'!$B$54*'Com-Ind Calculations'!F196)/('Com-Ind Equations'!$B$56))/('Chemical Info'!N197),(('Com-Ind Equations'!$B$53*'Com-Ind Equations'!$B$49*'Com-Ind Equations'!$B$54*('Com-Ind Calculations'!C196+'Com-Ind Calculations'!F196))/('Com-Ind Equations'!$B$56))/('Chemical Info'!N197))))</f>
        <v>NA</v>
      </c>
      <c r="S196" s="90">
        <f>IF(AND(O196="NA",P196="NA",Q196="NA"),"NA",IF(O196="NA",'Com-Ind Equations'!$B$45/'Com-Ind Calculations'!Q196,IF('Com-Ind Calculations'!Q196="NA",'Com-Ind Equations'!$B$45/('Com-Ind Calculations'!O196+'Com-Ind Calculations'!P196),'Com-Ind Equations'!$B$45/('Com-Ind Calculations'!O196+'Com-Ind Calculations'!P196+'Com-Ind Calculations'!Q196))))</f>
        <v>4.2177777777777781</v>
      </c>
      <c r="T196" s="95">
        <f>IF(AND(O196="NA",P196="NA",R196="NA"),"NA",IF(O196="NA",'Com-Ind Equations'!$B$45/R196,IF(R196="NA",'Com-Ind Equations'!$B$45/(O196+P196),'Com-Ind Equations'!$B$45/(O196+P196+R196))))</f>
        <v>4.2177777777777781</v>
      </c>
      <c r="U196" s="97">
        <f t="shared" si="231"/>
        <v>4.2177777777777781</v>
      </c>
      <c r="V196" s="101">
        <f t="shared" si="232"/>
        <v>4.2177777777777781</v>
      </c>
      <c r="W196" s="105">
        <f t="shared" si="233"/>
        <v>4.2</v>
      </c>
      <c r="X196" s="100" t="str">
        <f t="shared" si="234"/>
        <v>Noncancer</v>
      </c>
      <c r="Y196" s="70"/>
    </row>
    <row r="197" spans="1:25" ht="20">
      <c r="A197" s="412" t="s">
        <v>493</v>
      </c>
      <c r="B197" s="566" t="s">
        <v>118</v>
      </c>
      <c r="C197" s="85">
        <f>1/(('Com-Ind Equations'!$B$123*3600)/(0.036*(1-'Com-Ind Equations'!$B$124)*(('Com-Ind Equations'!$B$125/'Com-Ind Equations'!$B$126)^3)*'Com-Ind Equations'!$B$127))</f>
        <v>1.4713536180231943E-9</v>
      </c>
      <c r="D197" s="90">
        <f>(('Com-Ind Equations'!$B$103^(10/3)*'Chemical Info'!AH198*'Chemical Info'!AN198*41+'Com-Ind Equations'!$B$106^(10/3)*'Chemical Info'!AJ198)/'Com-Ind Equations'!$B$108^2)/('Com-Ind Equations'!$B$110*'Chemical Info'!AL198*'Com-Ind Equations'!$B$113+'Com-Ind Equations'!$B$106+'Com-Ind Equations'!$B$103*'Chemical Info'!AN198*41)</f>
        <v>3.7574438109263852E-8</v>
      </c>
      <c r="E197" s="65">
        <f>IF(D197=0,"NA",1/(('Com-Ind Equations'!$B$74*(3.14*D197*'Com-Ind Equations'!$B$76)^(1/2)*0.0001)/(2*'Com-Ind Equations'!$B$77*D197)))</f>
        <v>1.137823321989492E-6</v>
      </c>
      <c r="F197" s="65">
        <f>IF(D197=0,"NA",(1/('Com-Ind Equations'!$B$88*('Com-Ind Equations'!$B$89*(31500000))/('Com-Ind Equations'!$B$90*'Com-Ind Equations'!$B$91*1000000))))</f>
        <v>6.1914410640015851E-5</v>
      </c>
      <c r="G197" s="95" t="str">
        <f>IF('Chemical Info'!E198="Yes",('Chemical Info'!AP198/'Com-Ind Equations'!$B$139)*((('Chemical Info'!AL198*'Com-Ind Equations'!$B$141)*'Com-Ind Equations'!$B$139)+'Com-Ind Equations'!$B$142+('Chemical Info'!AN198*41)*'Com-Ind Equations'!$B$144),"NA")</f>
        <v>NA</v>
      </c>
      <c r="H197" s="112">
        <f>IF('Chemical Info'!H198="NA","NA",IF('Chemical Info'!E198="Yes",'Chemical Info'!H198*'Chemical Info'!AD198*'Com-Ind Equations'!$B$18*'Com-Ind Equations'!$B$22*(('Com-Ind Equations'!$B$24*'Com-Ind Equations'!$B$25)/'Com-Ind Equations'!$B$26),'Chemical Info'!H198*'Chemical Info'!AD198*'Com-Ind Equations'!$B$17*'Com-Ind Equations'!$B$22*('Com-Ind Equations'!$B$24*'Com-Ind Equations'!$B$25/'Com-Ind Equations'!$B$26)))</f>
        <v>4.9218749999999999E-2</v>
      </c>
      <c r="I197" s="108">
        <f>IF('Chemical Info'!H198="NA","NA",IF('Chemical Info'!E198="Yes",0,('Chemical Info'!H198/'Chemical Info'!AF198)*'Com-Ind Equations'!$B$19*'Chemical Info'!AB198*'Com-Ind Equations'!$B$22*(('Com-Ind Equations'!$B$24*'Com-Ind Equations'!$B$29*'Com-Ind Equations'!$B$30)/'Com-Ind Equations'!$B$26)))</f>
        <v>1.4998567499999999E-2</v>
      </c>
      <c r="J197" s="115">
        <f>IF('Chemical Info'!J198="NA","NA",IF(E197="NA",'Com-Ind Equations'!$B$20*1000*'Com-Ind Equations'!$B$24*'Com-Ind Equations'!$B$21*'Chemical Info'!J198*'Com-Ind Calculations'!C197,IF('Chemical Info'!E198="Yes",'Com-Ind Equations'!$B$20*1000*'Com-Ind Equations'!$B$24*'Com-Ind Equations'!$B$21*'Chemical Info'!J198*'Com-Ind Calculations'!E197,'Com-Ind Equations'!$B$20*1000*'Com-Ind Equations'!$B$24*'Com-Ind Equations'!$B$21*'Chemical Info'!J198*('Com-Ind Calculations'!C197+'Com-Ind Calculations'!E197))))</f>
        <v>3.8451195301753638E-3</v>
      </c>
      <c r="K197" s="117">
        <f>IF('Chemical Info'!J198="NA","NA",IF(F197="NA",'Com-Ind Equations'!$B$20*1000*'Com-Ind Equations'!$B$24*'Com-Ind Equations'!$B$21*'Chemical Info'!J198*'Com-Ind Calculations'!C197,IF('Chemical Info'!E198="Yes",'Com-Ind Equations'!$B$20*1000*'Com-Ind Equations'!$B$24*'Com-Ind Equations'!$B$21*'Chemical Info'!J198*'Com-Ind Calculations'!F197,'Com-Ind Equations'!$B$20*1000*'Com-Ind Equations'!$B$24*'Com-Ind Equations'!$B$21*'Chemical Info'!J198*('Com-Ind Calculations'!C197+'Com-Ind Calculations'!F197))))</f>
        <v>0.20896610172851432</v>
      </c>
      <c r="L197" s="95">
        <f>IF(AND(H197="NA",I197="NA",J197="NA"),"NA",IF(H197="NA",'Com-Ind Equations'!$B$13*'Com-Ind Equations'!$B$14/J197,IF(J197="NA",'Com-Ind Equations'!$B$13*'Com-Ind Equations'!$B$14/(H197+I197),'Com-Ind Equations'!$B$13*'Com-Ind Equations'!$B$14/(H197+I197+J197))))</f>
        <v>3.7539061360192632</v>
      </c>
      <c r="M197" s="95">
        <f>IF(AND(H197="NA",I197="NA",K197="NA"),"NA",IF(H197="NA",'Com-Ind Equations'!$B$13*'Com-Ind Equations'!$B$14/K197,IF(K197="NA",'Com-Ind Equations'!$B$13*'Com-Ind Equations'!$B$14/(H197+I197),'Com-Ind Equations'!$B$13*'Com-Ind Equations'!$B$14/(H197+I197+K197))))</f>
        <v>0.93526906106361329</v>
      </c>
      <c r="N197" s="95">
        <f t="shared" si="230"/>
        <v>3.7539061360192632</v>
      </c>
      <c r="O197" s="94">
        <f>IF('Chemical Info'!L198="NA","NA",IF('Chemical Info'!E198="Yes",(('Com-Ind Equations'!$B$46*'Chemical Info'!AD198*'Com-Ind Equations'!$B$48*'Com-Ind Equations'!$B$49*'Com-Ind Equations'!$B$51)/('Com-Ind Equations'!$B$55*'Com-Ind Equations'!$B$56))/'Chemical Info'!L198,(('Com-Ind Equations'!$B$46*'Chemical Info'!AD198*'Com-Ind Equations'!$B$48*'Com-Ind Equations'!$B$49*'Com-Ind Equations'!$B$50)/('Com-Ind Equations'!$B$55*'Com-Ind Equations'!$B$56))/'Chemical Info'!L198))</f>
        <v>9.5129375951293743E-4</v>
      </c>
      <c r="P197" s="90">
        <f>IF('Chemical Info'!L198="NA","NA", IF('Chemical Info'!E198="Yes",0,((('Com-Ind Equations'!$B$58*'Com-Ind Equations'!$B$59*'Com-Ind Equations'!$B$48*'Com-Ind Equations'!$B$52*'Com-Ind Equations'!$B$49*'Chemical Info'!AB198)/('Com-Ind Equations'!$B$55*'Com-Ind Equations'!$B$56))/('Chemical Info'!L198*'Chemical Info'!AF198))))</f>
        <v>2.8989041095890406E-4</v>
      </c>
      <c r="Q197" s="90" t="str">
        <f>IF('Chemical Info'!N198="NA","NA",IF('Com-Ind Calculations'!E197="NA",(('Com-Ind Equations'!$B$53*'Com-Ind Equations'!$B$49*'Com-Ind Equations'!$B$54*'Com-Ind Calculations'!C197)/('Com-Ind Equations'!$B$56))/('Chemical Info'!N198),IF('Chemical Info'!E198="Yes",(('Com-Ind Equations'!$B$53*'Com-Ind Equations'!$B$49*'Com-Ind Equations'!$B$54*'Com-Ind Calculations'!E197)/('Com-Ind Equations'!$B$56))/('Chemical Info'!N198),(('Com-Ind Equations'!$B$53*'Com-Ind Equations'!$B$49*'Com-Ind Equations'!$B$54*('Com-Ind Calculations'!C197+'Com-Ind Calculations'!E197))/('Com-Ind Equations'!$B$56))/('Chemical Info'!N198))))</f>
        <v>NA</v>
      </c>
      <c r="R197" s="90" t="str">
        <f>IF('Chemical Info'!N198="NA","NA",IF('Com-Ind Calculations'!F197="NA",(('Com-Ind Equations'!$B$53*'Com-Ind Equations'!$B$49*'Com-Ind Equations'!$B$54*'Com-Ind Calculations'!C197)/('Com-Ind Equations'!$B$56))/('Chemical Info'!N198),IF('Chemical Info'!E198="Yes",(('Com-Ind Equations'!$B$53*'Com-Ind Equations'!$B$49*'Com-Ind Equations'!$B$54*'Com-Ind Calculations'!F197)/('Com-Ind Equations'!$B$56))/('Chemical Info'!N198),(('Com-Ind Equations'!$B$53*'Com-Ind Equations'!$B$49*'Com-Ind Equations'!$B$54*('Com-Ind Calculations'!C197+'Com-Ind Calculations'!F197))/('Com-Ind Equations'!$B$56))/('Chemical Info'!N198))))</f>
        <v>NA</v>
      </c>
      <c r="S197" s="90">
        <f>IF(AND(O197="NA",P197="NA",Q197="NA"),"NA",IF(O197="NA",'Com-Ind Equations'!$B$45/'Com-Ind Calculations'!Q197,IF('Com-Ind Calculations'!Q197="NA",'Com-Ind Equations'!$B$45/('Com-Ind Calculations'!O197+'Com-Ind Calculations'!P197),'Com-Ind Equations'!$B$45/('Com-Ind Calculations'!O197+'Com-Ind Calculations'!P197+'Com-Ind Calculations'!Q197))))</f>
        <v>161.13644111652596</v>
      </c>
      <c r="T197" s="95">
        <f>IF(AND(O197="NA",P197="NA",R197="NA"),"NA",IF(O197="NA",'Com-Ind Equations'!$B$45/R197,IF(R197="NA",'Com-Ind Equations'!$B$45/(O197+P197),'Com-Ind Equations'!$B$45/(O197+P197+R197))))</f>
        <v>161.13644111652596</v>
      </c>
      <c r="U197" s="97">
        <f t="shared" si="231"/>
        <v>161.13644111652596</v>
      </c>
      <c r="V197" s="101">
        <f t="shared" si="232"/>
        <v>3.7539061360192632</v>
      </c>
      <c r="W197" s="105">
        <f t="shared" si="233"/>
        <v>3.8</v>
      </c>
      <c r="X197" s="100" t="str">
        <f t="shared" si="234"/>
        <v>Cancer</v>
      </c>
      <c r="Y197" s="70"/>
    </row>
    <row r="198" spans="1:25">
      <c r="A198" s="413" t="s">
        <v>391</v>
      </c>
      <c r="B198" s="566" t="s">
        <v>119</v>
      </c>
      <c r="C198" s="85">
        <f>1/(('Com-Ind Equations'!$B$123*3600)/(0.036*(1-'Com-Ind Equations'!$B$124)*(('Com-Ind Equations'!$B$125/'Com-Ind Equations'!$B$126)^3)*'Com-Ind Equations'!$B$127))</f>
        <v>1.4713536180231943E-9</v>
      </c>
      <c r="D198" s="90">
        <f>(('Com-Ind Equations'!$B$103^(10/3)*'Chemical Info'!AH199*'Chemical Info'!AN199*41+'Com-Ind Equations'!$B$106^(10/3)*'Chemical Info'!AJ199)/'Com-Ind Equations'!$B$108^2)/('Com-Ind Equations'!$B$110*'Chemical Info'!AL199*'Com-Ind Equations'!$B$113+'Com-Ind Equations'!$B$106+'Com-Ind Equations'!$B$103*'Chemical Info'!AN199*41)</f>
        <v>4.2687906587918408E-9</v>
      </c>
      <c r="E198" s="65">
        <f>IF(D198=0,"NA",1/(('Com-Ind Equations'!$B$74*(3.14*D198*'Com-Ind Equations'!$B$76)^(1/2)*0.0001)/(2*'Com-Ind Equations'!$B$77*D198)))</f>
        <v>3.8351381484795154E-7</v>
      </c>
      <c r="F198" s="65">
        <f>IF(D198=0,"NA",(1/('Com-Ind Equations'!$B$88*('Com-Ind Equations'!$B$89*(31500000))/('Com-Ind Equations'!$B$90*'Com-Ind Equations'!$B$91*1000000))))</f>
        <v>6.1914410640015851E-5</v>
      </c>
      <c r="G198" s="95" t="str">
        <f>IF('Chemical Info'!E199="Yes",('Chemical Info'!AP199/'Com-Ind Equations'!$B$139)*((('Chemical Info'!AL199*'Com-Ind Equations'!$B$141)*'Com-Ind Equations'!$B$139)+'Com-Ind Equations'!$B$142+('Chemical Info'!AN199*41)*'Com-Ind Equations'!$B$144),"NA")</f>
        <v>NA</v>
      </c>
      <c r="H198" s="112">
        <f>IF('Chemical Info'!H199="NA","NA",IF('Chemical Info'!E199="Yes",'Chemical Info'!H199*'Chemical Info'!AD199*'Com-Ind Equations'!$B$18*'Com-Ind Equations'!$B$22*(('Com-Ind Equations'!$B$24*'Com-Ind Equations'!$B$25)/'Com-Ind Equations'!$B$26),'Chemical Info'!H199*'Chemical Info'!AD199*'Com-Ind Equations'!$B$17*'Com-Ind Equations'!$B$22*('Com-Ind Equations'!$B$24*'Com-Ind Equations'!$B$25/'Com-Ind Equations'!$B$26)))</f>
        <v>1.40625E-2</v>
      </c>
      <c r="I198" s="108">
        <f>IF('Chemical Info'!H199="NA","NA",IF('Chemical Info'!E199="Yes",0,('Chemical Info'!H199/'Chemical Info'!AF199)*'Com-Ind Equations'!$B$19*'Chemical Info'!AB199*'Com-Ind Equations'!$B$22*(('Com-Ind Equations'!$B$24*'Com-Ind Equations'!$B$29*'Com-Ind Equations'!$B$30)/'Com-Ind Equations'!$B$26)))</f>
        <v>4.2853049999999988E-3</v>
      </c>
      <c r="J198" s="115">
        <f>IF('Chemical Info'!J199="NA","NA",IF(E198="NA",'Com-Ind Equations'!$B$20*1000*'Com-Ind Equations'!$B$24*'Com-Ind Equations'!$B$21*'Chemical Info'!J199*'Com-Ind Calculations'!C198,IF('Chemical Info'!E199="Yes",'Com-Ind Equations'!$B$20*1000*'Com-Ind Equations'!$B$24*'Com-Ind Equations'!$B$21*'Chemical Info'!J199*'Com-Ind Calculations'!E198,'Com-Ind Equations'!$B$20*1000*'Com-Ind Equations'!$B$24*'Com-Ind Equations'!$B$21*'Chemical Info'!J199*('Com-Ind Calculations'!C198+'Com-Ind Calculations'!E198))))</f>
        <v>3.8257901116306242E-4</v>
      </c>
      <c r="K198" s="117">
        <f>IF('Chemical Info'!J199="NA","NA",IF(F198="NA",'Com-Ind Equations'!$B$20*1000*'Com-Ind Equations'!$B$24*'Com-Ind Equations'!$B$21*'Chemical Info'!J199*'Com-Ind Calculations'!C198,IF('Chemical Info'!E199="Yes",'Com-Ind Equations'!$B$20*1000*'Com-Ind Equations'!$B$24*'Com-Ind Equations'!$B$21*'Chemical Info'!J199*'Com-Ind Calculations'!F198,'Com-Ind Equations'!$B$20*1000*'Com-Ind Equations'!$B$24*'Com-Ind Equations'!$B$21*'Chemical Info'!J199*('Com-Ind Calculations'!C198+'Com-Ind Calculations'!F198))))</f>
        <v>6.1528907731173657E-2</v>
      </c>
      <c r="L198" s="95">
        <f>IF(AND(H198="NA",I198="NA",J198="NA"),"NA",IF(H198="NA",'Com-Ind Equations'!$B$13*'Com-Ind Equations'!$B$14/J198,IF(J198="NA",'Com-Ind Equations'!$B$13*'Com-Ind Equations'!$B$14/(H198+I198),'Com-Ind Equations'!$B$13*'Com-Ind Equations'!$B$14/(H198+I198+J198))))</f>
        <v>13.6409376256101</v>
      </c>
      <c r="M198" s="95">
        <f>IF(AND(H198="NA",I198="NA",K198="NA"),"NA",IF(H198="NA",'Com-Ind Equations'!$B$13*'Com-Ind Equations'!$B$14/K198,IF(K198="NA",'Com-Ind Equations'!$B$13*'Com-Ind Equations'!$B$14/(H198+I198),'Com-Ind Equations'!$B$13*'Com-Ind Equations'!$B$14/(H198+I198+K198))))</f>
        <v>3.198679455674263</v>
      </c>
      <c r="N198" s="95">
        <f t="shared" si="230"/>
        <v>13.6409376256101</v>
      </c>
      <c r="O198" s="94" t="str">
        <f>IF('Chemical Info'!L199="NA","NA",IF('Chemical Info'!E199="Yes",(('Com-Ind Equations'!$B$46*'Chemical Info'!AD199*'Com-Ind Equations'!$B$48*'Com-Ind Equations'!$B$49*'Com-Ind Equations'!$B$51)/('Com-Ind Equations'!$B$55*'Com-Ind Equations'!$B$56))/'Chemical Info'!L199,(('Com-Ind Equations'!$B$46*'Chemical Info'!AD199*'Com-Ind Equations'!$B$48*'Com-Ind Equations'!$B$49*'Com-Ind Equations'!$B$50)/('Com-Ind Equations'!$B$55*'Com-Ind Equations'!$B$56))/'Chemical Info'!L199))</f>
        <v>NA</v>
      </c>
      <c r="P198" s="90" t="str">
        <f>IF('Chemical Info'!L199="NA","NA", IF('Chemical Info'!E199="Yes",0,((('Com-Ind Equations'!$B$58*'Com-Ind Equations'!$B$59*'Com-Ind Equations'!$B$48*'Com-Ind Equations'!$B$52*'Com-Ind Equations'!$B$49*'Chemical Info'!AB199)/('Com-Ind Equations'!$B$55*'Com-Ind Equations'!$B$56))/('Chemical Info'!L199*'Chemical Info'!AF199))))</f>
        <v>NA</v>
      </c>
      <c r="Q198" s="90" t="str">
        <f>IF('Chemical Info'!N199="NA","NA",IF('Com-Ind Calculations'!E198="NA",(('Com-Ind Equations'!$B$53*'Com-Ind Equations'!$B$49*'Com-Ind Equations'!$B$54*'Com-Ind Calculations'!C198)/('Com-Ind Equations'!$B$56))/('Chemical Info'!N199),IF('Chemical Info'!E199="Yes",(('Com-Ind Equations'!$B$53*'Com-Ind Equations'!$B$49*'Com-Ind Equations'!$B$54*'Com-Ind Calculations'!E198)/('Com-Ind Equations'!$B$56))/('Chemical Info'!N199),(('Com-Ind Equations'!$B$53*'Com-Ind Equations'!$B$49*'Com-Ind Equations'!$B$54*('Com-Ind Calculations'!C198+'Com-Ind Calculations'!E198))/('Com-Ind Equations'!$B$56))/('Chemical Info'!N199))))</f>
        <v>NA</v>
      </c>
      <c r="R198" s="90" t="str">
        <f>IF('Chemical Info'!N199="NA","NA",IF('Com-Ind Calculations'!F198="NA",(('Com-Ind Equations'!$B$53*'Com-Ind Equations'!$B$49*'Com-Ind Equations'!$B$54*'Com-Ind Calculations'!C198)/('Com-Ind Equations'!$B$56))/('Chemical Info'!N199),IF('Chemical Info'!E199="Yes",(('Com-Ind Equations'!$B$53*'Com-Ind Equations'!$B$49*'Com-Ind Equations'!$B$54*'Com-Ind Calculations'!F198)/('Com-Ind Equations'!$B$56))/('Chemical Info'!N199),(('Com-Ind Equations'!$B$53*'Com-Ind Equations'!$B$49*'Com-Ind Equations'!$B$54*('Com-Ind Calculations'!C198+'Com-Ind Calculations'!F198))/('Com-Ind Equations'!$B$56))/('Chemical Info'!N199))))</f>
        <v>NA</v>
      </c>
      <c r="S198" s="90" t="str">
        <f>IF(AND(O198="NA",P198="NA",Q198="NA"),"NA",IF(O198="NA",'Com-Ind Equations'!$B$45/'Com-Ind Calculations'!Q198,IF('Com-Ind Calculations'!Q198="NA",'Com-Ind Equations'!$B$45/('Com-Ind Calculations'!O198+'Com-Ind Calculations'!P198),'Com-Ind Equations'!$B$45/('Com-Ind Calculations'!O198+'Com-Ind Calculations'!P198+'Com-Ind Calculations'!Q198))))</f>
        <v>NA</v>
      </c>
      <c r="T198" s="95" t="str">
        <f>IF(AND(O198="NA",P198="NA",R198="NA"),"NA",IF(O198="NA",'Com-Ind Equations'!$B$45/R198,IF(R198="NA",'Com-Ind Equations'!$B$45/(O198+P198),'Com-Ind Equations'!$B$45/(O198+P198+R198))))</f>
        <v>NA</v>
      </c>
      <c r="U198" s="97" t="str">
        <f t="shared" si="231"/>
        <v>NA</v>
      </c>
      <c r="V198" s="101">
        <f t="shared" si="232"/>
        <v>13.6409376256101</v>
      </c>
      <c r="W198" s="105">
        <f t="shared" si="233"/>
        <v>14</v>
      </c>
      <c r="X198" s="100" t="str">
        <f t="shared" si="234"/>
        <v>Cancer</v>
      </c>
      <c r="Y198" s="70"/>
    </row>
    <row r="199" spans="1:25">
      <c r="A199" s="413" t="s">
        <v>392</v>
      </c>
      <c r="B199" s="566" t="s">
        <v>120</v>
      </c>
      <c r="C199" s="85">
        <f>1/(('Com-Ind Equations'!$B$123*3600)/(0.036*(1-'Com-Ind Equations'!$B$124)*(('Com-Ind Equations'!$B$125/'Com-Ind Equations'!$B$126)^3)*'Com-Ind Equations'!$B$127))</f>
        <v>1.4713536180231943E-9</v>
      </c>
      <c r="D199" s="90">
        <f>(('Com-Ind Equations'!$B$103^(10/3)*'Chemical Info'!AH200*'Chemical Info'!AN200*41+'Com-Ind Equations'!$B$106^(10/3)*'Chemical Info'!AJ200)/'Com-Ind Equations'!$B$108^2)/('Com-Ind Equations'!$B$110*'Chemical Info'!AL200*'Com-Ind Equations'!$B$113+'Com-Ind Equations'!$B$106+'Com-Ind Equations'!$B$103*'Chemical Info'!AN200*41)</f>
        <v>2.9267001820316096E-8</v>
      </c>
      <c r="E199" s="65">
        <f>IF(D199=0,"NA",1/(('Com-Ind Equations'!$B$74*(3.14*D199*'Com-Ind Equations'!$B$76)^(1/2)*0.0001)/(2*'Com-Ind Equations'!$B$77*D199)))</f>
        <v>1.004194182606106E-6</v>
      </c>
      <c r="F199" s="65">
        <f>IF(D199=0,"NA",(1/('Com-Ind Equations'!$B$88*('Com-Ind Equations'!$B$89*(31500000))/('Com-Ind Equations'!$B$90*'Com-Ind Equations'!$B$91*1000000))))</f>
        <v>6.1914410640015851E-5</v>
      </c>
      <c r="G199" s="95" t="str">
        <f>IF('Chemical Info'!E200="Yes",('Chemical Info'!AP200/'Com-Ind Equations'!$B$139)*((('Chemical Info'!AL200*'Com-Ind Equations'!$B$141)*'Com-Ind Equations'!$B$139)+'Com-Ind Equations'!$B$142+('Chemical Info'!AN200*41)*'Com-Ind Equations'!$B$144),"NA")</f>
        <v>NA</v>
      </c>
      <c r="H199" s="112">
        <f>IF('Chemical Info'!H200="NA","NA",IF('Chemical Info'!E200="Yes",'Chemical Info'!H200*'Chemical Info'!AD200*'Com-Ind Equations'!$B$18*'Com-Ind Equations'!$B$22*(('Com-Ind Equations'!$B$24*'Com-Ind Equations'!$B$25)/'Com-Ind Equations'!$B$26),'Chemical Info'!H200*'Chemical Info'!AD200*'Com-Ind Equations'!$B$17*'Com-Ind Equations'!$B$22*('Com-Ind Equations'!$B$24*'Com-Ind Equations'!$B$25/'Com-Ind Equations'!$B$26)))</f>
        <v>8.593749999999999E-3</v>
      </c>
      <c r="I199" s="108">
        <f>IF('Chemical Info'!H200="NA","NA",IF('Chemical Info'!E200="Yes",0,('Chemical Info'!H200/'Chemical Info'!AF200)*'Com-Ind Equations'!$B$19*'Chemical Info'!AB200*'Com-Ind Equations'!$B$22*(('Com-Ind Equations'!$B$24*'Com-Ind Equations'!$B$29*'Com-Ind Equations'!$B$30)/'Com-Ind Equations'!$B$26)))</f>
        <v>1.0475190000000002E-3</v>
      </c>
      <c r="J199" s="115">
        <f>IF('Chemical Info'!J200="NA","NA",IF(E199="NA",'Com-Ind Equations'!$B$20*1000*'Com-Ind Equations'!$B$24*'Com-Ind Equations'!$B$21*'Chemical Info'!J200*'Com-Ind Calculations'!C199,IF('Chemical Info'!E200="Yes",'Com-Ind Equations'!$B$20*1000*'Com-Ind Equations'!$B$24*'Com-Ind Equations'!$B$21*'Chemical Info'!J200*'Com-Ind Calculations'!E199,'Com-Ind Equations'!$B$20*1000*'Com-Ind Equations'!$B$24*'Com-Ind Equations'!$B$21*'Chemical Info'!J200*('Com-Ind Calculations'!C199+'Com-Ind Calculations'!E199))))</f>
        <v>5.8454309293027511E-4</v>
      </c>
      <c r="K199" s="117">
        <f>IF('Chemical Info'!J200="NA","NA",IF(F199="NA",'Com-Ind Equations'!$B$20*1000*'Com-Ind Equations'!$B$24*'Com-Ind Equations'!$B$21*'Chemical Info'!J200*'Com-Ind Calculations'!C199,IF('Chemical Info'!E200="Yes",'Com-Ind Equations'!$B$20*1000*'Com-Ind Equations'!$B$24*'Com-Ind Equations'!$B$21*'Chemical Info'!J200*'Com-Ind Calculations'!F199,'Com-Ind Equations'!$B$20*1000*'Com-Ind Equations'!$B$24*'Com-Ind Equations'!$B$21*'Chemical Info'!J200*('Com-Ind Calculations'!C199+'Com-Ind Calculations'!F199))))</f>
        <v>3.5988606408799688E-2</v>
      </c>
      <c r="L199" s="95">
        <f>IF(AND(H199="NA",I199="NA",J199="NA"),"NA",IF(H199="NA",'Com-Ind Equations'!$B$13*'Com-Ind Equations'!$B$14/J199,IF(J199="NA",'Com-Ind Equations'!$B$13*'Com-Ind Equations'!$B$14/(H199+I199),'Com-Ind Equations'!$B$13*'Com-Ind Equations'!$B$14/(H199+I199+J199))))</f>
        <v>24.9857906323785</v>
      </c>
      <c r="M199" s="95">
        <f>IF(AND(H199="NA",I199="NA",K199="NA"),"NA",IF(H199="NA",'Com-Ind Equations'!$B$13*'Com-Ind Equations'!$B$14/K199,IF(K199="NA",'Com-Ind Equations'!$B$13*'Com-Ind Equations'!$B$14/(H199+I199),'Com-Ind Equations'!$B$13*'Com-Ind Equations'!$B$14/(H199+I199+K199))))</f>
        <v>5.5994016575974914</v>
      </c>
      <c r="N199" s="95">
        <f t="shared" si="230"/>
        <v>24.9857906323785</v>
      </c>
      <c r="O199" s="94">
        <f>IF('Chemical Info'!L200="NA","NA",IF('Chemical Info'!E200="Yes",(('Com-Ind Equations'!$B$46*'Chemical Info'!AD200*'Com-Ind Equations'!$B$48*'Com-Ind Equations'!$B$49*'Com-Ind Equations'!$B$51)/('Com-Ind Equations'!$B$55*'Com-Ind Equations'!$B$56))/'Chemical Info'!L200,(('Com-Ind Equations'!$B$46*'Chemical Info'!AD200*'Com-Ind Equations'!$B$48*'Com-Ind Equations'!$B$49*'Com-Ind Equations'!$B$50)/('Com-Ind Equations'!$B$55*'Com-Ind Equations'!$B$56))/'Chemical Info'!L200))</f>
        <v>1.0702054794520546</v>
      </c>
      <c r="P199" s="90">
        <f>IF('Chemical Info'!L200="NA","NA", IF('Chemical Info'!E200="Yes",0,((('Com-Ind Equations'!$B$58*'Com-Ind Equations'!$B$59*'Com-Ind Equations'!$B$48*'Com-Ind Equations'!$B$52*'Com-Ind Equations'!$B$49*'Chemical Info'!AB200)/('Com-Ind Equations'!$B$55*'Com-Ind Equations'!$B$56))/('Chemical Info'!L200*'Chemical Info'!AF200))))</f>
        <v>0.13045068493150686</v>
      </c>
      <c r="Q199" s="90" t="str">
        <f>IF('Chemical Info'!N200="NA","NA",IF('Com-Ind Calculations'!E199="NA",(('Com-Ind Equations'!$B$53*'Com-Ind Equations'!$B$49*'Com-Ind Equations'!$B$54*'Com-Ind Calculations'!C199)/('Com-Ind Equations'!$B$56))/('Chemical Info'!N200),IF('Chemical Info'!E200="Yes",(('Com-Ind Equations'!$B$53*'Com-Ind Equations'!$B$49*'Com-Ind Equations'!$B$54*'Com-Ind Calculations'!E199)/('Com-Ind Equations'!$B$56))/('Chemical Info'!N200),(('Com-Ind Equations'!$B$53*'Com-Ind Equations'!$B$49*'Com-Ind Equations'!$B$54*('Com-Ind Calculations'!C199+'Com-Ind Calculations'!E199))/('Com-Ind Equations'!$B$56))/('Chemical Info'!N200))))</f>
        <v>NA</v>
      </c>
      <c r="R199" s="90" t="str">
        <f>IF('Chemical Info'!N200="NA","NA",IF('Com-Ind Calculations'!F199="NA",(('Com-Ind Equations'!$B$53*'Com-Ind Equations'!$B$49*'Com-Ind Equations'!$B$54*'Com-Ind Calculations'!C199)/('Com-Ind Equations'!$B$56))/('Chemical Info'!N200),IF('Chemical Info'!E200="Yes",(('Com-Ind Equations'!$B$53*'Com-Ind Equations'!$B$49*'Com-Ind Equations'!$B$54*'Com-Ind Calculations'!F199)/('Com-Ind Equations'!$B$56))/('Chemical Info'!N200),(('Com-Ind Equations'!$B$53*'Com-Ind Equations'!$B$49*'Com-Ind Equations'!$B$54*('Com-Ind Calculations'!C199+'Com-Ind Calculations'!F199))/('Com-Ind Equations'!$B$56))/('Chemical Info'!N200))))</f>
        <v>NA</v>
      </c>
      <c r="S199" s="90">
        <f>IF(AND(O199="NA",P199="NA",Q199="NA"),"NA",IF(O199="NA",'Com-Ind Equations'!$B$45/'Com-Ind Calculations'!Q199,IF('Com-Ind Calculations'!Q199="NA",'Com-Ind Equations'!$B$45/('Com-Ind Calculations'!O199+'Com-Ind Calculations'!P199),'Com-Ind Equations'!$B$45/('Com-Ind Calculations'!O199+'Com-Ind Calculations'!P199+'Com-Ind Calculations'!Q199))))</f>
        <v>0.16657558252964422</v>
      </c>
      <c r="T199" s="95">
        <f>IF(AND(O199="NA",P199="NA",R199="NA"),"NA",IF(O199="NA",'Com-Ind Equations'!$B$45/R199,IF(R199="NA",'Com-Ind Equations'!$B$45/(O199+P199),'Com-Ind Equations'!$B$45/(O199+P199+R199))))</f>
        <v>0.16657558252964422</v>
      </c>
      <c r="U199" s="97">
        <f t="shared" si="231"/>
        <v>0.16657558252964422</v>
      </c>
      <c r="V199" s="101">
        <f t="shared" si="232"/>
        <v>0.16657558252964422</v>
      </c>
      <c r="W199" s="105">
        <f t="shared" si="233"/>
        <v>0.17</v>
      </c>
      <c r="X199" s="100" t="str">
        <f t="shared" si="234"/>
        <v>Noncancer</v>
      </c>
      <c r="Y199" s="70"/>
    </row>
    <row r="200" spans="1:25">
      <c r="A200" s="413" t="s">
        <v>122</v>
      </c>
      <c r="B200" s="566" t="s">
        <v>208</v>
      </c>
      <c r="C200" s="85">
        <f>1/(('Com-Ind Equations'!$B$123*3600)/(0.036*(1-'Com-Ind Equations'!$B$124)*(('Com-Ind Equations'!$B$125/'Com-Ind Equations'!$B$126)^3)*'Com-Ind Equations'!$B$127))</f>
        <v>1.4713536180231943E-9</v>
      </c>
      <c r="D200" s="90">
        <f>(('Com-Ind Equations'!$B$103^(10/3)*'Chemical Info'!AH201*'Chemical Info'!AN201*41+'Com-Ind Equations'!$B$106^(10/3)*'Chemical Info'!AJ201)/'Com-Ind Equations'!$B$108^2)/('Com-Ind Equations'!$B$110*'Chemical Info'!AL201*'Com-Ind Equations'!$B$113+'Com-Ind Equations'!$B$106+'Com-Ind Equations'!$B$103*'Chemical Info'!AN201*41)</f>
        <v>2.9267001820316096E-8</v>
      </c>
      <c r="E200" s="65">
        <f>IF(D200=0,"NA",1/(('Com-Ind Equations'!$B$74*(3.14*D200*'Com-Ind Equations'!$B$76)^(1/2)*0.0001)/(2*'Com-Ind Equations'!$B$77*D200)))</f>
        <v>1.004194182606106E-6</v>
      </c>
      <c r="F200" s="65">
        <f>IF(D200=0,"NA",(1/('Com-Ind Equations'!$B$88*('Com-Ind Equations'!$B$89*(31500000))/('Com-Ind Equations'!$B$90*'Com-Ind Equations'!$B$91*1000000))))</f>
        <v>6.1914410640015851E-5</v>
      </c>
      <c r="G200" s="95" t="str">
        <f>IF('Chemical Info'!E201="Yes",('Chemical Info'!AP201/'Com-Ind Equations'!$B$139)*((('Chemical Info'!AL201*'Com-Ind Equations'!$B$141)*'Com-Ind Equations'!$B$139)+'Com-Ind Equations'!$B$142+('Chemical Info'!AN201*41)*'Com-Ind Equations'!$B$144),"NA")</f>
        <v>NA</v>
      </c>
      <c r="H200" s="112">
        <f>IF('Chemical Info'!H201="NA","NA",IF('Chemical Info'!E201="Yes",'Chemical Info'!H201*'Chemical Info'!AD201*'Com-Ind Equations'!$B$18*'Com-Ind Equations'!$B$22*(('Com-Ind Equations'!$B$24*'Com-Ind Equations'!$B$25)/'Com-Ind Equations'!$B$26),'Chemical Info'!H201*'Chemical Info'!AD201*'Com-Ind Equations'!$B$17*'Com-Ind Equations'!$B$22*('Com-Ind Equations'!$B$24*'Com-Ind Equations'!$B$25/'Com-Ind Equations'!$B$26)))</f>
        <v>3.125E-2</v>
      </c>
      <c r="I200" s="108">
        <f>IF('Chemical Info'!H201="NA","NA",IF('Chemical Info'!E201="Yes",0,('Chemical Info'!H201/'Chemical Info'!AF201)*'Com-Ind Equations'!$B$19*'Chemical Info'!AB201*'Com-Ind Equations'!$B$22*(('Com-Ind Equations'!$B$24*'Com-Ind Equations'!$B$29*'Com-Ind Equations'!$B$30)/'Com-Ind Equations'!$B$26)))</f>
        <v>9.5228999999999991E-3</v>
      </c>
      <c r="J200" s="115">
        <f>IF('Chemical Info'!J201="NA","NA",IF(E200="NA",'Com-Ind Equations'!$B$20*1000*'Com-Ind Equations'!$B$24*'Com-Ind Equations'!$B$21*'Chemical Info'!J201*'Com-Ind Calculations'!C200,IF('Chemical Info'!E201="Yes",'Com-Ind Equations'!$B$20*1000*'Com-Ind Equations'!$B$24*'Com-Ind Equations'!$B$21*'Chemical Info'!J201*'Com-Ind Calculations'!E200,'Com-Ind Equations'!$B$20*1000*'Com-Ind Equations'!$B$24*'Com-Ind Equations'!$B$21*'Chemical Info'!J201*('Com-Ind Calculations'!C200+'Com-Ind Calculations'!E200))))</f>
        <v>9.6166766901432368E-4</v>
      </c>
      <c r="K200" s="117">
        <f>IF('Chemical Info'!J201="NA","NA",IF(F200="NA",'Com-Ind Equations'!$B$20*1000*'Com-Ind Equations'!$B$24*'Com-Ind Equations'!$B$21*'Chemical Info'!J201*'Com-Ind Calculations'!C200,IF('Chemical Info'!E201="Yes",'Com-Ind Equations'!$B$20*1000*'Com-Ind Equations'!$B$24*'Com-Ind Equations'!$B$21*'Chemical Info'!J201*'Com-Ind Calculations'!F200,'Com-Ind Equations'!$B$20*1000*'Com-Ind Equations'!$B$24*'Com-Ind Equations'!$B$21*'Chemical Info'!J201*('Com-Ind Calculations'!C200+'Com-Ind Calculations'!F200))))</f>
        <v>5.9207062156412395E-2</v>
      </c>
      <c r="L200" s="95">
        <f>IF(AND(H200="NA",I200="NA",J200="NA"),"NA",IF(H200="NA",'Com-Ind Equations'!$B$13*'Com-Ind Equations'!$B$14/J200,IF(J200="NA",'Com-Ind Equations'!$B$13*'Com-Ind Equations'!$B$14/(H200+I200),'Com-Ind Equations'!$B$13*'Com-Ind Equations'!$B$14/(H200+I200+J200))))</f>
        <v>6.1220234033883392</v>
      </c>
      <c r="M200" s="95">
        <f>IF(AND(H200="NA",I200="NA",K200="NA"),"NA",IF(H200="NA",'Com-Ind Equations'!$B$13*'Com-Ind Equations'!$B$14/K200,IF(K200="NA",'Com-Ind Equations'!$B$13*'Com-Ind Equations'!$B$14/(H200+I200),'Com-Ind Equations'!$B$13*'Com-Ind Equations'!$B$14/(H200+I200+K200))))</f>
        <v>2.5555120695113511</v>
      </c>
      <c r="N200" s="95">
        <f t="shared" si="230"/>
        <v>6.1220234033883392</v>
      </c>
      <c r="O200" s="94" t="str">
        <f>IF('Chemical Info'!L201="NA","NA",IF('Chemical Info'!E201="Yes",(('Com-Ind Equations'!$B$46*'Chemical Info'!AD201*'Com-Ind Equations'!$B$48*'Com-Ind Equations'!$B$49*'Com-Ind Equations'!$B$51)/('Com-Ind Equations'!$B$55*'Com-Ind Equations'!$B$56))/'Chemical Info'!L201,(('Com-Ind Equations'!$B$46*'Chemical Info'!AD201*'Com-Ind Equations'!$B$48*'Com-Ind Equations'!$B$49*'Com-Ind Equations'!$B$50)/('Com-Ind Equations'!$B$55*'Com-Ind Equations'!$B$56))/'Chemical Info'!L201))</f>
        <v>NA</v>
      </c>
      <c r="P200" s="90" t="str">
        <f>IF('Chemical Info'!L201="NA","NA", IF('Chemical Info'!E201="Yes",0,((('Com-Ind Equations'!$B$58*'Com-Ind Equations'!$B$59*'Com-Ind Equations'!$B$48*'Com-Ind Equations'!$B$52*'Com-Ind Equations'!$B$49*'Chemical Info'!AB201)/('Com-Ind Equations'!$B$55*'Com-Ind Equations'!$B$56))/('Chemical Info'!L201*'Chemical Info'!AF201))))</f>
        <v>NA</v>
      </c>
      <c r="Q200" s="90" t="str">
        <f>IF('Chemical Info'!N201="NA","NA",IF('Com-Ind Calculations'!E200="NA",(('Com-Ind Equations'!$B$53*'Com-Ind Equations'!$B$49*'Com-Ind Equations'!$B$54*'Com-Ind Calculations'!C200)/('Com-Ind Equations'!$B$56))/('Chemical Info'!N201),IF('Chemical Info'!E201="Yes",(('Com-Ind Equations'!$B$53*'Com-Ind Equations'!$B$49*'Com-Ind Equations'!$B$54*'Com-Ind Calculations'!E200)/('Com-Ind Equations'!$B$56))/('Chemical Info'!N201),(('Com-Ind Equations'!$B$53*'Com-Ind Equations'!$B$49*'Com-Ind Equations'!$B$54*('Com-Ind Calculations'!C200+'Com-Ind Calculations'!E200))/('Com-Ind Equations'!$B$56))/('Chemical Info'!N201))))</f>
        <v>NA</v>
      </c>
      <c r="R200" s="90" t="str">
        <f>IF('Chemical Info'!N201="NA","NA",IF('Com-Ind Calculations'!F200="NA",(('Com-Ind Equations'!$B$53*'Com-Ind Equations'!$B$49*'Com-Ind Equations'!$B$54*'Com-Ind Calculations'!C200)/('Com-Ind Equations'!$B$56))/('Chemical Info'!N201),IF('Chemical Info'!E201="Yes",(('Com-Ind Equations'!$B$53*'Com-Ind Equations'!$B$49*'Com-Ind Equations'!$B$54*'Com-Ind Calculations'!F200)/('Com-Ind Equations'!$B$56))/('Chemical Info'!N201),(('Com-Ind Equations'!$B$53*'Com-Ind Equations'!$B$49*'Com-Ind Equations'!$B$54*('Com-Ind Calculations'!C200+'Com-Ind Calculations'!F200))/('Com-Ind Equations'!$B$56))/('Chemical Info'!N201))))</f>
        <v>NA</v>
      </c>
      <c r="S200" s="90" t="str">
        <f>IF(AND(O200="NA",P200="NA",Q200="NA"),"NA",IF(O200="NA",'Com-Ind Equations'!$B$45/'Com-Ind Calculations'!Q200,IF('Com-Ind Calculations'!Q200="NA",'Com-Ind Equations'!$B$45/('Com-Ind Calculations'!O200+'Com-Ind Calculations'!P200),'Com-Ind Equations'!$B$45/('Com-Ind Calculations'!O200+'Com-Ind Calculations'!P200+'Com-Ind Calculations'!Q200))))</f>
        <v>NA</v>
      </c>
      <c r="T200" s="95" t="str">
        <f>IF(AND(O200="NA",P200="NA",R200="NA"),"NA",IF(O200="NA",'Com-Ind Equations'!$B$45/R200,IF(R200="NA",'Com-Ind Equations'!$B$45/(O200+P200),'Com-Ind Equations'!$B$45/(O200+P200+R200))))</f>
        <v>NA</v>
      </c>
      <c r="U200" s="97" t="str">
        <f t="shared" si="231"/>
        <v>NA</v>
      </c>
      <c r="V200" s="101">
        <f t="shared" si="232"/>
        <v>6.1220234033883392</v>
      </c>
      <c r="W200" s="105">
        <f t="shared" si="233"/>
        <v>6.1</v>
      </c>
      <c r="X200" s="100" t="str">
        <f t="shared" si="234"/>
        <v>Cancer</v>
      </c>
      <c r="Y200" s="70"/>
    </row>
    <row r="201" spans="1:25">
      <c r="A201" s="373" t="s">
        <v>393</v>
      </c>
      <c r="B201" s="566" t="s">
        <v>79</v>
      </c>
      <c r="C201" s="85">
        <f>1/(('Com-Ind Equations'!$B$123*3600)/(0.036*(1-'Com-Ind Equations'!$B$124)*(('Com-Ind Equations'!$B$125/'Com-Ind Equations'!$B$126)^3)*'Com-Ind Equations'!$B$127))</f>
        <v>1.4713536180231943E-9</v>
      </c>
      <c r="D201" s="90">
        <f>(('Com-Ind Equations'!$B$103^(10/3)*'Chemical Info'!AH202*'Chemical Info'!AN202*41+'Com-Ind Equations'!$B$106^(10/3)*'Chemical Info'!AJ202)/'Com-Ind Equations'!$B$108^2)/('Com-Ind Equations'!$B$110*'Chemical Info'!AL202*'Com-Ind Equations'!$B$113+'Com-Ind Equations'!$B$106+'Com-Ind Equations'!$B$103*'Chemical Info'!AN202*41)</f>
        <v>1.0566418814571043E-7</v>
      </c>
      <c r="E201" s="65">
        <f>IF(D201=0,"NA",1/(('Com-Ind Equations'!$B$74*(3.14*D201*'Com-Ind Equations'!$B$76)^(1/2)*0.0001)/(2*'Com-Ind Equations'!$B$77*D201)))</f>
        <v>1.9080620513615603E-6</v>
      </c>
      <c r="F201" s="65">
        <f>IF(D201=0,"NA",(1/('Com-Ind Equations'!$B$88*('Com-Ind Equations'!$B$89*(31500000))/('Com-Ind Equations'!$B$90*'Com-Ind Equations'!$B$91*1000000))))</f>
        <v>6.1914410640015851E-5</v>
      </c>
      <c r="G201" s="95" t="str">
        <f>IF('Chemical Info'!E202="Yes",('Chemical Info'!AP202/'Com-Ind Equations'!$B$139)*((('Chemical Info'!AL202*'Com-Ind Equations'!$B$141)*'Com-Ind Equations'!$B$139)+'Com-Ind Equations'!$B$142+('Chemical Info'!AN202*41)*'Com-Ind Equations'!$B$144),"NA")</f>
        <v>NA</v>
      </c>
      <c r="H201" s="112" t="str">
        <f>IF('Chemical Info'!H202="NA","NA",IF('Chemical Info'!E202="Yes",'Chemical Info'!H202*'Chemical Info'!AD202*'Com-Ind Equations'!$B$18*'Com-Ind Equations'!$B$22*(('Com-Ind Equations'!$B$24*'Com-Ind Equations'!$B$25)/'Com-Ind Equations'!$B$26),'Chemical Info'!H202*'Chemical Info'!AD202*'Com-Ind Equations'!$B$17*'Com-Ind Equations'!$B$22*('Com-Ind Equations'!$B$24*'Com-Ind Equations'!$B$25/'Com-Ind Equations'!$B$26)))</f>
        <v>NA</v>
      </c>
      <c r="I201" s="108" t="str">
        <f>IF('Chemical Info'!H202="NA","NA",IF('Chemical Info'!E202="Yes",0,('Chemical Info'!H202/'Chemical Info'!AF202)*'Com-Ind Equations'!$B$19*'Chemical Info'!AB202*'Com-Ind Equations'!$B$22*(('Com-Ind Equations'!$B$24*'Com-Ind Equations'!$B$29*'Com-Ind Equations'!$B$30)/'Com-Ind Equations'!$B$26)))</f>
        <v>NA</v>
      </c>
      <c r="J201" s="115" t="str">
        <f>IF('Chemical Info'!J202="NA","NA",IF(E201="NA",'Com-Ind Equations'!$B$20*1000*'Com-Ind Equations'!$B$24*'Com-Ind Equations'!$B$21*'Chemical Info'!J202*'Com-Ind Calculations'!C201,IF('Chemical Info'!E202="Yes",'Com-Ind Equations'!$B$20*1000*'Com-Ind Equations'!$B$24*'Com-Ind Equations'!$B$21*'Chemical Info'!J202*'Com-Ind Calculations'!E201,'Com-Ind Equations'!$B$20*1000*'Com-Ind Equations'!$B$24*'Com-Ind Equations'!$B$21*'Chemical Info'!J202*('Com-Ind Calculations'!C201+'Com-Ind Calculations'!E201))))</f>
        <v>NA</v>
      </c>
      <c r="K201" s="117" t="str">
        <f>IF('Chemical Info'!J202="NA","NA",IF(F201="NA",'Com-Ind Equations'!$B$20*1000*'Com-Ind Equations'!$B$24*'Com-Ind Equations'!$B$21*'Chemical Info'!J202*'Com-Ind Calculations'!C201,IF('Chemical Info'!E202="Yes",'Com-Ind Equations'!$B$20*1000*'Com-Ind Equations'!$B$24*'Com-Ind Equations'!$B$21*'Chemical Info'!J202*'Com-Ind Calculations'!F201,'Com-Ind Equations'!$B$20*1000*'Com-Ind Equations'!$B$24*'Com-Ind Equations'!$B$21*'Chemical Info'!J202*('Com-Ind Calculations'!C201+'Com-Ind Calculations'!F201))))</f>
        <v>NA</v>
      </c>
      <c r="L201" s="95" t="str">
        <f>IF(AND(H201="NA",I201="NA",J201="NA"),"NA",IF(H201="NA",'Com-Ind Equations'!$B$13*'Com-Ind Equations'!$B$14/J201,IF(J201="NA",'Com-Ind Equations'!$B$13*'Com-Ind Equations'!$B$14/(H201+I201),'Com-Ind Equations'!$B$13*'Com-Ind Equations'!$B$14/(H201+I201+J201))))</f>
        <v>NA</v>
      </c>
      <c r="M201" s="95" t="str">
        <f>IF(AND(H201="NA",I201="NA",K201="NA"),"NA",IF(H201="NA",'Com-Ind Equations'!$B$13*'Com-Ind Equations'!$B$14/K201,IF(K201="NA",'Com-Ind Equations'!$B$13*'Com-Ind Equations'!$B$14/(H201+I201),'Com-Ind Equations'!$B$13*'Com-Ind Equations'!$B$14/(H201+I201+K201))))</f>
        <v>NA</v>
      </c>
      <c r="N201" s="95" t="str">
        <f t="shared" si="230"/>
        <v>NA</v>
      </c>
      <c r="O201" s="94">
        <f>IF('Chemical Info'!L202="NA","NA",IF('Chemical Info'!E202="Yes",(('Com-Ind Equations'!$B$46*'Chemical Info'!AD202*'Com-Ind Equations'!$B$48*'Com-Ind Equations'!$B$49*'Com-Ind Equations'!$B$51)/('Com-Ind Equations'!$B$55*'Com-Ind Equations'!$B$56))/'Chemical Info'!L202,(('Com-Ind Equations'!$B$46*'Chemical Info'!AD202*'Com-Ind Equations'!$B$48*'Com-Ind Equations'!$B$49*'Com-Ind Equations'!$B$50)/('Com-Ind Equations'!$B$55*'Com-Ind Equations'!$B$56))/'Chemical Info'!L202))</f>
        <v>8.5616438356164368E-4</v>
      </c>
      <c r="P201" s="90">
        <f>IF('Chemical Info'!L202="NA","NA", IF('Chemical Info'!E202="Yes",0,((('Com-Ind Equations'!$B$58*'Com-Ind Equations'!$B$59*'Com-Ind Equations'!$B$48*'Com-Ind Equations'!$B$52*'Com-Ind Equations'!$B$49*'Chemical Info'!AB202)/('Com-Ind Equations'!$B$55*'Com-Ind Equations'!$B$56))/('Chemical Info'!L202*'Chemical Info'!AF202))))</f>
        <v>2.6090136986301366E-4</v>
      </c>
      <c r="Q201" s="90" t="str">
        <f>IF('Chemical Info'!N202="NA","NA",IF('Com-Ind Calculations'!E201="NA",(('Com-Ind Equations'!$B$53*'Com-Ind Equations'!$B$49*'Com-Ind Equations'!$B$54*'Com-Ind Calculations'!C201)/('Com-Ind Equations'!$B$56))/('Chemical Info'!N202),IF('Chemical Info'!E202="Yes",(('Com-Ind Equations'!$B$53*'Com-Ind Equations'!$B$49*'Com-Ind Equations'!$B$54*'Com-Ind Calculations'!E201)/('Com-Ind Equations'!$B$56))/('Chemical Info'!N202),(('Com-Ind Equations'!$B$53*'Com-Ind Equations'!$B$49*'Com-Ind Equations'!$B$54*('Com-Ind Calculations'!C201+'Com-Ind Calculations'!E201))/('Com-Ind Equations'!$B$56))/('Chemical Info'!N202))))</f>
        <v>NA</v>
      </c>
      <c r="R201" s="90" t="str">
        <f>IF('Chemical Info'!N202="NA","NA",IF('Com-Ind Calculations'!F201="NA",(('Com-Ind Equations'!$B$53*'Com-Ind Equations'!$B$49*'Com-Ind Equations'!$B$54*'Com-Ind Calculations'!C201)/('Com-Ind Equations'!$B$56))/('Chemical Info'!N202),IF('Chemical Info'!E202="Yes",(('Com-Ind Equations'!$B$53*'Com-Ind Equations'!$B$49*'Com-Ind Equations'!$B$54*'Com-Ind Calculations'!F201)/('Com-Ind Equations'!$B$56))/('Chemical Info'!N202),(('Com-Ind Equations'!$B$53*'Com-Ind Equations'!$B$49*'Com-Ind Equations'!$B$54*('Com-Ind Calculations'!C201+'Com-Ind Calculations'!F201))/('Com-Ind Equations'!$B$56))/('Chemical Info'!N202))))</f>
        <v>NA</v>
      </c>
      <c r="S201" s="90">
        <f>IF(AND(O201="NA",P201="NA",Q201="NA"),"NA",IF(O201="NA",'Com-Ind Equations'!$B$45/'Com-Ind Calculations'!Q201,IF('Com-Ind Calculations'!Q201="NA",'Com-Ind Equations'!$B$45/('Com-Ind Calculations'!O201+'Com-Ind Calculations'!P201),'Com-Ind Equations'!$B$45/('Com-Ind Calculations'!O201+'Com-Ind Calculations'!P201+'Com-Ind Calculations'!Q201))))</f>
        <v>179.04049012947331</v>
      </c>
      <c r="T201" s="95">
        <f>IF(AND(O201="NA",P201="NA",R201="NA"),"NA",IF(O201="NA",'Com-Ind Equations'!$B$45/R201,IF(R201="NA",'Com-Ind Equations'!$B$45/(O201+P201),'Com-Ind Equations'!$B$45/(O201+P201+R201))))</f>
        <v>179.04049012947331</v>
      </c>
      <c r="U201" s="97">
        <f t="shared" si="231"/>
        <v>179.04049012947331</v>
      </c>
      <c r="V201" s="101">
        <f t="shared" si="232"/>
        <v>179.04049012947331</v>
      </c>
      <c r="W201" s="105">
        <f t="shared" si="233"/>
        <v>180</v>
      </c>
      <c r="X201" s="100" t="str">
        <f t="shared" si="234"/>
        <v>Noncancer</v>
      </c>
      <c r="Y201" s="70"/>
    </row>
    <row r="202" spans="1:25">
      <c r="A202" s="413" t="s">
        <v>116</v>
      </c>
      <c r="B202" s="566" t="s">
        <v>117</v>
      </c>
      <c r="C202" s="85">
        <f>1/(('Com-Ind Equations'!$B$123*3600)/(0.036*(1-'Com-Ind Equations'!$B$124)*(('Com-Ind Equations'!$B$125/'Com-Ind Equations'!$B$126)^3)*'Com-Ind Equations'!$B$127))</f>
        <v>1.4713536180231943E-9</v>
      </c>
      <c r="D202" s="90">
        <f>(('Com-Ind Equations'!$B$103^(10/3)*'Chemical Info'!AH203*'Chemical Info'!AN203*41+'Com-Ind Equations'!$B$106^(10/3)*'Chemical Info'!AJ203)/'Com-Ind Equations'!$B$108^2)/('Com-Ind Equations'!$B$110*'Chemical Info'!AL203*'Com-Ind Equations'!$B$113+'Com-Ind Equations'!$B$106+'Com-Ind Equations'!$B$103*'Chemical Info'!AN203*41)</f>
        <v>9.7837560617975131E-10</v>
      </c>
      <c r="E202" s="65">
        <f>IF(D202=0,"NA",1/(('Com-Ind Equations'!$B$74*(3.14*D202*'Com-Ind Equations'!$B$76)^(1/2)*0.0001)/(2*'Com-Ind Equations'!$B$77*D202)))</f>
        <v>1.8360368431640908E-7</v>
      </c>
      <c r="F202" s="65">
        <f>IF(D202=0,"NA",(1/('Com-Ind Equations'!$B$88*('Com-Ind Equations'!$B$89*(31500000))/('Com-Ind Equations'!$B$90*'Com-Ind Equations'!$B$91*1000000))))</f>
        <v>6.1914410640015851E-5</v>
      </c>
      <c r="G202" s="95" t="str">
        <f>IF('Chemical Info'!E203="Yes",('Chemical Info'!AP203/'Com-Ind Equations'!$B$139)*((('Chemical Info'!AL203*'Com-Ind Equations'!$B$141)*'Com-Ind Equations'!$B$139)+'Com-Ind Equations'!$B$142+('Chemical Info'!AN203*41)*'Com-Ind Equations'!$B$144),"NA")</f>
        <v>NA</v>
      </c>
      <c r="H202" s="112">
        <f>IF('Chemical Info'!H203="NA","NA",IF('Chemical Info'!E203="Yes",'Chemical Info'!H203*'Chemical Info'!AD203*'Com-Ind Equations'!$B$18*'Com-Ind Equations'!$B$22*(('Com-Ind Equations'!$B$24*'Com-Ind Equations'!$B$25)/'Com-Ind Equations'!$B$26),'Chemical Info'!H203*'Chemical Info'!AD203*'Com-Ind Equations'!$B$17*'Com-Ind Equations'!$B$22*('Com-Ind Equations'!$B$24*'Com-Ind Equations'!$B$25/'Com-Ind Equations'!$B$26)))</f>
        <v>8.593749999999999E-3</v>
      </c>
      <c r="I202" s="108">
        <f>IF('Chemical Info'!H203="NA","NA",IF('Chemical Info'!E203="Yes",0,('Chemical Info'!H203/'Chemical Info'!AF203)*'Com-Ind Equations'!$B$19*'Chemical Info'!AB203*'Com-Ind Equations'!$B$22*(('Com-Ind Equations'!$B$24*'Com-Ind Equations'!$B$29*'Com-Ind Equations'!$B$30)/'Com-Ind Equations'!$B$26)))</f>
        <v>2.6187975000000001E-3</v>
      </c>
      <c r="J202" s="115">
        <f>IF('Chemical Info'!J203="NA","NA",IF(E202="NA",'Com-Ind Equations'!$B$20*1000*'Com-Ind Equations'!$B$24*'Com-Ind Equations'!$B$21*'Chemical Info'!J203*'Com-Ind Calculations'!C202,IF('Chemical Info'!E203="Yes",'Com-Ind Equations'!$B$20*1000*'Com-Ind Equations'!$B$24*'Com-Ind Equations'!$B$21*'Chemical Info'!J203*'Com-Ind Calculations'!E202,'Com-Ind Equations'!$B$20*1000*'Com-Ind Equations'!$B$24*'Com-Ind Equations'!$B$21*'Chemical Info'!J203*('Com-Ind Calculations'!C202+'Com-Ind Calculations'!E202))))</f>
        <v>1.1104502276065937E-4</v>
      </c>
      <c r="K202" s="117">
        <f>IF('Chemical Info'!J203="NA","NA",IF(F202="NA",'Com-Ind Equations'!$B$20*1000*'Com-Ind Equations'!$B$24*'Com-Ind Equations'!$B$21*'Chemical Info'!J203*'Com-Ind Calculations'!C202,IF('Chemical Info'!E203="Yes",'Com-Ind Equations'!$B$20*1000*'Com-Ind Equations'!$B$24*'Com-Ind Equations'!$B$21*'Chemical Info'!J203*'Com-Ind Calculations'!F202,'Com-Ind Equations'!$B$20*1000*'Com-Ind Equations'!$B$24*'Com-Ind Equations'!$B$21*'Chemical Info'!J203*('Com-Ind Calculations'!C202+'Com-Ind Calculations'!F202))))</f>
        <v>3.7149529196180323E-2</v>
      </c>
      <c r="L202" s="95">
        <f>IF(AND(H202="NA",I202="NA",J202="NA"),"NA",IF(H202="NA",'Com-Ind Equations'!$B$13*'Com-Ind Equations'!$B$14/J202,IF(J202="NA",'Com-Ind Equations'!$B$13*'Com-Ind Equations'!$B$14/(H202+I202),'Com-Ind Equations'!$B$13*'Com-Ind Equations'!$B$14/(H202+I202+J202))))</f>
        <v>22.563510607295314</v>
      </c>
      <c r="M202" s="95">
        <f>IF(AND(H202="NA",I202="NA",K202="NA"),"NA",IF(H202="NA",'Com-Ind Equations'!$B$13*'Com-Ind Equations'!$B$14/K202,IF(K202="NA",'Com-Ind Equations'!$B$13*'Com-Ind Equations'!$B$14/(H202+I202),'Com-Ind Equations'!$B$13*'Com-Ind Equations'!$B$14/(H202+I202+K202))))</f>
        <v>5.2830651091577217</v>
      </c>
      <c r="N202" s="95">
        <f t="shared" si="230"/>
        <v>22.563510607295314</v>
      </c>
      <c r="O202" s="94">
        <f>IF('Chemical Info'!L203="NA","NA",IF('Chemical Info'!E203="Yes",(('Com-Ind Equations'!$B$46*'Chemical Info'!AD203*'Com-Ind Equations'!$B$48*'Com-Ind Equations'!$B$49*'Com-Ind Equations'!$B$51)/('Com-Ind Equations'!$B$55*'Com-Ind Equations'!$B$56))/'Chemical Info'!L203,(('Com-Ind Equations'!$B$46*'Chemical Info'!AD203*'Com-Ind Equations'!$B$48*'Com-Ind Equations'!$B$49*'Com-Ind Equations'!$B$50)/('Com-Ind Equations'!$B$55*'Com-Ind Equations'!$B$56))/'Chemical Info'!L203))</f>
        <v>9.5129375951293737E-3</v>
      </c>
      <c r="P202" s="90">
        <f>IF('Chemical Info'!L203="NA","NA", IF('Chemical Info'!E203="Yes",0,((('Com-Ind Equations'!$B$58*'Com-Ind Equations'!$B$59*'Com-Ind Equations'!$B$48*'Com-Ind Equations'!$B$52*'Com-Ind Equations'!$B$49*'Chemical Info'!AB203)/('Com-Ind Equations'!$B$55*'Com-Ind Equations'!$B$56))/('Chemical Info'!L203*'Chemical Info'!AF203))))</f>
        <v>2.8989041095890404E-3</v>
      </c>
      <c r="Q202" s="90" t="str">
        <f>IF('Chemical Info'!N203="NA","NA",IF('Com-Ind Calculations'!E202="NA",(('Com-Ind Equations'!$B$53*'Com-Ind Equations'!$B$49*'Com-Ind Equations'!$B$54*'Com-Ind Calculations'!C202)/('Com-Ind Equations'!$B$56))/('Chemical Info'!N203),IF('Chemical Info'!E203="Yes",(('Com-Ind Equations'!$B$53*'Com-Ind Equations'!$B$49*'Com-Ind Equations'!$B$54*'Com-Ind Calculations'!E202)/('Com-Ind Equations'!$B$56))/('Chemical Info'!N203),(('Com-Ind Equations'!$B$53*'Com-Ind Equations'!$B$49*'Com-Ind Equations'!$B$54*('Com-Ind Calculations'!C202+'Com-Ind Calculations'!E202))/('Com-Ind Equations'!$B$56))/('Chemical Info'!N203))))</f>
        <v>NA</v>
      </c>
      <c r="R202" s="90" t="str">
        <f>IF('Chemical Info'!N203="NA","NA",IF('Com-Ind Calculations'!F202="NA",(('Com-Ind Equations'!$B$53*'Com-Ind Equations'!$B$49*'Com-Ind Equations'!$B$54*'Com-Ind Calculations'!C202)/('Com-Ind Equations'!$B$56))/('Chemical Info'!N203),IF('Chemical Info'!E203="Yes",(('Com-Ind Equations'!$B$53*'Com-Ind Equations'!$B$49*'Com-Ind Equations'!$B$54*'Com-Ind Calculations'!F202)/('Com-Ind Equations'!$B$56))/('Chemical Info'!N203),(('Com-Ind Equations'!$B$53*'Com-Ind Equations'!$B$49*'Com-Ind Equations'!$B$54*('Com-Ind Calculations'!C202+'Com-Ind Calculations'!F202))/('Com-Ind Equations'!$B$56))/('Chemical Info'!N203))))</f>
        <v>NA</v>
      </c>
      <c r="S202" s="90">
        <f>IF(AND(O202="NA",P202="NA",Q202="NA"),"NA",IF(O202="NA",'Com-Ind Equations'!$B$45/'Com-Ind Calculations'!Q202,IF('Com-Ind Calculations'!Q202="NA",'Com-Ind Equations'!$B$45/('Com-Ind Calculations'!O202+'Com-Ind Calculations'!P202),'Com-Ind Equations'!$B$45/('Com-Ind Calculations'!O202+'Com-Ind Calculations'!P202+'Com-Ind Calculations'!Q202))))</f>
        <v>16.113644111652597</v>
      </c>
      <c r="T202" s="95">
        <f>IF(AND(O202="NA",P202="NA",R202="NA"),"NA",IF(O202="NA",'Com-Ind Equations'!$B$45/R202,IF(R202="NA",'Com-Ind Equations'!$B$45/(O202+P202),'Com-Ind Equations'!$B$45/(O202+P202+R202))))</f>
        <v>16.113644111652597</v>
      </c>
      <c r="U202" s="97">
        <f t="shared" si="231"/>
        <v>16.113644111652597</v>
      </c>
      <c r="V202" s="101">
        <f t="shared" si="232"/>
        <v>16.113644111652597</v>
      </c>
      <c r="W202" s="105">
        <f t="shared" si="233"/>
        <v>16</v>
      </c>
      <c r="X202" s="100" t="str">
        <f t="shared" si="234"/>
        <v>Noncancer</v>
      </c>
      <c r="Y202" s="70"/>
    </row>
    <row r="203" spans="1:25">
      <c r="A203" s="404" t="s">
        <v>394</v>
      </c>
      <c r="B203" s="593"/>
      <c r="C203" s="397"/>
      <c r="D203" s="397"/>
      <c r="E203" s="396"/>
      <c r="F203" s="396"/>
      <c r="G203" s="397" t="str">
        <f>IF('Chemical Info'!E204="YES",('Chemical Info'!AP204/'Com-Ind Equations'!$B$139)*('Chemical Info'!AL204*'Com-Ind Equations'!$B$141*'Com-Ind Equations'!$B$139+'Com-Ind Equations'!$B$142+('Chemical Info'!AN204*41)*'Com-Ind Equations'!$B$144),"")</f>
        <v/>
      </c>
      <c r="H203" s="386"/>
      <c r="I203" s="397"/>
      <c r="J203" s="397"/>
      <c r="K203" s="397"/>
      <c r="L203" s="397"/>
      <c r="M203" s="397"/>
      <c r="N203" s="397"/>
      <c r="O203" s="397"/>
      <c r="P203" s="397"/>
      <c r="Q203" s="397"/>
      <c r="R203" s="397"/>
      <c r="S203" s="397"/>
      <c r="T203" s="397"/>
      <c r="U203" s="397"/>
      <c r="V203" s="398"/>
      <c r="W203" s="399"/>
      <c r="X203" s="400"/>
      <c r="Y203" s="401"/>
    </row>
    <row r="204" spans="1:25" s="374" customFormat="1" ht="22">
      <c r="A204" s="668" t="s">
        <v>955</v>
      </c>
      <c r="B204" s="566" t="s">
        <v>104</v>
      </c>
      <c r="C204" s="367">
        <f>1/(('Com-Ind Equations'!$B$123*3600)/(0.036*(1-'Com-Ind Equations'!$B$124)*(('Com-Ind Equations'!$B$125/'Com-Ind Equations'!$B$126)^3)*'Com-Ind Equations'!$B$127))</f>
        <v>1.4713536180231943E-9</v>
      </c>
      <c r="D204" s="166">
        <f>(('Com-Ind Equations'!$B$103^(10/3)*'Chemical Info'!AH205*'Chemical Info'!AN205*41+'Com-Ind Equations'!$B$106^(10/3)*'Chemical Info'!AJ205)/'Com-Ind Equations'!$B$108^2)/('Com-Ind Equations'!$B$110*'Chemical Info'!AL205*'Com-Ind Equations'!$B$113+'Com-Ind Equations'!$B$106+'Com-Ind Equations'!$B$103*'Chemical Info'!AN205*41)</f>
        <v>3.2991549391315305E-9</v>
      </c>
      <c r="E204" s="368">
        <f>IF(D204=0,"NA",1/(('Com-Ind Equations'!$B$74*(3.14*D204*'Com-Ind Equations'!$B$76)^(1/2)*0.0001)/(2*'Com-Ind Equations'!$B$77*D204)))</f>
        <v>3.3715526020161538E-7</v>
      </c>
      <c r="F204" s="368">
        <f>IF(D204=0,"NA",(1/('Com-Ind Equations'!$B$88*('Com-Ind Equations'!$B$89*(31500000))/('Com-Ind Equations'!$B$90*'Com-Ind Equations'!$B$91*1000000))))</f>
        <v>6.1914410640015851E-5</v>
      </c>
      <c r="G204" s="167">
        <f>IF('Chemical Info'!E205="Yes",('Chemical Info'!AP205/'Com-Ind Equations'!$B$139)*((('Chemical Info'!AL205*'Com-Ind Equations'!$B$141)*'Com-Ind Equations'!$B$139)+'Com-Ind Equations'!$B$142+('Chemical Info'!AN205*41)*'Com-Ind Equations'!$B$144),"NA")</f>
        <v>0.29894007653333338</v>
      </c>
      <c r="H204" s="112">
        <f>IF('Chemical Info'!H205="NA","NA",IF('Chemical Info'!E205="Yes",'Chemical Info'!H205*'Chemical Info'!AD205*'Com-Ind Equations'!$B$18*'Com-Ind Equations'!$B$22*(('Com-Ind Equations'!$B$24*'Com-Ind Equations'!$B$25)/'Com-Ind Equations'!$B$26),'Chemical Info'!H205*'Chemical Info'!AD205*'Com-Ind Equations'!$B$17*'Com-Ind Equations'!$B$22*('Com-Ind Equations'!$B$24*'Com-Ind Equations'!$B$25/'Com-Ind Equations'!$B$26)))</f>
        <v>7875</v>
      </c>
      <c r="I204" s="563">
        <f>IF('Chemical Info'!H205="NA","NA",('Chemical Info'!H205/'Chemical Info'!AF205)*'Com-Ind Equations'!$B$19*'Chemical Info'!AB205*'Com-Ind Equations'!$B$22*(('Com-Ind Equations'!$B$24*'Com-Ind Equations'!$B$29*'Com-Ind Equations'!$B$30)/'Com-Ind Equations'!$B$26))</f>
        <v>999.90449999999987</v>
      </c>
      <c r="J204" s="369">
        <f>IF('Chemical Info'!J205="NA","NA",IF(E204="NA",'Com-Ind Equations'!$B$20*1000*'Com-Ind Equations'!$B$24*'Com-Ind Equations'!$B$21*'Chemical Info'!J205*'Com-Ind Calculations'!C204,IF('Chemical Info'!E205="Yes",'Com-Ind Equations'!$B$20*1000*'Com-Ind Equations'!$B$24*'Com-Ind Equations'!$B$21*'Chemical Info'!J205*'Com-Ind Calculations'!E204,'Com-Ind Equations'!$B$20*1000*'Com-Ind Equations'!$B$24*'Com-Ind Equations'!$B$21*'Chemical Info'!J205*('Com-Ind Calculations'!C204+'Com-Ind Calculations'!E204))))</f>
        <v>252.86644515121154</v>
      </c>
      <c r="K204" s="370">
        <f>IF('Chemical Info'!J205="NA","NA",IF(F204="NA",'Com-Ind Equations'!$B$20*1000*'Com-Ind Equations'!$B$24*'Com-Ind Equations'!$B$21*'Chemical Info'!J205*'Com-Ind Calculations'!C204,IF('Chemical Info'!E205="Yes",'Com-Ind Equations'!$B$20*1000*'Com-Ind Equations'!$B$24*'Com-Ind Equations'!$B$21*'Chemical Info'!J205*'Com-Ind Calculations'!F204,'Com-Ind Equations'!$B$20*1000*'Com-Ind Equations'!$B$24*'Com-Ind Equations'!$B$21*'Chemical Info'!J205*('Com-Ind Calculations'!C204+'Com-Ind Calculations'!F204))))</f>
        <v>46435.807980011887</v>
      </c>
      <c r="L204" s="167">
        <f>IF(AND(H204="NA",I204="NA",J204="NA"),"NA",IF(H204="NA",'Com-Ind Equations'!$B$13*'Com-Ind Equations'!$B$14/J204,IF(J204="NA",'Com-Ind Equations'!$B$13*'Com-Ind Equations'!$B$14/(H204+I204),'Com-Ind Equations'!$B$13*'Com-Ind Equations'!$B$14/(H204+I204+J204))))</f>
        <v>2.7991499954950649E-5</v>
      </c>
      <c r="M204" s="167">
        <f>IF(AND(H204="NA",I204="NA",K204="NA"),"NA",IF(H204="NA",'Com-Ind Equations'!$B$13*'Com-Ind Equations'!$B$14/K204,IF(K204="NA",'Com-Ind Equations'!$B$13*'Com-Ind Equations'!$B$14/(H204+I204),'Com-Ind Equations'!$B$13*'Com-Ind Equations'!$B$14/(H204+I204+K204))))</f>
        <v>4.6193583221755141E-6</v>
      </c>
      <c r="N204" s="167">
        <f>IF(AND(L204="NA",M204="NA"),"NA",MAX(L204,M204))</f>
        <v>2.7991499954950649E-5</v>
      </c>
      <c r="O204" s="371">
        <f>IF('Chemical Info'!L205="NA","NA",IF('Chemical Info'!E205="Yes",(('Com-Ind Equations'!$B$46*'Chemical Info'!AD205*'Com-Ind Equations'!$B$48*'Com-Ind Equations'!$B$49*'Com-Ind Equations'!$B$51)/('Com-Ind Equations'!$B$55*'Com-Ind Equations'!$B$56))/'Chemical Info'!L205,(('Com-Ind Equations'!$B$46*'Chemical Info'!AD205*'Com-Ind Equations'!$B$48*'Com-Ind Equations'!$B$49*'Com-Ind Equations'!$B$50)/('Com-Ind Equations'!$B$55*'Com-Ind Equations'!$B$56))/'Chemical Info'!L205))</f>
        <v>880.6262230919765</v>
      </c>
      <c r="P204" s="561">
        <f>IF('Chemical Info'!L205="NA","NA", ((('Com-Ind Equations'!$B$58*'Com-Ind Equations'!$B$59*'Com-Ind Equations'!$B$48*'Com-Ind Equations'!$B$52*'Com-Ind Equations'!$B$49*'Chemical Info'!AB205)/('Com-Ind Equations'!$B$55*'Com-Ind Equations'!$B$56))/('Chemical Info'!L205*'Chemical Info'!AF205)))</f>
        <v>111.81487279843444</v>
      </c>
      <c r="Q204" s="166">
        <f>IF('Chemical Info'!N205="NA","NA",IF('Com-Ind Calculations'!E204="NA",(('Com-Ind Equations'!$B$53*'Com-Ind Equations'!$B$49*'Com-Ind Equations'!$B$54*'Com-Ind Calculations'!C204)/('Com-Ind Equations'!$B$56))/('Chemical Info'!N205),IF('Chemical Info'!E205="Yes",(('Com-Ind Equations'!$B$53*'Com-Ind Equations'!$B$49*'Com-Ind Equations'!$B$54*'Com-Ind Calculations'!E204)/('Com-Ind Equations'!$B$56))/('Chemical Info'!N205),(('Com-Ind Equations'!$B$53*'Com-Ind Equations'!$B$49*'Com-Ind Equations'!$B$54*('Com-Ind Calculations'!C204+'Com-Ind Calculations'!E204))/('Com-Ind Equations'!$B$56))/('Chemical Info'!N205))))</f>
        <v>1.7319619530904899</v>
      </c>
      <c r="R204" s="166">
        <f>IF('Chemical Info'!N205="NA","NA",IF('Com-Ind Calculations'!F204="NA",(('Com-Ind Equations'!$B$53*'Com-Ind Equations'!$B$49*'Com-Ind Equations'!$B$54*'Com-Ind Calculations'!C204)/('Com-Ind Equations'!$B$56))/('Chemical Info'!N205),IF('Chemical Info'!E205="Yes",(('Com-Ind Equations'!$B$53*'Com-Ind Equations'!$B$49*'Com-Ind Equations'!$B$54*'Com-Ind Calculations'!F204)/('Com-Ind Equations'!$B$56))/('Chemical Info'!N205),(('Com-Ind Equations'!$B$53*'Com-Ind Equations'!$B$49*'Com-Ind Equations'!$B$54*('Com-Ind Calculations'!C204+'Com-Ind Calculations'!F204))/('Com-Ind Equations'!$B$56))/('Chemical Info'!N205))))</f>
        <v>318.0534793151499</v>
      </c>
      <c r="S204" s="166">
        <f>IF(AND(O204="NA",P204="NA",Q204="NA"),"NA",IF(O204="NA",'Com-Ind Equations'!$B$45/'Com-Ind Calculations'!Q204,IF('Com-Ind Calculations'!Q204="NA",'Com-Ind Equations'!$B$45/('Com-Ind Calculations'!O204+'Com-Ind Calculations'!P204),'Com-Ind Equations'!$B$45/('Com-Ind Calculations'!O204+'Com-Ind Calculations'!P204+'Com-Ind Calculations'!Q204))))</f>
        <v>2.011722188829253E-4</v>
      </c>
      <c r="T204" s="167">
        <f>IF(AND(O204="NA",P204="NA",R204="NA"),"NA",IF(O204="NA",'Com-Ind Equations'!$B$45/R204,IF(R204="NA",'Com-Ind Equations'!$B$45/(O204+P204),'Com-Ind Equations'!$B$45/(O204+P204+R204))))</f>
        <v>1.5261413803916628E-4</v>
      </c>
      <c r="U204" s="168">
        <f>IF(AND(S204="NA",T204="NA"),"NA",MAX(S204,T204))</f>
        <v>2.011722188829253E-4</v>
      </c>
      <c r="V204" s="371">
        <f>IF(AND(N204="NA",U204="NA",G204="NA"),"NA",MIN(N204,U204,G204))</f>
        <v>2.7991499954950649E-5</v>
      </c>
      <c r="W204" s="166">
        <f>IF(V204&gt;100000,100000,IF(ISNUMBER(ROUND(V204*1000000,2-LEN(INT(V204*1000000)))/1000000),ROUND(V204*1000000,2-LEN(INT(V204*1000000)))/1000000,"NA"))</f>
        <v>2.8E-5</v>
      </c>
      <c r="X204" s="100" t="str">
        <f>IF(W204=100000,"Max Limit",IF(V204=G204,"Csat",IF(V204=N204,"Cancer",IF(V204=U204,"Noncancer",""))))</f>
        <v>Cancer</v>
      </c>
      <c r="Y204" s="373"/>
    </row>
    <row r="205" spans="1:25">
      <c r="A205" s="404" t="s">
        <v>395</v>
      </c>
      <c r="B205" s="593"/>
      <c r="C205" s="397"/>
      <c r="D205" s="397"/>
      <c r="E205" s="396"/>
      <c r="F205" s="396"/>
      <c r="G205" s="397" t="str">
        <f>IF('Chemical Info'!E206="YES",('Chemical Info'!AP206/'Com-Ind Equations'!$B$139)*('Chemical Info'!AL206*'Com-Ind Equations'!$B$141*'Com-Ind Equations'!$B$139+'Com-Ind Equations'!$B$142+('Chemical Info'!AN206*41)*'Com-Ind Equations'!$B$144),"")</f>
        <v/>
      </c>
      <c r="H205" s="386"/>
      <c r="I205" s="397"/>
      <c r="J205" s="397"/>
      <c r="K205" s="397"/>
      <c r="L205" s="397"/>
      <c r="M205" s="397"/>
      <c r="N205" s="397"/>
      <c r="O205" s="397"/>
      <c r="P205" s="397"/>
      <c r="Q205" s="397"/>
      <c r="R205" s="397"/>
      <c r="S205" s="397"/>
      <c r="T205" s="397"/>
      <c r="U205" s="397"/>
      <c r="V205" s="398"/>
      <c r="W205" s="399"/>
      <c r="X205" s="400"/>
      <c r="Y205" s="401"/>
    </row>
    <row r="206" spans="1:25">
      <c r="A206" s="413" t="s">
        <v>413</v>
      </c>
      <c r="B206" s="566" t="s">
        <v>130</v>
      </c>
      <c r="C206" s="85">
        <f>1/(('Com-Ind Equations'!$B$123*3600)/(0.036*(1-'Com-Ind Equations'!$B$124)*(('Com-Ind Equations'!$B$125/'Com-Ind Equations'!$B$126)^3)*'Com-Ind Equations'!$B$127))</f>
        <v>1.4713536180231943E-9</v>
      </c>
      <c r="D206" s="90">
        <f>(('Com-Ind Equations'!$B$103^(10/3)*'Chemical Info'!AH207*'Chemical Info'!AN207*41+'Com-Ind Equations'!$B$106^(10/3)*'Chemical Info'!AJ207)/'Com-Ind Equations'!$B$108^2)/('Com-Ind Equations'!$B$110*'Chemical Info'!AL207*'Com-Ind Equations'!$B$113+'Com-Ind Equations'!$B$106+'Com-Ind Equations'!$B$103*'Chemical Info'!AN207*41)</f>
        <v>8.5043024772143109E-8</v>
      </c>
      <c r="E206" s="65">
        <f>IF(D206=0,"NA",1/(('Com-Ind Equations'!$B$74*(3.14*D206*'Com-Ind Equations'!$B$76)^(1/2)*0.0001)/(2*'Com-Ind Equations'!$B$77*D206)))</f>
        <v>1.7117799418763001E-6</v>
      </c>
      <c r="F206" s="65">
        <f>IF(D206=0,"NA",(1/('Com-Ind Equations'!$B$88*('Com-Ind Equations'!$B$89*(31500000))/('Com-Ind Equations'!$B$90*'Com-Ind Equations'!$B$91*1000000))))</f>
        <v>6.1914410640015851E-5</v>
      </c>
      <c r="G206" s="95" t="str">
        <f>IF('Chemical Info'!E207="Yes",('Chemical Info'!AP207/'Com-Ind Equations'!$B$139)*((('Chemical Info'!AL207*'Com-Ind Equations'!$B$141)*'Com-Ind Equations'!$B$139)+'Com-Ind Equations'!$B$142+('Chemical Info'!AN207*41)*'Com-Ind Equations'!$B$144),"NA")</f>
        <v>NA</v>
      </c>
      <c r="H206" s="112">
        <f>IF('Chemical Info'!H207="NA","NA",IF('Chemical Info'!E207="Yes",'Chemical Info'!H207*'Chemical Info'!AD207*'Com-Ind Equations'!$B$18*'Com-Ind Equations'!$B$22*(('Com-Ind Equations'!$B$24*'Com-Ind Equations'!$B$25)/'Com-Ind Equations'!$B$26),'Chemical Info'!H207*'Chemical Info'!AD207*'Com-Ind Equations'!$B$17*'Com-Ind Equations'!$B$22*('Com-Ind Equations'!$B$24*'Com-Ind Equations'!$B$25/'Com-Ind Equations'!$B$26)))</f>
        <v>6.249999999999999E-4</v>
      </c>
      <c r="I206" s="108">
        <f>IF('Chemical Info'!H207="NA","NA",IF('Chemical Info'!E207="Yes",0,('Chemical Info'!H207/'Chemical Info'!AF207)*'Com-Ind Equations'!$B$19*'Chemical Info'!AB207*'Com-Ind Equations'!$B$22*(('Com-Ind Equations'!$B$24*'Com-Ind Equations'!$B$29*'Com-Ind Equations'!$B$30)/'Com-Ind Equations'!$B$26)))</f>
        <v>2.8568699999999993E-5</v>
      </c>
      <c r="J206" s="115" t="str">
        <f>IF('Chemical Info'!J207="NA","NA",IF(E206="NA",'Com-Ind Equations'!$B$20*1000*'Com-Ind Equations'!$B$24*'Com-Ind Equations'!$B$21*'Chemical Info'!J207*'Com-Ind Calculations'!C206,IF('Chemical Info'!E207="Yes",'Com-Ind Equations'!$B$20*1000*'Com-Ind Equations'!$B$24*'Com-Ind Equations'!$B$21*'Chemical Info'!J207*'Com-Ind Calculations'!E206,'Com-Ind Equations'!$B$20*1000*'Com-Ind Equations'!$B$24*'Com-Ind Equations'!$B$21*'Chemical Info'!J207*('Com-Ind Calculations'!C206+'Com-Ind Calculations'!E206))))</f>
        <v>NA</v>
      </c>
      <c r="K206" s="117" t="str">
        <f>IF('Chemical Info'!J207="NA","NA",IF(F206="NA",'Com-Ind Equations'!$B$20*1000*'Com-Ind Equations'!$B$24*'Com-Ind Equations'!$B$21*'Chemical Info'!J207*'Com-Ind Calculations'!C206,IF('Chemical Info'!E207="Yes",'Com-Ind Equations'!$B$20*1000*'Com-Ind Equations'!$B$24*'Com-Ind Equations'!$B$21*'Chemical Info'!J207*'Com-Ind Calculations'!F206,'Com-Ind Equations'!$B$20*1000*'Com-Ind Equations'!$B$24*'Com-Ind Equations'!$B$21*'Chemical Info'!J207*('Com-Ind Calculations'!C206+'Com-Ind Calculations'!F206))))</f>
        <v>NA</v>
      </c>
      <c r="L206" s="95">
        <f>IF(AND(H206="NA",I206="NA",J206="NA"),"NA",IF(H206="NA",'Com-Ind Equations'!$B$13*'Com-Ind Equations'!$B$14/J206,IF(J206="NA",'Com-Ind Equations'!$B$13*'Com-Ind Equations'!$B$14/(H206+I206),'Com-Ind Equations'!$B$13*'Com-Ind Equations'!$B$14/(H206+I206+J206))))</f>
        <v>390.93059383045738</v>
      </c>
      <c r="M206" s="95">
        <f>IF(AND(H206="NA",I206="NA",K206="NA"),"NA",IF(H206="NA",'Com-Ind Equations'!$B$13*'Com-Ind Equations'!$B$14/K206,IF(K206="NA",'Com-Ind Equations'!$B$13*'Com-Ind Equations'!$B$14/(H206+I206),'Com-Ind Equations'!$B$13*'Com-Ind Equations'!$B$14/(H206+I206+K206))))</f>
        <v>390.93059383045738</v>
      </c>
      <c r="N206" s="95">
        <f>IF(AND(L206="NA",M206="NA"),"NA",MAX(L206,M206))</f>
        <v>390.93059383045738</v>
      </c>
      <c r="O206" s="94">
        <f>IF('Chemical Info'!L207="NA","NA",IF('Chemical Info'!E207="Yes",(('Com-Ind Equations'!$B$46*'Chemical Info'!AD207*'Com-Ind Equations'!$B$48*'Com-Ind Equations'!$B$49*'Com-Ind Equations'!$B$51)/('Com-Ind Equations'!$B$55*'Com-Ind Equations'!$B$56))/'Chemical Info'!L207,(('Com-Ind Equations'!$B$46*'Chemical Info'!AD207*'Com-Ind Equations'!$B$48*'Com-Ind Equations'!$B$49*'Com-Ind Equations'!$B$50)/('Com-Ind Equations'!$B$55*'Com-Ind Equations'!$B$56))/'Chemical Info'!L207))</f>
        <v>2.1404109589041092E-4</v>
      </c>
      <c r="P206" s="90">
        <f>IF('Chemical Info'!L207="NA","NA", IF('Chemical Info'!E207="Yes",0,((('Com-Ind Equations'!$B$58*'Com-Ind Equations'!$B$59*'Com-Ind Equations'!$B$48*'Com-Ind Equations'!$B$52*'Com-Ind Equations'!$B$49*'Chemical Info'!AB207)/('Com-Ind Equations'!$B$55*'Com-Ind Equations'!$B$56))/('Chemical Info'!L207*'Chemical Info'!AF207))))</f>
        <v>9.7838013698630118E-6</v>
      </c>
      <c r="Q206" s="90" t="str">
        <f>IF('Chemical Info'!N207="NA","NA",IF('Com-Ind Calculations'!E206="NA",(('Com-Ind Equations'!$B$53*'Com-Ind Equations'!$B$49*'Com-Ind Equations'!$B$54*'Com-Ind Calculations'!C206)/('Com-Ind Equations'!$B$56))/('Chemical Info'!N207),IF('Chemical Info'!E207="Yes",(('Com-Ind Equations'!$B$53*'Com-Ind Equations'!$B$49*'Com-Ind Equations'!$B$54*'Com-Ind Calculations'!E206)/('Com-Ind Equations'!$B$56))/('Chemical Info'!N207),(('Com-Ind Equations'!$B$53*'Com-Ind Equations'!$B$49*'Com-Ind Equations'!$B$54*('Com-Ind Calculations'!C206+'Com-Ind Calculations'!E206))/('Com-Ind Equations'!$B$56))/('Chemical Info'!N207))))</f>
        <v>NA</v>
      </c>
      <c r="R206" s="90" t="str">
        <f>IF('Chemical Info'!N207="NA","NA",IF('Com-Ind Calculations'!F206="NA",(('Com-Ind Equations'!$B$53*'Com-Ind Equations'!$B$49*'Com-Ind Equations'!$B$54*'Com-Ind Calculations'!C206)/('Com-Ind Equations'!$B$56))/('Chemical Info'!N207),IF('Chemical Info'!E207="Yes",(('Com-Ind Equations'!$B$53*'Com-Ind Equations'!$B$49*'Com-Ind Equations'!$B$54*'Com-Ind Calculations'!F206)/('Com-Ind Equations'!$B$56))/('Chemical Info'!N207),(('Com-Ind Equations'!$B$53*'Com-Ind Equations'!$B$49*'Com-Ind Equations'!$B$54*('Com-Ind Calculations'!C206+'Com-Ind Calculations'!F206))/('Com-Ind Equations'!$B$56))/('Chemical Info'!N207))))</f>
        <v>NA</v>
      </c>
      <c r="S206" s="90">
        <f>IF(AND(O206="NA",P206="NA",Q206="NA"),"NA",IF(O206="NA",'Com-Ind Equations'!$B$45/'Com-Ind Calculations'!Q206,IF('Com-Ind Calculations'!Q206="NA",'Com-Ind Equations'!$B$45/('Com-Ind Calculations'!O206+'Com-Ind Calculations'!P206),'Com-Ind Equations'!$B$45/('Com-Ind Calculations'!O206+'Com-Ind Calculations'!P206+'Com-Ind Calculations'!Q206))))</f>
        <v>893.55564304104541</v>
      </c>
      <c r="T206" s="95">
        <f>IF(AND(O206="NA",P206="NA",R206="NA"),"NA",IF(O206="NA",'Com-Ind Equations'!$B$45/R206,IF(R206="NA",'Com-Ind Equations'!$B$45/(O206+P206),'Com-Ind Equations'!$B$45/(O206+P206+R206))))</f>
        <v>893.55564304104541</v>
      </c>
      <c r="U206" s="97">
        <f>IF(AND(S206="NA",T206="NA"),"NA",MAX(S206,T206))</f>
        <v>893.55564304104541</v>
      </c>
      <c r="V206" s="101">
        <f t="shared" ref="V206:V213" si="235">IF(AND(N206="NA",U206="NA",G206="NA"),"NA",MIN(N206,U206,G206))</f>
        <v>390.93059383045738</v>
      </c>
      <c r="W206" s="105">
        <f t="shared" ref="W206:W213" si="236">IF(V206&gt;100000,100000,IF(ISNUMBER(ROUND(V206*1000000,2-LEN(INT(V206*1000000)))/1000000),ROUND(V206*1000000,2-LEN(INT(V206*1000000)))/1000000,"NA"))</f>
        <v>390</v>
      </c>
      <c r="X206" s="100" t="str">
        <f t="shared" ref="X206:X213" si="237">IF(W206=100000,"Max Limit",IF(V206=G206,"Csat",IF(V206=N206,"Cancer",IF(V206=U206,"Noncancer",""))))</f>
        <v>Cancer</v>
      </c>
      <c r="Y206" s="70"/>
    </row>
    <row r="207" spans="1:25">
      <c r="A207" s="373" t="s">
        <v>411</v>
      </c>
      <c r="B207" s="566" t="s">
        <v>91</v>
      </c>
      <c r="C207" s="85">
        <f>1/(('Com-Ind Equations'!$B$123*3600)/(0.036*(1-'Com-Ind Equations'!$B$124)*(('Com-Ind Equations'!$B$125/'Com-Ind Equations'!$B$126)^3)*'Com-Ind Equations'!$B$127))</f>
        <v>1.4713536180231943E-9</v>
      </c>
      <c r="D207" s="90">
        <f>(('Com-Ind Equations'!$B$103^(10/3)*'Chemical Info'!AH208*'Chemical Info'!AN208*41+'Com-Ind Equations'!$B$106^(10/3)*'Chemical Info'!AJ208)/'Com-Ind Equations'!$B$108^2)/('Com-Ind Equations'!$B$110*'Chemical Info'!AL208*'Com-Ind Equations'!$B$113+'Com-Ind Equations'!$B$106+'Com-Ind Equations'!$B$103*'Chemical Info'!AN208*41)</f>
        <v>2.8704275818916034E-8</v>
      </c>
      <c r="E207" s="65">
        <f>IF(D207=0,"NA",1/(('Com-Ind Equations'!$B$74*(3.14*D207*'Com-Ind Equations'!$B$76)^(1/2)*0.0001)/(2*'Com-Ind Equations'!$B$77*D207)))</f>
        <v>9.9449334469554615E-7</v>
      </c>
      <c r="F207" s="65">
        <f>IF(D207=0,"NA",(1/('Com-Ind Equations'!$B$88*('Com-Ind Equations'!$B$89*(31500000))/('Com-Ind Equations'!$B$90*'Com-Ind Equations'!$B$91*1000000))))</f>
        <v>6.1914410640015851E-5</v>
      </c>
      <c r="G207" s="95" t="str">
        <f>IF('Chemical Info'!E208="Yes",('Chemical Info'!AP208/'Com-Ind Equations'!$B$139)*((('Chemical Info'!AL208*'Com-Ind Equations'!$B$141)*'Com-Ind Equations'!$B$139)+'Com-Ind Equations'!$B$142+('Chemical Info'!AN208*41)*'Com-Ind Equations'!$B$144),"NA")</f>
        <v>NA</v>
      </c>
      <c r="H207" s="112" t="str">
        <f>IF('Chemical Info'!H208="NA","NA",IF('Chemical Info'!E208="Yes",'Chemical Info'!H208*'Chemical Info'!AD208*'Com-Ind Equations'!$B$18*'Com-Ind Equations'!$B$22*(('Com-Ind Equations'!$B$24*'Com-Ind Equations'!$B$25)/'Com-Ind Equations'!$B$26),'Chemical Info'!H208*'Chemical Info'!AD208*'Com-Ind Equations'!$B$17*'Com-Ind Equations'!$B$22*('Com-Ind Equations'!$B$24*'Com-Ind Equations'!$B$25/'Com-Ind Equations'!$B$26)))</f>
        <v>NA</v>
      </c>
      <c r="I207" s="108" t="str">
        <f>IF('Chemical Info'!H208="NA","NA",IF('Chemical Info'!E208="Yes",0,('Chemical Info'!H208/'Chemical Info'!AF208)*'Com-Ind Equations'!$B$19*'Chemical Info'!AB208*'Com-Ind Equations'!$B$22*(('Com-Ind Equations'!$B$24*'Com-Ind Equations'!$B$29*'Com-Ind Equations'!$B$30)/'Com-Ind Equations'!$B$26)))</f>
        <v>NA</v>
      </c>
      <c r="J207" s="115" t="str">
        <f>IF('Chemical Info'!J208="NA","NA",IF(E207="NA",'Com-Ind Equations'!$B$20*1000*'Com-Ind Equations'!$B$24*'Com-Ind Equations'!$B$21*'Chemical Info'!J208*'Com-Ind Calculations'!C207,IF('Chemical Info'!E208="Yes",'Com-Ind Equations'!$B$20*1000*'Com-Ind Equations'!$B$24*'Com-Ind Equations'!$B$21*'Chemical Info'!J208*'Com-Ind Calculations'!E207,'Com-Ind Equations'!$B$20*1000*'Com-Ind Equations'!$B$24*'Com-Ind Equations'!$B$21*'Chemical Info'!J208*('Com-Ind Calculations'!C207+'Com-Ind Calculations'!E207))))</f>
        <v>NA</v>
      </c>
      <c r="K207" s="117" t="str">
        <f>IF('Chemical Info'!J208="NA","NA",IF(F207="NA",'Com-Ind Equations'!$B$20*1000*'Com-Ind Equations'!$B$24*'Com-Ind Equations'!$B$21*'Chemical Info'!J208*'Com-Ind Calculations'!C207,IF('Chemical Info'!E208="Yes",'Com-Ind Equations'!$B$20*1000*'Com-Ind Equations'!$B$24*'Com-Ind Equations'!$B$21*'Chemical Info'!J208*'Com-Ind Calculations'!F207,'Com-Ind Equations'!$B$20*1000*'Com-Ind Equations'!$B$24*'Com-Ind Equations'!$B$21*'Chemical Info'!J208*('Com-Ind Calculations'!C207+'Com-Ind Calculations'!F207))))</f>
        <v>NA</v>
      </c>
      <c r="L207" s="95" t="str">
        <f>IF(AND(H207="NA",I207="NA",J207="NA"),"NA",IF(H207="NA",'Com-Ind Equations'!$B$13*'Com-Ind Equations'!$B$14/J207,IF(J207="NA",'Com-Ind Equations'!$B$13*'Com-Ind Equations'!$B$14/(H207+I207),'Com-Ind Equations'!$B$13*'Com-Ind Equations'!$B$14/(H207+I207+J207))))</f>
        <v>NA</v>
      </c>
      <c r="M207" s="95" t="str">
        <f>IF(AND(H207="NA",I207="NA",K207="NA"),"NA",IF(H207="NA",'Com-Ind Equations'!$B$13*'Com-Ind Equations'!$B$14/K207,IF(K207="NA",'Com-Ind Equations'!$B$13*'Com-Ind Equations'!$B$14/(H207+I207),'Com-Ind Equations'!$B$13*'Com-Ind Equations'!$B$14/(H207+I207+K207))))</f>
        <v>NA</v>
      </c>
      <c r="N207" s="95" t="str">
        <f t="shared" ref="N207:N213" si="238">IF(AND(L207="NA",M207="NA"),"NA",MAX(L207,M207))</f>
        <v>NA</v>
      </c>
      <c r="O207" s="94">
        <f>IF('Chemical Info'!L208="NA","NA",IF('Chemical Info'!E208="Yes",(('Com-Ind Equations'!$B$46*'Chemical Info'!AD208*'Com-Ind Equations'!$B$48*'Com-Ind Equations'!$B$49*'Com-Ind Equations'!$B$51)/('Com-Ind Equations'!$B$55*'Com-Ind Equations'!$B$56))/'Chemical Info'!L208,(('Com-Ind Equations'!$B$46*'Chemical Info'!AD208*'Com-Ind Equations'!$B$48*'Com-Ind Equations'!$B$49*'Com-Ind Equations'!$B$50)/('Com-Ind Equations'!$B$55*'Com-Ind Equations'!$B$56))/'Chemical Info'!L208))</f>
        <v>8.5616438356164361E-3</v>
      </c>
      <c r="P207" s="90">
        <f>IF('Chemical Info'!L208="NA","NA", IF('Chemical Info'!E208="Yes",0,((('Com-Ind Equations'!$B$58*'Com-Ind Equations'!$B$59*'Com-Ind Equations'!$B$48*'Com-Ind Equations'!$B$52*'Com-Ind Equations'!$B$49*'Chemical Info'!AB208)/('Com-Ind Equations'!$B$55*'Com-Ind Equations'!$B$56))/('Chemical Info'!L208*'Chemical Info'!AF208))))</f>
        <v>2.6090136986301363E-3</v>
      </c>
      <c r="Q207" s="90" t="str">
        <f>IF('Chemical Info'!N208="NA","NA",IF('Com-Ind Calculations'!E207="NA",(('Com-Ind Equations'!$B$53*'Com-Ind Equations'!$B$49*'Com-Ind Equations'!$B$54*'Com-Ind Calculations'!C207)/('Com-Ind Equations'!$B$56))/('Chemical Info'!N208),IF('Chemical Info'!E208="Yes",(('Com-Ind Equations'!$B$53*'Com-Ind Equations'!$B$49*'Com-Ind Equations'!$B$54*'Com-Ind Calculations'!E207)/('Com-Ind Equations'!$B$56))/('Chemical Info'!N208),(('Com-Ind Equations'!$B$53*'Com-Ind Equations'!$B$49*'Com-Ind Equations'!$B$54*('Com-Ind Calculations'!C207+'Com-Ind Calculations'!E207))/('Com-Ind Equations'!$B$56))/('Chemical Info'!N208))))</f>
        <v>NA</v>
      </c>
      <c r="R207" s="90" t="str">
        <f>IF('Chemical Info'!N208="NA","NA",IF('Com-Ind Calculations'!F207="NA",(('Com-Ind Equations'!$B$53*'Com-Ind Equations'!$B$49*'Com-Ind Equations'!$B$54*'Com-Ind Calculations'!C207)/('Com-Ind Equations'!$B$56))/('Chemical Info'!N208),IF('Chemical Info'!E208="Yes",(('Com-Ind Equations'!$B$53*'Com-Ind Equations'!$B$49*'Com-Ind Equations'!$B$54*'Com-Ind Calculations'!F207)/('Com-Ind Equations'!$B$56))/('Chemical Info'!N208),(('Com-Ind Equations'!$B$53*'Com-Ind Equations'!$B$49*'Com-Ind Equations'!$B$54*('Com-Ind Calculations'!C207+'Com-Ind Calculations'!F207))/('Com-Ind Equations'!$B$56))/('Chemical Info'!N208))))</f>
        <v>NA</v>
      </c>
      <c r="S207" s="90">
        <f>IF(AND(O207="NA",P207="NA",Q207="NA"),"NA",IF(O207="NA",'Com-Ind Equations'!$B$45/'Com-Ind Calculations'!Q207,IF('Com-Ind Calculations'!Q207="NA",'Com-Ind Equations'!$B$45/('Com-Ind Calculations'!O207+'Com-Ind Calculations'!P207),'Com-Ind Equations'!$B$45/('Com-Ind Calculations'!O207+'Com-Ind Calculations'!P207+'Com-Ind Calculations'!Q207))))</f>
        <v>17.904049012947329</v>
      </c>
      <c r="T207" s="95">
        <f>IF(AND(O207="NA",P207="NA",R207="NA"),"NA",IF(O207="NA",'Com-Ind Equations'!$B$45/R207,IF(R207="NA",'Com-Ind Equations'!$B$45/(O207+P207),'Com-Ind Equations'!$B$45/(O207+P207+R207))))</f>
        <v>17.904049012947329</v>
      </c>
      <c r="U207" s="97">
        <f t="shared" ref="U207:U213" si="239">IF(AND(S207="NA",T207="NA"),"NA",MAX(S207,T207))</f>
        <v>17.904049012947329</v>
      </c>
      <c r="V207" s="101">
        <f t="shared" si="235"/>
        <v>17.904049012947329</v>
      </c>
      <c r="W207" s="105">
        <f t="shared" si="236"/>
        <v>18</v>
      </c>
      <c r="X207" s="100" t="str">
        <f t="shared" si="237"/>
        <v>Noncancer</v>
      </c>
      <c r="Y207" s="70"/>
    </row>
    <row r="208" spans="1:25">
      <c r="A208" s="373" t="s">
        <v>1096</v>
      </c>
      <c r="B208" s="566" t="s">
        <v>92</v>
      </c>
      <c r="C208" s="85">
        <f>1/(('Com-Ind Equations'!$B$123*3600)/(0.036*(1-'Com-Ind Equations'!$B$124)*(('Com-Ind Equations'!$B$125/'Com-Ind Equations'!$B$126)^3)*'Com-Ind Equations'!$B$127))</f>
        <v>1.4713536180231943E-9</v>
      </c>
      <c r="D208" s="90">
        <f>(('Com-Ind Equations'!$B$103^(10/3)*'Chemical Info'!AH209*'Chemical Info'!AN209*41+'Com-Ind Equations'!$B$106^(10/3)*'Chemical Info'!AJ209)/'Com-Ind Equations'!$B$108^2)/('Com-Ind Equations'!$B$110*'Chemical Info'!AL209*'Com-Ind Equations'!$B$113+'Com-Ind Equations'!$B$106+'Com-Ind Equations'!$B$103*'Chemical Info'!AN209*41)</f>
        <v>1.5297334402203651E-8</v>
      </c>
      <c r="E208" s="65">
        <f>IF(D208=0,"NA",1/(('Com-Ind Equations'!$B$74*(3.14*D208*'Com-Ind Equations'!$B$76)^(1/2)*0.0001)/(2*'Com-Ind Equations'!$B$77*D208)))</f>
        <v>7.25999738243342E-7</v>
      </c>
      <c r="F208" s="65">
        <f>IF(D208=0,"NA",(1/('Com-Ind Equations'!$B$88*('Com-Ind Equations'!$B$89*(31500000))/('Com-Ind Equations'!$B$90*'Com-Ind Equations'!$B$91*1000000))))</f>
        <v>6.1914410640015851E-5</v>
      </c>
      <c r="G208" s="95" t="str">
        <f>IF('Chemical Info'!E209="Yes",('Chemical Info'!AP209/'Com-Ind Equations'!$B$139)*((('Chemical Info'!AL209*'Com-Ind Equations'!$B$141)*'Com-Ind Equations'!$B$139)+'Com-Ind Equations'!$B$142+('Chemical Info'!AN209*41)*'Com-Ind Equations'!$B$144),"NA")</f>
        <v>NA</v>
      </c>
      <c r="H208" s="112">
        <f>IF('Chemical Info'!H209="NA","NA",IF('Chemical Info'!E209="Yes",'Chemical Info'!H209*'Chemical Info'!AD209*'Com-Ind Equations'!$B$18*'Com-Ind Equations'!$B$22*(('Com-Ind Equations'!$B$24*'Com-Ind Equations'!$B$25)/'Com-Ind Equations'!$B$26),'Chemical Info'!H209*'Chemical Info'!AD209*'Com-Ind Equations'!$B$17*'Com-Ind Equations'!$B$22*('Com-Ind Equations'!$B$24*'Com-Ind Equations'!$B$25/'Com-Ind Equations'!$B$26)))</f>
        <v>2.421875E-3</v>
      </c>
      <c r="I208" s="108">
        <f>IF('Chemical Info'!H209="NA","NA",IF('Chemical Info'!E209="Yes",0,('Chemical Info'!H209/'Chemical Info'!AF209)*'Com-Ind Equations'!$B$19*'Chemical Info'!AB209*'Com-Ind Equations'!$B$22*(('Com-Ind Equations'!$B$24*'Com-Ind Equations'!$B$29*'Com-Ind Equations'!$B$30)/'Com-Ind Equations'!$B$26)))</f>
        <v>7.5278524499999984E-4</v>
      </c>
      <c r="J208" s="115">
        <f>IF('Chemical Info'!J209="NA","NA",IF(E208="NA",'Com-Ind Equations'!$B$20*1000*'Com-Ind Equations'!$B$24*'Com-Ind Equations'!$B$21*'Chemical Info'!J209*'Com-Ind Calculations'!C208,IF('Chemical Info'!E209="Yes",'Com-Ind Equations'!$B$20*1000*'Com-Ind Equations'!$B$24*'Com-Ind Equations'!$B$21*'Chemical Info'!J209*'Com-Ind Calculations'!E208,'Com-Ind Equations'!$B$20*1000*'Com-Ind Equations'!$B$24*'Com-Ind Equations'!$B$21*'Chemical Info'!J209*('Com-Ind Calculations'!C208+'Com-Ind Calculations'!E208))))</f>
        <v>1.2139673845436531E-4</v>
      </c>
      <c r="K208" s="117">
        <f>IF('Chemical Info'!J209="NA","NA",IF(F208="NA",'Com-Ind Equations'!$B$20*1000*'Com-Ind Equations'!$B$24*'Com-Ind Equations'!$B$21*'Chemical Info'!J209*'Com-Ind Calculations'!C208,IF('Chemical Info'!E209="Yes",'Com-Ind Equations'!$B$20*1000*'Com-Ind Equations'!$B$24*'Com-Ind Equations'!$B$21*'Chemical Info'!J209*'Com-Ind Calculations'!F208,'Com-Ind Equations'!$B$20*1000*'Com-Ind Equations'!$B$24*'Com-Ind Equations'!$B$21*'Chemical Info'!J209*('Com-Ind Calculations'!C208+'Com-Ind Calculations'!F208))))</f>
        <v>1.0332212807687651E-2</v>
      </c>
      <c r="L208" s="95">
        <f>IF(AND(H208="NA",I208="NA",J208="NA"),"NA",IF(H208="NA",'Com-Ind Equations'!$B$13*'Com-Ind Equations'!$B$14/J208,IF(J208="NA",'Com-Ind Equations'!$B$13*'Com-Ind Equations'!$B$14/(H208+I208),'Com-Ind Equations'!$B$13*'Com-Ind Equations'!$B$14/(H208+I208+J208))))</f>
        <v>77.516863720064848</v>
      </c>
      <c r="M208" s="95">
        <f>IF(AND(H208="NA",I208="NA",K208="NA"),"NA",IF(H208="NA",'Com-Ind Equations'!$B$13*'Com-Ind Equations'!$B$14/K208,IF(K208="NA",'Com-Ind Equations'!$B$13*'Com-Ind Equations'!$B$14/(H208+I208),'Com-Ind Equations'!$B$13*'Com-Ind Equations'!$B$14/(H208+I208+K208))))</f>
        <v>18.91629535595284</v>
      </c>
      <c r="N208" s="95">
        <f t="shared" si="238"/>
        <v>77.516863720064848</v>
      </c>
      <c r="O208" s="94">
        <f>IF('Chemical Info'!L209="NA","NA",IF('Chemical Info'!E209="Yes",(('Com-Ind Equations'!$B$46*'Chemical Info'!AD209*'Com-Ind Equations'!$B$48*'Com-Ind Equations'!$B$49*'Com-Ind Equations'!$B$51)/('Com-Ind Equations'!$B$55*'Com-Ind Equations'!$B$56))/'Chemical Info'!L209,(('Com-Ind Equations'!$B$46*'Chemical Info'!AD209*'Com-Ind Equations'!$B$48*'Com-Ind Equations'!$B$49*'Com-Ind Equations'!$B$50)/('Com-Ind Equations'!$B$55*'Com-Ind Equations'!$B$56))/'Chemical Info'!L209))</f>
        <v>4.2808219178082184E-4</v>
      </c>
      <c r="P208" s="90">
        <f>IF('Chemical Info'!L209="NA","NA", IF('Chemical Info'!E209="Yes",0,((('Com-Ind Equations'!$B$58*'Com-Ind Equations'!$B$59*'Com-Ind Equations'!$B$48*'Com-Ind Equations'!$B$52*'Com-Ind Equations'!$B$49*'Chemical Info'!AB209)/('Com-Ind Equations'!$B$55*'Com-Ind Equations'!$B$56))/('Chemical Info'!L209*'Chemical Info'!AF209))))</f>
        <v>1.3305969863013696E-4</v>
      </c>
      <c r="Q208" s="90" t="str">
        <f>IF('Chemical Info'!N209="NA","NA",IF('Com-Ind Calculations'!E208="NA",(('Com-Ind Equations'!$B$53*'Com-Ind Equations'!$B$49*'Com-Ind Equations'!$B$54*'Com-Ind Calculations'!C208)/('Com-Ind Equations'!$B$56))/('Chemical Info'!N209),IF('Chemical Info'!E209="Yes",(('Com-Ind Equations'!$B$53*'Com-Ind Equations'!$B$49*'Com-Ind Equations'!$B$54*'Com-Ind Calculations'!E208)/('Com-Ind Equations'!$B$56))/('Chemical Info'!N209),(('Com-Ind Equations'!$B$53*'Com-Ind Equations'!$B$49*'Com-Ind Equations'!$B$54*('Com-Ind Calculations'!C208+'Com-Ind Calculations'!E208))/('Com-Ind Equations'!$B$56))/('Chemical Info'!N209))))</f>
        <v>NA</v>
      </c>
      <c r="R208" s="90" t="str">
        <f>IF('Chemical Info'!N209="NA","NA",IF('Com-Ind Calculations'!F208="NA",(('Com-Ind Equations'!$B$53*'Com-Ind Equations'!$B$49*'Com-Ind Equations'!$B$54*'Com-Ind Calculations'!C208)/('Com-Ind Equations'!$B$56))/('Chemical Info'!N209),IF('Chemical Info'!E209="Yes",(('Com-Ind Equations'!$B$53*'Com-Ind Equations'!$B$49*'Com-Ind Equations'!$B$54*'Com-Ind Calculations'!F208)/('Com-Ind Equations'!$B$56))/('Chemical Info'!N209),(('Com-Ind Equations'!$B$53*'Com-Ind Equations'!$B$49*'Com-Ind Equations'!$B$54*('Com-Ind Calculations'!C208+'Com-Ind Calculations'!F208))/('Com-Ind Equations'!$B$56))/('Chemical Info'!N209))))</f>
        <v>NA</v>
      </c>
      <c r="S208" s="90">
        <f>IF(AND(O208="NA",P208="NA",Q208="NA"),"NA",IF(O208="NA",'Com-Ind Equations'!$B$45/'Com-Ind Calculations'!Q208,IF('Com-Ind Calculations'!Q208="NA",'Com-Ind Equations'!$B$45/('Com-Ind Calculations'!O208+'Com-Ind Calculations'!P208),'Com-Ind Equations'!$B$45/('Com-Ind Calculations'!O208+'Com-Ind Calculations'!P208+'Com-Ind Calculations'!Q208))))</f>
        <v>356.41609264552983</v>
      </c>
      <c r="T208" s="95">
        <f>IF(AND(O208="NA",P208="NA",R208="NA"),"NA",IF(O208="NA",'Com-Ind Equations'!$B$45/R208,IF(R208="NA",'Com-Ind Equations'!$B$45/(O208+P208),'Com-Ind Equations'!$B$45/(O208+P208+R208))))</f>
        <v>356.41609264552983</v>
      </c>
      <c r="U208" s="97">
        <f t="shared" si="239"/>
        <v>356.41609264552983</v>
      </c>
      <c r="V208" s="101">
        <f t="shared" si="235"/>
        <v>77.516863720064848</v>
      </c>
      <c r="W208" s="105">
        <f t="shared" si="236"/>
        <v>78</v>
      </c>
      <c r="X208" s="100" t="str">
        <f t="shared" si="237"/>
        <v>Cancer</v>
      </c>
      <c r="Y208" s="70"/>
    </row>
    <row r="209" spans="1:25">
      <c r="A209" s="373" t="s">
        <v>1097</v>
      </c>
      <c r="B209" s="566" t="s">
        <v>230</v>
      </c>
      <c r="C209" s="85">
        <f>1/(('Com-Ind Equations'!$B$123*3600)/(0.036*(1-'Com-Ind Equations'!$B$124)*(('Com-Ind Equations'!$B$125/'Com-Ind Equations'!$B$126)^3)*'Com-Ind Equations'!$B$127))</f>
        <v>1.4713536180231943E-9</v>
      </c>
      <c r="D209" s="90">
        <f>(('Com-Ind Equations'!$B$103^(10/3)*'Chemical Info'!AH210*'Chemical Info'!AN210*41+'Com-Ind Equations'!$B$106^(10/3)*'Chemical Info'!AJ210)/'Com-Ind Equations'!$B$108^2)/('Com-Ind Equations'!$B$110*'Chemical Info'!AL210*'Com-Ind Equations'!$B$113+'Com-Ind Equations'!$B$106+'Com-Ind Equations'!$B$103*'Chemical Info'!AN210*41)</f>
        <v>2.9502832294239876E-8</v>
      </c>
      <c r="E209" s="65">
        <f>IF(D209=0,"NA",1/(('Com-Ind Equations'!$B$74*(3.14*D209*'Com-Ind Equations'!$B$76)^(1/2)*0.0001)/(2*'Com-Ind Equations'!$B$77*D209)))</f>
        <v>1.0082319114612469E-6</v>
      </c>
      <c r="F209" s="65">
        <f>IF(D209=0,"NA",(1/('Com-Ind Equations'!$B$88*('Com-Ind Equations'!$B$89*(31500000))/('Com-Ind Equations'!$B$90*'Com-Ind Equations'!$B$91*1000000))))</f>
        <v>6.1914410640015851E-5</v>
      </c>
      <c r="G209" s="95" t="str">
        <f>IF('Chemical Info'!E210="Yes",('Chemical Info'!AP210/'Com-Ind Equations'!$B$139)*((('Chemical Info'!AL210*'Com-Ind Equations'!$B$141)*'Com-Ind Equations'!$B$139)+'Com-Ind Equations'!$B$142+('Chemical Info'!AN210*41)*'Com-Ind Equations'!$B$144),"NA")</f>
        <v>NA</v>
      </c>
      <c r="H209" s="112">
        <f>IF('Chemical Info'!H210="NA","NA",IF('Chemical Info'!E210="Yes",'Chemical Info'!H210*'Chemical Info'!AD210*'Com-Ind Equations'!$B$18*'Com-Ind Equations'!$B$22*(('Com-Ind Equations'!$B$24*'Com-Ind Equations'!$B$25)/'Com-Ind Equations'!$B$26),'Chemical Info'!H210*'Chemical Info'!AD210*'Com-Ind Equations'!$B$17*'Com-Ind Equations'!$B$22*('Com-Ind Equations'!$B$24*'Com-Ind Equations'!$B$25/'Com-Ind Equations'!$B$26)))</f>
        <v>1.171875E-2</v>
      </c>
      <c r="I209" s="108">
        <f>IF('Chemical Info'!H210="NA","NA",IF('Chemical Info'!E210="Yes",0,('Chemical Info'!H210/'Chemical Info'!AF210)*'Com-Ind Equations'!$B$19*'Chemical Info'!AB210*'Com-Ind Equations'!$B$22*(('Com-Ind Equations'!$B$24*'Com-Ind Equations'!$B$29*'Com-Ind Equations'!$B$30)/'Com-Ind Equations'!$B$26)))</f>
        <v>3.5353766249999995E-3</v>
      </c>
      <c r="J209" s="115" t="str">
        <f>IF('Chemical Info'!J210="NA","NA",IF(E209="NA",'Com-Ind Equations'!$B$20*1000*'Com-Ind Equations'!$B$24*'Com-Ind Equations'!$B$21*'Chemical Info'!J210*'Com-Ind Calculations'!C209,IF('Chemical Info'!E210="Yes",'Com-Ind Equations'!$B$20*1000*'Com-Ind Equations'!$B$24*'Com-Ind Equations'!$B$21*'Chemical Info'!J210*'Com-Ind Calculations'!E209,'Com-Ind Equations'!$B$20*1000*'Com-Ind Equations'!$B$24*'Com-Ind Equations'!$B$21*'Chemical Info'!J210*('Com-Ind Calculations'!C209+'Com-Ind Calculations'!E209))))</f>
        <v>NA</v>
      </c>
      <c r="K209" s="117" t="str">
        <f>IF('Chemical Info'!J210="NA","NA",IF(F209="NA",'Com-Ind Equations'!$B$20*1000*'Com-Ind Equations'!$B$24*'Com-Ind Equations'!$B$21*'Chemical Info'!J210*'Com-Ind Calculations'!C209,IF('Chemical Info'!E210="Yes",'Com-Ind Equations'!$B$20*1000*'Com-Ind Equations'!$B$24*'Com-Ind Equations'!$B$21*'Chemical Info'!J210*'Com-Ind Calculations'!F209,'Com-Ind Equations'!$B$20*1000*'Com-Ind Equations'!$B$24*'Com-Ind Equations'!$B$21*'Chemical Info'!J210*('Com-Ind Calculations'!C209+'Com-Ind Calculations'!F209))))</f>
        <v>NA</v>
      </c>
      <c r="L209" s="95">
        <f>IF(AND(H209="NA",I209="NA",J209="NA"),"NA",IF(H209="NA",'Com-Ind Equations'!$B$13*'Com-Ind Equations'!$B$14/J209,IF(J209="NA",'Com-Ind Equations'!$B$13*'Com-Ind Equations'!$B$14/(H209+I209),'Com-Ind Equations'!$B$13*'Com-Ind Equations'!$B$14/(H209+I209+J209))))</f>
        <v>16.749565955566467</v>
      </c>
      <c r="M209" s="95">
        <f>IF(AND(H209="NA",I209="NA",K209="NA"),"NA",IF(H209="NA",'Com-Ind Equations'!$B$13*'Com-Ind Equations'!$B$14/K209,IF(K209="NA",'Com-Ind Equations'!$B$13*'Com-Ind Equations'!$B$14/(H209+I209),'Com-Ind Equations'!$B$13*'Com-Ind Equations'!$B$14/(H209+I209+K209))))</f>
        <v>16.749565955566467</v>
      </c>
      <c r="N209" s="95">
        <f t="shared" si="238"/>
        <v>16.749565955566467</v>
      </c>
      <c r="O209" s="94">
        <f>IF('Chemical Info'!L210="NA","NA",IF('Chemical Info'!E210="Yes",(('Com-Ind Equations'!$B$46*'Chemical Info'!AD210*'Com-Ind Equations'!$B$48*'Com-Ind Equations'!$B$49*'Com-Ind Equations'!$B$51)/('Com-Ind Equations'!$B$55*'Com-Ind Equations'!$B$56))/'Chemical Info'!L210,(('Com-Ind Equations'!$B$46*'Chemical Info'!AD210*'Com-Ind Equations'!$B$48*'Com-Ind Equations'!$B$49*'Com-Ind Equations'!$B$50)/('Com-Ind Equations'!$B$55*'Com-Ind Equations'!$B$56))/'Chemical Info'!L210))</f>
        <v>2.8538812785388122E-3</v>
      </c>
      <c r="P209" s="90">
        <f>IF('Chemical Info'!L210="NA","NA", IF('Chemical Info'!E210="Yes",0,((('Com-Ind Equations'!$B$58*'Com-Ind Equations'!$B$59*'Com-Ind Equations'!$B$48*'Com-Ind Equations'!$B$52*'Com-Ind Equations'!$B$49*'Chemical Info'!AB210)/('Com-Ind Equations'!$B$55*'Com-Ind Equations'!$B$56))/('Chemical Info'!L210*'Chemical Info'!AF210))))</f>
        <v>8.6097452054794516E-4</v>
      </c>
      <c r="Q209" s="90" t="str">
        <f>IF('Chemical Info'!N210="NA","NA",IF('Com-Ind Calculations'!E209="NA",(('Com-Ind Equations'!$B$53*'Com-Ind Equations'!$B$49*'Com-Ind Equations'!$B$54*'Com-Ind Calculations'!C209)/('Com-Ind Equations'!$B$56))/('Chemical Info'!N210),IF('Chemical Info'!E210="Yes",(('Com-Ind Equations'!$B$53*'Com-Ind Equations'!$B$49*'Com-Ind Equations'!$B$54*'Com-Ind Calculations'!E209)/('Com-Ind Equations'!$B$56))/('Chemical Info'!N210),(('Com-Ind Equations'!$B$53*'Com-Ind Equations'!$B$49*'Com-Ind Equations'!$B$54*('Com-Ind Calculations'!C209+'Com-Ind Calculations'!E209))/('Com-Ind Equations'!$B$56))/('Chemical Info'!N210))))</f>
        <v>NA</v>
      </c>
      <c r="R209" s="90" t="str">
        <f>IF('Chemical Info'!N210="NA","NA",IF('Com-Ind Calculations'!F209="NA",(('Com-Ind Equations'!$B$53*'Com-Ind Equations'!$B$49*'Com-Ind Equations'!$B$54*'Com-Ind Calculations'!C209)/('Com-Ind Equations'!$B$56))/('Chemical Info'!N210),IF('Chemical Info'!E210="Yes",(('Com-Ind Equations'!$B$53*'Com-Ind Equations'!$B$49*'Com-Ind Equations'!$B$54*'Com-Ind Calculations'!F209)/('Com-Ind Equations'!$B$56))/('Chemical Info'!N210),(('Com-Ind Equations'!$B$53*'Com-Ind Equations'!$B$49*'Com-Ind Equations'!$B$54*('Com-Ind Calculations'!C209+'Com-Ind Calculations'!F209))/('Com-Ind Equations'!$B$56))/('Chemical Info'!N210))))</f>
        <v>NA</v>
      </c>
      <c r="S209" s="90">
        <f>IF(AND(O209="NA",P209="NA",Q209="NA"),"NA",IF(O209="NA",'Com-Ind Equations'!$B$45/'Com-Ind Calculations'!Q209,IF('Com-Ind Calculations'!Q209="NA",'Com-Ind Equations'!$B$45/('Com-Ind Calculations'!O209+'Com-Ind Calculations'!P209),'Com-Ind Equations'!$B$45/('Com-Ind Calculations'!O209+'Com-Ind Calculations'!P209+'Com-Ind Calculations'!Q209))))</f>
        <v>53.837890571463653</v>
      </c>
      <c r="T209" s="95">
        <f>IF(AND(O209="NA",P209="NA",R209="NA"),"NA",IF(O209="NA",'Com-Ind Equations'!$B$45/R209,IF(R209="NA",'Com-Ind Equations'!$B$45/(O209+P209),'Com-Ind Equations'!$B$45/(O209+P209+R209))))</f>
        <v>53.837890571463653</v>
      </c>
      <c r="U209" s="97">
        <f t="shared" si="239"/>
        <v>53.837890571463653</v>
      </c>
      <c r="V209" s="101">
        <f t="shared" si="235"/>
        <v>16.749565955566467</v>
      </c>
      <c r="W209" s="105">
        <f t="shared" si="236"/>
        <v>17</v>
      </c>
      <c r="X209" s="100" t="str">
        <f t="shared" si="237"/>
        <v>Cancer</v>
      </c>
      <c r="Y209" s="70"/>
    </row>
    <row r="210" spans="1:25">
      <c r="A210" s="373" t="s">
        <v>38</v>
      </c>
      <c r="B210" s="566" t="s">
        <v>427</v>
      </c>
      <c r="C210" s="85">
        <f>1/(('Com-Ind Equations'!$B$123*3600)/(0.036*(1-'Com-Ind Equations'!$B$124)*(('Com-Ind Equations'!$B$125/'Com-Ind Equations'!$B$126)^3)*'Com-Ind Equations'!$B$127))</f>
        <v>1.4713536180231943E-9</v>
      </c>
      <c r="D210" s="90">
        <f>(('Com-Ind Equations'!$B$103^(10/3)*'Chemical Info'!AH211*'Chemical Info'!AN211*41+'Com-Ind Equations'!$B$106^(10/3)*'Chemical Info'!AJ211)/'Com-Ind Equations'!$B$108^2)/('Com-Ind Equations'!$B$110*'Chemical Info'!AL211*'Com-Ind Equations'!$B$113+'Com-Ind Equations'!$B$106+'Com-Ind Equations'!$B$103*'Chemical Info'!AN211*41)</f>
        <v>1.5250008398050623E-8</v>
      </c>
      <c r="E210" s="65">
        <f>IF(D210=0,"NA",1/(('Com-Ind Equations'!$B$74*(3.14*D210*'Com-Ind Equations'!$B$76)^(1/2)*0.0001)/(2*'Com-Ind Equations'!$B$77*D210)))</f>
        <v>7.2487584040855699E-7</v>
      </c>
      <c r="F210" s="65">
        <f>IF(D210=0,"NA",(1/('Com-Ind Equations'!$B$88*('Com-Ind Equations'!$B$89*(31500000))/('Com-Ind Equations'!$B$90*'Com-Ind Equations'!$B$91*1000000))))</f>
        <v>6.1914410640015851E-5</v>
      </c>
      <c r="G210" s="95" t="str">
        <f>IF('Chemical Info'!E211="Yes",('Chemical Info'!AP211/'Com-Ind Equations'!$B$139)*((('Chemical Info'!AL211*'Com-Ind Equations'!$B$141)*'Com-Ind Equations'!$B$139)+'Com-Ind Equations'!$B$142+('Chemical Info'!AN211*41)*'Com-Ind Equations'!$B$144),"NA")</f>
        <v>NA</v>
      </c>
      <c r="H210" s="112">
        <f>IF('Chemical Info'!H211="NA","NA",IF('Chemical Info'!E211="Yes",'Chemical Info'!H211*'Chemical Info'!AD211*'Com-Ind Equations'!$B$18*'Com-Ind Equations'!$B$22*(('Com-Ind Equations'!$B$24*'Com-Ind Equations'!$B$25)/'Com-Ind Equations'!$B$26),'Chemical Info'!H211*'Chemical Info'!AD211*'Com-Ind Equations'!$B$17*'Com-Ind Equations'!$B$22*('Com-Ind Equations'!$B$24*'Com-Ind Equations'!$B$25/'Com-Ind Equations'!$B$26)))</f>
        <v>5.3124999999999995E-3</v>
      </c>
      <c r="I210" s="108">
        <f>IF('Chemical Info'!H211="NA","NA",IF('Chemical Info'!E211="Yes",0,('Chemical Info'!H211/'Chemical Info'!AF211)*'Com-Ind Equations'!$B$19*'Chemical Info'!AB211*'Com-Ind Equations'!$B$22*(('Com-Ind Equations'!$B$24*'Com-Ind Equations'!$B$29*'Com-Ind Equations'!$B$30)/'Com-Ind Equations'!$B$26)))</f>
        <v>1.6188929999999999E-3</v>
      </c>
      <c r="J210" s="115" t="str">
        <f>IF('Chemical Info'!J211="NA","NA",IF(E210="NA",'Com-Ind Equations'!$B$20*1000*'Com-Ind Equations'!$B$24*'Com-Ind Equations'!$B$21*'Chemical Info'!J211*'Com-Ind Calculations'!C210,IF('Chemical Info'!E211="Yes",'Com-Ind Equations'!$B$20*1000*'Com-Ind Equations'!$B$24*'Com-Ind Equations'!$B$21*'Chemical Info'!J211*'Com-Ind Calculations'!E210,'Com-Ind Equations'!$B$20*1000*'Com-Ind Equations'!$B$24*'Com-Ind Equations'!$B$21*'Chemical Info'!J211*('Com-Ind Calculations'!C210+'Com-Ind Calculations'!E210))))</f>
        <v>NA</v>
      </c>
      <c r="K210" s="117" t="str">
        <f>IF('Chemical Info'!J211="NA","NA",IF(F210="NA",'Com-Ind Equations'!$B$20*1000*'Com-Ind Equations'!$B$24*'Com-Ind Equations'!$B$21*'Chemical Info'!J211*'Com-Ind Calculations'!C210,IF('Chemical Info'!E211="Yes",'Com-Ind Equations'!$B$20*1000*'Com-Ind Equations'!$B$24*'Com-Ind Equations'!$B$21*'Chemical Info'!J211*'Com-Ind Calculations'!F210,'Com-Ind Equations'!$B$20*1000*'Com-Ind Equations'!$B$24*'Com-Ind Equations'!$B$21*'Chemical Info'!J211*('Com-Ind Calculations'!C210+'Com-Ind Calculations'!F210))))</f>
        <v>NA</v>
      </c>
      <c r="L210" s="95">
        <f>IF(AND(H210="NA",I210="NA",J210="NA"),"NA",IF(H210="NA",'Com-Ind Equations'!$B$13*'Com-Ind Equations'!$B$14/J210,IF(J210="NA",'Com-Ind Equations'!$B$13*'Com-Ind Equations'!$B$14/(H210+I210),'Com-Ind Equations'!$B$13*'Com-Ind Equations'!$B$14/(H210+I210+J210))))</f>
        <v>36.861277379597439</v>
      </c>
      <c r="M210" s="95">
        <f>IF(AND(H210="NA",I210="NA",K210="NA"),"NA",IF(H210="NA",'Com-Ind Equations'!$B$13*'Com-Ind Equations'!$B$14/K210,IF(K210="NA",'Com-Ind Equations'!$B$13*'Com-Ind Equations'!$B$14/(H210+I210),'Com-Ind Equations'!$B$13*'Com-Ind Equations'!$B$14/(H210+I210+K210))))</f>
        <v>36.861277379597439</v>
      </c>
      <c r="N210" s="95">
        <f t="shared" si="238"/>
        <v>36.861277379597439</v>
      </c>
      <c r="O210" s="94">
        <f>IF('Chemical Info'!L211="NA","NA",IF('Chemical Info'!E211="Yes",(('Com-Ind Equations'!$B$46*'Chemical Info'!AD211*'Com-Ind Equations'!$B$48*'Com-Ind Equations'!$B$49*'Com-Ind Equations'!$B$51)/('Com-Ind Equations'!$B$55*'Com-Ind Equations'!$B$56))/'Chemical Info'!L211,(('Com-Ind Equations'!$B$46*'Chemical Info'!AD211*'Com-Ind Equations'!$B$48*'Com-Ind Equations'!$B$49*'Com-Ind Equations'!$B$50)/('Com-Ind Equations'!$B$55*'Com-Ind Equations'!$B$56))/'Chemical Info'!L211))</f>
        <v>9.5129375951293743E-4</v>
      </c>
      <c r="P210" s="90">
        <f>IF('Chemical Info'!L211="NA","NA", IF('Chemical Info'!E211="Yes",0,((('Com-Ind Equations'!$B$58*'Com-Ind Equations'!$B$59*'Com-Ind Equations'!$B$48*'Com-Ind Equations'!$B$52*'Com-Ind Equations'!$B$49*'Chemical Info'!AB211)/('Com-Ind Equations'!$B$55*'Com-Ind Equations'!$B$56))/('Chemical Info'!L211*'Chemical Info'!AF211))))</f>
        <v>2.8989041095890406E-4</v>
      </c>
      <c r="Q210" s="90" t="str">
        <f>IF('Chemical Info'!N211="NA","NA",IF('Com-Ind Calculations'!E210="NA",(('Com-Ind Equations'!$B$53*'Com-Ind Equations'!$B$49*'Com-Ind Equations'!$B$54*'Com-Ind Calculations'!C210)/('Com-Ind Equations'!$B$56))/('Chemical Info'!N211),IF('Chemical Info'!E211="Yes",(('Com-Ind Equations'!$B$53*'Com-Ind Equations'!$B$49*'Com-Ind Equations'!$B$54*'Com-Ind Calculations'!E210)/('Com-Ind Equations'!$B$56))/('Chemical Info'!N211),(('Com-Ind Equations'!$B$53*'Com-Ind Equations'!$B$49*'Com-Ind Equations'!$B$54*('Com-Ind Calculations'!C210+'Com-Ind Calculations'!E210))/('Com-Ind Equations'!$B$56))/('Chemical Info'!N211))))</f>
        <v>NA</v>
      </c>
      <c r="R210" s="90" t="str">
        <f>IF('Chemical Info'!N211="NA","NA",IF('Com-Ind Calculations'!F210="NA",(('Com-Ind Equations'!$B$53*'Com-Ind Equations'!$B$49*'Com-Ind Equations'!$B$54*'Com-Ind Calculations'!C210)/('Com-Ind Equations'!$B$56))/('Chemical Info'!N211),IF('Chemical Info'!E211="Yes",(('Com-Ind Equations'!$B$53*'Com-Ind Equations'!$B$49*'Com-Ind Equations'!$B$54*'Com-Ind Calculations'!F210)/('Com-Ind Equations'!$B$56))/('Chemical Info'!N211),(('Com-Ind Equations'!$B$53*'Com-Ind Equations'!$B$49*'Com-Ind Equations'!$B$54*('Com-Ind Calculations'!C210+'Com-Ind Calculations'!F210))/('Com-Ind Equations'!$B$56))/('Chemical Info'!N211))))</f>
        <v>NA</v>
      </c>
      <c r="S210" s="90">
        <f>IF(AND(O210="NA",P210="NA",Q210="NA"),"NA",IF(O210="NA",'Com-Ind Equations'!$B$45/'Com-Ind Calculations'!Q210,IF('Com-Ind Calculations'!Q210="NA",'Com-Ind Equations'!$B$45/('Com-Ind Calculations'!O210+'Com-Ind Calculations'!P210),'Com-Ind Equations'!$B$45/('Com-Ind Calculations'!O210+'Com-Ind Calculations'!P210+'Com-Ind Calculations'!Q210))))</f>
        <v>161.13644111652596</v>
      </c>
      <c r="T210" s="95">
        <f>IF(AND(O210="NA",P210="NA",R210="NA"),"NA",IF(O210="NA",'Com-Ind Equations'!$B$45/R210,IF(R210="NA",'Com-Ind Equations'!$B$45/(O210+P210),'Com-Ind Equations'!$B$45/(O210+P210+R210))))</f>
        <v>161.13644111652596</v>
      </c>
      <c r="U210" s="97">
        <f t="shared" si="239"/>
        <v>161.13644111652596</v>
      </c>
      <c r="V210" s="101">
        <f t="shared" si="235"/>
        <v>36.861277379597439</v>
      </c>
      <c r="W210" s="105">
        <f t="shared" si="236"/>
        <v>37</v>
      </c>
      <c r="X210" s="100" t="str">
        <f t="shared" si="237"/>
        <v>Cancer</v>
      </c>
      <c r="Y210" s="70"/>
    </row>
    <row r="211" spans="1:25" ht="33.75" customHeight="1">
      <c r="A211" s="146" t="s">
        <v>489</v>
      </c>
      <c r="B211" s="595" t="s">
        <v>129</v>
      </c>
      <c r="C211" s="85">
        <f>1/(('Com-Ind Equations'!$B$123*3600)/(0.036*(1-'Com-Ind Equations'!$B$124)*(('Com-Ind Equations'!$B$125/'Com-Ind Equations'!$B$126)^3)*'Com-Ind Equations'!$B$127))</f>
        <v>1.4713536180231943E-9</v>
      </c>
      <c r="D211" s="90">
        <f>(('Com-Ind Equations'!$B$103^(10/3)*'Chemical Info'!AH212*'Chemical Info'!AN212*41+'Com-Ind Equations'!$B$106^(10/3)*'Chemical Info'!AJ212)/'Com-Ind Equations'!$B$108^2)/('Com-Ind Equations'!$B$110*'Chemical Info'!AL212*'Com-Ind Equations'!$B$113+'Com-Ind Equations'!$B$106+'Com-Ind Equations'!$B$103*'Chemical Info'!AN212*41)</f>
        <v>9.6654481923715516E-9</v>
      </c>
      <c r="E211" s="65">
        <f>IF(D211=0,"NA",1/(('Com-Ind Equations'!$B$74*(3.14*D211*'Com-Ind Equations'!$B$76)^(1/2)*0.0001)/(2*'Com-Ind Equations'!$B$77*D211)))</f>
        <v>5.7708472964250766E-7</v>
      </c>
      <c r="F211" s="65">
        <f>IF(D211=0,"NA",(1/('Com-Ind Equations'!$B$88*('Com-Ind Equations'!$B$89*(31500000))/('Com-Ind Equations'!$B$90*'Com-Ind Equations'!$B$91*1000000))))</f>
        <v>6.1914410640015851E-5</v>
      </c>
      <c r="G211" s="95" t="str">
        <f>IF('Chemical Info'!E212="Yes",('Chemical Info'!AP212/'Com-Ind Equations'!$B$139)*((('Chemical Info'!AL212*'Com-Ind Equations'!$B$141)*'Com-Ind Equations'!$B$139)+'Com-Ind Equations'!$B$142+('Chemical Info'!AN212*41)*'Com-Ind Equations'!$B$144),"NA")</f>
        <v>NA</v>
      </c>
      <c r="H211" s="112" t="str">
        <f>IF('Chemical Info'!H212="NA","NA",IF('Chemical Info'!E212="Yes",'Chemical Info'!H212*'Chemical Info'!AD212*'Com-Ind Equations'!$B$18*'Com-Ind Equations'!$B$22*(('Com-Ind Equations'!$B$24*'Com-Ind Equations'!$B$25)/'Com-Ind Equations'!$B$26),'Chemical Info'!H212*'Chemical Info'!AD212*'Com-Ind Equations'!$B$17*'Com-Ind Equations'!$B$22*('Com-Ind Equations'!$B$24*'Com-Ind Equations'!$B$25/'Com-Ind Equations'!$B$26)))</f>
        <v>NA</v>
      </c>
      <c r="I211" s="108" t="str">
        <f>IF('Chemical Info'!H212="NA","NA",IF('Chemical Info'!E212="Yes",0,('Chemical Info'!H212/'Chemical Info'!AF212)*'Com-Ind Equations'!$B$19*'Chemical Info'!AB212*'Com-Ind Equations'!$B$22*(('Com-Ind Equations'!$B$24*'Com-Ind Equations'!$B$29*'Com-Ind Equations'!$B$30)/'Com-Ind Equations'!$B$26)))</f>
        <v>NA</v>
      </c>
      <c r="J211" s="115" t="str">
        <f>IF('Chemical Info'!J212="NA","NA",IF(E211="NA",'Com-Ind Equations'!$B$20*1000*'Com-Ind Equations'!$B$24*'Com-Ind Equations'!$B$21*'Chemical Info'!J212*'Com-Ind Calculations'!C211,IF('Chemical Info'!E212="Yes",'Com-Ind Equations'!$B$20*1000*'Com-Ind Equations'!$B$24*'Com-Ind Equations'!$B$21*'Chemical Info'!J212*'Com-Ind Calculations'!E211,'Com-Ind Equations'!$B$20*1000*'Com-Ind Equations'!$B$24*'Com-Ind Equations'!$B$21*'Chemical Info'!J212*('Com-Ind Calculations'!C211+'Com-Ind Calculations'!E211))))</f>
        <v>NA</v>
      </c>
      <c r="K211" s="117" t="str">
        <f>IF('Chemical Info'!J212="NA","NA",IF(F211="NA",'Com-Ind Equations'!$B$20*1000*'Com-Ind Equations'!$B$24*'Com-Ind Equations'!$B$21*'Chemical Info'!J212*'Com-Ind Calculations'!C211,IF('Chemical Info'!E212="Yes",'Com-Ind Equations'!$B$20*1000*'Com-Ind Equations'!$B$24*'Com-Ind Equations'!$B$21*'Chemical Info'!J212*'Com-Ind Calculations'!F211,'Com-Ind Equations'!$B$20*1000*'Com-Ind Equations'!$B$24*'Com-Ind Equations'!$B$21*'Chemical Info'!J212*('Com-Ind Calculations'!C211+'Com-Ind Calculations'!F211))))</f>
        <v>NA</v>
      </c>
      <c r="L211" s="95" t="str">
        <f>IF(AND(H211="NA",I211="NA",J211="NA"),"NA",IF(H211="NA",'Com-Ind Equations'!$B$13*'Com-Ind Equations'!$B$14/J211,IF(J211="NA",'Com-Ind Equations'!$B$13*'Com-Ind Equations'!$B$14/(H211+I211),'Com-Ind Equations'!$B$13*'Com-Ind Equations'!$B$14/(H211+I211+J211))))</f>
        <v>NA</v>
      </c>
      <c r="M211" s="95" t="str">
        <f>IF(AND(H211="NA",I211="NA",K211="NA"),"NA",IF(H211="NA",'Com-Ind Equations'!$B$13*'Com-Ind Equations'!$B$14/K211,IF(K211="NA",'Com-Ind Equations'!$B$13*'Com-Ind Equations'!$B$14/(H211+I211),'Com-Ind Equations'!$B$13*'Com-Ind Equations'!$B$14/(H211+I211+K211))))</f>
        <v>NA</v>
      </c>
      <c r="N211" s="95" t="str">
        <f t="shared" si="238"/>
        <v>NA</v>
      </c>
      <c r="O211" s="94">
        <f>IF('Chemical Info'!L212="NA","NA",IF('Chemical Info'!E212="Yes",(('Com-Ind Equations'!$B$46*'Chemical Info'!AD212*'Com-Ind Equations'!$B$48*'Com-Ind Equations'!$B$49*'Com-Ind Equations'!$B$51)/('Com-Ind Equations'!$B$55*'Com-Ind Equations'!$B$56))/'Chemical Info'!L212,(('Com-Ind Equations'!$B$46*'Chemical Info'!AD212*'Com-Ind Equations'!$B$48*'Com-Ind Equations'!$B$49*'Com-Ind Equations'!$B$50)/('Com-Ind Equations'!$B$55*'Com-Ind Equations'!$B$56))/'Chemical Info'!L212))</f>
        <v>1.7123287671232872E-5</v>
      </c>
      <c r="P211" s="90">
        <f>IF('Chemical Info'!L212="NA","NA", IF('Chemical Info'!E212="Yes",0,((('Com-Ind Equations'!$B$58*'Com-Ind Equations'!$B$59*'Com-Ind Equations'!$B$48*'Com-Ind Equations'!$B$52*'Com-Ind Equations'!$B$49*'Chemical Info'!AB212)/('Com-Ind Equations'!$B$55*'Com-Ind Equations'!$B$56))/('Chemical Info'!L212*'Chemical Info'!AF212))))</f>
        <v>3.130816438356164E-7</v>
      </c>
      <c r="Q211" s="90" t="str">
        <f>IF('Chemical Info'!N212="NA","NA",IF('Com-Ind Calculations'!E211="NA",(('Com-Ind Equations'!$B$53*'Com-Ind Equations'!$B$49*'Com-Ind Equations'!$B$54*'Com-Ind Calculations'!C211)/('Com-Ind Equations'!$B$56))/('Chemical Info'!N212),IF('Chemical Info'!E212="Yes",(('Com-Ind Equations'!$B$53*'Com-Ind Equations'!$B$49*'Com-Ind Equations'!$B$54*'Com-Ind Calculations'!E211)/('Com-Ind Equations'!$B$56))/('Chemical Info'!N212),(('Com-Ind Equations'!$B$53*'Com-Ind Equations'!$B$49*'Com-Ind Equations'!$B$54*('Com-Ind Calculations'!C211+'Com-Ind Calculations'!E211))/('Com-Ind Equations'!$B$56))/('Chemical Info'!N212))))</f>
        <v>NA</v>
      </c>
      <c r="R211" s="90" t="str">
        <f>IF('Chemical Info'!N212="NA","NA",IF('Com-Ind Calculations'!F211="NA",(('Com-Ind Equations'!$B$53*'Com-Ind Equations'!$B$49*'Com-Ind Equations'!$B$54*'Com-Ind Calculations'!C211)/('Com-Ind Equations'!$B$56))/('Chemical Info'!N212),IF('Chemical Info'!E212="Yes",(('Com-Ind Equations'!$B$53*'Com-Ind Equations'!$B$49*'Com-Ind Equations'!$B$54*'Com-Ind Calculations'!F211)/('Com-Ind Equations'!$B$56))/('Chemical Info'!N212),(('Com-Ind Equations'!$B$53*'Com-Ind Equations'!$B$49*'Com-Ind Equations'!$B$54*('Com-Ind Calculations'!C211+'Com-Ind Calculations'!F211))/('Com-Ind Equations'!$B$56))/('Chemical Info'!N212))))</f>
        <v>NA</v>
      </c>
      <c r="S211" s="90">
        <f>IF(AND(O211="NA",P211="NA",Q211="NA"),"NA",IF(O211="NA",'Com-Ind Equations'!$B$45/'Com-Ind Calculations'!Q211,IF('Com-Ind Calculations'!Q211="NA",'Com-Ind Equations'!$B$45/('Com-Ind Calculations'!O211+'Com-Ind Calculations'!P211),'Com-Ind Equations'!$B$45/('Com-Ind Calculations'!O211+'Com-Ind Calculations'!P211+'Com-Ind Calculations'!Q211))))</f>
        <v>11470.277807614471</v>
      </c>
      <c r="T211" s="95">
        <f>IF(AND(O211="NA",P211="NA",R211="NA"),"NA",IF(O211="NA",'Com-Ind Equations'!$B$45/R211,IF(R211="NA",'Com-Ind Equations'!$B$45/(O211+P211),'Com-Ind Equations'!$B$45/(O211+P211+R211))))</f>
        <v>11470.277807614471</v>
      </c>
      <c r="U211" s="97">
        <f t="shared" si="239"/>
        <v>11470.277807614471</v>
      </c>
      <c r="V211" s="101">
        <f t="shared" si="235"/>
        <v>11470.277807614471</v>
      </c>
      <c r="W211" s="105">
        <f t="shared" si="236"/>
        <v>11000</v>
      </c>
      <c r="X211" s="100" t="str">
        <f t="shared" si="237"/>
        <v>Noncancer</v>
      </c>
      <c r="Y211" s="70"/>
    </row>
    <row r="212" spans="1:25">
      <c r="A212" s="373" t="s">
        <v>414</v>
      </c>
      <c r="B212" s="566" t="s">
        <v>131</v>
      </c>
      <c r="C212" s="85">
        <f>1/(('Com-Ind Equations'!$B$123*3600)/(0.036*(1-'Com-Ind Equations'!$B$124)*(('Com-Ind Equations'!$B$125/'Com-Ind Equations'!$B$126)^3)*'Com-Ind Equations'!$B$127))</f>
        <v>1.4713536180231943E-9</v>
      </c>
      <c r="D212" s="90">
        <f>(('Com-Ind Equations'!$B$103^(10/3)*'Chemical Info'!AH213*'Chemical Info'!AN213*41+'Com-Ind Equations'!$B$106^(10/3)*'Chemical Info'!AJ213)/'Com-Ind Equations'!$B$108^2)/('Com-Ind Equations'!$B$110*'Chemical Info'!AL213*'Com-Ind Equations'!$B$113+'Com-Ind Equations'!$B$106+'Com-Ind Equations'!$B$103*'Chemical Info'!AN213*41)</f>
        <v>4.8242582887058996E-9</v>
      </c>
      <c r="E212" s="65">
        <f>IF(D212=0,"NA",1/(('Com-Ind Equations'!$B$74*(3.14*D212*'Com-Ind Equations'!$B$76)^(1/2)*0.0001)/(2*'Com-Ind Equations'!$B$77*D212)))</f>
        <v>4.0770295546694433E-7</v>
      </c>
      <c r="F212" s="65">
        <f>IF(D212=0,"NA",(1/('Com-Ind Equations'!$B$88*('Com-Ind Equations'!$B$89*(31500000))/('Com-Ind Equations'!$B$90*'Com-Ind Equations'!$B$91*1000000))))</f>
        <v>6.1914410640015851E-5</v>
      </c>
      <c r="G212" s="95" t="str">
        <f>IF('Chemical Info'!E213="Yes",('Chemical Info'!AP213/'Com-Ind Equations'!$B$139)*((('Chemical Info'!AL213*'Com-Ind Equations'!$B$141)*'Com-Ind Equations'!$B$139)+'Com-Ind Equations'!$B$142+('Chemical Info'!AN213*41)*'Com-Ind Equations'!$B$144),"NA")</f>
        <v>NA</v>
      </c>
      <c r="H212" s="112" t="str">
        <f>IF('Chemical Info'!H213="NA","NA",IF('Chemical Info'!E213="Yes",'Chemical Info'!H213*'Chemical Info'!AD213*'Com-Ind Equations'!$B$18*'Com-Ind Equations'!$B$22*(('Com-Ind Equations'!$B$24*'Com-Ind Equations'!$B$25)/'Com-Ind Equations'!$B$26),'Chemical Info'!H213*'Chemical Info'!AD213*'Com-Ind Equations'!$B$17*'Com-Ind Equations'!$B$22*('Com-Ind Equations'!$B$24*'Com-Ind Equations'!$B$25/'Com-Ind Equations'!$B$26)))</f>
        <v>NA</v>
      </c>
      <c r="I212" s="108" t="str">
        <f>IF('Chemical Info'!H213="NA","NA",IF('Chemical Info'!E213="Yes",0,('Chemical Info'!H213/'Chemical Info'!AF213)*'Com-Ind Equations'!$B$19*'Chemical Info'!AB213*'Com-Ind Equations'!$B$22*(('Com-Ind Equations'!$B$24*'Com-Ind Equations'!$B$29*'Com-Ind Equations'!$B$30)/'Com-Ind Equations'!$B$26)))</f>
        <v>NA</v>
      </c>
      <c r="J212" s="115" t="str">
        <f>IF('Chemical Info'!J213="NA","NA",IF(E212="NA",'Com-Ind Equations'!$B$20*1000*'Com-Ind Equations'!$B$24*'Com-Ind Equations'!$B$21*'Chemical Info'!J213*'Com-Ind Calculations'!C212,IF('Chemical Info'!E213="Yes",'Com-Ind Equations'!$B$20*1000*'Com-Ind Equations'!$B$24*'Com-Ind Equations'!$B$21*'Chemical Info'!J213*'Com-Ind Calculations'!E212,'Com-Ind Equations'!$B$20*1000*'Com-Ind Equations'!$B$24*'Com-Ind Equations'!$B$21*'Chemical Info'!J213*('Com-Ind Calculations'!C212+'Com-Ind Calculations'!E212))))</f>
        <v>NA</v>
      </c>
      <c r="K212" s="117" t="str">
        <f>IF('Chemical Info'!J213="NA","NA",IF(F212="NA",'Com-Ind Equations'!$B$20*1000*'Com-Ind Equations'!$B$24*'Com-Ind Equations'!$B$21*'Chemical Info'!J213*'Com-Ind Calculations'!C212,IF('Chemical Info'!E213="Yes",'Com-Ind Equations'!$B$20*1000*'Com-Ind Equations'!$B$24*'Com-Ind Equations'!$B$21*'Chemical Info'!J213*'Com-Ind Calculations'!F212,'Com-Ind Equations'!$B$20*1000*'Com-Ind Equations'!$B$24*'Com-Ind Equations'!$B$21*'Chemical Info'!J213*('Com-Ind Calculations'!C212+'Com-Ind Calculations'!F212))))</f>
        <v>NA</v>
      </c>
      <c r="L212" s="95" t="str">
        <f>IF(AND(H212="NA",I212="NA",J212="NA"),"NA",IF(H212="NA",'Com-Ind Equations'!$B$13*'Com-Ind Equations'!$B$14/J212,IF(J212="NA",'Com-Ind Equations'!$B$13*'Com-Ind Equations'!$B$14/(H212+I212),'Com-Ind Equations'!$B$13*'Com-Ind Equations'!$B$14/(H212+I212+J212))))</f>
        <v>NA</v>
      </c>
      <c r="M212" s="95" t="str">
        <f>IF(AND(H212="NA",I212="NA",K212="NA"),"NA",IF(H212="NA",'Com-Ind Equations'!$B$13*'Com-Ind Equations'!$B$14/K212,IF(K212="NA",'Com-Ind Equations'!$B$13*'Com-Ind Equations'!$B$14/(H212+I212),'Com-Ind Equations'!$B$13*'Com-Ind Equations'!$B$14/(H212+I212+K212))))</f>
        <v>NA</v>
      </c>
      <c r="N212" s="95" t="str">
        <f t="shared" si="238"/>
        <v>NA</v>
      </c>
      <c r="O212" s="94">
        <f>IF('Chemical Info'!L213="NA","NA",IF('Chemical Info'!E213="Yes",(('Com-Ind Equations'!$B$46*'Chemical Info'!AD213*'Com-Ind Equations'!$B$48*'Com-Ind Equations'!$B$49*'Com-Ind Equations'!$B$51)/('Com-Ind Equations'!$B$55*'Com-Ind Equations'!$B$56))/'Chemical Info'!L213,(('Com-Ind Equations'!$B$46*'Chemical Info'!AD213*'Com-Ind Equations'!$B$48*'Com-Ind Equations'!$B$49*'Com-Ind Equations'!$B$50)/('Com-Ind Equations'!$B$55*'Com-Ind Equations'!$B$56))/'Chemical Info'!L213))</f>
        <v>2.8538812785388124E-5</v>
      </c>
      <c r="P212" s="90">
        <f>IF('Chemical Info'!L213="NA","NA", IF('Chemical Info'!E213="Yes",0,((('Com-Ind Equations'!$B$58*'Com-Ind Equations'!$B$59*'Com-Ind Equations'!$B$48*'Com-Ind Equations'!$B$52*'Com-Ind Equations'!$B$49*'Chemical Info'!AB213)/('Com-Ind Equations'!$B$55*'Com-Ind Equations'!$B$56))/('Chemical Info'!L213*'Chemical Info'!AF213))))</f>
        <v>1.6523753424657531E-6</v>
      </c>
      <c r="Q212" s="90" t="str">
        <f>IF('Chemical Info'!N213="NA","NA",IF('Com-Ind Calculations'!E212="NA",(('Com-Ind Equations'!$B$53*'Com-Ind Equations'!$B$49*'Com-Ind Equations'!$B$54*'Com-Ind Calculations'!C212)/('Com-Ind Equations'!$B$56))/('Chemical Info'!N213),IF('Chemical Info'!E213="Yes",(('Com-Ind Equations'!$B$53*'Com-Ind Equations'!$B$49*'Com-Ind Equations'!$B$54*'Com-Ind Calculations'!E212)/('Com-Ind Equations'!$B$56))/('Chemical Info'!N213),(('Com-Ind Equations'!$B$53*'Com-Ind Equations'!$B$49*'Com-Ind Equations'!$B$54*('Com-Ind Calculations'!C212+'Com-Ind Calculations'!E212))/('Com-Ind Equations'!$B$56))/('Chemical Info'!N213))))</f>
        <v>NA</v>
      </c>
      <c r="R212" s="90" t="str">
        <f>IF('Chemical Info'!N213="NA","NA",IF('Com-Ind Calculations'!F212="NA",(('Com-Ind Equations'!$B$53*'Com-Ind Equations'!$B$49*'Com-Ind Equations'!$B$54*'Com-Ind Calculations'!C212)/('Com-Ind Equations'!$B$56))/('Chemical Info'!N213),IF('Chemical Info'!E213="Yes",(('Com-Ind Equations'!$B$53*'Com-Ind Equations'!$B$49*'Com-Ind Equations'!$B$54*'Com-Ind Calculations'!F212)/('Com-Ind Equations'!$B$56))/('Chemical Info'!N213),(('Com-Ind Equations'!$B$53*'Com-Ind Equations'!$B$49*'Com-Ind Equations'!$B$54*('Com-Ind Calculations'!C212+'Com-Ind Calculations'!F212))/('Com-Ind Equations'!$B$56))/('Chemical Info'!N213))))</f>
        <v>NA</v>
      </c>
      <c r="S212" s="90">
        <f>IF(AND(O212="NA",P212="NA",Q212="NA"),"NA",IF(O212="NA",'Com-Ind Equations'!$B$45/'Com-Ind Calculations'!Q212,IF('Com-Ind Calculations'!Q212="NA",'Com-Ind Equations'!$B$45/('Com-Ind Calculations'!O212+'Com-Ind Calculations'!P212),'Com-Ind Equations'!$B$45/('Com-Ind Calculations'!O212+'Com-Ind Calculations'!P212+'Com-Ind Calculations'!Q212))))</f>
        <v>6624.4494636328473</v>
      </c>
      <c r="T212" s="95">
        <f>IF(AND(O212="NA",P212="NA",R212="NA"),"NA",IF(O212="NA",'Com-Ind Equations'!$B$45/R212,IF(R212="NA",'Com-Ind Equations'!$B$45/(O212+P212),'Com-Ind Equations'!$B$45/(O212+P212+R212))))</f>
        <v>6624.4494636328473</v>
      </c>
      <c r="U212" s="97">
        <f t="shared" si="239"/>
        <v>6624.4494636328473</v>
      </c>
      <c r="V212" s="101">
        <f t="shared" si="235"/>
        <v>6624.4494636328473</v>
      </c>
      <c r="W212" s="105">
        <f t="shared" si="236"/>
        <v>6600</v>
      </c>
      <c r="X212" s="100" t="str">
        <f t="shared" si="237"/>
        <v>Noncancer</v>
      </c>
      <c r="Y212" s="70"/>
    </row>
    <row r="213" spans="1:25">
      <c r="A213" s="373" t="s">
        <v>415</v>
      </c>
      <c r="B213" s="566" t="s">
        <v>93</v>
      </c>
      <c r="C213" s="85">
        <f>1/(('Com-Ind Equations'!$B$123*3600)/(0.036*(1-'Com-Ind Equations'!$B$124)*(('Com-Ind Equations'!$B$125/'Com-Ind Equations'!$B$126)^3)*'Com-Ind Equations'!$B$127))</f>
        <v>1.4713536180231943E-9</v>
      </c>
      <c r="D213" s="90">
        <f>(('Com-Ind Equations'!$B$103^(10/3)*'Chemical Info'!AH214*'Chemical Info'!AN214*41+'Com-Ind Equations'!$B$106^(10/3)*'Chemical Info'!AJ214)/'Com-Ind Equations'!$B$108^2)/('Com-Ind Equations'!$B$110*'Chemical Info'!AL214*'Com-Ind Equations'!$B$113+'Com-Ind Equations'!$B$106+'Com-Ind Equations'!$B$103*'Chemical Info'!AN214*41)</f>
        <v>3.0370465799087327E-9</v>
      </c>
      <c r="E213" s="65">
        <f>IF(D213=0,"NA",1/(('Com-Ind Equations'!$B$74*(3.14*D213*'Com-Ind Equations'!$B$76)^(1/2)*0.0001)/(2*'Com-Ind Equations'!$B$77*D213)))</f>
        <v>3.2348512143732843E-7</v>
      </c>
      <c r="F213" s="65">
        <f>IF(D213=0,"NA",(1/('Com-Ind Equations'!$B$88*('Com-Ind Equations'!$B$89*(31500000))/('Com-Ind Equations'!$B$90*'Com-Ind Equations'!$B$91*1000000))))</f>
        <v>6.1914410640015851E-5</v>
      </c>
      <c r="G213" s="95" t="str">
        <f>IF('Chemical Info'!E214="Yes",('Chemical Info'!AP214/'Com-Ind Equations'!$B$139)*((('Chemical Info'!AL214*'Com-Ind Equations'!$B$141)*'Com-Ind Equations'!$B$139)+'Com-Ind Equations'!$B$142+('Chemical Info'!AN214*41)*'Com-Ind Equations'!$B$144),"NA")</f>
        <v>NA</v>
      </c>
      <c r="H213" s="112">
        <f>IF('Chemical Info'!H214="NA","NA",IF('Chemical Info'!E214="Yes",'Chemical Info'!H214*'Chemical Info'!AD214*'Com-Ind Equations'!$B$18*'Com-Ind Equations'!$B$22*(('Com-Ind Equations'!$B$24*'Com-Ind Equations'!$B$25)/'Com-Ind Equations'!$B$26),'Chemical Info'!H214*'Chemical Info'!AD214*'Com-Ind Equations'!$B$17*'Com-Ind Equations'!$B$22*('Com-Ind Equations'!$B$24*'Com-Ind Equations'!$B$25/'Com-Ind Equations'!$B$26)))</f>
        <v>2.3437499999999999E-4</v>
      </c>
      <c r="I213" s="108">
        <f>IF('Chemical Info'!H214="NA","NA",IF('Chemical Info'!E214="Yes",0,('Chemical Info'!H214/'Chemical Info'!AF214)*'Com-Ind Equations'!$B$19*'Chemical Info'!AB214*'Com-Ind Equations'!$B$22*(('Com-Ind Equations'!$B$24*'Com-Ind Equations'!$B$29*'Com-Ind Equations'!$B$30)/'Com-Ind Equations'!$B$26)))</f>
        <v>2.2854959999999998E-5</v>
      </c>
      <c r="J213" s="115" t="str">
        <f>IF('Chemical Info'!J214="NA","NA",IF(E213="NA",'Com-Ind Equations'!$B$20*1000*'Com-Ind Equations'!$B$24*'Com-Ind Equations'!$B$21*'Chemical Info'!J214*'Com-Ind Calculations'!C213,IF('Chemical Info'!E214="Yes",'Com-Ind Equations'!$B$20*1000*'Com-Ind Equations'!$B$24*'Com-Ind Equations'!$B$21*'Chemical Info'!J214*'Com-Ind Calculations'!E213,'Com-Ind Equations'!$B$20*1000*'Com-Ind Equations'!$B$24*'Com-Ind Equations'!$B$21*'Chemical Info'!J214*('Com-Ind Calculations'!C213+'Com-Ind Calculations'!E213))))</f>
        <v>NA</v>
      </c>
      <c r="K213" s="117" t="str">
        <f>IF('Chemical Info'!J214="NA","NA",IF(F213="NA",'Com-Ind Equations'!$B$20*1000*'Com-Ind Equations'!$B$24*'Com-Ind Equations'!$B$21*'Chemical Info'!J214*'Com-Ind Calculations'!C213,IF('Chemical Info'!E214="Yes",'Com-Ind Equations'!$B$20*1000*'Com-Ind Equations'!$B$24*'Com-Ind Equations'!$B$21*'Chemical Info'!J214*'Com-Ind Calculations'!F213,'Com-Ind Equations'!$B$20*1000*'Com-Ind Equations'!$B$24*'Com-Ind Equations'!$B$21*'Chemical Info'!J214*('Com-Ind Calculations'!C213+'Com-Ind Calculations'!F213))))</f>
        <v>NA</v>
      </c>
      <c r="L213" s="95">
        <f>IF(AND(H213="NA",I213="NA",J213="NA"),"NA",IF(H213="NA",'Com-Ind Equations'!$B$13*'Com-Ind Equations'!$B$14/J213,IF(J213="NA",'Com-Ind Equations'!$B$13*'Com-Ind Equations'!$B$14/(H213+I213),'Com-Ind Equations'!$B$13*'Com-Ind Equations'!$B$14/(H213+I213+J213))))</f>
        <v>993.27465587601068</v>
      </c>
      <c r="M213" s="95">
        <f>IF(AND(H213="NA",I213="NA",K213="NA"),"NA",IF(H213="NA",'Com-Ind Equations'!$B$13*'Com-Ind Equations'!$B$14/K213,IF(K213="NA",'Com-Ind Equations'!$B$13*'Com-Ind Equations'!$B$14/(H213+I213),'Com-Ind Equations'!$B$13*'Com-Ind Equations'!$B$14/(H213+I213+K213))))</f>
        <v>993.27465587601068</v>
      </c>
      <c r="N213" s="95">
        <f t="shared" si="238"/>
        <v>993.27465587601068</v>
      </c>
      <c r="O213" s="94">
        <f>IF('Chemical Info'!L214="NA","NA",IF('Chemical Info'!E214="Yes",(('Com-Ind Equations'!$B$46*'Chemical Info'!AD214*'Com-Ind Equations'!$B$48*'Com-Ind Equations'!$B$49*'Com-Ind Equations'!$B$51)/('Com-Ind Equations'!$B$55*'Com-Ind Equations'!$B$56))/'Chemical Info'!L214,(('Com-Ind Equations'!$B$46*'Chemical Info'!AD214*'Com-Ind Equations'!$B$48*'Com-Ind Equations'!$B$49*'Com-Ind Equations'!$B$50)/('Com-Ind Equations'!$B$55*'Com-Ind Equations'!$B$56))/'Chemical Info'!L214))</f>
        <v>1.7123287671232874E-3</v>
      </c>
      <c r="P213" s="90">
        <f>IF('Chemical Info'!L214="NA","NA", IF('Chemical Info'!E214="Yes",0,((('Com-Ind Equations'!$B$58*'Com-Ind Equations'!$B$59*'Com-Ind Equations'!$B$48*'Com-Ind Equations'!$B$52*'Com-Ind Equations'!$B$49*'Chemical Info'!AB214)/('Com-Ind Equations'!$B$55*'Com-Ind Equations'!$B$56))/('Chemical Info'!L214*'Chemical Info'!AF214))))</f>
        <v>1.6697687671232873E-4</v>
      </c>
      <c r="Q213" s="90" t="str">
        <f>IF('Chemical Info'!N214="NA","NA",IF('Com-Ind Calculations'!E213="NA",(('Com-Ind Equations'!$B$53*'Com-Ind Equations'!$B$49*'Com-Ind Equations'!$B$54*'Com-Ind Calculations'!C213)/('Com-Ind Equations'!$B$56))/('Chemical Info'!N214),IF('Chemical Info'!E214="Yes",(('Com-Ind Equations'!$B$53*'Com-Ind Equations'!$B$49*'Com-Ind Equations'!$B$54*'Com-Ind Calculations'!E213)/('Com-Ind Equations'!$B$56))/('Chemical Info'!N214),(('Com-Ind Equations'!$B$53*'Com-Ind Equations'!$B$49*'Com-Ind Equations'!$B$54*('Com-Ind Calculations'!C213+'Com-Ind Calculations'!E213))/('Com-Ind Equations'!$B$56))/('Chemical Info'!N214))))</f>
        <v>NA</v>
      </c>
      <c r="R213" s="90" t="str">
        <f>IF('Chemical Info'!N214="NA","NA",IF('Com-Ind Calculations'!F213="NA",(('Com-Ind Equations'!$B$53*'Com-Ind Equations'!$B$49*'Com-Ind Equations'!$B$54*'Com-Ind Calculations'!C213)/('Com-Ind Equations'!$B$56))/('Chemical Info'!N214),IF('Chemical Info'!E214="Yes",(('Com-Ind Equations'!$B$53*'Com-Ind Equations'!$B$49*'Com-Ind Equations'!$B$54*'Com-Ind Calculations'!F213)/('Com-Ind Equations'!$B$56))/('Chemical Info'!N214),(('Com-Ind Equations'!$B$53*'Com-Ind Equations'!$B$49*'Com-Ind Equations'!$B$54*('Com-Ind Calculations'!C213+'Com-Ind Calculations'!F213))/('Com-Ind Equations'!$B$56))/('Chemical Info'!N214))))</f>
        <v>NA</v>
      </c>
      <c r="S213" s="90">
        <f>IF(AND(O213="NA",P213="NA",Q213="NA"),"NA",IF(O213="NA",'Com-Ind Equations'!$B$45/'Com-Ind Calculations'!Q213,IF('Com-Ind Calculations'!Q213="NA",'Com-Ind Equations'!$B$45/('Com-Ind Calculations'!O213+'Com-Ind Calculations'!P213),'Com-Ind Equations'!$B$45/('Com-Ind Calculations'!O213+'Com-Ind Calculations'!P213+'Com-Ind Calculations'!Q213))))</f>
        <v>106.42228455814403</v>
      </c>
      <c r="T213" s="95">
        <f>IF(AND(O213="NA",P213="NA",R213="NA"),"NA",IF(O213="NA",'Com-Ind Equations'!$B$45/R213,IF(R213="NA",'Com-Ind Equations'!$B$45/(O213+P213),'Com-Ind Equations'!$B$45/(O213+P213+R213))))</f>
        <v>106.42228455814403</v>
      </c>
      <c r="U213" s="97">
        <f t="shared" si="239"/>
        <v>106.42228455814403</v>
      </c>
      <c r="V213" s="101">
        <f t="shared" si="235"/>
        <v>106.42228455814403</v>
      </c>
      <c r="W213" s="105">
        <f t="shared" si="236"/>
        <v>110</v>
      </c>
      <c r="X213" s="100" t="str">
        <f t="shared" si="237"/>
        <v>Noncancer</v>
      </c>
      <c r="Y213" s="70"/>
    </row>
    <row r="214" spans="1:25" ht="12.5">
      <c r="A214" s="15"/>
      <c r="B214" s="588"/>
      <c r="C214" s="15"/>
      <c r="D214" s="141"/>
      <c r="I214" s="91"/>
      <c r="K214" s="118"/>
      <c r="R214"/>
      <c r="S214"/>
      <c r="T214"/>
      <c r="U214"/>
      <c r="V214" s="103"/>
      <c r="Y214" s="9"/>
    </row>
    <row r="215" spans="1:25" ht="12.5">
      <c r="A215" s="15" t="s">
        <v>697</v>
      </c>
      <c r="B215" s="588"/>
      <c r="C215" s="15"/>
      <c r="D215" s="141"/>
      <c r="I215" s="91"/>
      <c r="K215" s="118"/>
      <c r="R215"/>
      <c r="S215"/>
      <c r="T215"/>
      <c r="U215"/>
      <c r="V215" s="103"/>
      <c r="Y215" s="9"/>
    </row>
    <row r="216" spans="1:25" ht="12.5">
      <c r="A216" s="15" t="s">
        <v>423</v>
      </c>
      <c r="B216" s="588"/>
      <c r="C216" s="15"/>
      <c r="D216" s="141"/>
      <c r="I216" s="91"/>
      <c r="K216" s="118"/>
      <c r="R216"/>
      <c r="S216"/>
      <c r="T216"/>
      <c r="U216"/>
      <c r="V216" s="103"/>
      <c r="Y216" s="9"/>
    </row>
    <row r="217" spans="1:25" ht="12.5">
      <c r="A217" s="15" t="s">
        <v>1000</v>
      </c>
      <c r="B217" s="588"/>
      <c r="C217" s="15"/>
      <c r="D217" s="141"/>
      <c r="I217" s="91"/>
      <c r="K217" s="118"/>
      <c r="R217"/>
      <c r="S217"/>
      <c r="T217"/>
      <c r="U217"/>
      <c r="V217" s="103"/>
      <c r="Y217" s="9"/>
    </row>
    <row r="218" spans="1:25" ht="12.5">
      <c r="A218" s="110" t="s">
        <v>1272</v>
      </c>
      <c r="B218" s="109"/>
      <c r="C218" s="15"/>
      <c r="D218" s="141"/>
      <c r="I218" s="91"/>
      <c r="K218" s="118"/>
      <c r="R218"/>
      <c r="S218"/>
      <c r="T218"/>
      <c r="U218"/>
      <c r="V218" s="103"/>
      <c r="Y218" s="9"/>
    </row>
    <row r="219" spans="1:25" ht="12.5">
      <c r="A219" s="110" t="s">
        <v>1282</v>
      </c>
      <c r="B219" s="109"/>
      <c r="C219" s="15"/>
      <c r="D219" s="141"/>
      <c r="I219" s="91"/>
      <c r="K219" s="118"/>
      <c r="R219"/>
      <c r="S219"/>
      <c r="T219"/>
      <c r="U219"/>
      <c r="V219" s="103"/>
      <c r="Y219" s="9"/>
    </row>
    <row r="220" spans="1:25" ht="12.5">
      <c r="A220" s="110" t="s">
        <v>1283</v>
      </c>
      <c r="B220" s="109"/>
      <c r="C220" s="15"/>
      <c r="D220" s="141"/>
      <c r="I220" s="91"/>
      <c r="K220" s="118"/>
      <c r="R220"/>
      <c r="S220"/>
      <c r="T220"/>
      <c r="U220"/>
      <c r="V220" s="103"/>
      <c r="Y220" s="9"/>
    </row>
    <row r="221" spans="1:25" ht="12.5">
      <c r="A221" s="110" t="s">
        <v>1284</v>
      </c>
      <c r="B221" s="109"/>
      <c r="C221" s="15"/>
      <c r="D221" s="141"/>
      <c r="I221" s="91"/>
      <c r="K221" s="118"/>
      <c r="R221"/>
      <c r="S221"/>
      <c r="T221"/>
      <c r="U221"/>
      <c r="V221" s="103"/>
      <c r="Y221" s="9"/>
    </row>
    <row r="222" spans="1:25" ht="12.5">
      <c r="A222" s="110" t="s">
        <v>1285</v>
      </c>
      <c r="B222" s="109"/>
      <c r="C222" s="15"/>
      <c r="D222" s="141"/>
      <c r="I222" s="91"/>
      <c r="K222" s="118"/>
      <c r="R222"/>
      <c r="S222"/>
      <c r="T222"/>
      <c r="U222"/>
      <c r="V222" s="103"/>
      <c r="Y222" s="9"/>
    </row>
    <row r="223" spans="1:25" ht="12.5">
      <c r="A223" s="110" t="s">
        <v>970</v>
      </c>
      <c r="B223" s="109"/>
      <c r="C223" s="15"/>
      <c r="D223" s="141"/>
      <c r="I223" s="91"/>
      <c r="K223" s="118"/>
      <c r="R223"/>
      <c r="S223"/>
      <c r="T223"/>
      <c r="U223"/>
      <c r="V223" s="103"/>
      <c r="Y223" s="9"/>
    </row>
    <row r="224" spans="1:25" ht="12.5">
      <c r="A224" s="15"/>
      <c r="B224" s="109"/>
      <c r="C224" s="15"/>
      <c r="D224" s="141"/>
      <c r="I224" s="91"/>
      <c r="K224" s="118"/>
      <c r="R224"/>
      <c r="S224"/>
      <c r="T224"/>
      <c r="U224"/>
      <c r="V224" s="103"/>
      <c r="Y224" s="9"/>
    </row>
    <row r="225" spans="1:26" ht="12.5">
      <c r="A225" s="169" t="s">
        <v>1206</v>
      </c>
      <c r="B225" s="109"/>
      <c r="C225" s="15"/>
      <c r="D225" s="8"/>
      <c r="G225" s="6"/>
      <c r="H225" s="7"/>
      <c r="I225" s="111"/>
      <c r="J225" s="91"/>
      <c r="K225" s="116"/>
      <c r="L225" s="118"/>
      <c r="M225" s="88"/>
      <c r="O225" s="89"/>
      <c r="P225" s="88"/>
      <c r="R225" s="89"/>
      <c r="S225"/>
      <c r="T225"/>
      <c r="U225"/>
      <c r="V225"/>
      <c r="W225" s="103"/>
      <c r="X225" s="152"/>
      <c r="Y225" s="99"/>
      <c r="Z225" s="9"/>
    </row>
    <row r="226" spans="1:26">
      <c r="A226" s="9" t="s">
        <v>585</v>
      </c>
      <c r="B226" s="109"/>
      <c r="D226" s="3"/>
      <c r="G226" s="6"/>
      <c r="H226" s="7"/>
      <c r="I226" s="111"/>
      <c r="J226" s="89"/>
      <c r="K226" s="116"/>
      <c r="L226" s="119"/>
      <c r="M226" s="88"/>
      <c r="O226" s="89"/>
      <c r="P226" s="88"/>
      <c r="R226" s="89"/>
      <c r="S226" s="3"/>
      <c r="V226" s="66"/>
      <c r="W226" s="104"/>
      <c r="X226" s="152"/>
      <c r="Y226" s="99"/>
      <c r="Z226" s="88"/>
    </row>
    <row r="227" spans="1:26" ht="10.5">
      <c r="A227" s="9" t="s">
        <v>1203</v>
      </c>
      <c r="B227" s="589"/>
      <c r="D227" s="3"/>
      <c r="G227" s="6"/>
      <c r="H227" s="7"/>
      <c r="I227" s="111"/>
      <c r="J227" s="89"/>
      <c r="K227" s="116"/>
      <c r="L227" s="119"/>
      <c r="M227" s="88"/>
      <c r="O227" s="89"/>
      <c r="P227" s="88"/>
      <c r="R227" s="89"/>
      <c r="S227" s="3"/>
      <c r="V227" s="66"/>
      <c r="W227" s="104"/>
      <c r="X227" s="152"/>
      <c r="Y227" s="99"/>
      <c r="Z227" s="88"/>
    </row>
    <row r="228" spans="1:26">
      <c r="A228" s="9" t="s">
        <v>586</v>
      </c>
      <c r="D228" s="3"/>
      <c r="G228" s="6"/>
      <c r="H228" s="7"/>
      <c r="I228" s="111"/>
      <c r="J228" s="89"/>
      <c r="K228" s="116"/>
      <c r="L228" s="119"/>
      <c r="M228" s="88"/>
      <c r="O228" s="89"/>
      <c r="P228" s="88"/>
      <c r="R228" s="89"/>
      <c r="S228" s="3"/>
      <c r="V228" s="66"/>
      <c r="W228" s="104"/>
      <c r="X228" s="152"/>
      <c r="Y228" s="99"/>
      <c r="Z228" s="88"/>
    </row>
    <row r="229" spans="1:26">
      <c r="A229" s="376" t="s">
        <v>1200</v>
      </c>
      <c r="D229" s="3"/>
      <c r="G229" s="6"/>
      <c r="H229" s="7"/>
      <c r="I229" s="111"/>
      <c r="J229" s="89"/>
      <c r="K229" s="116"/>
      <c r="L229" s="119"/>
      <c r="M229" s="88"/>
      <c r="O229" s="89"/>
      <c r="P229" s="88"/>
      <c r="R229" s="89"/>
      <c r="S229" s="3"/>
      <c r="V229" s="66"/>
      <c r="W229" s="104"/>
      <c r="X229" s="152"/>
      <c r="Y229" s="99"/>
      <c r="Z229" s="88"/>
    </row>
  </sheetData>
  <sheetProtection algorithmName="SHA-512" hashValue="DnSeSgd+aLyPGH7N54H9pB+4xd+OUMa7AIt69Pgo+KVhxv2/cFLRnc58WM4VM2yS1Pwz4GZgsOMlBztJWwhCSw==" saltValue="WuFdjY0oQgOZBUSEdnMLeQ==" spinCount="100000" sheet="1" objects="1" scenarios="1"/>
  <customSheetViews>
    <customSheetView guid="{4E720B7F-6A3C-4034-90A5-B2BF7A394FC0}" showPageBreaks="1" printArea="1">
      <pane xSplit="1" ySplit="2" topLeftCell="B155" activePane="bottomRight" state="frozen"/>
      <selection pane="bottomRight" activeCell="E188" sqref="E188:F188"/>
      <colBreaks count="2" manualBreakCount="2">
        <brk id="13" max="177" man="1"/>
        <brk id="17" max="1048575" man="1"/>
      </colBreaks>
      <pageMargins left="0.2" right="0.2" top="0.5" bottom="0.5" header="0.3" footer="0.3"/>
      <printOptions gridLines="1"/>
      <pageSetup scale="80" orientation="landscape" r:id="rId1"/>
      <headerFooter>
        <oddHeader>&amp;C&amp;"Arial,Bold"Commercial/Industrial SRV Calculations</oddHeader>
        <oddFooter>&amp;LDecember 2018&amp;R&amp;P of &amp;N</oddFooter>
      </headerFooter>
    </customSheetView>
    <customSheetView guid="{23DC26AF-9753-4BD2-80DE-415E6324C52C}">
      <pane xSplit="1" ySplit="2" topLeftCell="B155" activePane="bottomRight" state="frozen"/>
      <selection pane="bottomRight" activeCell="E188" sqref="E188:F188"/>
      <colBreaks count="1" manualBreakCount="1">
        <brk id="17" max="1048575" man="1"/>
      </colBreaks>
      <pageMargins left="0.2" right="0.2" top="0.5" bottom="0.5" header="0.3" footer="0.3"/>
      <printOptions gridLines="1"/>
      <pageSetup scale="80" orientation="landscape" r:id="rId2"/>
      <headerFooter>
        <oddHeader>&amp;C&amp;"Arial,Bold"Commercial/Industrial SRV Calculations</oddHeader>
        <oddFooter>&amp;LDecember 2018&amp;R&amp;P of &amp;N</oddFooter>
      </headerFooter>
    </customSheetView>
  </customSheetViews>
  <mergeCells count="7">
    <mergeCell ref="Y1:Y2"/>
    <mergeCell ref="A1:A2"/>
    <mergeCell ref="C1:G1"/>
    <mergeCell ref="H1:N1"/>
    <mergeCell ref="O1:U1"/>
    <mergeCell ref="V1:X1"/>
    <mergeCell ref="B1:B2"/>
  </mergeCells>
  <printOptions gridLines="1"/>
  <pageMargins left="0.2" right="0.2" top="0.5" bottom="0.5" header="0.3" footer="0.3"/>
  <pageSetup scale="80" orientation="landscape" r:id="rId3"/>
  <headerFooter>
    <oddHeader>&amp;C&amp;"Arial,Bold"Commercial/Industrial SRV Calculations</oddHeader>
    <oddFooter>&amp;LApril 2026&amp;R&amp;P of &amp;N</oddFooter>
  </headerFooter>
  <colBreaks count="1" manualBreakCount="1">
    <brk id="1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4" tint="-0.249977111117893"/>
  </sheetPr>
  <dimension ref="A1:S259"/>
  <sheetViews>
    <sheetView zoomScale="110" zoomScaleNormal="110" workbookViewId="0">
      <pane xSplit="2" ySplit="2" topLeftCell="C3" activePane="bottomRight" state="frozen"/>
      <selection pane="topRight" activeCell="C1" sqref="C1"/>
      <selection pane="bottomLeft" activeCell="A3" sqref="A3"/>
      <selection pane="bottomRight" activeCell="C158" sqref="C158"/>
    </sheetView>
  </sheetViews>
  <sheetFormatPr defaultColWidth="9.1796875" defaultRowHeight="10.5"/>
  <cols>
    <col min="1" max="1" width="48.54296875" style="142" customWidth="1"/>
    <col min="2" max="3" width="10.81640625" style="605" customWidth="1"/>
    <col min="4" max="4" width="9.54296875" style="124" customWidth="1"/>
    <col min="5" max="5" width="9.81640625" style="124" customWidth="1"/>
    <col min="6" max="6" width="15.453125" style="9" customWidth="1"/>
    <col min="7" max="7" width="10.453125" style="699" customWidth="1"/>
    <col min="8" max="8" width="10" style="9" customWidth="1"/>
    <col min="9" max="18" width="9.1796875" style="9" hidden="1" customWidth="1"/>
    <col min="19" max="19" width="66.54296875" style="9" hidden="1" customWidth="1"/>
    <col min="20" max="16384" width="9.1796875" style="9"/>
  </cols>
  <sheetData>
    <row r="1" spans="1:19" ht="12.75" customHeight="1">
      <c r="A1" s="847" t="s">
        <v>596</v>
      </c>
      <c r="B1" s="848" t="s">
        <v>204</v>
      </c>
      <c r="C1" s="778" t="s">
        <v>1063</v>
      </c>
      <c r="D1" s="844" t="s">
        <v>1066</v>
      </c>
      <c r="E1" s="844" t="s">
        <v>906</v>
      </c>
      <c r="F1" s="845" t="s">
        <v>1577</v>
      </c>
      <c r="G1" s="846" t="s">
        <v>1551</v>
      </c>
      <c r="H1" s="857" t="s">
        <v>895</v>
      </c>
      <c r="I1" s="841" t="s">
        <v>1089</v>
      </c>
      <c r="J1" s="842"/>
      <c r="K1" s="842"/>
      <c r="L1" s="842"/>
      <c r="M1" s="842"/>
      <c r="N1" s="842"/>
      <c r="O1" s="842"/>
      <c r="P1" s="842"/>
      <c r="Q1" s="842"/>
      <c r="R1" s="843"/>
      <c r="S1" s="836" t="s">
        <v>1237</v>
      </c>
    </row>
    <row r="2" spans="1:19" ht="108" customHeight="1">
      <c r="A2" s="847"/>
      <c r="B2" s="848"/>
      <c r="C2" s="778"/>
      <c r="D2" s="844"/>
      <c r="E2" s="844"/>
      <c r="F2" s="845"/>
      <c r="G2" s="846"/>
      <c r="H2" s="857"/>
      <c r="I2" s="670" t="s">
        <v>353</v>
      </c>
      <c r="J2" s="670" t="s">
        <v>343</v>
      </c>
      <c r="K2" s="670" t="s">
        <v>344</v>
      </c>
      <c r="L2" s="670" t="s">
        <v>345</v>
      </c>
      <c r="M2" s="670" t="s">
        <v>346</v>
      </c>
      <c r="N2" s="670" t="s">
        <v>559</v>
      </c>
      <c r="O2" s="670" t="s">
        <v>347</v>
      </c>
      <c r="P2" s="670" t="s">
        <v>348</v>
      </c>
      <c r="Q2" s="670" t="s">
        <v>349</v>
      </c>
      <c r="R2" s="670" t="s">
        <v>350</v>
      </c>
      <c r="S2" s="837"/>
    </row>
    <row r="3" spans="1:19">
      <c r="A3" s="380" t="s">
        <v>363</v>
      </c>
      <c r="B3" s="597"/>
      <c r="C3" s="597"/>
      <c r="D3" s="381"/>
      <c r="E3" s="381"/>
      <c r="F3" s="382"/>
      <c r="G3" s="697"/>
      <c r="H3" s="667"/>
      <c r="I3" s="671"/>
      <c r="J3" s="671"/>
      <c r="K3" s="671"/>
      <c r="L3" s="671"/>
      <c r="M3" s="671"/>
      <c r="N3" s="671"/>
      <c r="O3" s="671"/>
      <c r="P3" s="671"/>
      <c r="Q3" s="671"/>
      <c r="R3" s="672"/>
      <c r="S3" s="691"/>
    </row>
    <row r="4" spans="1:19" ht="10">
      <c r="A4" s="125" t="s">
        <v>28</v>
      </c>
      <c r="B4" s="590" t="s">
        <v>29</v>
      </c>
      <c r="C4" s="590">
        <v>2016</v>
      </c>
      <c r="D4" s="126">
        <f>'Com-Ind Calculations'!W4</f>
        <v>100000</v>
      </c>
      <c r="E4" s="126" t="str">
        <f>'Com-Ind Calculations'!X4</f>
        <v>Max Limit</v>
      </c>
      <c r="F4" s="127"/>
      <c r="G4" s="698" t="str">
        <f>IF(E4="BTV","NA",IF(E4="Max Limit","NA",IF(E4="Csat","NA",IF(ISNUMBER('Com-Ind Calculations'!U4),((F4/'Com-Ind Calculations'!U4)),"NA"))))</f>
        <v>NA</v>
      </c>
      <c r="H4" s="128" t="str">
        <f>IF(E4="BTV","NA",IF(E4="Max Limit","NA",IF(E4="Csat","NA",IF(ISNUMBER('Com-Ind Calculations'!N4),((F4/'Com-Ind Calculations'!N4)*0.00001),"NA"))))</f>
        <v>NA</v>
      </c>
      <c r="I4" s="702" t="str">
        <f>IF('Chemical Info'!R5="X",'Com-Ind Worksheet'!G4,"")</f>
        <v>NA</v>
      </c>
      <c r="J4" s="702" t="str">
        <f>IF('Chemical Info'!S5="X",'Com-Ind Worksheet'!G4,"")</f>
        <v/>
      </c>
      <c r="K4" s="702" t="str">
        <f>IF('Chemical Info'!T5="X",'Com-Ind Worksheet'!G4,"")</f>
        <v/>
      </c>
      <c r="L4" s="702" t="str">
        <f>IF('Chemical Info'!U5="X",'Com-Ind Worksheet'!G4,"")</f>
        <v/>
      </c>
      <c r="M4" s="702" t="str">
        <f>IF('Chemical Info'!V5="X",'Com-Ind Worksheet'!G4,"")</f>
        <v/>
      </c>
      <c r="N4" s="702" t="str">
        <f>IF('Chemical Info'!W5="X",'Com-Ind Worksheet'!G4,"")</f>
        <v/>
      </c>
      <c r="O4" s="702" t="str">
        <f>IF('Chemical Info'!X5="X",'Com-Ind Worksheet'!G4,"")</f>
        <v/>
      </c>
      <c r="P4" s="702" t="str">
        <f>IF('Chemical Info'!Y5="X",'Com-Ind Worksheet'!G4,"")</f>
        <v/>
      </c>
      <c r="Q4" s="702" t="str">
        <f>IF('Chemical Info'!Z5="X",'Com-Ind Worksheet'!G4,"")</f>
        <v/>
      </c>
      <c r="R4" s="702" t="str">
        <f>IF('Chemical Info'!AA5="X",'Com-Ind Worksheet'!G4,"")</f>
        <v/>
      </c>
      <c r="S4" s="692" t="str">
        <f>IF(E4="Csat","Based on Csat. A concentration &gt; Csat indicates potential for free product in soil.",IF(E4="Max Limit","Based on maximum contaminant limit. Concentration should not be &gt; SRV.",""))</f>
        <v>Based on maximum contaminant limit. Concentration should not be &gt; SRV.</v>
      </c>
    </row>
    <row r="5" spans="1:19" ht="10">
      <c r="A5" s="125" t="s">
        <v>32</v>
      </c>
      <c r="B5" s="590" t="s">
        <v>33</v>
      </c>
      <c r="C5" s="590">
        <v>2016</v>
      </c>
      <c r="D5" s="126">
        <f>'Com-Ind Calculations'!W5</f>
        <v>93</v>
      </c>
      <c r="E5" s="126" t="str">
        <f>'Com-Ind Calculations'!X5</f>
        <v>Noncancer</v>
      </c>
      <c r="F5" s="127"/>
      <c r="G5" s="698">
        <f>IF(E5="BTV","NA",IF(E5="Max Limit","NA",IF(E5="Csat","NA",IF(ISNUMBER('Com-Ind Calculations'!U5),((F5/'Com-Ind Calculations'!U5)),"NA"))))</f>
        <v>0</v>
      </c>
      <c r="H5" s="128" t="str">
        <f>IF(E5="BTV","NA",IF(E5="Max Limit","NA",IF(E5="Csat","NA",IF(ISNUMBER('Com-Ind Calculations'!N5),((F5/'Com-Ind Calculations'!N5)*0.00001),"NA"))))</f>
        <v>NA</v>
      </c>
      <c r="I5" s="702" t="str">
        <f>IF('Chemical Info'!R6="X",'Com-Ind Worksheet'!G5,"")</f>
        <v/>
      </c>
      <c r="J5" s="702">
        <f>IF('Chemical Info'!S6="X",'Com-Ind Worksheet'!G5,"")</f>
        <v>0</v>
      </c>
      <c r="K5" s="702" t="str">
        <f>IF('Chemical Info'!T6="X",'Com-Ind Worksheet'!G5,"")</f>
        <v/>
      </c>
      <c r="L5" s="702" t="str">
        <f>IF('Chemical Info'!U6="X",'Com-Ind Worksheet'!G5,"")</f>
        <v/>
      </c>
      <c r="M5" s="702" t="str">
        <f>IF('Chemical Info'!V6="X",'Com-Ind Worksheet'!G5,"")</f>
        <v/>
      </c>
      <c r="N5" s="702" t="str">
        <f>IF('Chemical Info'!W6="X",'Com-Ind Worksheet'!G5,"")</f>
        <v/>
      </c>
      <c r="O5" s="702">
        <f>IF('Chemical Info'!X6="X",'Com-Ind Worksheet'!G5,"")</f>
        <v>0</v>
      </c>
      <c r="P5" s="702" t="str">
        <f>IF('Chemical Info'!Y6="X",'Com-Ind Worksheet'!G5,"")</f>
        <v/>
      </c>
      <c r="Q5" s="702" t="str">
        <f>IF('Chemical Info'!Z6="X",'Com-Ind Worksheet'!G5,"")</f>
        <v/>
      </c>
      <c r="R5" s="702" t="str">
        <f>IF('Chemical Info'!AA6="X",'Com-Ind Worksheet'!G5,"")</f>
        <v/>
      </c>
      <c r="S5" s="692" t="str">
        <f t="shared" ref="S5:S68" si="0">IF(E5="Csat","Based on Csat. A concentration &gt; Csat indicates potential for free product in soil.",IF(E5="Max Limit","Based on maximum contaminant limit. Concentration should not be &gt; SRV.",""))</f>
        <v/>
      </c>
    </row>
    <row r="6" spans="1:19" ht="12">
      <c r="A6" s="526" t="s">
        <v>891</v>
      </c>
      <c r="B6" s="598" t="s">
        <v>214</v>
      </c>
      <c r="C6" s="598">
        <v>2016</v>
      </c>
      <c r="D6" s="524">
        <v>9</v>
      </c>
      <c r="E6" s="524" t="s">
        <v>890</v>
      </c>
      <c r="F6" s="127"/>
      <c r="G6" s="698" t="str">
        <f>IF(E6="BTV","NA",IF(E6="Max Limit","NA",IF(E6="Csat","NA",IF(ISNUMBER('Com-Ind Calculations'!U6),((F6/'Com-Ind Calculations'!U6)),"NA"))))</f>
        <v>NA</v>
      </c>
      <c r="H6" s="128" t="str">
        <f>IF(E6="BTV","NA",IF(E6="Max Limit","NA",IF(E6="Csat","NA",IF(ISNUMBER('Com-Ind Calculations'!N6),((F6/'Com-Ind Calculations'!N6)*0.00001),"NA"))))</f>
        <v>NA</v>
      </c>
      <c r="I6" s="702" t="str">
        <f>IF('Chemical Info'!R7="X",'Com-Ind Worksheet'!G6,"")</f>
        <v>NA</v>
      </c>
      <c r="J6" s="702" t="str">
        <f>IF('Chemical Info'!S7="X",'Com-Ind Worksheet'!G6,"")</f>
        <v>NA</v>
      </c>
      <c r="K6" s="702" t="str">
        <f>IF('Chemical Info'!T7="X",'Com-Ind Worksheet'!G6,"")</f>
        <v/>
      </c>
      <c r="L6" s="702" t="str">
        <f>IF('Chemical Info'!U7="X",'Com-Ind Worksheet'!G6,"")</f>
        <v/>
      </c>
      <c r="M6" s="702" t="str">
        <f>IF('Chemical Info'!V7="X",'Com-Ind Worksheet'!G6,"")</f>
        <v>NA</v>
      </c>
      <c r="N6" s="702" t="str">
        <f>IF('Chemical Info'!W7="X",'Com-Ind Worksheet'!G6,"")</f>
        <v>NA</v>
      </c>
      <c r="O6" s="702" t="str">
        <f>IF('Chemical Info'!X7="X",'Com-Ind Worksheet'!G6,"")</f>
        <v>NA</v>
      </c>
      <c r="P6" s="702" t="str">
        <f>IF('Chemical Info'!Y7="X",'Com-Ind Worksheet'!G6,"")</f>
        <v/>
      </c>
      <c r="Q6" s="702" t="str">
        <f>IF('Chemical Info'!Z7="X",'Com-Ind Worksheet'!G6,"")</f>
        <v>NA</v>
      </c>
      <c r="R6" s="702" t="str">
        <f>IF('Chemical Info'!AA7="X",'Com-Ind Worksheet'!G6,"")</f>
        <v/>
      </c>
      <c r="S6" s="692" t="str">
        <f t="shared" si="0"/>
        <v/>
      </c>
    </row>
    <row r="7" spans="1:19" ht="10">
      <c r="A7" s="129" t="s">
        <v>215</v>
      </c>
      <c r="B7" s="566" t="s">
        <v>216</v>
      </c>
      <c r="C7" s="566">
        <v>2021</v>
      </c>
      <c r="D7" s="126">
        <f>'Com-Ind Calculations'!W7</f>
        <v>41000</v>
      </c>
      <c r="E7" s="126" t="str">
        <f>'Com-Ind Calculations'!X7</f>
        <v>Noncancer</v>
      </c>
      <c r="F7" s="127"/>
      <c r="G7" s="698">
        <f>IF(E7="BTV","NA",IF(E7="Max Limit","NA",IF(E7="Csat","NA",IF(ISNUMBER('Com-Ind Calculations'!U7),((F7/'Com-Ind Calculations'!U7)),"NA"))))</f>
        <v>0</v>
      </c>
      <c r="H7" s="128" t="str">
        <f>IF(E7="BTV","NA",IF(E7="Max Limit","NA",IF(E7="Csat","NA",IF(ISNUMBER('Com-Ind Calculations'!N7),((F7/'Com-Ind Calculations'!N7)*0.00001),"NA"))))</f>
        <v>NA</v>
      </c>
      <c r="I7" s="702" t="str">
        <f>IF('Chemical Info'!R8="X",'Com-Ind Worksheet'!G7,"")</f>
        <v/>
      </c>
      <c r="J7" s="702" t="str">
        <f>IF('Chemical Info'!S8="X",'Com-Ind Worksheet'!G7,"")</f>
        <v/>
      </c>
      <c r="K7" s="702" t="str">
        <f>IF('Chemical Info'!T8="X",'Com-Ind Worksheet'!G7,"")</f>
        <v/>
      </c>
      <c r="L7" s="702">
        <f>IF('Chemical Info'!U8="X",'Com-Ind Worksheet'!G7,"")</f>
        <v>0</v>
      </c>
      <c r="M7" s="702">
        <f>IF('Chemical Info'!V8="X",'Com-Ind Worksheet'!G7,"")</f>
        <v>0</v>
      </c>
      <c r="N7" s="702">
        <f>IF('Chemical Info'!W8="X",'Com-Ind Worksheet'!G7,"")</f>
        <v>0</v>
      </c>
      <c r="O7" s="702" t="str">
        <f>IF('Chemical Info'!X8="X",'Com-Ind Worksheet'!G7,"")</f>
        <v/>
      </c>
      <c r="P7" s="702" t="str">
        <f>IF('Chemical Info'!Y8="X",'Com-Ind Worksheet'!G7,"")</f>
        <v/>
      </c>
      <c r="Q7" s="702" t="str">
        <f>IF('Chemical Info'!Z8="X",'Com-Ind Worksheet'!G7,"")</f>
        <v/>
      </c>
      <c r="R7" s="702" t="str">
        <f>IF('Chemical Info'!AA8="X",'Com-Ind Worksheet'!G7,"")</f>
        <v/>
      </c>
      <c r="S7" s="692" t="str">
        <f t="shared" si="0"/>
        <v/>
      </c>
    </row>
    <row r="8" spans="1:19" ht="10">
      <c r="A8" s="129" t="s">
        <v>77</v>
      </c>
      <c r="B8" s="566" t="s">
        <v>78</v>
      </c>
      <c r="C8" s="566">
        <v>2024</v>
      </c>
      <c r="D8" s="126">
        <f>'Com-Ind Calculations'!W8</f>
        <v>270</v>
      </c>
      <c r="E8" s="126" t="str">
        <f>'Com-Ind Calculations'!X8</f>
        <v>Noncancer</v>
      </c>
      <c r="F8" s="127"/>
      <c r="G8" s="698">
        <f>IF(E8="BTV","NA",IF(E8="Max Limit","NA",IF(E8="Csat","NA",IF(ISNUMBER('Com-Ind Calculations'!U8),((F8/'Com-Ind Calculations'!U8)),"NA"))))</f>
        <v>0</v>
      </c>
      <c r="H8" s="704">
        <f>IF(E8="BTV","NA",IF(E8="Max Limit","NA",IF(E8="Csat","NA",IF(ISNUMBER('Com-Ind Calculations'!N8),((F8/'Com-Ind Calculations'!N8)*0.00001),"NA"))))</f>
        <v>0</v>
      </c>
      <c r="I8" s="702" t="str">
        <f>IF('Chemical Info'!R9="X",'Com-Ind Worksheet'!G8,"")</f>
        <v/>
      </c>
      <c r="J8" s="702" t="str">
        <f>IF('Chemical Info'!S9="X",'Com-Ind Worksheet'!G8,"")</f>
        <v/>
      </c>
      <c r="K8" s="702">
        <f>IF('Chemical Info'!T9="X",'Com-Ind Worksheet'!G8,"")</f>
        <v>0</v>
      </c>
      <c r="L8" s="702" t="str">
        <f>IF('Chemical Info'!U9="X",'Com-Ind Worksheet'!G8,"")</f>
        <v/>
      </c>
      <c r="M8" s="702">
        <f>IF('Chemical Info'!V9="X",'Com-Ind Worksheet'!G8,"")</f>
        <v>0</v>
      </c>
      <c r="N8" s="702" t="str">
        <f>IF('Chemical Info'!W9="X",'Com-Ind Worksheet'!G8,"")</f>
        <v/>
      </c>
      <c r="O8" s="702" t="str">
        <f>IF('Chemical Info'!X9="X",'Com-Ind Worksheet'!G8,"")</f>
        <v/>
      </c>
      <c r="P8" s="702" t="str">
        <f>IF('Chemical Info'!Y9="X",'Com-Ind Worksheet'!G8,"")</f>
        <v/>
      </c>
      <c r="Q8" s="702" t="str">
        <f>IF('Chemical Info'!Z9="X",'Com-Ind Worksheet'!G8,"")</f>
        <v/>
      </c>
      <c r="R8" s="702" t="str">
        <f>IF('Chemical Info'!AA9="X",'Com-Ind Worksheet'!G8,"")</f>
        <v/>
      </c>
      <c r="S8" s="692" t="str">
        <f t="shared" si="0"/>
        <v/>
      </c>
    </row>
    <row r="9" spans="1:19" ht="10">
      <c r="A9" s="130" t="s">
        <v>50</v>
      </c>
      <c r="B9" s="591" t="s">
        <v>51</v>
      </c>
      <c r="C9" s="591">
        <v>2021</v>
      </c>
      <c r="D9" s="126">
        <f>'Com-Ind Calculations'!W9</f>
        <v>47000</v>
      </c>
      <c r="E9" s="126" t="str">
        <f>'Com-Ind Calculations'!X9</f>
        <v>Noncancer</v>
      </c>
      <c r="F9" s="127"/>
      <c r="G9" s="698">
        <f>IF(E9="BTV","NA",IF(E9="Max Limit","NA",IF(E9="Csat","NA",IF(ISNUMBER('Com-Ind Calculations'!U9),((F9/'Com-Ind Calculations'!U9)),"NA"))))</f>
        <v>0</v>
      </c>
      <c r="H9" s="704" t="str">
        <f>IF(E9="BTV","NA",IF(E9="Max Limit","NA",IF(E9="Csat","NA",IF(ISNUMBER('Com-Ind Calculations'!N9),((F9/'Com-Ind Calculations'!N9)*0.00001),"NA"))))</f>
        <v>NA</v>
      </c>
      <c r="I9" s="702" t="str">
        <f>IF('Chemical Info'!R10="X",'Com-Ind Worksheet'!G9,"")</f>
        <v/>
      </c>
      <c r="J9" s="702" t="str">
        <f>IF('Chemical Info'!S10="X",'Com-Ind Worksheet'!G9,"")</f>
        <v/>
      </c>
      <c r="K9" s="702" t="str">
        <f>IF('Chemical Info'!T10="X",'Com-Ind Worksheet'!G9,"")</f>
        <v/>
      </c>
      <c r="L9" s="702" t="str">
        <f>IF('Chemical Info'!U10="X",'Com-Ind Worksheet'!G9,"")</f>
        <v/>
      </c>
      <c r="M9" s="702" t="str">
        <f>IF('Chemical Info'!V10="X",'Com-Ind Worksheet'!G9,"")</f>
        <v/>
      </c>
      <c r="N9" s="702">
        <f>IF('Chemical Info'!W10="X",'Com-Ind Worksheet'!G9,"")</f>
        <v>0</v>
      </c>
      <c r="O9" s="702">
        <f>IF('Chemical Info'!X10="X",'Com-Ind Worksheet'!G9,"")</f>
        <v>0</v>
      </c>
      <c r="P9" s="702" t="str">
        <f>IF('Chemical Info'!Y10="X",'Com-Ind Worksheet'!G9,"")</f>
        <v/>
      </c>
      <c r="Q9" s="702" t="str">
        <f>IF('Chemical Info'!Z10="X",'Com-Ind Worksheet'!G9,"")</f>
        <v/>
      </c>
      <c r="R9" s="702" t="str">
        <f>IF('Chemical Info'!AA10="X",'Com-Ind Worksheet'!G9,"")</f>
        <v/>
      </c>
      <c r="S9" s="692" t="str">
        <f t="shared" si="0"/>
        <v/>
      </c>
    </row>
    <row r="10" spans="1:19" ht="10">
      <c r="A10" s="129" t="s">
        <v>52</v>
      </c>
      <c r="B10" s="566" t="s">
        <v>53</v>
      </c>
      <c r="C10" s="566">
        <v>2016</v>
      </c>
      <c r="D10" s="126">
        <f>'Com-Ind Calculations'!W10</f>
        <v>23</v>
      </c>
      <c r="E10" s="126" t="str">
        <f>'Com-Ind Calculations'!X10</f>
        <v>Noncancer</v>
      </c>
      <c r="F10" s="127"/>
      <c r="G10" s="698">
        <f>IF(E10="BTV","NA",IF(E10="Max Limit","NA",IF(E10="Csat","NA",IF(ISNUMBER('Com-Ind Calculations'!U10),((F10/'Com-Ind Calculations'!U10)),"NA"))))</f>
        <v>0</v>
      </c>
      <c r="H10" s="704">
        <f>IF(E10="BTV","NA",IF(E10="Max Limit","NA",IF(E10="Csat","NA",IF(ISNUMBER('Com-Ind Calculations'!N10),((F10/'Com-Ind Calculations'!N10)*0.00001),"NA"))))</f>
        <v>0</v>
      </c>
      <c r="I10" s="702" t="str">
        <f>IF('Chemical Info'!R11="X",'Com-Ind Worksheet'!G10,"")</f>
        <v/>
      </c>
      <c r="J10" s="702" t="str">
        <f>IF('Chemical Info'!S11="X",'Com-Ind Worksheet'!G10,"")</f>
        <v/>
      </c>
      <c r="K10" s="702" t="str">
        <f>IF('Chemical Info'!T11="X",'Com-Ind Worksheet'!G10,"")</f>
        <v/>
      </c>
      <c r="L10" s="702">
        <f>IF('Chemical Info'!U11="X",'Com-Ind Worksheet'!G10,"")</f>
        <v>0</v>
      </c>
      <c r="M10" s="702">
        <f>IF('Chemical Info'!V11="X",'Com-Ind Worksheet'!G10,"")</f>
        <v>0</v>
      </c>
      <c r="N10" s="702" t="str">
        <f>IF('Chemical Info'!W11="X",'Com-Ind Worksheet'!G10,"")</f>
        <v/>
      </c>
      <c r="O10" s="702" t="str">
        <f>IF('Chemical Info'!X11="X",'Com-Ind Worksheet'!G10,"")</f>
        <v/>
      </c>
      <c r="P10" s="702">
        <f>IF('Chemical Info'!Y11="X",'Com-Ind Worksheet'!G10,"")</f>
        <v>0</v>
      </c>
      <c r="Q10" s="702" t="str">
        <f>IF('Chemical Info'!Z11="X",'Com-Ind Worksheet'!G10,"")</f>
        <v/>
      </c>
      <c r="R10" s="702" t="str">
        <f>IF('Chemical Info'!AA11="X",'Com-Ind Worksheet'!G10,"")</f>
        <v/>
      </c>
      <c r="S10" s="692" t="str">
        <f t="shared" si="0"/>
        <v/>
      </c>
    </row>
    <row r="11" spans="1:19" ht="10">
      <c r="A11" s="129" t="s">
        <v>83</v>
      </c>
      <c r="B11" s="566" t="s">
        <v>84</v>
      </c>
      <c r="C11" s="566">
        <v>2016</v>
      </c>
      <c r="D11" s="126">
        <f>'Com-Ind Calculations'!W11</f>
        <v>100000</v>
      </c>
      <c r="E11" s="126" t="str">
        <f>'Com-Ind Calculations'!X11</f>
        <v>Max Limit</v>
      </c>
      <c r="F11" s="127"/>
      <c r="G11" s="698" t="str">
        <f>IF(E11="BTV","NA",IF(E11="Max Limit","NA",IF(E11="Csat","NA",IF(ISNUMBER('Com-Ind Calculations'!U11),((F11/'Com-Ind Calculations'!U11)),"NA"))))</f>
        <v>NA</v>
      </c>
      <c r="H11" s="704" t="str">
        <f>IF(E11="BTV","NA",IF(E11="Max Limit","NA",IF(E11="Csat","NA",IF(ISNUMBER('Com-Ind Calculations'!N11),((F11/'Com-Ind Calculations'!N11)*0.00001),"NA"))))</f>
        <v>NA</v>
      </c>
      <c r="I11" s="702" t="str">
        <f>IF('Chemical Info'!R12="X",'Com-Ind Worksheet'!G11,"")</f>
        <v/>
      </c>
      <c r="J11" s="702" t="str">
        <f>IF('Chemical Info'!S12="X",'Com-Ind Worksheet'!G11,"")</f>
        <v/>
      </c>
      <c r="K11" s="702" t="str">
        <f>IF('Chemical Info'!T12="X",'Com-Ind Worksheet'!G11,"")</f>
        <v/>
      </c>
      <c r="L11" s="702" t="str">
        <f>IF('Chemical Info'!U12="X",'Com-Ind Worksheet'!G11,"")</f>
        <v/>
      </c>
      <c r="M11" s="702" t="str">
        <f>IF('Chemical Info'!V12="X",'Com-Ind Worksheet'!G11,"")</f>
        <v/>
      </c>
      <c r="N11" s="702" t="str">
        <f>IF('Chemical Info'!W12="X",'Com-Ind Worksheet'!G11,"")</f>
        <v/>
      </c>
      <c r="O11" s="702" t="str">
        <f>IF('Chemical Info'!X12="X",'Com-Ind Worksheet'!G11,"")</f>
        <v/>
      </c>
      <c r="P11" s="702" t="str">
        <f>IF('Chemical Info'!Y12="X",'Com-Ind Worksheet'!G11,"")</f>
        <v/>
      </c>
      <c r="Q11" s="702" t="str">
        <f>IF('Chemical Info'!Z12="X",'Com-Ind Worksheet'!G11,"")</f>
        <v/>
      </c>
      <c r="R11" s="702" t="str">
        <f>IF('Chemical Info'!AA12="X",'Com-Ind Worksheet'!G11,"")</f>
        <v/>
      </c>
      <c r="S11" s="692" t="str">
        <f t="shared" si="0"/>
        <v>Based on maximum contaminant limit. Concentration should not be &gt; SRV.</v>
      </c>
    </row>
    <row r="12" spans="1:19" ht="10">
      <c r="A12" s="129" t="s">
        <v>71</v>
      </c>
      <c r="B12" s="566" t="s">
        <v>72</v>
      </c>
      <c r="C12" s="736">
        <v>2025</v>
      </c>
      <c r="D12" s="126">
        <f>'Com-Ind Calculations'!W12</f>
        <v>200</v>
      </c>
      <c r="E12" s="126" t="str">
        <f>'Com-Ind Calculations'!X12</f>
        <v>Cancer</v>
      </c>
      <c r="F12" s="127"/>
      <c r="G12" s="698">
        <f>IF(E12="BTV","NA",IF(E12="Max Limit","NA",IF(E12="Csat","NA",IF(ISNUMBER('Com-Ind Calculations'!U12),((F12/'Com-Ind Calculations'!U12)),"NA"))))</f>
        <v>0</v>
      </c>
      <c r="H12" s="704">
        <f>IF(E12="BTV","NA",IF(E12="Max Limit","NA",IF(E12="Csat","NA",IF(ISNUMBER('Com-Ind Calculations'!N12),((F12/'Com-Ind Calculations'!N12)*0.00001),"NA"))))</f>
        <v>0</v>
      </c>
      <c r="I12" s="702" t="str">
        <f>IF('Chemical Info'!R13="X",'Com-Ind Worksheet'!G12,"")</f>
        <v/>
      </c>
      <c r="J12" s="702" t="str">
        <f>IF('Chemical Info'!S13="X",'Com-Ind Worksheet'!G12,"")</f>
        <v/>
      </c>
      <c r="K12" s="702" t="str">
        <f>IF('Chemical Info'!T13="X",'Com-Ind Worksheet'!G12,"")</f>
        <v/>
      </c>
      <c r="L12" s="702" t="str">
        <f>IF('Chemical Info'!U13="X",'Com-Ind Worksheet'!G12,"")</f>
        <v/>
      </c>
      <c r="M12" s="702">
        <f>IF('Chemical Info'!V13="X",'Com-Ind Worksheet'!G12,"")</f>
        <v>0</v>
      </c>
      <c r="N12" s="702" t="str">
        <f>IF('Chemical Info'!W13="X",'Com-Ind Worksheet'!G12,"")</f>
        <v/>
      </c>
      <c r="O12" s="702">
        <f>IF('Chemical Info'!X13="X",'Com-Ind Worksheet'!G12,"")</f>
        <v>0</v>
      </c>
      <c r="P12" s="702" t="str">
        <f>IF('Chemical Info'!Y13="X",'Com-Ind Worksheet'!G12,"")</f>
        <v/>
      </c>
      <c r="Q12" s="702" t="str">
        <f>IF('Chemical Info'!Z13="X",'Com-Ind Worksheet'!G12,"")</f>
        <v/>
      </c>
      <c r="R12" s="702" t="str">
        <f>IF('Chemical Info'!AA13="X",'Com-Ind Worksheet'!G12,"")</f>
        <v/>
      </c>
      <c r="S12" s="692" t="str">
        <f t="shared" si="0"/>
        <v/>
      </c>
    </row>
    <row r="13" spans="1:19" ht="10">
      <c r="A13" s="125" t="s">
        <v>168</v>
      </c>
      <c r="B13" s="590" t="s">
        <v>169</v>
      </c>
      <c r="C13" s="737">
        <v>2021</v>
      </c>
      <c r="D13" s="126">
        <f>'Com-Ind Calculations'!W13</f>
        <v>69</v>
      </c>
      <c r="E13" s="126" t="str">
        <f>'Com-Ind Calculations'!X13</f>
        <v>Noncancer</v>
      </c>
      <c r="F13" s="127"/>
      <c r="G13" s="698">
        <f>IF(E13="BTV","NA",IF(E13="Max Limit","NA",IF(E13="Csat","NA",IF(ISNUMBER('Com-Ind Calculations'!U13),((F13/'Com-Ind Calculations'!U13)),"NA"))))</f>
        <v>0</v>
      </c>
      <c r="H13" s="704">
        <f>IF(E13="BTV","NA",IF(E13="Max Limit","NA",IF(E13="Csat","NA",IF(ISNUMBER('Com-Ind Calculations'!N13),((F13/'Com-Ind Calculations'!N13)*0.00001),"NA"))))</f>
        <v>0</v>
      </c>
      <c r="I13" s="702" t="str">
        <f>IF('Chemical Info'!R14="X",'Com-Ind Worksheet'!G13,"")</f>
        <v/>
      </c>
      <c r="J13" s="702" t="str">
        <f>IF('Chemical Info'!S14="X",'Com-Ind Worksheet'!G13,"")</f>
        <v/>
      </c>
      <c r="K13" s="702" t="str">
        <f>IF('Chemical Info'!T14="X",'Com-Ind Worksheet'!G13,"")</f>
        <v/>
      </c>
      <c r="L13" s="702" t="str">
        <f>IF('Chemical Info'!U14="X",'Com-Ind Worksheet'!G13,"")</f>
        <v/>
      </c>
      <c r="M13" s="702" t="str">
        <f>IF('Chemical Info'!V14="X",'Com-Ind Worksheet'!G13,"")</f>
        <v/>
      </c>
      <c r="N13" s="702" t="str">
        <f>IF('Chemical Info'!W14="X",'Com-Ind Worksheet'!G13,"")</f>
        <v/>
      </c>
      <c r="O13" s="702">
        <f>IF('Chemical Info'!X14="X",'Com-Ind Worksheet'!G13,"")</f>
        <v>0</v>
      </c>
      <c r="P13" s="702" t="str">
        <f>IF('Chemical Info'!Y14="X",'Com-Ind Worksheet'!G13,"")</f>
        <v/>
      </c>
      <c r="Q13" s="702" t="str">
        <f>IF('Chemical Info'!Z14="X",'Com-Ind Worksheet'!G13,"")</f>
        <v/>
      </c>
      <c r="R13" s="702">
        <f>IF('Chemical Info'!AA14="X",'Com-Ind Worksheet'!G13,"")</f>
        <v>0</v>
      </c>
      <c r="S13" s="692" t="str">
        <f t="shared" si="0"/>
        <v/>
      </c>
    </row>
    <row r="14" spans="1:19" ht="10">
      <c r="A14" s="129" t="s">
        <v>170</v>
      </c>
      <c r="B14" s="566" t="s">
        <v>171</v>
      </c>
      <c r="C14" s="566">
        <v>2016</v>
      </c>
      <c r="D14" s="126">
        <f>'Com-Ind Calculations'!W14</f>
        <v>33000</v>
      </c>
      <c r="E14" s="126" t="str">
        <f>'Com-Ind Calculations'!X14</f>
        <v>Noncancer</v>
      </c>
      <c r="F14" s="127"/>
      <c r="G14" s="698">
        <f>IF(E14="BTV","NA",IF(E14="Max Limit","NA",IF(E14="Csat","NA",IF(ISNUMBER('Com-Ind Calculations'!U14),((F14/'Com-Ind Calculations'!U14)),"NA"))))</f>
        <v>0</v>
      </c>
      <c r="H14" s="704" t="str">
        <f>IF(E14="BTV","NA",IF(E14="Max Limit","NA",IF(E14="Csat","NA",IF(ISNUMBER('Com-Ind Calculations'!N14),((F14/'Com-Ind Calculations'!N14)*0.00001),"NA"))))</f>
        <v>NA</v>
      </c>
      <c r="I14" s="702" t="str">
        <f>IF('Chemical Info'!R15="X",'Com-Ind Worksheet'!G14,"")</f>
        <v/>
      </c>
      <c r="J14" s="702" t="str">
        <f>IF('Chemical Info'!S15="X",'Com-Ind Worksheet'!G14,"")</f>
        <v/>
      </c>
      <c r="K14" s="702" t="str">
        <f>IF('Chemical Info'!T15="X",'Com-Ind Worksheet'!G14,"")</f>
        <v/>
      </c>
      <c r="L14" s="702" t="str">
        <f>IF('Chemical Info'!U15="X",'Com-Ind Worksheet'!G14,"")</f>
        <v/>
      </c>
      <c r="M14" s="702">
        <f>IF('Chemical Info'!V15="X",'Com-Ind Worksheet'!G14,"")</f>
        <v>0</v>
      </c>
      <c r="N14" s="702" t="str">
        <f>IF('Chemical Info'!W15="X",'Com-Ind Worksheet'!G14,"")</f>
        <v/>
      </c>
      <c r="O14" s="702" t="str">
        <f>IF('Chemical Info'!X15="X",'Com-Ind Worksheet'!G14,"")</f>
        <v/>
      </c>
      <c r="P14" s="702" t="str">
        <f>IF('Chemical Info'!Y15="X",'Com-Ind Worksheet'!G14,"")</f>
        <v/>
      </c>
      <c r="Q14" s="702" t="str">
        <f>IF('Chemical Info'!Z15="X",'Com-Ind Worksheet'!G14,"")</f>
        <v/>
      </c>
      <c r="R14" s="702" t="str">
        <f>IF('Chemical Info'!AA15="X",'Com-Ind Worksheet'!G14,"")</f>
        <v/>
      </c>
      <c r="S14" s="692" t="str">
        <f t="shared" si="0"/>
        <v/>
      </c>
    </row>
    <row r="15" spans="1:19" ht="10">
      <c r="A15" s="131" t="s">
        <v>172</v>
      </c>
      <c r="B15" s="592" t="s">
        <v>173</v>
      </c>
      <c r="C15" s="592">
        <v>2016</v>
      </c>
      <c r="D15" s="126">
        <f>'Com-Ind Calculations'!W15</f>
        <v>1200</v>
      </c>
      <c r="E15" s="126" t="str">
        <f>'Com-Ind Calculations'!X15</f>
        <v>Noncancer</v>
      </c>
      <c r="F15" s="127"/>
      <c r="G15" s="698">
        <f>IF(E15="BTV","NA",IF(E15="Max Limit","NA",IF(E15="Csat","NA",IF(ISNUMBER('Com-Ind Calculations'!U15),((F15/'Com-Ind Calculations'!U15)),"NA"))))</f>
        <v>0</v>
      </c>
      <c r="H15" s="704" t="str">
        <f>IF(E15="BTV","NA",IF(E15="Max Limit","NA",IF(E15="Csat","NA",IF(ISNUMBER('Com-Ind Calculations'!N15),((F15/'Com-Ind Calculations'!N15)*0.00001),"NA"))))</f>
        <v>NA</v>
      </c>
      <c r="I15" s="702" t="str">
        <f>IF('Chemical Info'!R16="X",'Com-Ind Worksheet'!G15,"")</f>
        <v/>
      </c>
      <c r="J15" s="702" t="str">
        <f>IF('Chemical Info'!S16="X",'Com-Ind Worksheet'!G15,"")</f>
        <v/>
      </c>
      <c r="K15" s="702" t="str">
        <f>IF('Chemical Info'!T16="X",'Com-Ind Worksheet'!G15,"")</f>
        <v/>
      </c>
      <c r="L15" s="702">
        <f>IF('Chemical Info'!U16="X",'Com-Ind Worksheet'!G15,"")</f>
        <v>0</v>
      </c>
      <c r="M15" s="702">
        <f>IF('Chemical Info'!V16="X",'Com-Ind Worksheet'!G15,"")</f>
        <v>0</v>
      </c>
      <c r="N15" s="702" t="str">
        <f>IF('Chemical Info'!W16="X",'Com-Ind Worksheet'!G15,"")</f>
        <v/>
      </c>
      <c r="O15" s="702" t="str">
        <f>IF('Chemical Info'!X16="X",'Com-Ind Worksheet'!G15,"")</f>
        <v/>
      </c>
      <c r="P15" s="702" t="str">
        <f>IF('Chemical Info'!Y16="X",'Com-Ind Worksheet'!G15,"")</f>
        <v/>
      </c>
      <c r="Q15" s="702" t="str">
        <f>IF('Chemical Info'!Z16="X",'Com-Ind Worksheet'!G15,"")</f>
        <v/>
      </c>
      <c r="R15" s="702" t="str">
        <f>IF('Chemical Info'!AA16="X",'Com-Ind Worksheet'!G15,"")</f>
        <v/>
      </c>
      <c r="S15" s="692" t="str">
        <f t="shared" si="0"/>
        <v/>
      </c>
    </row>
    <row r="16" spans="1:19" ht="10">
      <c r="A16" s="131" t="s">
        <v>94</v>
      </c>
      <c r="B16" s="592" t="s">
        <v>95</v>
      </c>
      <c r="C16" s="592">
        <v>2016</v>
      </c>
      <c r="D16" s="126">
        <f>'Com-Ind Calculations'!W16</f>
        <v>190</v>
      </c>
      <c r="E16" s="126" t="str">
        <f>'Com-Ind Calculations'!X16</f>
        <v>Noncancer</v>
      </c>
      <c r="F16" s="127"/>
      <c r="G16" s="698">
        <f>IF(E16="BTV","NA",IF(E16="Max Limit","NA",IF(E16="Csat","NA",IF(ISNUMBER('Com-Ind Calculations'!U16),((F16/'Com-Ind Calculations'!U16)),"NA"))))</f>
        <v>0</v>
      </c>
      <c r="H16" s="704" t="str">
        <f>IF(E16="BTV","NA",IF(E16="Max Limit","NA",IF(E16="Csat","NA",IF(ISNUMBER('Com-Ind Calculations'!N16),((F16/'Com-Ind Calculations'!N16)*0.00001),"NA"))))</f>
        <v>NA</v>
      </c>
      <c r="I16" s="702" t="str">
        <f>IF('Chemical Info'!R17="X",'Com-Ind Worksheet'!G16,"")</f>
        <v/>
      </c>
      <c r="J16" s="702" t="str">
        <f>IF('Chemical Info'!S17="X",'Com-Ind Worksheet'!G16,"")</f>
        <v/>
      </c>
      <c r="K16" s="702" t="str">
        <f>IF('Chemical Info'!T17="X",'Com-Ind Worksheet'!G16,"")</f>
        <v/>
      </c>
      <c r="L16" s="702" t="str">
        <f>IF('Chemical Info'!U17="X",'Com-Ind Worksheet'!G16,"")</f>
        <v/>
      </c>
      <c r="M16" s="702" t="str">
        <f>IF('Chemical Info'!V17="X",'Com-Ind Worksheet'!G16,"")</f>
        <v/>
      </c>
      <c r="N16" s="702">
        <f>IF('Chemical Info'!W17="X",'Com-Ind Worksheet'!G16,"")</f>
        <v>0</v>
      </c>
      <c r="O16" s="702" t="str">
        <f>IF('Chemical Info'!X17="X",'Com-Ind Worksheet'!G16,"")</f>
        <v/>
      </c>
      <c r="P16" s="702" t="str">
        <f>IF('Chemical Info'!Y17="X",'Com-Ind Worksheet'!G16,"")</f>
        <v/>
      </c>
      <c r="Q16" s="702" t="str">
        <f>IF('Chemical Info'!Z17="X",'Com-Ind Worksheet'!G16,"")</f>
        <v/>
      </c>
      <c r="R16" s="702" t="str">
        <f>IF('Chemical Info'!AA17="X",'Com-Ind Worksheet'!G16,"")</f>
        <v/>
      </c>
      <c r="S16" s="692" t="str">
        <f t="shared" si="0"/>
        <v/>
      </c>
    </row>
    <row r="17" spans="1:19" ht="10">
      <c r="A17" s="131" t="s">
        <v>97</v>
      </c>
      <c r="B17" s="592" t="s">
        <v>98</v>
      </c>
      <c r="C17" s="592">
        <v>2016</v>
      </c>
      <c r="D17" s="126">
        <f>'Com-Ind Calculations'!W17</f>
        <v>14000</v>
      </c>
      <c r="E17" s="126" t="str">
        <f>'Com-Ind Calculations'!X17</f>
        <v>Noncancer</v>
      </c>
      <c r="F17" s="127"/>
      <c r="G17" s="698">
        <f>IF(E17="BTV","NA",IF(E17="Max Limit","NA",IF(E17="Csat","NA",IF(ISNUMBER('Com-Ind Calculations'!U17),((F17/'Com-Ind Calculations'!U17)),"NA"))))</f>
        <v>0</v>
      </c>
      <c r="H17" s="704" t="str">
        <f>IF(E17="BTV","NA",IF(E17="Max Limit","NA",IF(E17="Csat","NA",IF(ISNUMBER('Com-Ind Calculations'!N17),((F17/'Com-Ind Calculations'!N17)*0.00001),"NA"))))</f>
        <v>NA</v>
      </c>
      <c r="I17" s="702" t="str">
        <f>IF('Chemical Info'!R18="X",'Com-Ind Worksheet'!G17,"")</f>
        <v/>
      </c>
      <c r="J17" s="702" t="str">
        <f>IF('Chemical Info'!S18="X",'Com-Ind Worksheet'!G17,"")</f>
        <v/>
      </c>
      <c r="K17" s="702" t="str">
        <f>IF('Chemical Info'!T18="X",'Com-Ind Worksheet'!G17,"")</f>
        <v/>
      </c>
      <c r="L17" s="702" t="str">
        <f>IF('Chemical Info'!U18="X",'Com-Ind Worksheet'!G17,"")</f>
        <v/>
      </c>
      <c r="M17" s="702">
        <f>IF('Chemical Info'!V18="X",'Com-Ind Worksheet'!G17,"")</f>
        <v>0</v>
      </c>
      <c r="N17" s="702" t="str">
        <f>IF('Chemical Info'!W18="X",'Com-Ind Worksheet'!G17,"")</f>
        <v/>
      </c>
      <c r="O17" s="702" t="str">
        <f>IF('Chemical Info'!X18="X",'Com-Ind Worksheet'!G17,"")</f>
        <v/>
      </c>
      <c r="P17" s="702">
        <f>IF('Chemical Info'!Y18="X",'Com-Ind Worksheet'!G17,"")</f>
        <v>0</v>
      </c>
      <c r="Q17" s="702" t="str">
        <f>IF('Chemical Info'!Z18="X",'Com-Ind Worksheet'!G17,"")</f>
        <v/>
      </c>
      <c r="R17" s="702" t="str">
        <f>IF('Chemical Info'!AA18="X",'Com-Ind Worksheet'!G17,"")</f>
        <v/>
      </c>
      <c r="S17" s="692" t="str">
        <f t="shared" si="0"/>
        <v/>
      </c>
    </row>
    <row r="18" spans="1:19" ht="10">
      <c r="A18" s="129" t="s">
        <v>105</v>
      </c>
      <c r="B18" s="566" t="s">
        <v>106</v>
      </c>
      <c r="C18" s="566">
        <v>2016</v>
      </c>
      <c r="D18" s="126">
        <f>'Com-Ind Calculations'!W18</f>
        <v>100000</v>
      </c>
      <c r="E18" s="126" t="str">
        <f>'Com-Ind Calculations'!X18</f>
        <v>Max Limit</v>
      </c>
      <c r="F18" s="127"/>
      <c r="G18" s="698" t="str">
        <f>IF(E18="BTV","NA",IF(E18="Max Limit","NA",IF(E18="Csat","NA",IF(ISNUMBER('Com-Ind Calculations'!U18),((F18/'Com-Ind Calculations'!U18)),"NA"))))</f>
        <v>NA</v>
      </c>
      <c r="H18" s="704" t="str">
        <f>IF(E18="BTV","NA",IF(E18="Max Limit","NA",IF(E18="Csat","NA",IF(ISNUMBER('Com-Ind Calculations'!N18),((F18/'Com-Ind Calculations'!N18)*0.00001),"NA"))))</f>
        <v>NA</v>
      </c>
      <c r="I18" s="702" t="str">
        <f>IF('Chemical Info'!R19="X",'Com-Ind Worksheet'!G18,"")</f>
        <v/>
      </c>
      <c r="J18" s="702" t="str">
        <f>IF('Chemical Info'!S19="X",'Com-Ind Worksheet'!G18,"")</f>
        <v/>
      </c>
      <c r="K18" s="702" t="str">
        <f>IF('Chemical Info'!T19="X",'Com-Ind Worksheet'!G18,"")</f>
        <v/>
      </c>
      <c r="L18" s="702" t="str">
        <f>IF('Chemical Info'!U19="X",'Com-Ind Worksheet'!G18,"")</f>
        <v/>
      </c>
      <c r="M18" s="702" t="str">
        <f>IF('Chemical Info'!V19="X",'Com-Ind Worksheet'!G18,"")</f>
        <v>NA</v>
      </c>
      <c r="N18" s="702" t="str">
        <f>IF('Chemical Info'!W19="X",'Com-Ind Worksheet'!G18,"")</f>
        <v/>
      </c>
      <c r="O18" s="702" t="str">
        <f>IF('Chemical Info'!X19="X",'Com-Ind Worksheet'!G18,"")</f>
        <v/>
      </c>
      <c r="P18" s="702" t="str">
        <f>IF('Chemical Info'!Y19="X",'Com-Ind Worksheet'!G18,"")</f>
        <v/>
      </c>
      <c r="Q18" s="702" t="str">
        <f>IF('Chemical Info'!Z19="X",'Com-Ind Worksheet'!G18,"")</f>
        <v/>
      </c>
      <c r="R18" s="702" t="str">
        <f>IF('Chemical Info'!AA19="X",'Com-Ind Worksheet'!G18,"")</f>
        <v/>
      </c>
      <c r="S18" s="692" t="str">
        <f t="shared" si="0"/>
        <v>Based on maximum contaminant limit. Concentration should not be &gt; SRV.</v>
      </c>
    </row>
    <row r="19" spans="1:19" ht="10">
      <c r="A19" s="129" t="s">
        <v>107</v>
      </c>
      <c r="B19" s="566" t="s">
        <v>108</v>
      </c>
      <c r="C19" s="566">
        <v>2022</v>
      </c>
      <c r="D19" s="126">
        <f>'Com-Ind Calculations'!W19</f>
        <v>460</v>
      </c>
      <c r="E19" s="126" t="str">
        <f>'Com-Ind Calculations'!X19</f>
        <v>Noncancer</v>
      </c>
      <c r="F19" s="127"/>
      <c r="G19" s="698" t="str">
        <f>IF(E19="BTV","NA",IF(E19="Max Limit","NA",IF(E19="Csat","NA",IF(ISNUMBER('Com-Ind Calculations'!U19),((F19/'Com-Ind Calculations'!U19)),"NA"))))</f>
        <v>NA</v>
      </c>
      <c r="H19" s="704" t="str">
        <f>IF(E19="BTV","NA",IF(E19="Max Limit","NA",IF(E19="Csat","NA",IF(ISNUMBER('Com-Ind Calculations'!N19),((F19/'Com-Ind Calculations'!N19)*0.00001),"NA"))))</f>
        <v>NA</v>
      </c>
      <c r="I19" s="702" t="str">
        <f>IF('Chemical Info'!R20="X",'Com-Ind Worksheet'!G19,"")</f>
        <v/>
      </c>
      <c r="J19" s="702" t="str">
        <f>IF('Chemical Info'!S20="X",'Com-Ind Worksheet'!G19,"")</f>
        <v/>
      </c>
      <c r="K19" s="702" t="str">
        <f>IF('Chemical Info'!T20="X",'Com-Ind Worksheet'!G19,"")</f>
        <v/>
      </c>
      <c r="L19" s="702" t="str">
        <f>IF('Chemical Info'!U20="X",'Com-Ind Worksheet'!G19,"")</f>
        <v/>
      </c>
      <c r="M19" s="702" t="str">
        <f>IF('Chemical Info'!V20="X",'Com-Ind Worksheet'!G19,"")</f>
        <v/>
      </c>
      <c r="N19" s="702" t="str">
        <f>IF('Chemical Info'!W20="X",'Com-Ind Worksheet'!G19,"")</f>
        <v/>
      </c>
      <c r="O19" s="702" t="str">
        <f>IF('Chemical Info'!X20="X",'Com-Ind Worksheet'!G19,"")</f>
        <v/>
      </c>
      <c r="P19" s="702" t="str">
        <f>IF('Chemical Info'!Y20="X",'Com-Ind Worksheet'!G19,"")</f>
        <v/>
      </c>
      <c r="Q19" s="702" t="str">
        <f>IF('Chemical Info'!Z20="X",'Com-Ind Worksheet'!G19,"")</f>
        <v/>
      </c>
      <c r="R19" s="702" t="str">
        <f>IF('Chemical Info'!AA20="X",'Com-Ind Worksheet'!G19,"")</f>
        <v/>
      </c>
      <c r="S19" s="693" t="s">
        <v>1238</v>
      </c>
    </row>
    <row r="20" spans="1:19" ht="10">
      <c r="A20" s="129" t="s">
        <v>109</v>
      </c>
      <c r="B20" s="566" t="s">
        <v>110</v>
      </c>
      <c r="C20" s="566">
        <v>2016</v>
      </c>
      <c r="D20" s="126">
        <f>'Com-Ind Calculations'!W20</f>
        <v>470</v>
      </c>
      <c r="E20" s="126" t="str">
        <f>'Com-Ind Calculations'!X20</f>
        <v>Noncancer</v>
      </c>
      <c r="F20" s="127"/>
      <c r="G20" s="698">
        <f>IF(E20="BTV","NA",IF(E20="Max Limit","NA",IF(E20="Csat","NA",IF(ISNUMBER('Com-Ind Calculations'!U20),((F20/'Com-Ind Calculations'!U20)),"NA"))))</f>
        <v>0</v>
      </c>
      <c r="H20" s="704" t="str">
        <f>IF(E20="BTV","NA",IF(E20="Max Limit","NA",IF(E20="Csat","NA",IF(ISNUMBER('Com-Ind Calculations'!N20),((F20/'Com-Ind Calculations'!N20)*0.00001),"NA"))))</f>
        <v>NA</v>
      </c>
      <c r="I20" s="702">
        <f>IF('Chemical Info'!R21="X",'Com-Ind Worksheet'!G20,"")</f>
        <v>0</v>
      </c>
      <c r="J20" s="702">
        <f>IF('Chemical Info'!S21="X",'Com-Ind Worksheet'!G20,"")</f>
        <v>0</v>
      </c>
      <c r="K20" s="702" t="str">
        <f>IF('Chemical Info'!T21="X",'Com-Ind Worksheet'!G20,"")</f>
        <v/>
      </c>
      <c r="L20" s="702">
        <f>IF('Chemical Info'!U21="X",'Com-Ind Worksheet'!G20,"")</f>
        <v>0</v>
      </c>
      <c r="M20" s="702" t="str">
        <f>IF('Chemical Info'!V21="X",'Com-Ind Worksheet'!G20,"")</f>
        <v/>
      </c>
      <c r="N20" s="702">
        <f>IF('Chemical Info'!W21="X",'Com-Ind Worksheet'!G20,"")</f>
        <v>0</v>
      </c>
      <c r="O20" s="702" t="str">
        <f>IF('Chemical Info'!X21="X",'Com-Ind Worksheet'!G20,"")</f>
        <v/>
      </c>
      <c r="P20" s="702" t="str">
        <f>IF('Chemical Info'!Y21="X",'Com-Ind Worksheet'!G20,"")</f>
        <v/>
      </c>
      <c r="Q20" s="702" t="str">
        <f>IF('Chemical Info'!Z21="X",'Com-Ind Worksheet'!G20,"")</f>
        <v/>
      </c>
      <c r="R20" s="702" t="str">
        <f>IF('Chemical Info'!AA21="X",'Com-Ind Worksheet'!G20,"")</f>
        <v/>
      </c>
      <c r="S20" s="692" t="str">
        <f t="shared" si="0"/>
        <v/>
      </c>
    </row>
    <row r="21" spans="1:19" ht="10">
      <c r="A21" s="129" t="s">
        <v>111</v>
      </c>
      <c r="B21" s="566" t="s">
        <v>112</v>
      </c>
      <c r="C21" s="566">
        <v>2022</v>
      </c>
      <c r="D21" s="126">
        <f>'Com-Ind Calculations'!W21</f>
        <v>10000</v>
      </c>
      <c r="E21" s="126" t="str">
        <f>'Com-Ind Calculations'!X21</f>
        <v>Noncancer</v>
      </c>
      <c r="F21" s="127"/>
      <c r="G21" s="698">
        <f>IF(E21="BTV","NA",IF(E21="Max Limit","NA",IF(E21="Csat","NA",IF(ISNUMBER('Com-Ind Calculations'!U21),((F21/'Com-Ind Calculations'!U21)),"NA"))))</f>
        <v>0</v>
      </c>
      <c r="H21" s="704" t="str">
        <f>IF(E21="BTV","NA",IF(E21="Max Limit","NA",IF(E21="Csat","NA",IF(ISNUMBER('Com-Ind Calculations'!N21),((F21/'Com-Ind Calculations'!N21)*0.00001),"NA"))))</f>
        <v>NA</v>
      </c>
      <c r="I21" s="702">
        <f>IF('Chemical Info'!R22="X",'Com-Ind Worksheet'!G21,"")</f>
        <v>0</v>
      </c>
      <c r="J21" s="702" t="str">
        <f>IF('Chemical Info'!S22="X",'Com-Ind Worksheet'!G21,"")</f>
        <v/>
      </c>
      <c r="K21" s="702" t="str">
        <f>IF('Chemical Info'!T22="X",'Com-Ind Worksheet'!G21,"")</f>
        <v/>
      </c>
      <c r="L21" s="702" t="str">
        <f>IF('Chemical Info'!U22="X",'Com-Ind Worksheet'!G21,"")</f>
        <v/>
      </c>
      <c r="M21" s="702" t="str">
        <f>IF('Chemical Info'!V22="X",'Com-Ind Worksheet'!G21,"")</f>
        <v/>
      </c>
      <c r="N21" s="702" t="str">
        <f>IF('Chemical Info'!W22="X",'Com-Ind Worksheet'!G21,"")</f>
        <v/>
      </c>
      <c r="O21" s="702" t="str">
        <f>IF('Chemical Info'!X22="X",'Com-Ind Worksheet'!G21,"")</f>
        <v/>
      </c>
      <c r="P21" s="702" t="str">
        <f>IF('Chemical Info'!Y22="X",'Com-Ind Worksheet'!G21,"")</f>
        <v/>
      </c>
      <c r="Q21" s="702" t="str">
        <f>IF('Chemical Info'!Z22="X",'Com-Ind Worksheet'!G21,"")</f>
        <v/>
      </c>
      <c r="R21" s="702" t="str">
        <f>IF('Chemical Info'!AA22="X",'Com-Ind Worksheet'!G21,"")</f>
        <v/>
      </c>
      <c r="S21" s="692" t="str">
        <f t="shared" si="0"/>
        <v/>
      </c>
    </row>
    <row r="22" spans="1:19" ht="10">
      <c r="A22" s="129" t="s">
        <v>74</v>
      </c>
      <c r="B22" s="590" t="s">
        <v>75</v>
      </c>
      <c r="C22" s="590">
        <v>2016</v>
      </c>
      <c r="D22" s="126">
        <f>'Com-Ind Calculations'!W22</f>
        <v>3.1</v>
      </c>
      <c r="E22" s="126" t="str">
        <f>'Com-Ind Calculations'!X22</f>
        <v>Csat</v>
      </c>
      <c r="F22" s="127"/>
      <c r="G22" s="698" t="str">
        <f>IF(E22="BTV","NA",IF(E22="Max Limit","NA",IF(E22="Csat","NA",IF(ISNUMBER('Com-Ind Calculations'!U22),((F22/'Com-Ind Calculations'!U22)),"NA"))))</f>
        <v>NA</v>
      </c>
      <c r="H22" s="704" t="str">
        <f>IF(E22="BTV","NA",IF(E22="Max Limit","NA",IF(E22="Csat","NA",IF(ISNUMBER('Com-Ind Calculations'!N22),((F22/'Com-Ind Calculations'!N22)*0.00001),"NA"))))</f>
        <v>NA</v>
      </c>
      <c r="I22" s="702" t="str">
        <f>IF('Chemical Info'!R23="X",'Com-Ind Worksheet'!G22,"")</f>
        <v>NA</v>
      </c>
      <c r="J22" s="702" t="str">
        <f>IF('Chemical Info'!S23="X",'Com-Ind Worksheet'!G22,"")</f>
        <v/>
      </c>
      <c r="K22" s="702" t="str">
        <f>IF('Chemical Info'!T23="X",'Com-Ind Worksheet'!G22,"")</f>
        <v>NA</v>
      </c>
      <c r="L22" s="702" t="str">
        <f>IF('Chemical Info'!U23="X",'Com-Ind Worksheet'!G22,"")</f>
        <v/>
      </c>
      <c r="M22" s="702" t="str">
        <f>IF('Chemical Info'!V23="X",'Com-Ind Worksheet'!G22,"")</f>
        <v/>
      </c>
      <c r="N22" s="702" t="str">
        <f>IF('Chemical Info'!W23="X",'Com-Ind Worksheet'!G22,"")</f>
        <v/>
      </c>
      <c r="O22" s="702" t="str">
        <f>IF('Chemical Info'!X23="X",'Com-Ind Worksheet'!G22,"")</f>
        <v/>
      </c>
      <c r="P22" s="702" t="str">
        <f>IF('Chemical Info'!Y23="X",'Com-Ind Worksheet'!G22,"")</f>
        <v/>
      </c>
      <c r="Q22" s="702" t="str">
        <f>IF('Chemical Info'!Z23="X",'Com-Ind Worksheet'!G22,"")</f>
        <v/>
      </c>
      <c r="R22" s="702" t="str">
        <f>IF('Chemical Info'!AA23="X",'Com-Ind Worksheet'!G22,"")</f>
        <v/>
      </c>
      <c r="S22" s="692" t="str">
        <f t="shared" si="0"/>
        <v>Based on Csat. A concentration &gt; Csat indicates potential for free product in soil.</v>
      </c>
    </row>
    <row r="23" spans="1:19" ht="10">
      <c r="A23" s="129" t="s">
        <v>159</v>
      </c>
      <c r="B23" s="590" t="s">
        <v>73</v>
      </c>
      <c r="C23" s="590">
        <v>2016</v>
      </c>
      <c r="D23" s="126">
        <f>'Com-Ind Calculations'!W23</f>
        <v>18</v>
      </c>
      <c r="E23" s="126" t="str">
        <f>'Com-Ind Calculations'!X23</f>
        <v>Noncancer</v>
      </c>
      <c r="F23" s="127"/>
      <c r="G23" s="698">
        <f>IF(E23="BTV","NA",IF(E23="Max Limit","NA",IF(E23="Csat","NA",IF(ISNUMBER('Com-Ind Calculations'!U23),((F23/'Com-Ind Calculations'!U23)),"NA"))))</f>
        <v>0</v>
      </c>
      <c r="H23" s="704" t="str">
        <f>IF(E23="BTV","NA",IF(E23="Max Limit","NA",IF(E23="Csat","NA",IF(ISNUMBER('Com-Ind Calculations'!N23),((F23/'Com-Ind Calculations'!N23)*0.00001),"NA"))))</f>
        <v>NA</v>
      </c>
      <c r="I23" s="702">
        <f>IF('Chemical Info'!R24="X",'Com-Ind Worksheet'!G23,"")</f>
        <v>0</v>
      </c>
      <c r="J23" s="702" t="str">
        <f>IF('Chemical Info'!S24="X",'Com-Ind Worksheet'!G23,"")</f>
        <v/>
      </c>
      <c r="K23" s="702" t="str">
        <f>IF('Chemical Info'!T24="X",'Com-Ind Worksheet'!G23,"")</f>
        <v/>
      </c>
      <c r="L23" s="702" t="str">
        <f>IF('Chemical Info'!U24="X",'Com-Ind Worksheet'!G23,"")</f>
        <v/>
      </c>
      <c r="M23" s="702" t="str">
        <f>IF('Chemical Info'!V24="X",'Com-Ind Worksheet'!G23,"")</f>
        <v/>
      </c>
      <c r="N23" s="702">
        <f>IF('Chemical Info'!W24="X",'Com-Ind Worksheet'!G23,"")</f>
        <v>0</v>
      </c>
      <c r="O23" s="702" t="str">
        <f>IF('Chemical Info'!X24="X",'Com-Ind Worksheet'!G23,"")</f>
        <v/>
      </c>
      <c r="P23" s="702" t="str">
        <f>IF('Chemical Info'!Y24="X",'Com-Ind Worksheet'!G23,"")</f>
        <v/>
      </c>
      <c r="Q23" s="702" t="str">
        <f>IF('Chemical Info'!Z24="X",'Com-Ind Worksheet'!G23,"")</f>
        <v/>
      </c>
      <c r="R23" s="702" t="str">
        <f>IF('Chemical Info'!AA24="X",'Com-Ind Worksheet'!G23,"")</f>
        <v/>
      </c>
      <c r="S23" s="692" t="str">
        <f t="shared" si="0"/>
        <v/>
      </c>
    </row>
    <row r="24" spans="1:19" ht="10">
      <c r="A24" s="129" t="s">
        <v>1106</v>
      </c>
      <c r="B24" s="590" t="s">
        <v>1144</v>
      </c>
      <c r="C24" s="590">
        <v>2022</v>
      </c>
      <c r="D24" s="126">
        <f>'Com-Ind Calculations'!W24</f>
        <v>1200</v>
      </c>
      <c r="E24" s="126" t="str">
        <f>'Com-Ind Calculations'!X24</f>
        <v>Noncancer</v>
      </c>
      <c r="F24" s="127"/>
      <c r="G24" s="698">
        <f>IF(E24="BTV","NA",IF(E24="Max Limit","NA",IF(E24="Csat","NA",IF(ISNUMBER('Com-Ind Calculations'!U24),((F24/'Com-Ind Calculations'!U24)),"NA"))))</f>
        <v>0</v>
      </c>
      <c r="H24" s="704" t="str">
        <f>IF(E24="BTV","NA",IF(E24="Max Limit","NA",IF(E24="Csat","NA",IF(ISNUMBER('Com-Ind Calculations'!N24),((F24/'Com-Ind Calculations'!N24)*0.00001),"NA"))))</f>
        <v>NA</v>
      </c>
      <c r="I24" s="702" t="str">
        <f>IF('Chemical Info'!R25="X",'Com-Ind Worksheet'!G24,"")</f>
        <v/>
      </c>
      <c r="J24" s="702" t="str">
        <f>IF('Chemical Info'!S25="X",'Com-Ind Worksheet'!G24,"")</f>
        <v/>
      </c>
      <c r="K24" s="702" t="str">
        <f>IF('Chemical Info'!T25="X",'Com-Ind Worksheet'!G24,"")</f>
        <v/>
      </c>
      <c r="L24" s="702">
        <f>IF('Chemical Info'!U25="X",'Com-Ind Worksheet'!G24,"")</f>
        <v>0</v>
      </c>
      <c r="M24" s="702" t="str">
        <f>IF('Chemical Info'!V25="X",'Com-Ind Worksheet'!G24,"")</f>
        <v/>
      </c>
      <c r="N24" s="702" t="str">
        <f>IF('Chemical Info'!W25="X",'Com-Ind Worksheet'!G24,"")</f>
        <v/>
      </c>
      <c r="O24" s="702">
        <f>IF('Chemical Info'!X25="X",'Com-Ind Worksheet'!G24,"")</f>
        <v>0</v>
      </c>
      <c r="P24" s="702" t="str">
        <f>IF('Chemical Info'!Y25="X",'Com-Ind Worksheet'!G24,"")</f>
        <v/>
      </c>
      <c r="Q24" s="702" t="str">
        <f>IF('Chemical Info'!Z25="X",'Com-Ind Worksheet'!G24,"")</f>
        <v/>
      </c>
      <c r="R24" s="702" t="str">
        <f>IF('Chemical Info'!AA25="X",'Com-Ind Worksheet'!G24,"")</f>
        <v/>
      </c>
      <c r="S24" s="692" t="str">
        <f t="shared" si="0"/>
        <v/>
      </c>
    </row>
    <row r="25" spans="1:19" ht="12">
      <c r="A25" s="129" t="s">
        <v>580</v>
      </c>
      <c r="B25" s="566" t="s">
        <v>114</v>
      </c>
      <c r="C25" s="566">
        <v>2024</v>
      </c>
      <c r="D25" s="126">
        <f>'Com-Ind Calculations'!W25</f>
        <v>2000</v>
      </c>
      <c r="E25" s="126" t="str">
        <f>'Com-Ind Calculations'!X25</f>
        <v>Noncancer</v>
      </c>
      <c r="F25" s="127"/>
      <c r="G25" s="698">
        <f>IF(E25="BTV","NA",IF(E25="Max Limit","NA",IF(E25="Csat","NA",IF(ISNUMBER('Com-Ind Calculations'!U25),((F25/'Com-Ind Calculations'!U25)),"NA"))))</f>
        <v>0</v>
      </c>
      <c r="H25" s="704">
        <f>IF(E25="BTV","NA",IF(E25="Max Limit","NA",IF(E25="Csat","NA",IF(ISNUMBER('Com-Ind Calculations'!N25),((F25/'Com-Ind Calculations'!N25)*0.00001),"NA"))))</f>
        <v>0</v>
      </c>
      <c r="I25" s="702" t="str">
        <f>IF('Chemical Info'!R26="X",'Com-Ind Worksheet'!G25,"")</f>
        <v/>
      </c>
      <c r="J25" s="702" t="str">
        <f>IF('Chemical Info'!S26="X",'Com-Ind Worksheet'!G25,"")</f>
        <v/>
      </c>
      <c r="K25" s="702">
        <f>IF('Chemical Info'!T26="X",'Com-Ind Worksheet'!G25,"")</f>
        <v>0</v>
      </c>
      <c r="L25" s="702" t="str">
        <f>IF('Chemical Info'!U26="X",'Com-Ind Worksheet'!G25,"")</f>
        <v/>
      </c>
      <c r="M25" s="702">
        <f>IF('Chemical Info'!V26="X",'Com-Ind Worksheet'!G25,"")</f>
        <v>0</v>
      </c>
      <c r="N25" s="702">
        <f>IF('Chemical Info'!W26="X",'Com-Ind Worksheet'!G25,"")</f>
        <v>0</v>
      </c>
      <c r="O25" s="702">
        <f>IF('Chemical Info'!X26="X",'Com-Ind Worksheet'!G25,"")</f>
        <v>0</v>
      </c>
      <c r="P25" s="702" t="str">
        <f>IF('Chemical Info'!Y26="X",'Com-Ind Worksheet'!G25,"")</f>
        <v/>
      </c>
      <c r="Q25" s="702" t="str">
        <f>IF('Chemical Info'!Z26="X",'Com-Ind Worksheet'!G25,"")</f>
        <v/>
      </c>
      <c r="R25" s="702" t="str">
        <f>IF('Chemical Info'!AA26="X",'Com-Ind Worksheet'!G25,"")</f>
        <v/>
      </c>
      <c r="S25" s="692" t="str">
        <f t="shared" si="0"/>
        <v/>
      </c>
    </row>
    <row r="26" spans="1:19" ht="10">
      <c r="A26" s="129" t="s">
        <v>184</v>
      </c>
      <c r="B26" s="566" t="s">
        <v>185</v>
      </c>
      <c r="C26" s="566">
        <v>2016</v>
      </c>
      <c r="D26" s="126">
        <f>'Com-Ind Calculations'!W26</f>
        <v>1200</v>
      </c>
      <c r="E26" s="126" t="str">
        <f>'Com-Ind Calculations'!X26</f>
        <v>Noncancer</v>
      </c>
      <c r="F26" s="127"/>
      <c r="G26" s="698">
        <f>IF(E26="BTV","NA",IF(E26="Max Limit","NA",IF(E26="Csat","NA",IF(ISNUMBER('Com-Ind Calculations'!U26),((F26/'Com-Ind Calculations'!U26)),"NA"))))</f>
        <v>0</v>
      </c>
      <c r="H26" s="704" t="str">
        <f>IF(E26="BTV","NA",IF(E26="Max Limit","NA",IF(E26="Csat","NA",IF(ISNUMBER('Com-Ind Calculations'!N26),((F26/'Com-Ind Calculations'!N26)*0.00001),"NA"))))</f>
        <v>NA</v>
      </c>
      <c r="I26" s="702">
        <f>IF('Chemical Info'!R27="X",'Com-Ind Worksheet'!G26,"")</f>
        <v>0</v>
      </c>
      <c r="J26" s="702">
        <f>IF('Chemical Info'!S27="X",'Com-Ind Worksheet'!G26,"")</f>
        <v>0</v>
      </c>
      <c r="K26" s="702" t="str">
        <f>IF('Chemical Info'!T27="X",'Com-Ind Worksheet'!G26,"")</f>
        <v/>
      </c>
      <c r="L26" s="702" t="str">
        <f>IF('Chemical Info'!U27="X",'Com-Ind Worksheet'!G26,"")</f>
        <v/>
      </c>
      <c r="M26" s="702">
        <f>IF('Chemical Info'!V27="X",'Com-Ind Worksheet'!G26,"")</f>
        <v>0</v>
      </c>
      <c r="N26" s="702" t="str">
        <f>IF('Chemical Info'!W27="X",'Com-Ind Worksheet'!G26,"")</f>
        <v/>
      </c>
      <c r="O26" s="702" t="str">
        <f>IF('Chemical Info'!X27="X",'Com-Ind Worksheet'!G26,"")</f>
        <v/>
      </c>
      <c r="P26" s="702" t="str">
        <f>IF('Chemical Info'!Y27="X",'Com-Ind Worksheet'!G26,"")</f>
        <v/>
      </c>
      <c r="Q26" s="702">
        <f>IF('Chemical Info'!Z27="X",'Com-Ind Worksheet'!G26,"")</f>
        <v>0</v>
      </c>
      <c r="R26" s="702" t="str">
        <f>IF('Chemical Info'!AA27="X",'Com-Ind Worksheet'!G26,"")</f>
        <v/>
      </c>
      <c r="S26" s="692" t="str">
        <f t="shared" si="0"/>
        <v/>
      </c>
    </row>
    <row r="27" spans="1:19" ht="10">
      <c r="A27" s="129" t="s">
        <v>186</v>
      </c>
      <c r="B27" s="566" t="s">
        <v>187</v>
      </c>
      <c r="C27" s="566">
        <v>2016</v>
      </c>
      <c r="D27" s="126">
        <f>'Com-Ind Calculations'!W27</f>
        <v>1200</v>
      </c>
      <c r="E27" s="126" t="str">
        <f>'Com-Ind Calculations'!X27</f>
        <v>Noncancer</v>
      </c>
      <c r="F27" s="127"/>
      <c r="G27" s="698">
        <f>IF(E27="BTV","NA",IF(E27="Max Limit","NA",IF(E27="Csat","NA",IF(ISNUMBER('Com-Ind Calculations'!U27),((F27/'Com-Ind Calculations'!U27)),"NA"))))</f>
        <v>0</v>
      </c>
      <c r="H27" s="704" t="str">
        <f>IF(E27="BTV","NA",IF(E27="Max Limit","NA",IF(E27="Csat","NA",IF(ISNUMBER('Com-Ind Calculations'!N27),((F27/'Com-Ind Calculations'!N27)*0.00001),"NA"))))</f>
        <v>NA</v>
      </c>
      <c r="I27" s="702" t="str">
        <f>IF('Chemical Info'!R28="X",'Com-Ind Worksheet'!G27,"")</f>
        <v/>
      </c>
      <c r="J27" s="702" t="str">
        <f>IF('Chemical Info'!S28="X",'Com-Ind Worksheet'!G27,"")</f>
        <v/>
      </c>
      <c r="K27" s="702" t="str">
        <f>IF('Chemical Info'!T28="X",'Com-Ind Worksheet'!G27,"")</f>
        <v/>
      </c>
      <c r="L27" s="702" t="str">
        <f>IF('Chemical Info'!U28="X",'Com-Ind Worksheet'!G27,"")</f>
        <v/>
      </c>
      <c r="M27" s="702" t="str">
        <f>IF('Chemical Info'!V28="X",'Com-Ind Worksheet'!G27,"")</f>
        <v/>
      </c>
      <c r="N27" s="702" t="str">
        <f>IF('Chemical Info'!W28="X",'Com-Ind Worksheet'!G27,"")</f>
        <v/>
      </c>
      <c r="O27" s="702" t="str">
        <f>IF('Chemical Info'!X28="X",'Com-Ind Worksheet'!G27,"")</f>
        <v/>
      </c>
      <c r="P27" s="702" t="str">
        <f>IF('Chemical Info'!Y28="X",'Com-Ind Worksheet'!G27,"")</f>
        <v/>
      </c>
      <c r="Q27" s="702">
        <f>IF('Chemical Info'!Z28="X",'Com-Ind Worksheet'!G27,"")</f>
        <v>0</v>
      </c>
      <c r="R27" s="702" t="str">
        <f>IF('Chemical Info'!AA28="X",'Com-Ind Worksheet'!G27,"")</f>
        <v/>
      </c>
      <c r="S27" s="692" t="str">
        <f t="shared" si="0"/>
        <v/>
      </c>
    </row>
    <row r="28" spans="1:19" ht="10">
      <c r="A28" s="129" t="s">
        <v>188</v>
      </c>
      <c r="B28" s="566" t="s">
        <v>189</v>
      </c>
      <c r="C28" s="566">
        <v>2016</v>
      </c>
      <c r="D28" s="126">
        <f>'Com-Ind Calculations'!W28</f>
        <v>100000</v>
      </c>
      <c r="E28" s="126" t="str">
        <f>'Com-Ind Calculations'!X28</f>
        <v>Max Limit</v>
      </c>
      <c r="F28" s="127"/>
      <c r="G28" s="698" t="str">
        <f>IF(E28="BTV","NA",IF(E28="Max Limit","NA",IF(E28="Csat","NA",IF(ISNUMBER('Com-Ind Calculations'!U28),((F28/'Com-Ind Calculations'!U28)),"NA"))))</f>
        <v>NA</v>
      </c>
      <c r="H28" s="704" t="str">
        <f>IF(E28="BTV","NA",IF(E28="Max Limit","NA",IF(E28="Csat","NA",IF(ISNUMBER('Com-Ind Calculations'!N28),((F28/'Com-Ind Calculations'!N28)*0.00001),"NA"))))</f>
        <v>NA</v>
      </c>
      <c r="I28" s="702" t="str">
        <f>IF('Chemical Info'!R29="X",'Com-Ind Worksheet'!G28,"")</f>
        <v/>
      </c>
      <c r="J28" s="702" t="str">
        <f>IF('Chemical Info'!S29="X",'Com-Ind Worksheet'!G28,"")</f>
        <v/>
      </c>
      <c r="K28" s="702" t="str">
        <f>IF('Chemical Info'!T29="X",'Com-Ind Worksheet'!G28,"")</f>
        <v/>
      </c>
      <c r="L28" s="702" t="str">
        <f>IF('Chemical Info'!U29="X",'Com-Ind Worksheet'!G28,"")</f>
        <v/>
      </c>
      <c r="M28" s="702" t="str">
        <f>IF('Chemical Info'!V29="X",'Com-Ind Worksheet'!G28,"")</f>
        <v/>
      </c>
      <c r="N28" s="702" t="str">
        <f>IF('Chemical Info'!W29="X",'Com-Ind Worksheet'!G28,"")</f>
        <v>NA</v>
      </c>
      <c r="O28" s="702" t="str">
        <f>IF('Chemical Info'!X29="X",'Com-Ind Worksheet'!G28,"")</f>
        <v/>
      </c>
      <c r="P28" s="702" t="str">
        <f>IF('Chemical Info'!Y29="X",'Com-Ind Worksheet'!G28,"")</f>
        <v>NA</v>
      </c>
      <c r="Q28" s="702" t="str">
        <f>IF('Chemical Info'!Z29="X",'Com-Ind Worksheet'!G28,"")</f>
        <v/>
      </c>
      <c r="R28" s="702" t="str">
        <f>IF('Chemical Info'!AA29="X",'Com-Ind Worksheet'!G28,"")</f>
        <v/>
      </c>
      <c r="S28" s="692" t="str">
        <f t="shared" si="0"/>
        <v>Based on maximum contaminant limit. Concentration should not be &gt; SRV.</v>
      </c>
    </row>
    <row r="29" spans="1:19" ht="10">
      <c r="A29" s="129" t="s">
        <v>190</v>
      </c>
      <c r="B29" s="566" t="s">
        <v>114</v>
      </c>
      <c r="C29" s="566">
        <v>2016</v>
      </c>
      <c r="D29" s="126">
        <f>'Com-Ind Calculations'!W29</f>
        <v>2.2999999999999998</v>
      </c>
      <c r="E29" s="126" t="str">
        <f>'Com-Ind Calculations'!X29</f>
        <v>Noncancer</v>
      </c>
      <c r="F29" s="127"/>
      <c r="G29" s="698">
        <f>IF(E29="BTV","NA",IF(E29="Max Limit","NA",IF(E29="Csat","NA",IF(ISNUMBER('Com-Ind Calculations'!U29),((F29/'Com-Ind Calculations'!U29)),"NA"))))</f>
        <v>0</v>
      </c>
      <c r="H29" s="704" t="str">
        <f>IF(E29="BTV","NA",IF(E29="Max Limit","NA",IF(E29="Csat","NA",IF(ISNUMBER('Com-Ind Calculations'!N29),((F29/'Com-Ind Calculations'!N29)*0.00001),"NA"))))</f>
        <v>NA</v>
      </c>
      <c r="I29" s="702" t="str">
        <f>IF('Chemical Info'!R30="X",'Com-Ind Worksheet'!G29,"")</f>
        <v/>
      </c>
      <c r="J29" s="702" t="str">
        <f>IF('Chemical Info'!S30="X",'Com-Ind Worksheet'!G29,"")</f>
        <v/>
      </c>
      <c r="K29" s="702" t="str">
        <f>IF('Chemical Info'!T30="X",'Com-Ind Worksheet'!G29,"")</f>
        <v/>
      </c>
      <c r="L29" s="702" t="str">
        <f>IF('Chemical Info'!U30="X",'Com-Ind Worksheet'!G29,"")</f>
        <v/>
      </c>
      <c r="M29" s="702" t="str">
        <f>IF('Chemical Info'!V30="X",'Com-Ind Worksheet'!G29,"")</f>
        <v/>
      </c>
      <c r="N29" s="702" t="str">
        <f>IF('Chemical Info'!W30="X",'Com-Ind Worksheet'!G29,"")</f>
        <v/>
      </c>
      <c r="O29" s="702" t="str">
        <f>IF('Chemical Info'!X30="X",'Com-Ind Worksheet'!G29,"")</f>
        <v/>
      </c>
      <c r="P29" s="702" t="str">
        <f>IF('Chemical Info'!Y30="X",'Com-Ind Worksheet'!G29,"")</f>
        <v/>
      </c>
      <c r="Q29" s="702">
        <f>IF('Chemical Info'!Z30="X",'Com-Ind Worksheet'!G29,"")</f>
        <v>0</v>
      </c>
      <c r="R29" s="702" t="str">
        <f>IF('Chemical Info'!AA30="X",'Com-Ind Worksheet'!G29,"")</f>
        <v/>
      </c>
      <c r="S29" s="692" t="str">
        <f t="shared" si="0"/>
        <v/>
      </c>
    </row>
    <row r="30" spans="1:19" ht="10">
      <c r="A30" s="129" t="s">
        <v>54</v>
      </c>
      <c r="B30" s="62" t="s">
        <v>114</v>
      </c>
      <c r="C30" s="62">
        <v>2016</v>
      </c>
      <c r="D30" s="126">
        <f>'Com-Ind Calculations'!W30</f>
        <v>70000</v>
      </c>
      <c r="E30" s="126" t="str">
        <f>'Com-Ind Calculations'!X30</f>
        <v>Noncancer</v>
      </c>
      <c r="F30" s="127"/>
      <c r="G30" s="698">
        <f>IF(E30="BTV","NA",IF(E30="Max Limit","NA",IF(E30="Csat","NA",IF(ISNUMBER('Com-Ind Calculations'!U30),((F30/'Com-Ind Calculations'!U30)),"NA"))))</f>
        <v>0</v>
      </c>
      <c r="H30" s="704" t="str">
        <f>IF(E30="BTV","NA",IF(E30="Max Limit","NA",IF(E30="Csat","NA",IF(ISNUMBER('Com-Ind Calculations'!N30),((F30/'Com-Ind Calculations'!N30)*0.00001),"NA"))))</f>
        <v>NA</v>
      </c>
      <c r="I30" s="702" t="str">
        <f>IF('Chemical Info'!R31="X",'Com-Ind Worksheet'!G30,"")</f>
        <v/>
      </c>
      <c r="J30" s="702">
        <f>IF('Chemical Info'!S31="X",'Com-Ind Worksheet'!G30,"")</f>
        <v>0</v>
      </c>
      <c r="K30" s="702" t="str">
        <f>IF('Chemical Info'!T31="X",'Com-Ind Worksheet'!G30,"")</f>
        <v/>
      </c>
      <c r="L30" s="702" t="str">
        <f>IF('Chemical Info'!U31="X",'Com-Ind Worksheet'!G30,"")</f>
        <v/>
      </c>
      <c r="M30" s="702" t="str">
        <f>IF('Chemical Info'!V31="X",'Com-Ind Worksheet'!G30,"")</f>
        <v/>
      </c>
      <c r="N30" s="702" t="str">
        <f>IF('Chemical Info'!W31="X",'Com-Ind Worksheet'!G30,"")</f>
        <v/>
      </c>
      <c r="O30" s="702" t="str">
        <f>IF('Chemical Info'!X31="X",'Com-Ind Worksheet'!G30,"")</f>
        <v/>
      </c>
      <c r="P30" s="702" t="str">
        <f>IF('Chemical Info'!Y31="X",'Com-Ind Worksheet'!G30,"")</f>
        <v/>
      </c>
      <c r="Q30" s="702" t="str">
        <f>IF('Chemical Info'!Z31="X",'Com-Ind Worksheet'!G30,"")</f>
        <v/>
      </c>
      <c r="R30" s="702" t="str">
        <f>IF('Chemical Info'!AA31="X",'Com-Ind Worksheet'!G30,"")</f>
        <v/>
      </c>
      <c r="S30" s="692" t="str">
        <f t="shared" si="0"/>
        <v/>
      </c>
    </row>
    <row r="31" spans="1:19" ht="12">
      <c r="A31" s="129" t="s">
        <v>581</v>
      </c>
      <c r="B31" s="566" t="s">
        <v>55</v>
      </c>
      <c r="C31" s="566">
        <v>2021</v>
      </c>
      <c r="D31" s="126">
        <f>'Com-Ind Calculations'!W31</f>
        <v>66000</v>
      </c>
      <c r="E31" s="126" t="str">
        <f>'Com-Ind Calculations'!X31</f>
        <v>Noncancer</v>
      </c>
      <c r="F31" s="127"/>
      <c r="G31" s="698">
        <f>IF(E31="BTV","NA",IF(E31="Max Limit","NA",IF(E31="Csat","NA",IF(ISNUMBER('Com-Ind Calculations'!U31),((F31/'Com-Ind Calculations'!U31)),"NA"))))</f>
        <v>0</v>
      </c>
      <c r="H31" s="704" t="str">
        <f>IF(E31="BTV","NA",IF(E31="Max Limit","NA",IF(E31="Csat","NA",IF(ISNUMBER('Com-Ind Calculations'!N31),((F31/'Com-Ind Calculations'!N31)*0.00001),"NA"))))</f>
        <v>NA</v>
      </c>
      <c r="I31" s="702" t="str">
        <f>IF('Chemical Info'!R32="X",'Com-Ind Worksheet'!G31,"")</f>
        <v/>
      </c>
      <c r="J31" s="702" t="str">
        <f>IF('Chemical Info'!S32="X",'Com-Ind Worksheet'!G31,"")</f>
        <v/>
      </c>
      <c r="K31" s="702" t="str">
        <f>IF('Chemical Info'!T32="X",'Com-Ind Worksheet'!G31,"")</f>
        <v/>
      </c>
      <c r="L31" s="702" t="str">
        <f>IF('Chemical Info'!U32="X",'Com-Ind Worksheet'!G31,"")</f>
        <v/>
      </c>
      <c r="M31" s="702" t="str">
        <f>IF('Chemical Info'!V32="X",'Com-Ind Worksheet'!G31,"")</f>
        <v/>
      </c>
      <c r="N31" s="702" t="str">
        <f>IF('Chemical Info'!W32="X",'Com-Ind Worksheet'!G31,"")</f>
        <v/>
      </c>
      <c r="O31" s="702">
        <f>IF('Chemical Info'!X32="X",'Com-Ind Worksheet'!G31,"")</f>
        <v>0</v>
      </c>
      <c r="P31" s="702" t="str">
        <f>IF('Chemical Info'!Y32="X",'Com-Ind Worksheet'!G31,"")</f>
        <v/>
      </c>
      <c r="Q31" s="702" t="str">
        <f>IF('Chemical Info'!Z32="X",'Com-Ind Worksheet'!G31,"")</f>
        <v/>
      </c>
      <c r="R31" s="702" t="str">
        <f>IF('Chemical Info'!AA32="X",'Com-Ind Worksheet'!G31,"")</f>
        <v/>
      </c>
      <c r="S31" s="692" t="str">
        <f t="shared" si="0"/>
        <v/>
      </c>
    </row>
    <row r="32" spans="1:19" ht="12">
      <c r="A32" s="527" t="s">
        <v>892</v>
      </c>
      <c r="B32" s="599" t="s">
        <v>243</v>
      </c>
      <c r="C32" s="599">
        <v>2021</v>
      </c>
      <c r="D32" s="524">
        <v>62</v>
      </c>
      <c r="E32" s="524" t="s">
        <v>890</v>
      </c>
      <c r="F32" s="127"/>
      <c r="G32" s="698" t="str">
        <f>IF(E32="BTV","NA",IF(E32="Max Limit","NA",IF(E32="Csat","NA",IF(ISNUMBER('Com-Ind Calculations'!U32),((F32/'Com-Ind Calculations'!U32)),"NA"))))</f>
        <v>NA</v>
      </c>
      <c r="H32" s="704" t="str">
        <f>IF(E32="BTV","NA",IF(E32="Max Limit","NA",IF(E32="Csat","NA",IF(ISNUMBER('Com-Ind Calculations'!N32),((F32/'Com-Ind Calculations'!N32)*0.00001),"NA"))))</f>
        <v>NA</v>
      </c>
      <c r="I32" s="702" t="str">
        <f>IF('Chemical Info'!R33="X",'Com-Ind Worksheet'!G32,"")</f>
        <v/>
      </c>
      <c r="J32" s="702" t="str">
        <f>IF('Chemical Info'!S33="X",'Com-Ind Worksheet'!G32,"")</f>
        <v/>
      </c>
      <c r="K32" s="702" t="str">
        <f>IF('Chemical Info'!T33="X",'Com-Ind Worksheet'!G32,"")</f>
        <v/>
      </c>
      <c r="L32" s="702" t="str">
        <f>IF('Chemical Info'!U33="X",'Com-Ind Worksheet'!G32,"")</f>
        <v>NA</v>
      </c>
      <c r="M32" s="702" t="str">
        <f>IF('Chemical Info'!V33="X",'Com-Ind Worksheet'!G32,"")</f>
        <v/>
      </c>
      <c r="N32" s="702" t="str">
        <f>IF('Chemical Info'!W33="X",'Com-Ind Worksheet'!G32,"")</f>
        <v/>
      </c>
      <c r="O32" s="702" t="str">
        <f>IF('Chemical Info'!X33="X",'Com-Ind Worksheet'!G32,"")</f>
        <v>NA</v>
      </c>
      <c r="P32" s="702" t="str">
        <f>IF('Chemical Info'!Y33="X",'Com-Ind Worksheet'!G32,"")</f>
        <v/>
      </c>
      <c r="Q32" s="702" t="str">
        <f>IF('Chemical Info'!Z33="X",'Com-Ind Worksheet'!G32,"")</f>
        <v/>
      </c>
      <c r="R32" s="702" t="str">
        <f>IF('Chemical Info'!AA33="X",'Com-Ind Worksheet'!G32,"")</f>
        <v/>
      </c>
      <c r="S32" s="692" t="str">
        <f t="shared" si="0"/>
        <v/>
      </c>
    </row>
    <row r="33" spans="1:19" ht="12">
      <c r="A33" s="129" t="s">
        <v>582</v>
      </c>
      <c r="B33" s="566" t="s">
        <v>56</v>
      </c>
      <c r="C33" s="566">
        <v>2016</v>
      </c>
      <c r="D33" s="126">
        <f>'Com-Ind Calculations'!W33</f>
        <v>70000</v>
      </c>
      <c r="E33" s="126" t="str">
        <f>'Com-Ind Calculations'!X33</f>
        <v>Noncancer</v>
      </c>
      <c r="F33" s="127"/>
      <c r="G33" s="698">
        <f>IF(E33="BTV","NA",IF(E33="Max Limit","NA",IF(E33="Csat","NA",IF(ISNUMBER('Com-Ind Calculations'!U33),((F33/'Com-Ind Calculations'!U33)),"NA"))))</f>
        <v>0</v>
      </c>
      <c r="H33" s="704" t="str">
        <f>IF(E33="BTV","NA",IF(E33="Max Limit","NA",IF(E33="Csat","NA",IF(ISNUMBER('Com-Ind Calculations'!N33),((F33/'Com-Ind Calculations'!N33)*0.00001),"NA"))))</f>
        <v>NA</v>
      </c>
      <c r="I33" s="702" t="str">
        <f>IF('Chemical Info'!R34="X",'Com-Ind Worksheet'!G33,"")</f>
        <v/>
      </c>
      <c r="J33" s="702">
        <f>IF('Chemical Info'!S34="X",'Com-Ind Worksheet'!G33,"")</f>
        <v>0</v>
      </c>
      <c r="K33" s="702" t="str">
        <f>IF('Chemical Info'!T34="X",'Com-Ind Worksheet'!G33,"")</f>
        <v/>
      </c>
      <c r="L33" s="702" t="str">
        <f>IF('Chemical Info'!U34="X",'Com-Ind Worksheet'!G33,"")</f>
        <v/>
      </c>
      <c r="M33" s="702" t="str">
        <f>IF('Chemical Info'!V34="X",'Com-Ind Worksheet'!G33,"")</f>
        <v/>
      </c>
      <c r="N33" s="702" t="str">
        <f>IF('Chemical Info'!W34="X",'Com-Ind Worksheet'!G33,"")</f>
        <v/>
      </c>
      <c r="O33" s="702" t="str">
        <f>IF('Chemical Info'!X34="X",'Com-Ind Worksheet'!G33,"")</f>
        <v/>
      </c>
      <c r="P33" s="702" t="str">
        <f>IF('Chemical Info'!Y34="X",'Com-Ind Worksheet'!G33,"")</f>
        <v/>
      </c>
      <c r="Q33" s="702" t="str">
        <f>IF('Chemical Info'!Z34="X",'Com-Ind Worksheet'!G33,"")</f>
        <v/>
      </c>
      <c r="R33" s="702" t="str">
        <f>IF('Chemical Info'!AA34="X",'Com-Ind Worksheet'!G33,"")</f>
        <v/>
      </c>
      <c r="S33" s="692" t="str">
        <f t="shared" si="0"/>
        <v/>
      </c>
    </row>
    <row r="34" spans="1:19" ht="10">
      <c r="A34" s="383" t="s">
        <v>364</v>
      </c>
      <c r="B34" s="593"/>
      <c r="C34" s="593"/>
      <c r="D34" s="384"/>
      <c r="E34" s="384"/>
      <c r="F34" s="385"/>
      <c r="G34" s="697"/>
      <c r="H34" s="703"/>
      <c r="I34" s="714"/>
      <c r="J34" s="714"/>
      <c r="K34" s="714"/>
      <c r="L34" s="714"/>
      <c r="M34" s="714"/>
      <c r="N34" s="714"/>
      <c r="O34" s="714"/>
      <c r="P34" s="714"/>
      <c r="Q34" s="714"/>
      <c r="R34" s="715"/>
      <c r="S34" s="691"/>
    </row>
    <row r="35" spans="1:19" ht="10">
      <c r="A35" s="129" t="s">
        <v>195</v>
      </c>
      <c r="B35" s="566" t="s">
        <v>196</v>
      </c>
      <c r="C35" s="566">
        <v>2016</v>
      </c>
      <c r="D35" s="126">
        <f>'Com-Ind Calculations'!W35</f>
        <v>100000</v>
      </c>
      <c r="E35" s="126" t="str">
        <f>'Com-Ind Calculations'!X35</f>
        <v>Max Limit</v>
      </c>
      <c r="F35" s="127"/>
      <c r="G35" s="698" t="str">
        <f>IF(E35="BTV","NA",IF(E35="Max Limit","NA",IF(E35="Csat","NA",IF(ISNUMBER('Com-Ind Calculations'!U35),((F35/'Com-Ind Calculations'!U35)),"NA"))))</f>
        <v>NA</v>
      </c>
      <c r="H35" s="704" t="str">
        <f>IF(E35="BTV","NA",IF(E35="Max Limit","NA",IF(E35="Csat","NA",IF(ISNUMBER('Com-Ind Calculations'!N35),((F35/'Com-Ind Calculations'!N35)*0.00001),"NA"))))</f>
        <v>NA</v>
      </c>
      <c r="I35" s="702" t="str">
        <f>IF('Chemical Info'!R36="X",'Com-Ind Worksheet'!G35,"")</f>
        <v/>
      </c>
      <c r="J35" s="702" t="str">
        <f>IF('Chemical Info'!S36="X",'Com-Ind Worksheet'!G35,"")</f>
        <v>NA</v>
      </c>
      <c r="K35" s="702" t="str">
        <f>IF('Chemical Info'!T36="X",'Com-Ind Worksheet'!G35,"")</f>
        <v/>
      </c>
      <c r="L35" s="702" t="str">
        <f>IF('Chemical Info'!U36="X",'Com-Ind Worksheet'!G35,"")</f>
        <v>NA</v>
      </c>
      <c r="M35" s="702" t="str">
        <f>IF('Chemical Info'!V36="X",'Com-Ind Worksheet'!G35,"")</f>
        <v>NA</v>
      </c>
      <c r="N35" s="702" t="str">
        <f>IF('Chemical Info'!W36="X",'Com-Ind Worksheet'!G35,"")</f>
        <v/>
      </c>
      <c r="O35" s="702" t="str">
        <f>IF('Chemical Info'!X36="X",'Com-Ind Worksheet'!G35,"")</f>
        <v/>
      </c>
      <c r="P35" s="702" t="str">
        <f>IF('Chemical Info'!Y36="X",'Com-Ind Worksheet'!G35,"")</f>
        <v/>
      </c>
      <c r="Q35" s="702" t="str">
        <f>IF('Chemical Info'!Z36="X",'Com-Ind Worksheet'!G35,"")</f>
        <v/>
      </c>
      <c r="R35" s="702" t="str">
        <f>IF('Chemical Info'!AA36="X",'Com-Ind Worksheet'!G35,"")</f>
        <v/>
      </c>
      <c r="S35" s="692" t="str">
        <f t="shared" si="0"/>
        <v>Based on maximum contaminant limit. Concentration should not be &gt; SRV.</v>
      </c>
    </row>
    <row r="36" spans="1:19" ht="10">
      <c r="A36" s="129" t="s">
        <v>1161</v>
      </c>
      <c r="B36" s="566" t="s">
        <v>1162</v>
      </c>
      <c r="C36" s="736">
        <v>2025</v>
      </c>
      <c r="D36" s="126">
        <f>'Com-Ind Calculations'!W36</f>
        <v>15</v>
      </c>
      <c r="E36" s="126" t="str">
        <f>'Com-Ind Calculations'!X36</f>
        <v>Noncancer</v>
      </c>
      <c r="F36" s="127"/>
      <c r="G36" s="698">
        <f>IF(E36="BTV","NA",IF(E36="Max Limit","NA",IF(E36="Csat","NA",IF(ISNUMBER('Com-Ind Calculations'!U36),((F36/'Com-Ind Calculations'!U36)),"NA"))))</f>
        <v>0</v>
      </c>
      <c r="H36" s="704">
        <f>IF(E36="BTV","NA",IF(E36="Max Limit","NA",IF(E36="Csat","NA",IF(ISNUMBER('Com-Ind Calculations'!N36),((F36/'Com-Ind Calculations'!N36)*0.00001),"NA"))))</f>
        <v>0</v>
      </c>
      <c r="I36" s="702" t="str">
        <f>IF('Chemical Info'!R37="X",'Com-Ind Worksheet'!G36,"")</f>
        <v/>
      </c>
      <c r="J36" s="702" t="str">
        <f>IF('Chemical Info'!S37="X",'Com-Ind Worksheet'!G36,"")</f>
        <v/>
      </c>
      <c r="K36" s="702" t="str">
        <f>IF('Chemical Info'!T37="X",'Com-Ind Worksheet'!G36,"")</f>
        <v/>
      </c>
      <c r="L36" s="702" t="str">
        <f>IF('Chemical Info'!U37="X",'Com-Ind Worksheet'!G36,"")</f>
        <v/>
      </c>
      <c r="M36" s="702">
        <f>IF('Chemical Info'!V37="X",'Com-Ind Worksheet'!G36,"")</f>
        <v>0</v>
      </c>
      <c r="N36" s="702" t="str">
        <f>IF('Chemical Info'!W37="X",'Com-Ind Worksheet'!G36,"")</f>
        <v/>
      </c>
      <c r="O36" s="702">
        <f>IF('Chemical Info'!X37="X",'Com-Ind Worksheet'!G36,"")</f>
        <v>0</v>
      </c>
      <c r="P36" s="702" t="str">
        <f>IF('Chemical Info'!Y37="X",'Com-Ind Worksheet'!G36,"")</f>
        <v/>
      </c>
      <c r="Q36" s="702" t="str">
        <f>IF('Chemical Info'!Z37="X",'Com-Ind Worksheet'!G36,"")</f>
        <v/>
      </c>
      <c r="R36" s="702" t="str">
        <f>IF('Chemical Info'!AA37="X",'Com-Ind Worksheet'!G36,"")</f>
        <v/>
      </c>
      <c r="S36" s="692" t="str">
        <f t="shared" si="0"/>
        <v/>
      </c>
    </row>
    <row r="37" spans="1:19" ht="10">
      <c r="A37" s="129" t="s">
        <v>1119</v>
      </c>
      <c r="B37" s="566" t="s">
        <v>1120</v>
      </c>
      <c r="C37" s="566">
        <v>2022</v>
      </c>
      <c r="D37" s="126">
        <f>'Com-Ind Calculations'!W37</f>
        <v>16</v>
      </c>
      <c r="E37" s="126" t="str">
        <f>'Com-Ind Calculations'!X37</f>
        <v>Noncancer</v>
      </c>
      <c r="F37" s="127"/>
      <c r="G37" s="698">
        <f>IF(E37="BTV","NA",IF(E37="Max Limit","NA",IF(E37="Csat","NA",IF(ISNUMBER('Com-Ind Calculations'!U37),((F37/'Com-Ind Calculations'!U37)),"NA"))))</f>
        <v>0</v>
      </c>
      <c r="H37" s="704">
        <f>IF(E37="BTV","NA",IF(E37="Max Limit","NA",IF(E37="Csat","NA",IF(ISNUMBER('Com-Ind Calculations'!N37),((F37/'Com-Ind Calculations'!N37)*0.00001),"NA"))))</f>
        <v>0</v>
      </c>
      <c r="I37" s="702">
        <f>IF('Chemical Info'!R38="X",'Com-Ind Worksheet'!G37,"")</f>
        <v>0</v>
      </c>
      <c r="J37" s="702" t="str">
        <f>IF('Chemical Info'!S38="X",'Com-Ind Worksheet'!G37,"")</f>
        <v/>
      </c>
      <c r="K37" s="702" t="str">
        <f>IF('Chemical Info'!T38="X",'Com-Ind Worksheet'!G37,"")</f>
        <v/>
      </c>
      <c r="L37" s="702" t="str">
        <f>IF('Chemical Info'!U38="X",'Com-Ind Worksheet'!G37,"")</f>
        <v/>
      </c>
      <c r="M37" s="702" t="str">
        <f>IF('Chemical Info'!V38="X",'Com-Ind Worksheet'!G37,"")</f>
        <v/>
      </c>
      <c r="N37" s="702" t="str">
        <f>IF('Chemical Info'!W38="X",'Com-Ind Worksheet'!G37,"")</f>
        <v/>
      </c>
      <c r="O37" s="702" t="str">
        <f>IF('Chemical Info'!X38="X",'Com-Ind Worksheet'!G37,"")</f>
        <v/>
      </c>
      <c r="P37" s="702" t="str">
        <f>IF('Chemical Info'!Y38="X",'Com-Ind Worksheet'!G37,"")</f>
        <v/>
      </c>
      <c r="Q37" s="702" t="str">
        <f>IF('Chemical Info'!Z38="X",'Com-Ind Worksheet'!G37,"")</f>
        <v/>
      </c>
      <c r="R37" s="702" t="str">
        <f>IF('Chemical Info'!AA38="X",'Com-Ind Worksheet'!G37,"")</f>
        <v/>
      </c>
      <c r="S37" s="692" t="str">
        <f t="shared" si="0"/>
        <v/>
      </c>
    </row>
    <row r="38" spans="1:19" ht="10">
      <c r="A38" s="129" t="s">
        <v>226</v>
      </c>
      <c r="B38" s="566" t="s">
        <v>227</v>
      </c>
      <c r="C38" s="566">
        <v>2021</v>
      </c>
      <c r="D38" s="126">
        <f>'Com-Ind Calculations'!W38</f>
        <v>42</v>
      </c>
      <c r="E38" s="126" t="str">
        <f>'Com-Ind Calculations'!X38</f>
        <v>Noncancer</v>
      </c>
      <c r="F38" s="127"/>
      <c r="G38" s="698">
        <f>IF(E38="BTV","NA",IF(E38="Max Limit","NA",IF(E38="Csat","NA",IF(ISNUMBER('Com-Ind Calculations'!U38),((F38/'Com-Ind Calculations'!U38)),"NA"))))</f>
        <v>0</v>
      </c>
      <c r="H38" s="704">
        <f>IF(E38="BTV","NA",IF(E38="Max Limit","NA",IF(E38="Csat","NA",IF(ISNUMBER('Com-Ind Calculations'!N38),((F38/'Com-Ind Calculations'!N38)*0.00001),"NA"))))</f>
        <v>0</v>
      </c>
      <c r="I38" s="702" t="str">
        <f>IF('Chemical Info'!R39="X",'Com-Ind Worksheet'!G38,"")</f>
        <v/>
      </c>
      <c r="J38" s="702">
        <f>IF('Chemical Info'!S39="X",'Com-Ind Worksheet'!G38,"")</f>
        <v>0</v>
      </c>
      <c r="K38" s="702">
        <f>IF('Chemical Info'!T39="X",'Com-Ind Worksheet'!G38,"")</f>
        <v>0</v>
      </c>
      <c r="L38" s="702" t="str">
        <f>IF('Chemical Info'!U39="X",'Com-Ind Worksheet'!G38,"")</f>
        <v/>
      </c>
      <c r="M38" s="702" t="str">
        <f>IF('Chemical Info'!V39="X",'Com-Ind Worksheet'!G38,"")</f>
        <v/>
      </c>
      <c r="N38" s="702" t="str">
        <f>IF('Chemical Info'!W39="X",'Com-Ind Worksheet'!G38,"")</f>
        <v/>
      </c>
      <c r="O38" s="702" t="str">
        <f>IF('Chemical Info'!X39="X",'Com-Ind Worksheet'!G38,"")</f>
        <v/>
      </c>
      <c r="P38" s="702" t="str">
        <f>IF('Chemical Info'!Y39="X",'Com-Ind Worksheet'!G38,"")</f>
        <v/>
      </c>
      <c r="Q38" s="702" t="str">
        <f>IF('Chemical Info'!Z39="X",'Com-Ind Worksheet'!G38,"")</f>
        <v/>
      </c>
      <c r="R38" s="702" t="str">
        <f>IF('Chemical Info'!AA39="X",'Com-Ind Worksheet'!G38,"")</f>
        <v/>
      </c>
      <c r="S38" s="692" t="str">
        <f t="shared" si="0"/>
        <v/>
      </c>
    </row>
    <row r="39" spans="1:19" ht="10">
      <c r="A39" s="129" t="s">
        <v>1112</v>
      </c>
      <c r="B39" s="566" t="s">
        <v>1113</v>
      </c>
      <c r="C39" s="566">
        <v>2022</v>
      </c>
      <c r="D39" s="126">
        <f>'Com-Ind Calculations'!W39</f>
        <v>680</v>
      </c>
      <c r="E39" s="126" t="str">
        <f>'Com-Ind Calculations'!X39</f>
        <v>Csat</v>
      </c>
      <c r="F39" s="127"/>
      <c r="G39" s="698" t="str">
        <f>IF(E39="BTV","NA",IF(E39="Max Limit","NA",IF(E39="Csat","NA",IF(ISNUMBER('Com-Ind Calculations'!U39),((F39/'Com-Ind Calculations'!U39)),"NA"))))</f>
        <v>NA</v>
      </c>
      <c r="H39" s="704" t="str">
        <f>IF(E39="BTV","NA",IF(E39="Max Limit","NA",IF(E39="Csat","NA",IF(ISNUMBER('Com-Ind Calculations'!N39),((F39/'Com-Ind Calculations'!N39)*0.00001),"NA"))))</f>
        <v>NA</v>
      </c>
      <c r="I39" s="702" t="str">
        <f>IF('Chemical Info'!R40="X",'Com-Ind Worksheet'!G39,"")</f>
        <v/>
      </c>
      <c r="J39" s="702" t="str">
        <f>IF('Chemical Info'!S40="X",'Com-Ind Worksheet'!G39,"")</f>
        <v/>
      </c>
      <c r="K39" s="702" t="str">
        <f>IF('Chemical Info'!T40="X",'Com-Ind Worksheet'!G39,"")</f>
        <v/>
      </c>
      <c r="L39" s="702" t="str">
        <f>IF('Chemical Info'!U40="X",'Com-Ind Worksheet'!G39,"")</f>
        <v/>
      </c>
      <c r="M39" s="702" t="str">
        <f>IF('Chemical Info'!V40="X",'Com-Ind Worksheet'!G39,"")</f>
        <v>NA</v>
      </c>
      <c r="N39" s="702" t="str">
        <f>IF('Chemical Info'!W40="X",'Com-Ind Worksheet'!G39,"")</f>
        <v/>
      </c>
      <c r="O39" s="702" t="str">
        <f>IF('Chemical Info'!X40="X",'Com-Ind Worksheet'!G39,"")</f>
        <v/>
      </c>
      <c r="P39" s="702" t="str">
        <f>IF('Chemical Info'!Y40="X",'Com-Ind Worksheet'!G39,"")</f>
        <v/>
      </c>
      <c r="Q39" s="702" t="str">
        <f>IF('Chemical Info'!Z40="X",'Com-Ind Worksheet'!G39,"")</f>
        <v/>
      </c>
      <c r="R39" s="702" t="str">
        <f>IF('Chemical Info'!AA40="X",'Com-Ind Worksheet'!G39,"")</f>
        <v/>
      </c>
      <c r="S39" s="692" t="str">
        <f t="shared" si="0"/>
        <v>Based on Csat. A concentration &gt; Csat indicates potential for free product in soil.</v>
      </c>
    </row>
    <row r="40" spans="1:19" ht="10">
      <c r="A40" s="129" t="s">
        <v>228</v>
      </c>
      <c r="B40" s="566" t="s">
        <v>229</v>
      </c>
      <c r="C40" s="566">
        <v>2021</v>
      </c>
      <c r="D40" s="126">
        <f>'Com-Ind Calculations'!W40</f>
        <v>930</v>
      </c>
      <c r="E40" s="126" t="str">
        <f>'Com-Ind Calculations'!X40</f>
        <v>Csat</v>
      </c>
      <c r="F40" s="127"/>
      <c r="G40" s="698" t="str">
        <f>IF(E40="BTV","NA",IF(E40="Max Limit","NA",IF(E40="Csat","NA",IF(ISNUMBER('Com-Ind Calculations'!U40),((F40/'Com-Ind Calculations'!U40)),"NA"))))</f>
        <v>NA</v>
      </c>
      <c r="H40" s="704" t="str">
        <f>IF(E40="BTV","NA",IF(E40="Max Limit","NA",IF(E40="Csat","NA",IF(ISNUMBER('Com-Ind Calculations'!N40),((F40/'Com-Ind Calculations'!N40)*0.00001),"NA"))))</f>
        <v>NA</v>
      </c>
      <c r="I40" s="702" t="str">
        <f>IF('Chemical Info'!R41="X",'Com-Ind Worksheet'!G40,"")</f>
        <v/>
      </c>
      <c r="J40" s="702" t="str">
        <f>IF('Chemical Info'!S41="X",'Com-Ind Worksheet'!G40,"")</f>
        <v/>
      </c>
      <c r="K40" s="702" t="str">
        <f>IF('Chemical Info'!T41="X",'Com-Ind Worksheet'!G40,"")</f>
        <v/>
      </c>
      <c r="L40" s="702" t="str">
        <f>IF('Chemical Info'!U41="X",'Com-Ind Worksheet'!G40,"")</f>
        <v/>
      </c>
      <c r="M40" s="702" t="str">
        <f>IF('Chemical Info'!V41="X",'Com-Ind Worksheet'!G40,"")</f>
        <v>NA</v>
      </c>
      <c r="N40" s="702" t="str">
        <f>IF('Chemical Info'!W41="X",'Com-Ind Worksheet'!G40,"")</f>
        <v/>
      </c>
      <c r="O40" s="702" t="str">
        <f>IF('Chemical Info'!X41="X",'Com-Ind Worksheet'!G40,"")</f>
        <v/>
      </c>
      <c r="P40" s="702" t="str">
        <f>IF('Chemical Info'!Y41="X",'Com-Ind Worksheet'!G40,"")</f>
        <v/>
      </c>
      <c r="Q40" s="702" t="str">
        <f>IF('Chemical Info'!Z41="X",'Com-Ind Worksheet'!G40,"")</f>
        <v/>
      </c>
      <c r="R40" s="702" t="str">
        <f>IF('Chemical Info'!AA41="X",'Com-Ind Worksheet'!G40,"")</f>
        <v/>
      </c>
      <c r="S40" s="692" t="str">
        <f t="shared" si="0"/>
        <v>Based on Csat. A concentration &gt; Csat indicates potential for free product in soil.</v>
      </c>
    </row>
    <row r="41" spans="1:19" ht="10">
      <c r="A41" s="129" t="s">
        <v>319</v>
      </c>
      <c r="B41" s="566" t="s">
        <v>202</v>
      </c>
      <c r="C41" s="566">
        <v>2022</v>
      </c>
      <c r="D41" s="126">
        <f>'Com-Ind Calculations'!W41</f>
        <v>55</v>
      </c>
      <c r="E41" s="126" t="str">
        <f>'Com-Ind Calculations'!X41</f>
        <v>Noncancer</v>
      </c>
      <c r="F41" s="127"/>
      <c r="G41" s="698">
        <f>IF(E41="BTV","NA",IF(E41="Max Limit","NA",IF(E41="Csat","NA",IF(ISNUMBER('Com-Ind Calculations'!U41),((F41/'Com-Ind Calculations'!U41)),"NA"))))</f>
        <v>0</v>
      </c>
      <c r="H41" s="704" t="str">
        <f>IF(E41="BTV","NA",IF(E41="Max Limit","NA",IF(E41="Csat","NA",IF(ISNUMBER('Com-Ind Calculations'!N41),((F41/'Com-Ind Calculations'!N41)*0.00001),"NA"))))</f>
        <v>NA</v>
      </c>
      <c r="I41" s="702" t="str">
        <f>IF('Chemical Info'!R42="X",'Com-Ind Worksheet'!G41,"")</f>
        <v/>
      </c>
      <c r="J41" s="702" t="str">
        <f>IF('Chemical Info'!S42="X",'Com-Ind Worksheet'!G41,"")</f>
        <v/>
      </c>
      <c r="K41" s="702" t="str">
        <f>IF('Chemical Info'!T42="X",'Com-Ind Worksheet'!G41,"")</f>
        <v/>
      </c>
      <c r="L41" s="702" t="str">
        <f>IF('Chemical Info'!U42="X",'Com-Ind Worksheet'!G41,"")</f>
        <v/>
      </c>
      <c r="M41" s="702">
        <f>IF('Chemical Info'!V42="X",'Com-Ind Worksheet'!G41,"")</f>
        <v>0</v>
      </c>
      <c r="N41" s="702" t="str">
        <f>IF('Chemical Info'!W42="X",'Com-Ind Worksheet'!G41,"")</f>
        <v/>
      </c>
      <c r="O41" s="702">
        <f>IF('Chemical Info'!X42="X",'Com-Ind Worksheet'!G41,"")</f>
        <v>0</v>
      </c>
      <c r="P41" s="702" t="str">
        <f>IF('Chemical Info'!Y42="X",'Com-Ind Worksheet'!G41,"")</f>
        <v/>
      </c>
      <c r="Q41" s="702" t="str">
        <f>IF('Chemical Info'!Z42="X",'Com-Ind Worksheet'!G41,"")</f>
        <v/>
      </c>
      <c r="R41" s="702" t="str">
        <f>IF('Chemical Info'!AA42="X",'Com-Ind Worksheet'!G41,"")</f>
        <v/>
      </c>
      <c r="S41" s="692" t="str">
        <f t="shared" si="0"/>
        <v/>
      </c>
    </row>
    <row r="42" spans="1:19" ht="10">
      <c r="A42" s="129" t="s">
        <v>1152</v>
      </c>
      <c r="B42" s="566" t="s">
        <v>1153</v>
      </c>
      <c r="C42" s="566">
        <v>2022</v>
      </c>
      <c r="D42" s="126">
        <f>'Com-Ind Calculations'!W42</f>
        <v>7600</v>
      </c>
      <c r="E42" s="126" t="str">
        <f>'Com-Ind Calculations'!X42</f>
        <v>Csat</v>
      </c>
      <c r="F42" s="127"/>
      <c r="G42" s="698" t="str">
        <f>IF(E42="BTV","NA",IF(E42="Max Limit","NA",IF(E42="Csat","NA",IF(ISNUMBER('Com-Ind Calculations'!U42),((F42/'Com-Ind Calculations'!U42)),"NA"))))</f>
        <v>NA</v>
      </c>
      <c r="H42" s="704" t="str">
        <f>IF(E42="BTV","NA",IF(E42="Max Limit","NA",IF(E42="Csat","NA",IF(ISNUMBER('Com-Ind Calculations'!N42),((F42/'Com-Ind Calculations'!N42)*0.00001),"NA"))))</f>
        <v>NA</v>
      </c>
      <c r="I42" s="702" t="str">
        <f>IF('Chemical Info'!R43="X",'Com-Ind Worksheet'!G42,"")</f>
        <v>NA</v>
      </c>
      <c r="J42" s="702" t="str">
        <f>IF('Chemical Info'!S43="X",'Com-Ind Worksheet'!G42,"")</f>
        <v/>
      </c>
      <c r="K42" s="702" t="str">
        <f>IF('Chemical Info'!T43="X",'Com-Ind Worksheet'!G42,"")</f>
        <v/>
      </c>
      <c r="L42" s="702" t="str">
        <f>IF('Chemical Info'!U43="X",'Com-Ind Worksheet'!G42,"")</f>
        <v/>
      </c>
      <c r="M42" s="702" t="str">
        <f>IF('Chemical Info'!V43="X",'Com-Ind Worksheet'!G42,"")</f>
        <v/>
      </c>
      <c r="N42" s="702" t="str">
        <f>IF('Chemical Info'!W43="X",'Com-Ind Worksheet'!G42,"")</f>
        <v/>
      </c>
      <c r="O42" s="702" t="str">
        <f>IF('Chemical Info'!X43="X",'Com-Ind Worksheet'!G42,"")</f>
        <v/>
      </c>
      <c r="P42" s="702" t="str">
        <f>IF('Chemical Info'!Y43="X",'Com-Ind Worksheet'!G42,"")</f>
        <v/>
      </c>
      <c r="Q42" s="702" t="str">
        <f>IF('Chemical Info'!Z43="X",'Com-Ind Worksheet'!G42,"")</f>
        <v/>
      </c>
      <c r="R42" s="702" t="str">
        <f>IF('Chemical Info'!AA43="X",'Com-Ind Worksheet'!G42,"")</f>
        <v/>
      </c>
      <c r="S42" s="692" t="str">
        <f t="shared" si="0"/>
        <v>Based on Csat. A concentration &gt; Csat indicates potential for free product in soil.</v>
      </c>
    </row>
    <row r="43" spans="1:19" ht="10">
      <c r="A43" s="129" t="s">
        <v>1230</v>
      </c>
      <c r="B43" s="566" t="s">
        <v>1231</v>
      </c>
      <c r="C43" s="566">
        <v>2022</v>
      </c>
      <c r="D43" s="126">
        <f>'Com-Ind Calculations'!W43</f>
        <v>80000</v>
      </c>
      <c r="E43" s="126" t="str">
        <f>'Com-Ind Calculations'!X43</f>
        <v>Noncancer</v>
      </c>
      <c r="F43" s="127"/>
      <c r="G43" s="698">
        <f>IF(E43="BTV","NA",IF(E43="Max Limit","NA",IF(E43="Csat","NA",IF(ISNUMBER('Com-Ind Calculations'!U43),((F43/'Com-Ind Calculations'!U43)),"NA"))))</f>
        <v>0</v>
      </c>
      <c r="H43" s="704">
        <f>IF(E43="BTV","NA",IF(E43="Max Limit","NA",IF(E43="Csat","NA",IF(ISNUMBER('Com-Ind Calculations'!N43),((F43/'Com-Ind Calculations'!N43)*0.00001),"NA"))))</f>
        <v>0</v>
      </c>
      <c r="I43" s="702" t="str">
        <f>IF('Chemical Info'!R44="X",'Com-Ind Worksheet'!G43,"")</f>
        <v/>
      </c>
      <c r="J43" s="702" t="str">
        <f>IF('Chemical Info'!S44="X",'Com-Ind Worksheet'!G43,"")</f>
        <v/>
      </c>
      <c r="K43" s="702" t="str">
        <f>IF('Chemical Info'!T44="X",'Com-Ind Worksheet'!G43,"")</f>
        <v/>
      </c>
      <c r="L43" s="702">
        <f>IF('Chemical Info'!U44="X",'Com-Ind Worksheet'!G43,"")</f>
        <v>0</v>
      </c>
      <c r="M43" s="702" t="str">
        <f>IF('Chemical Info'!V44="X",'Com-Ind Worksheet'!G43,"")</f>
        <v/>
      </c>
      <c r="N43" s="702" t="str">
        <f>IF('Chemical Info'!W44="X",'Com-Ind Worksheet'!G43,"")</f>
        <v/>
      </c>
      <c r="O43" s="702" t="str">
        <f>IF('Chemical Info'!X44="X",'Com-Ind Worksheet'!G43,"")</f>
        <v/>
      </c>
      <c r="P43" s="702" t="str">
        <f>IF('Chemical Info'!Y44="X",'Com-Ind Worksheet'!G43,"")</f>
        <v/>
      </c>
      <c r="Q43" s="702" t="str">
        <f>IF('Chemical Info'!Z44="X",'Com-Ind Worksheet'!G43,"")</f>
        <v/>
      </c>
      <c r="R43" s="702" t="str">
        <f>IF('Chemical Info'!AA44="X",'Com-Ind Worksheet'!G43,"")</f>
        <v/>
      </c>
      <c r="S43" s="692" t="str">
        <f t="shared" si="0"/>
        <v/>
      </c>
    </row>
    <row r="44" spans="1:19" ht="10">
      <c r="A44" s="129" t="s">
        <v>17</v>
      </c>
      <c r="B44" s="566" t="s">
        <v>18</v>
      </c>
      <c r="C44" s="566">
        <v>2016</v>
      </c>
      <c r="D44" s="126">
        <f>'Com-Ind Calculations'!W44</f>
        <v>110</v>
      </c>
      <c r="E44" s="126" t="str">
        <f>'Com-Ind Calculations'!X44</f>
        <v>Csat</v>
      </c>
      <c r="F44" s="127"/>
      <c r="G44" s="698" t="str">
        <f>IF(E44="BTV","NA",IF(E44="Max Limit","NA",IF(E44="Csat","NA",IF(ISNUMBER('Com-Ind Calculations'!U44),((F44/'Com-Ind Calculations'!U44)),"NA"))))</f>
        <v>NA</v>
      </c>
      <c r="H44" s="704" t="str">
        <f>IF(E44="BTV","NA",IF(E44="Max Limit","NA",IF(E44="Csat","NA",IF(ISNUMBER('Com-Ind Calculations'!N44),((F44/'Com-Ind Calculations'!N44)*0.00001),"NA"))))</f>
        <v>NA</v>
      </c>
      <c r="I44" s="702" t="str">
        <f>IF('Chemical Info'!R45="X",'Com-Ind Worksheet'!G44,"")</f>
        <v/>
      </c>
      <c r="J44" s="702" t="str">
        <f>IF('Chemical Info'!S45="X",'Com-Ind Worksheet'!G44,"")</f>
        <v/>
      </c>
      <c r="K44" s="702" t="str">
        <f>IF('Chemical Info'!T45="X",'Com-Ind Worksheet'!G44,"")</f>
        <v/>
      </c>
      <c r="L44" s="702" t="str">
        <f>IF('Chemical Info'!U45="X",'Com-Ind Worksheet'!G44,"")</f>
        <v/>
      </c>
      <c r="M44" s="702" t="str">
        <f>IF('Chemical Info'!V45="X",'Com-Ind Worksheet'!G44,"")</f>
        <v>NA</v>
      </c>
      <c r="N44" s="702" t="str">
        <f>IF('Chemical Info'!W45="X",'Com-Ind Worksheet'!G44,"")</f>
        <v/>
      </c>
      <c r="O44" s="702" t="str">
        <f>IF('Chemical Info'!X45="X",'Com-Ind Worksheet'!G44,"")</f>
        <v/>
      </c>
      <c r="P44" s="702" t="str">
        <f>IF('Chemical Info'!Y45="X",'Com-Ind Worksheet'!G44,"")</f>
        <v/>
      </c>
      <c r="Q44" s="702" t="str">
        <f>IF('Chemical Info'!Z45="X",'Com-Ind Worksheet'!G44,"")</f>
        <v/>
      </c>
      <c r="R44" s="702" t="str">
        <f>IF('Chemical Info'!AA45="X",'Com-Ind Worksheet'!G44,"")</f>
        <v/>
      </c>
      <c r="S44" s="692" t="str">
        <f t="shared" si="0"/>
        <v>Based on Csat. A concentration &gt; Csat indicates potential for free product in soil.</v>
      </c>
    </row>
    <row r="45" spans="1:19" ht="10">
      <c r="A45" s="129" t="s">
        <v>144</v>
      </c>
      <c r="B45" s="566" t="s">
        <v>145</v>
      </c>
      <c r="C45" s="566">
        <v>2016</v>
      </c>
      <c r="D45" s="126">
        <f>'Com-Ind Calculations'!W45</f>
        <v>140</v>
      </c>
      <c r="E45" s="126" t="str">
        <f>'Com-Ind Calculations'!X45</f>
        <v>Csat</v>
      </c>
      <c r="F45" s="127"/>
      <c r="G45" s="698" t="str">
        <f>IF(E45="BTV","NA",IF(E45="Max Limit","NA",IF(E45="Csat","NA",IF(ISNUMBER('Com-Ind Calculations'!U45),((F45/'Com-Ind Calculations'!U45)),"NA"))))</f>
        <v>NA</v>
      </c>
      <c r="H45" s="704" t="str">
        <f>IF(E45="BTV","NA",IF(E45="Max Limit","NA",IF(E45="Csat","NA",IF(ISNUMBER('Com-Ind Calculations'!N45),((F45/'Com-Ind Calculations'!N45)*0.00001),"NA"))))</f>
        <v>NA</v>
      </c>
      <c r="I45" s="702" t="str">
        <f>IF('Chemical Info'!R46="X",'Com-Ind Worksheet'!G45,"")</f>
        <v/>
      </c>
      <c r="J45" s="702" t="str">
        <f>IF('Chemical Info'!S46="X",'Com-Ind Worksheet'!G45,"")</f>
        <v/>
      </c>
      <c r="K45" s="702" t="str">
        <f>IF('Chemical Info'!T46="X",'Com-Ind Worksheet'!G45,"")</f>
        <v/>
      </c>
      <c r="L45" s="702" t="str">
        <f>IF('Chemical Info'!U46="X",'Com-Ind Worksheet'!G45,"")</f>
        <v>NA</v>
      </c>
      <c r="M45" s="702" t="str">
        <f>IF('Chemical Info'!V46="X",'Com-Ind Worksheet'!G45,"")</f>
        <v/>
      </c>
      <c r="N45" s="702" t="str">
        <f>IF('Chemical Info'!W46="X",'Com-Ind Worksheet'!G45,"")</f>
        <v/>
      </c>
      <c r="O45" s="702" t="str">
        <f>IF('Chemical Info'!X46="X",'Com-Ind Worksheet'!G45,"")</f>
        <v/>
      </c>
      <c r="P45" s="702" t="str">
        <f>IF('Chemical Info'!Y46="X",'Com-Ind Worksheet'!G45,"")</f>
        <v/>
      </c>
      <c r="Q45" s="702" t="str">
        <f>IF('Chemical Info'!Z46="X",'Com-Ind Worksheet'!G45,"")</f>
        <v/>
      </c>
      <c r="R45" s="702" t="str">
        <f>IF('Chemical Info'!AA46="X",'Com-Ind Worksheet'!G45,"")</f>
        <v/>
      </c>
      <c r="S45" s="692" t="str">
        <f t="shared" si="0"/>
        <v>Based on Csat. A concentration &gt; Csat indicates potential for free product in soil.</v>
      </c>
    </row>
    <row r="46" spans="1:19" ht="10">
      <c r="A46" s="129" t="s">
        <v>146</v>
      </c>
      <c r="B46" s="566" t="s">
        <v>147</v>
      </c>
      <c r="C46" s="566">
        <v>2016</v>
      </c>
      <c r="D46" s="126">
        <f>'Com-Ind Calculations'!W46</f>
        <v>180</v>
      </c>
      <c r="E46" s="126" t="str">
        <f>'Com-Ind Calculations'!X46</f>
        <v>Csat</v>
      </c>
      <c r="F46" s="127"/>
      <c r="G46" s="698" t="str">
        <f>IF(E46="BTV","NA",IF(E46="Max Limit","NA",IF(E46="Csat","NA",IF(ISNUMBER('Com-Ind Calculations'!U46),((F46/'Com-Ind Calculations'!U46)),"NA"))))</f>
        <v>NA</v>
      </c>
      <c r="H46" s="704" t="str">
        <f>IF(E46="BTV","NA",IF(E46="Max Limit","NA",IF(E46="Csat","NA",IF(ISNUMBER('Com-Ind Calculations'!N46),((F46/'Com-Ind Calculations'!N46)*0.00001),"NA"))))</f>
        <v>NA</v>
      </c>
      <c r="I46" s="702" t="str">
        <f>IF('Chemical Info'!R47="X",'Com-Ind Worksheet'!G46,"")</f>
        <v/>
      </c>
      <c r="J46" s="702" t="str">
        <f>IF('Chemical Info'!S47="X",'Com-Ind Worksheet'!G46,"")</f>
        <v/>
      </c>
      <c r="K46" s="702" t="str">
        <f>IF('Chemical Info'!T47="X",'Com-Ind Worksheet'!G46,"")</f>
        <v/>
      </c>
      <c r="L46" s="702" t="str">
        <f>IF('Chemical Info'!U47="X",'Com-Ind Worksheet'!G46,"")</f>
        <v>NA</v>
      </c>
      <c r="M46" s="702" t="str">
        <f>IF('Chemical Info'!V47="X",'Com-Ind Worksheet'!G46,"")</f>
        <v/>
      </c>
      <c r="N46" s="702" t="str">
        <f>IF('Chemical Info'!W47="X",'Com-Ind Worksheet'!G46,"")</f>
        <v/>
      </c>
      <c r="O46" s="702" t="str">
        <f>IF('Chemical Info'!X47="X",'Com-Ind Worksheet'!G46,"")</f>
        <v/>
      </c>
      <c r="P46" s="702" t="str">
        <f>IF('Chemical Info'!Y47="X",'Com-Ind Worksheet'!G46,"")</f>
        <v/>
      </c>
      <c r="Q46" s="702" t="str">
        <f>IF('Chemical Info'!Z47="X",'Com-Ind Worksheet'!G46,"")</f>
        <v/>
      </c>
      <c r="R46" s="702" t="str">
        <f>IF('Chemical Info'!AA47="X",'Com-Ind Worksheet'!G46,"")</f>
        <v/>
      </c>
      <c r="S46" s="692" t="str">
        <f t="shared" si="0"/>
        <v>Based on Csat. A concentration &gt; Csat indicates potential for free product in soil.</v>
      </c>
    </row>
    <row r="47" spans="1:19" ht="10">
      <c r="A47" s="129" t="s">
        <v>148</v>
      </c>
      <c r="B47" s="566" t="s">
        <v>149</v>
      </c>
      <c r="C47" s="566">
        <v>2016</v>
      </c>
      <c r="D47" s="126">
        <f>'Com-Ind Calculations'!W47</f>
        <v>740</v>
      </c>
      <c r="E47" s="126" t="str">
        <f>'Com-Ind Calculations'!X47</f>
        <v>Csat</v>
      </c>
      <c r="F47" s="127"/>
      <c r="G47" s="698" t="str">
        <f>IF(E47="BTV","NA",IF(E47="Max Limit","NA",IF(E47="Csat","NA",IF(ISNUMBER('Com-Ind Calculations'!U47),((F47/'Com-Ind Calculations'!U47)),"NA"))))</f>
        <v>NA</v>
      </c>
      <c r="H47" s="704" t="str">
        <f>IF(E47="BTV","NA",IF(E47="Max Limit","NA",IF(E47="Csat","NA",IF(ISNUMBER('Com-Ind Calculations'!N47),((F47/'Com-Ind Calculations'!N47)*0.00001),"NA"))))</f>
        <v>NA</v>
      </c>
      <c r="I47" s="702" t="str">
        <f>IF('Chemical Info'!R48="X",'Com-Ind Worksheet'!G47,"")</f>
        <v>NA</v>
      </c>
      <c r="J47" s="702" t="str">
        <f>IF('Chemical Info'!S48="X",'Com-Ind Worksheet'!G47,"")</f>
        <v/>
      </c>
      <c r="K47" s="702" t="str">
        <f>IF('Chemical Info'!T48="X",'Com-Ind Worksheet'!G47,"")</f>
        <v/>
      </c>
      <c r="L47" s="702" t="str">
        <f>IF('Chemical Info'!U48="X",'Com-Ind Worksheet'!G47,"")</f>
        <v/>
      </c>
      <c r="M47" s="702" t="str">
        <f>IF('Chemical Info'!V48="X",'Com-Ind Worksheet'!G47,"")</f>
        <v/>
      </c>
      <c r="N47" s="702" t="str">
        <f>IF('Chemical Info'!W48="X",'Com-Ind Worksheet'!G47,"")</f>
        <v>NA</v>
      </c>
      <c r="O47" s="702" t="str">
        <f>IF('Chemical Info'!X48="X",'Com-Ind Worksheet'!G47,"")</f>
        <v/>
      </c>
      <c r="P47" s="702" t="str">
        <f>IF('Chemical Info'!Y48="X",'Com-Ind Worksheet'!G47,"")</f>
        <v/>
      </c>
      <c r="Q47" s="702" t="str">
        <f>IF('Chemical Info'!Z48="X",'Com-Ind Worksheet'!G47,"")</f>
        <v/>
      </c>
      <c r="R47" s="702" t="str">
        <f>IF('Chemical Info'!AA48="X",'Com-Ind Worksheet'!G47,"")</f>
        <v/>
      </c>
      <c r="S47" s="692" t="str">
        <f t="shared" si="0"/>
        <v>Based on Csat. A concentration &gt; Csat indicates potential for free product in soil.</v>
      </c>
    </row>
    <row r="48" spans="1:19" ht="10">
      <c r="A48" s="129" t="s">
        <v>150</v>
      </c>
      <c r="B48" s="566" t="s">
        <v>151</v>
      </c>
      <c r="C48" s="566">
        <v>2021</v>
      </c>
      <c r="D48" s="126">
        <f>'Com-Ind Calculations'!W48</f>
        <v>230</v>
      </c>
      <c r="E48" s="126" t="str">
        <f>'Com-Ind Calculations'!X48</f>
        <v>Cancer</v>
      </c>
      <c r="F48" s="127"/>
      <c r="G48" s="698">
        <f>IF(E48="BTV","NA",IF(E48="Max Limit","NA",IF(E48="Csat","NA",IF(ISNUMBER('Com-Ind Calculations'!U48),((F48/'Com-Ind Calculations'!U48)),"NA"))))</f>
        <v>0</v>
      </c>
      <c r="H48" s="704">
        <f>IF(E48="BTV","NA",IF(E48="Max Limit","NA",IF(E48="Csat","NA",IF(ISNUMBER('Com-Ind Calculations'!N48),((F48/'Com-Ind Calculations'!N48)*0.00001),"NA"))))</f>
        <v>0</v>
      </c>
      <c r="I48" s="702" t="str">
        <f>IF('Chemical Info'!R49="X",'Com-Ind Worksheet'!G48,"")</f>
        <v/>
      </c>
      <c r="J48" s="702" t="str">
        <f>IF('Chemical Info'!S49="X",'Com-Ind Worksheet'!G48,"")</f>
        <v/>
      </c>
      <c r="K48" s="702">
        <f>IF('Chemical Info'!T49="X",'Com-Ind Worksheet'!G48,"")</f>
        <v>0</v>
      </c>
      <c r="L48" s="702" t="str">
        <f>IF('Chemical Info'!U49="X",'Com-Ind Worksheet'!G48,"")</f>
        <v/>
      </c>
      <c r="M48" s="702">
        <f>IF('Chemical Info'!V49="X",'Com-Ind Worksheet'!G48,"")</f>
        <v>0</v>
      </c>
      <c r="N48" s="702" t="str">
        <f>IF('Chemical Info'!W49="X",'Com-Ind Worksheet'!G48,"")</f>
        <v/>
      </c>
      <c r="O48" s="702" t="str">
        <f>IF('Chemical Info'!X49="X",'Com-Ind Worksheet'!G48,"")</f>
        <v/>
      </c>
      <c r="P48" s="702" t="str">
        <f>IF('Chemical Info'!Y49="X",'Com-Ind Worksheet'!G48,"")</f>
        <v/>
      </c>
      <c r="Q48" s="702" t="str">
        <f>IF('Chemical Info'!Z49="X",'Com-Ind Worksheet'!G48,"")</f>
        <v/>
      </c>
      <c r="R48" s="702" t="str">
        <f>IF('Chemical Info'!AA49="X",'Com-Ind Worksheet'!G48,"")</f>
        <v/>
      </c>
      <c r="S48" s="692" t="str">
        <f t="shared" si="0"/>
        <v/>
      </c>
    </row>
    <row r="49" spans="1:19" ht="10">
      <c r="A49" s="129" t="s">
        <v>19</v>
      </c>
      <c r="B49" s="566" t="s">
        <v>20</v>
      </c>
      <c r="C49" s="566">
        <v>2021</v>
      </c>
      <c r="D49" s="126">
        <f>'Com-Ind Calculations'!W49</f>
        <v>700</v>
      </c>
      <c r="E49" s="126" t="str">
        <f>'Com-Ind Calculations'!X49</f>
        <v>Noncancer</v>
      </c>
      <c r="F49" s="127"/>
      <c r="G49" s="698">
        <f>IF(E49="BTV","NA",IF(E49="Max Limit","NA",IF(E49="Csat","NA",IF(ISNUMBER('Com-Ind Calculations'!U49),((F49/'Com-Ind Calculations'!U49)),"NA"))))</f>
        <v>0</v>
      </c>
      <c r="H49" s="704" t="str">
        <f>IF(E49="BTV","NA",IF(E49="Max Limit","NA",IF(E49="Csat","NA",IF(ISNUMBER('Com-Ind Calculations'!N49),((F49/'Com-Ind Calculations'!N49)*0.00001),"NA"))))</f>
        <v>NA</v>
      </c>
      <c r="I49" s="702" t="str">
        <f>IF('Chemical Info'!R50="X",'Com-Ind Worksheet'!G49,"")</f>
        <v/>
      </c>
      <c r="J49" s="702" t="str">
        <f>IF('Chemical Info'!S50="X",'Com-Ind Worksheet'!G49,"")</f>
        <v/>
      </c>
      <c r="K49" s="702" t="str">
        <f>IF('Chemical Info'!T50="X",'Com-Ind Worksheet'!G49,"")</f>
        <v/>
      </c>
      <c r="L49" s="702">
        <f>IF('Chemical Info'!U50="X",'Com-Ind Worksheet'!G49,"")</f>
        <v>0</v>
      </c>
      <c r="M49" s="702">
        <f>IF('Chemical Info'!V50="X",'Com-Ind Worksheet'!G49,"")</f>
        <v>0</v>
      </c>
      <c r="N49" s="702" t="str">
        <f>IF('Chemical Info'!W50="X",'Com-Ind Worksheet'!G49,"")</f>
        <v/>
      </c>
      <c r="O49" s="702" t="str">
        <f>IF('Chemical Info'!X50="X",'Com-Ind Worksheet'!G49,"")</f>
        <v/>
      </c>
      <c r="P49" s="702" t="str">
        <f>IF('Chemical Info'!Y50="X",'Com-Ind Worksheet'!G49,"")</f>
        <v/>
      </c>
      <c r="Q49" s="702" t="str">
        <f>IF('Chemical Info'!Z50="X",'Com-Ind Worksheet'!G49,"")</f>
        <v/>
      </c>
      <c r="R49" s="702" t="str">
        <f>IF('Chemical Info'!AA50="X",'Com-Ind Worksheet'!G49,"")</f>
        <v/>
      </c>
      <c r="S49" s="692" t="str">
        <f t="shared" si="0"/>
        <v/>
      </c>
    </row>
    <row r="50" spans="1:19" ht="10">
      <c r="A50" s="129" t="s">
        <v>320</v>
      </c>
      <c r="B50" s="566" t="s">
        <v>21</v>
      </c>
      <c r="C50" s="566">
        <v>2016</v>
      </c>
      <c r="D50" s="126">
        <f>'Com-Ind Calculations'!W50</f>
        <v>2100</v>
      </c>
      <c r="E50" s="126" t="str">
        <f>'Com-Ind Calculations'!X50</f>
        <v>Csat</v>
      </c>
      <c r="F50" s="127"/>
      <c r="G50" s="698" t="str">
        <f>IF(E50="BTV","NA",IF(E50="Max Limit","NA",IF(E50="Csat","NA",IF(ISNUMBER('Com-Ind Calculations'!U50),((F50/'Com-Ind Calculations'!U50)),"NA"))))</f>
        <v>NA</v>
      </c>
      <c r="H50" s="704" t="str">
        <f>IF(E50="BTV","NA",IF(E50="Max Limit","NA",IF(E50="Csat","NA",IF(ISNUMBER('Com-Ind Calculations'!N50),((F50/'Com-Ind Calculations'!N50)*0.00001),"NA"))))</f>
        <v>NA</v>
      </c>
      <c r="I50" s="702" t="str">
        <f>IF('Chemical Info'!R51="X",'Com-Ind Worksheet'!G50,"")</f>
        <v/>
      </c>
      <c r="J50" s="702" t="str">
        <f>IF('Chemical Info'!S51="X",'Com-Ind Worksheet'!G50,"")</f>
        <v/>
      </c>
      <c r="K50" s="702" t="str">
        <f>IF('Chemical Info'!T51="X",'Com-Ind Worksheet'!G50,"")</f>
        <v/>
      </c>
      <c r="L50" s="702" t="str">
        <f>IF('Chemical Info'!U51="X",'Com-Ind Worksheet'!G50,"")</f>
        <v/>
      </c>
      <c r="M50" s="702" t="str">
        <f>IF('Chemical Info'!V51="X",'Com-Ind Worksheet'!G50,"")</f>
        <v/>
      </c>
      <c r="N50" s="702" t="str">
        <f>IF('Chemical Info'!W51="X",'Com-Ind Worksheet'!G50,"")</f>
        <v>NA</v>
      </c>
      <c r="O50" s="702" t="str">
        <f>IF('Chemical Info'!X51="X",'Com-Ind Worksheet'!G50,"")</f>
        <v/>
      </c>
      <c r="P50" s="702" t="str">
        <f>IF('Chemical Info'!Y51="X",'Com-Ind Worksheet'!G50,"")</f>
        <v/>
      </c>
      <c r="Q50" s="702" t="str">
        <f>IF('Chemical Info'!Z51="X",'Com-Ind Worksheet'!G50,"")</f>
        <v/>
      </c>
      <c r="R50" s="702" t="str">
        <f>IF('Chemical Info'!AA51="X",'Com-Ind Worksheet'!G50,"")</f>
        <v/>
      </c>
      <c r="S50" s="692" t="str">
        <f t="shared" si="0"/>
        <v>Based on Csat. A concentration &gt; Csat indicates potential for free product in soil.</v>
      </c>
    </row>
    <row r="51" spans="1:19" ht="10">
      <c r="A51" s="129" t="s">
        <v>154</v>
      </c>
      <c r="B51" s="566" t="s">
        <v>155</v>
      </c>
      <c r="C51" s="736">
        <v>2025</v>
      </c>
      <c r="D51" s="126">
        <f>'Com-Ind Calculations'!W51</f>
        <v>31</v>
      </c>
      <c r="E51" s="126" t="str">
        <f>'Com-Ind Calculations'!X51</f>
        <v>Noncancer</v>
      </c>
      <c r="F51" s="127"/>
      <c r="G51" s="698">
        <f>IF(E51="BTV","NA",IF(E51="Max Limit","NA",IF(E51="Csat","NA",IF(ISNUMBER('Com-Ind Calculations'!U51),((F51/'Com-Ind Calculations'!U51)),"NA"))))</f>
        <v>0</v>
      </c>
      <c r="H51" s="704" t="str">
        <f>IF(E51="BTV","NA",IF(E51="Max Limit","NA",IF(E51="Csat","NA",IF(ISNUMBER('Com-Ind Calculations'!N51),((F51/'Com-Ind Calculations'!N51)*0.00001),"NA"))))</f>
        <v>NA</v>
      </c>
      <c r="I51" s="702" t="str">
        <f>IF('Chemical Info'!R52="X",'Com-Ind Worksheet'!G51,"")</f>
        <v/>
      </c>
      <c r="J51" s="702" t="str">
        <f>IF('Chemical Info'!S52="X",'Com-Ind Worksheet'!G51,"")</f>
        <v/>
      </c>
      <c r="K51" s="702" t="str">
        <f>IF('Chemical Info'!T52="X",'Com-Ind Worksheet'!G51,"")</f>
        <v/>
      </c>
      <c r="L51" s="702" t="str">
        <f>IF('Chemical Info'!U52="X",'Com-Ind Worksheet'!G51,"")</f>
        <v/>
      </c>
      <c r="M51" s="702">
        <f>IF('Chemical Info'!V52="X",'Com-Ind Worksheet'!G51,"")</f>
        <v>0</v>
      </c>
      <c r="N51" s="702" t="str">
        <f>IF('Chemical Info'!W52="X",'Com-Ind Worksheet'!G51,"")</f>
        <v/>
      </c>
      <c r="O51" s="702">
        <f>IF('Chemical Info'!X52="X",'Com-Ind Worksheet'!G51,"")</f>
        <v>0</v>
      </c>
      <c r="P51" s="702" t="str">
        <f>IF('Chemical Info'!Y52="X",'Com-Ind Worksheet'!G51,"")</f>
        <v/>
      </c>
      <c r="Q51" s="702" t="str">
        <f>IF('Chemical Info'!Z52="X",'Com-Ind Worksheet'!G51,"")</f>
        <v/>
      </c>
      <c r="R51" s="702" t="str">
        <f>IF('Chemical Info'!AA52="X",'Com-Ind Worksheet'!G51,"")</f>
        <v/>
      </c>
      <c r="S51" s="692" t="str">
        <f t="shared" si="0"/>
        <v/>
      </c>
    </row>
    <row r="52" spans="1:19" ht="10">
      <c r="A52" s="129" t="s">
        <v>321</v>
      </c>
      <c r="B52" s="566" t="s">
        <v>132</v>
      </c>
      <c r="C52" s="566">
        <v>2021</v>
      </c>
      <c r="D52" s="126">
        <f>'Com-Ind Calculations'!W52</f>
        <v>1300</v>
      </c>
      <c r="E52" s="126" t="str">
        <f>'Com-Ind Calculations'!X52</f>
        <v>Csat</v>
      </c>
      <c r="F52" s="127"/>
      <c r="G52" s="698" t="str">
        <f>IF(E52="BTV","NA",IF(E52="Max Limit","NA",IF(E52="Csat","NA",IF(ISNUMBER('Com-Ind Calculations'!U52),((F52/'Com-Ind Calculations'!U52)),"NA"))))</f>
        <v>NA</v>
      </c>
      <c r="H52" s="704" t="str">
        <f>IF(E52="BTV","NA",IF(E52="Max Limit","NA",IF(E52="Csat","NA",IF(ISNUMBER('Com-Ind Calculations'!N52),((F52/'Com-Ind Calculations'!N52)*0.00001),"NA"))))</f>
        <v>NA</v>
      </c>
      <c r="I52" s="702" t="str">
        <f>IF('Chemical Info'!R53="X",'Com-Ind Worksheet'!G52,"")</f>
        <v>NA</v>
      </c>
      <c r="J52" s="702" t="str">
        <f>IF('Chemical Info'!S53="X",'Com-Ind Worksheet'!G52,"")</f>
        <v/>
      </c>
      <c r="K52" s="702" t="str">
        <f>IF('Chemical Info'!T53="X",'Com-Ind Worksheet'!G52,"")</f>
        <v/>
      </c>
      <c r="L52" s="702" t="str">
        <f>IF('Chemical Info'!U53="X",'Com-Ind Worksheet'!G52,"")</f>
        <v/>
      </c>
      <c r="M52" s="702" t="str">
        <f>IF('Chemical Info'!V53="X",'Com-Ind Worksheet'!G52,"")</f>
        <v/>
      </c>
      <c r="N52" s="702" t="str">
        <f>IF('Chemical Info'!W53="X",'Com-Ind Worksheet'!G52,"")</f>
        <v/>
      </c>
      <c r="O52" s="702" t="str">
        <f>IF('Chemical Info'!X53="X",'Com-Ind Worksheet'!G52,"")</f>
        <v/>
      </c>
      <c r="P52" s="702" t="str">
        <f>IF('Chemical Info'!Y53="X",'Com-Ind Worksheet'!G52,"")</f>
        <v/>
      </c>
      <c r="Q52" s="702" t="str">
        <f>IF('Chemical Info'!Z53="X",'Com-Ind Worksheet'!G52,"")</f>
        <v/>
      </c>
      <c r="R52" s="702" t="str">
        <f>IF('Chemical Info'!AA53="X",'Com-Ind Worksheet'!G52,"")</f>
        <v/>
      </c>
      <c r="S52" s="692" t="str">
        <f t="shared" si="0"/>
        <v>Based on Csat. A concentration &gt; Csat indicates potential for free product in soil.</v>
      </c>
    </row>
    <row r="53" spans="1:19" ht="10">
      <c r="A53" s="129" t="s">
        <v>1196</v>
      </c>
      <c r="B53" s="566" t="s">
        <v>1166</v>
      </c>
      <c r="C53" s="566">
        <v>2022</v>
      </c>
      <c r="D53" s="126">
        <f>'Com-Ind Calculations'!W53</f>
        <v>7.3</v>
      </c>
      <c r="E53" s="126" t="str">
        <f>'Com-Ind Calculations'!X53</f>
        <v>Cancer</v>
      </c>
      <c r="F53" s="127"/>
      <c r="G53" s="698">
        <f>IF(E53="BTV","NA",IF(E53="Max Limit","NA",IF(E53="Csat","NA",IF(ISNUMBER('Com-Ind Calculations'!U53),((F53/'Com-Ind Calculations'!U53)),"NA"))))</f>
        <v>0</v>
      </c>
      <c r="H53" s="704">
        <f>IF(E53="BTV","NA",IF(E53="Max Limit","NA",IF(E53="Csat","NA",IF(ISNUMBER('Com-Ind Calculations'!N53),((F53/'Com-Ind Calculations'!N53)*0.00001),"NA"))))</f>
        <v>0</v>
      </c>
      <c r="I53" s="702">
        <f>IF('Chemical Info'!R54="X",'Com-Ind Worksheet'!G53,"")</f>
        <v>0</v>
      </c>
      <c r="J53" s="702" t="str">
        <f>IF('Chemical Info'!S54="X",'Com-Ind Worksheet'!G53,"")</f>
        <v/>
      </c>
      <c r="K53" s="702">
        <f>IF('Chemical Info'!T54="X",'Com-Ind Worksheet'!G53,"")</f>
        <v>0</v>
      </c>
      <c r="L53" s="702" t="str">
        <f>IF('Chemical Info'!U54="X",'Com-Ind Worksheet'!G53,"")</f>
        <v/>
      </c>
      <c r="M53" s="702" t="str">
        <f>IF('Chemical Info'!V54="X",'Com-Ind Worksheet'!G53,"")</f>
        <v/>
      </c>
      <c r="N53" s="702" t="str">
        <f>IF('Chemical Info'!W54="X",'Com-Ind Worksheet'!G53,"")</f>
        <v/>
      </c>
      <c r="O53" s="702">
        <f>IF('Chemical Info'!X54="X",'Com-Ind Worksheet'!G53,"")</f>
        <v>0</v>
      </c>
      <c r="P53" s="702" t="str">
        <f>IF('Chemical Info'!Y54="X",'Com-Ind Worksheet'!G53,"")</f>
        <v/>
      </c>
      <c r="Q53" s="702" t="str">
        <f>IF('Chemical Info'!Z54="X",'Com-Ind Worksheet'!G53,"")</f>
        <v/>
      </c>
      <c r="R53" s="702" t="str">
        <f>IF('Chemical Info'!AA54="X",'Com-Ind Worksheet'!G53,"")</f>
        <v/>
      </c>
      <c r="S53" s="692" t="str">
        <f t="shared" si="0"/>
        <v/>
      </c>
    </row>
    <row r="54" spans="1:19" ht="10">
      <c r="A54" s="133" t="s">
        <v>365</v>
      </c>
      <c r="B54" s="566" t="s">
        <v>133</v>
      </c>
      <c r="C54" s="566">
        <v>2016</v>
      </c>
      <c r="D54" s="126">
        <f>'Com-Ind Calculations'!W54</f>
        <v>910</v>
      </c>
      <c r="E54" s="126" t="str">
        <f>'Com-Ind Calculations'!X54</f>
        <v>Csat</v>
      </c>
      <c r="F54" s="127"/>
      <c r="G54" s="698" t="str">
        <f>IF(E54="BTV","NA",IF(E54="Max Limit","NA",IF(E54="Csat","NA",IF(ISNUMBER('Com-Ind Calculations'!U54),((F54/'Com-Ind Calculations'!U54)),"NA"))))</f>
        <v>NA</v>
      </c>
      <c r="H54" s="704" t="str">
        <f>IF(E54="BTV","NA",IF(E54="Max Limit","NA",IF(E54="Csat","NA",IF(ISNUMBER('Com-Ind Calculations'!N54),((F54/'Com-Ind Calculations'!N54)*0.00001),"NA"))))</f>
        <v>NA</v>
      </c>
      <c r="I54" s="702" t="str">
        <f>IF('Chemical Info'!R55="X",'Com-Ind Worksheet'!G54,"")</f>
        <v/>
      </c>
      <c r="J54" s="702" t="str">
        <f>IF('Chemical Info'!S55="X",'Com-Ind Worksheet'!G54,"")</f>
        <v/>
      </c>
      <c r="K54" s="702" t="str">
        <f>IF('Chemical Info'!T55="X",'Com-Ind Worksheet'!G54,"")</f>
        <v/>
      </c>
      <c r="L54" s="702" t="str">
        <f>IF('Chemical Info'!U55="X",'Com-Ind Worksheet'!G54,"")</f>
        <v/>
      </c>
      <c r="M54" s="702" t="str">
        <f>IF('Chemical Info'!V55="X",'Com-Ind Worksheet'!G54,"")</f>
        <v/>
      </c>
      <c r="N54" s="702" t="str">
        <f>IF('Chemical Info'!W55="X",'Com-Ind Worksheet'!G54,"")</f>
        <v/>
      </c>
      <c r="O54" s="702" t="str">
        <f>IF('Chemical Info'!X55="X",'Com-Ind Worksheet'!G54,"")</f>
        <v/>
      </c>
      <c r="P54" s="702" t="str">
        <f>IF('Chemical Info'!Y55="X",'Com-Ind Worksheet'!G54,"")</f>
        <v/>
      </c>
      <c r="Q54" s="702" t="str">
        <f>IF('Chemical Info'!Z55="X",'Com-Ind Worksheet'!G54,"")</f>
        <v/>
      </c>
      <c r="R54" s="702" t="str">
        <f>IF('Chemical Info'!AA55="X",'Com-Ind Worksheet'!G54,"")</f>
        <v/>
      </c>
      <c r="S54" s="692" t="str">
        <f t="shared" si="0"/>
        <v>Based on Csat. A concentration &gt; Csat indicates potential for free product in soil.</v>
      </c>
    </row>
    <row r="55" spans="1:19" ht="10">
      <c r="A55" s="133" t="s">
        <v>1217</v>
      </c>
      <c r="B55" s="566" t="s">
        <v>1193</v>
      </c>
      <c r="C55" s="566">
        <v>2022</v>
      </c>
      <c r="D55" s="126">
        <f>'Com-Ind Calculations'!W55</f>
        <v>24</v>
      </c>
      <c r="E55" s="126" t="str">
        <f>'Com-Ind Calculations'!X55</f>
        <v>Cancer</v>
      </c>
      <c r="F55" s="127"/>
      <c r="G55" s="698">
        <f>IF(E55="BTV","NA",IF(E55="Max Limit","NA",IF(E55="Csat","NA",IF(ISNUMBER('Com-Ind Calculations'!U55),((F55/'Com-Ind Calculations'!U55)),"NA"))))</f>
        <v>0</v>
      </c>
      <c r="H55" s="704">
        <f>IF(E55="BTV","NA",IF(E55="Max Limit","NA",IF(E55="Csat","NA",IF(ISNUMBER('Com-Ind Calculations'!N55),((F55/'Com-Ind Calculations'!N55)*0.00001),"NA"))))</f>
        <v>0</v>
      </c>
      <c r="I55" s="702" t="str">
        <f>IF('Chemical Info'!R56="X",'Com-Ind Worksheet'!G55,"")</f>
        <v/>
      </c>
      <c r="J55" s="702" t="str">
        <f>IF('Chemical Info'!S56="X",'Com-Ind Worksheet'!G55,"")</f>
        <v/>
      </c>
      <c r="K55" s="702" t="str">
        <f>IF('Chemical Info'!T56="X",'Com-Ind Worksheet'!G55,"")</f>
        <v/>
      </c>
      <c r="L55" s="702" t="str">
        <f>IF('Chemical Info'!U56="X",'Com-Ind Worksheet'!G55,"")</f>
        <v/>
      </c>
      <c r="M55" s="702">
        <f>IF('Chemical Info'!V56="X",'Com-Ind Worksheet'!G55,"")</f>
        <v>0</v>
      </c>
      <c r="N55" s="702" t="str">
        <f>IF('Chemical Info'!W56="X",'Com-Ind Worksheet'!G55,"")</f>
        <v/>
      </c>
      <c r="O55" s="702" t="str">
        <f>IF('Chemical Info'!X56="X",'Com-Ind Worksheet'!G55,"")</f>
        <v/>
      </c>
      <c r="P55" s="702" t="str">
        <f>IF('Chemical Info'!Y56="X",'Com-Ind Worksheet'!G55,"")</f>
        <v/>
      </c>
      <c r="Q55" s="702" t="str">
        <f>IF('Chemical Info'!Z56="X",'Com-Ind Worksheet'!G55,"")</f>
        <v/>
      </c>
      <c r="R55" s="702" t="str">
        <f>IF('Chemical Info'!AA56="X",'Com-Ind Worksheet'!G55,"")</f>
        <v/>
      </c>
      <c r="S55" s="692" t="str">
        <f t="shared" si="0"/>
        <v/>
      </c>
    </row>
    <row r="56" spans="1:19" ht="10">
      <c r="A56" s="129" t="s">
        <v>14</v>
      </c>
      <c r="B56" s="566" t="s">
        <v>15</v>
      </c>
      <c r="C56" s="566">
        <v>2016</v>
      </c>
      <c r="D56" s="126">
        <f>'Com-Ind Calculations'!W56</f>
        <v>270</v>
      </c>
      <c r="E56" s="126" t="str">
        <f>'Com-Ind Calculations'!X56</f>
        <v>Csat</v>
      </c>
      <c r="F56" s="127"/>
      <c r="G56" s="698" t="str">
        <f>IF(E56="BTV","NA",IF(E56="Max Limit","NA",IF(E56="Csat","NA",IF(ISNUMBER('Com-Ind Calculations'!U56),((F56/'Com-Ind Calculations'!U56)),"NA"))))</f>
        <v>NA</v>
      </c>
      <c r="H56" s="704" t="str">
        <f>IF(E56="BTV","NA",IF(E56="Max Limit","NA",IF(E56="Csat","NA",IF(ISNUMBER('Com-Ind Calculations'!N56),((F56/'Com-Ind Calculations'!N56)*0.00001),"NA"))))</f>
        <v>NA</v>
      </c>
      <c r="I56" s="702" t="str">
        <f>IF('Chemical Info'!R57="X",'Com-Ind Worksheet'!G56,"")</f>
        <v/>
      </c>
      <c r="J56" s="702" t="str">
        <f>IF('Chemical Info'!S57="X",'Com-Ind Worksheet'!G56,"")</f>
        <v/>
      </c>
      <c r="K56" s="702" t="str">
        <f>IF('Chemical Info'!T57="X",'Com-Ind Worksheet'!G56,"")</f>
        <v/>
      </c>
      <c r="L56" s="702" t="str">
        <f>IF('Chemical Info'!U57="X",'Com-Ind Worksheet'!G56,"")</f>
        <v>NA</v>
      </c>
      <c r="M56" s="702" t="str">
        <f>IF('Chemical Info'!V57="X",'Com-Ind Worksheet'!G56,"")</f>
        <v/>
      </c>
      <c r="N56" s="702" t="str">
        <f>IF('Chemical Info'!W57="X",'Com-Ind Worksheet'!G56,"")</f>
        <v/>
      </c>
      <c r="O56" s="702" t="str">
        <f>IF('Chemical Info'!X57="X",'Com-Ind Worksheet'!G56,"")</f>
        <v/>
      </c>
      <c r="P56" s="702" t="str">
        <f>IF('Chemical Info'!Y57="X",'Com-Ind Worksheet'!G56,"")</f>
        <v/>
      </c>
      <c r="Q56" s="702" t="str">
        <f>IF('Chemical Info'!Z57="X",'Com-Ind Worksheet'!G56,"")</f>
        <v/>
      </c>
      <c r="R56" s="702" t="str">
        <f>IF('Chemical Info'!AA57="X",'Com-Ind Worksheet'!G56,"")</f>
        <v/>
      </c>
      <c r="S56" s="692" t="str">
        <f t="shared" si="0"/>
        <v>Based on Csat. A concentration &gt; Csat indicates potential for free product in soil.</v>
      </c>
    </row>
    <row r="57" spans="1:19" s="123" customFormat="1" ht="10">
      <c r="A57" s="133" t="s">
        <v>366</v>
      </c>
      <c r="B57" s="591" t="s">
        <v>126</v>
      </c>
      <c r="C57" s="591">
        <v>2023</v>
      </c>
      <c r="D57" s="132">
        <f>'Com-Ind Calculations'!W57</f>
        <v>2.8</v>
      </c>
      <c r="E57" s="132" t="str">
        <f>'Com-Ind Calculations'!X57</f>
        <v>Cancer</v>
      </c>
      <c r="F57" s="127"/>
      <c r="G57" s="717">
        <f>IF(E57="BTV","NA",IF(E57="Max Limit","NA",IF(E57="Csat","NA",IF(ISNUMBER('Com-Ind Calculations'!U57),((F57/'Com-Ind Calculations'!U57)),"NA"))))</f>
        <v>0</v>
      </c>
      <c r="H57" s="718">
        <f>IF(E57="BTV","NA",IF(E57="Max Limit","NA",IF(E57="Csat","NA",IF(ISNUMBER('Com-Ind Calculations'!N57),((F57/'Com-Ind Calculations'!N57)*0.00001),"NA"))))</f>
        <v>0</v>
      </c>
      <c r="I57" s="702" t="str">
        <f>IF('Chemical Info'!R58="X",'Com-Ind Worksheet'!G57,"")</f>
        <v/>
      </c>
      <c r="J57" s="702" t="str">
        <f>IF('Chemical Info'!S58="X",'Com-Ind Worksheet'!G57,"")</f>
        <v/>
      </c>
      <c r="K57" s="702">
        <f>IF('Chemical Info'!T58="X",'Com-Ind Worksheet'!G57,"")</f>
        <v>0</v>
      </c>
      <c r="L57" s="702" t="str">
        <f>IF('Chemical Info'!U58="X",'Com-Ind Worksheet'!G57,"")</f>
        <v/>
      </c>
      <c r="M57" s="702">
        <f>IF('Chemical Info'!V58="X",'Com-Ind Worksheet'!G57,"")</f>
        <v>0</v>
      </c>
      <c r="N57" s="702">
        <f>IF('Chemical Info'!W58="X",'Com-Ind Worksheet'!G57,"")</f>
        <v>0</v>
      </c>
      <c r="O57" s="702">
        <f>IF('Chemical Info'!X58="X",'Com-Ind Worksheet'!G57,"")</f>
        <v>0</v>
      </c>
      <c r="P57" s="702" t="str">
        <f>IF('Chemical Info'!Y58="X",'Com-Ind Worksheet'!G57,"")</f>
        <v/>
      </c>
      <c r="Q57" s="702" t="str">
        <f>IF('Chemical Info'!Z58="X",'Com-Ind Worksheet'!G57,"")</f>
        <v/>
      </c>
      <c r="R57" s="702" t="str">
        <f>IF('Chemical Info'!AA58="X",'Com-Ind Worksheet'!G57,"")</f>
        <v/>
      </c>
      <c r="S57" s="133" t="str">
        <f t="shared" si="0"/>
        <v/>
      </c>
    </row>
    <row r="58" spans="1:19" ht="10">
      <c r="A58" s="129" t="s">
        <v>322</v>
      </c>
      <c r="B58" s="566" t="s">
        <v>176</v>
      </c>
      <c r="C58" s="736">
        <v>2025</v>
      </c>
      <c r="D58" s="126">
        <f>'Com-Ind Calculations'!W58</f>
        <v>59</v>
      </c>
      <c r="E58" s="126" t="str">
        <f>'Com-Ind Calculations'!X58</f>
        <v>Noncancer</v>
      </c>
      <c r="F58" s="127"/>
      <c r="G58" s="698">
        <f>IF(E58="BTV","NA",IF(E58="Max Limit","NA",IF(E58="Csat","NA",IF(ISNUMBER('Com-Ind Calculations'!U58),((F58/'Com-Ind Calculations'!U58)),"NA"))))</f>
        <v>0</v>
      </c>
      <c r="H58" s="704" t="str">
        <f>IF(E58="BTV","NA",IF(E58="Max Limit","NA",IF(E58="Csat","NA",IF(ISNUMBER('Com-Ind Calculations'!N58),((F58/'Com-Ind Calculations'!N58)*0.00001),"NA"))))</f>
        <v>NA</v>
      </c>
      <c r="I58" s="702" t="str">
        <f>IF('Chemical Info'!R59="X",'Com-Ind Worksheet'!G58,"")</f>
        <v/>
      </c>
      <c r="J58" s="702">
        <f>IF('Chemical Info'!S59="X",'Com-Ind Worksheet'!G58,"")</f>
        <v>0</v>
      </c>
      <c r="K58" s="702" t="str">
        <f>IF('Chemical Info'!T59="X",'Com-Ind Worksheet'!G58,"")</f>
        <v/>
      </c>
      <c r="L58" s="702" t="str">
        <f>IF('Chemical Info'!U59="X",'Com-Ind Worksheet'!G58,"")</f>
        <v/>
      </c>
      <c r="M58" s="702" t="str">
        <f>IF('Chemical Info'!V59="X",'Com-Ind Worksheet'!G58,"")</f>
        <v/>
      </c>
      <c r="N58" s="702" t="str">
        <f>IF('Chemical Info'!W59="X",'Com-Ind Worksheet'!G58,"")</f>
        <v/>
      </c>
      <c r="O58" s="702" t="str">
        <f>IF('Chemical Info'!X59="X",'Com-Ind Worksheet'!G58,"")</f>
        <v/>
      </c>
      <c r="P58" s="702" t="str">
        <f>IF('Chemical Info'!Y59="X",'Com-Ind Worksheet'!G58,"")</f>
        <v/>
      </c>
      <c r="Q58" s="702" t="str">
        <f>IF('Chemical Info'!Z59="X",'Com-Ind Worksheet'!G58,"")</f>
        <v/>
      </c>
      <c r="R58" s="702" t="str">
        <f>IF('Chemical Info'!AA59="X",'Com-Ind Worksheet'!G58,"")</f>
        <v/>
      </c>
      <c r="S58" s="692" t="str">
        <f t="shared" si="0"/>
        <v/>
      </c>
    </row>
    <row r="59" spans="1:19" ht="10">
      <c r="A59" s="129" t="s">
        <v>323</v>
      </c>
      <c r="B59" s="566" t="s">
        <v>0</v>
      </c>
      <c r="C59" s="566">
        <v>2016</v>
      </c>
      <c r="D59" s="126">
        <f>'Com-Ind Calculations'!W59</f>
        <v>840</v>
      </c>
      <c r="E59" s="126" t="str">
        <f>'Com-Ind Calculations'!X59</f>
        <v>Csat</v>
      </c>
      <c r="F59" s="127"/>
      <c r="G59" s="698" t="str">
        <f>IF(E59="BTV","NA",IF(E59="Max Limit","NA",IF(E59="Csat","NA",IF(ISNUMBER('Com-Ind Calculations'!U59),((F59/'Com-Ind Calculations'!U59)),"NA"))))</f>
        <v>NA</v>
      </c>
      <c r="H59" s="704" t="str">
        <f>IF(E59="BTV","NA",IF(E59="Max Limit","NA",IF(E59="Csat","NA",IF(ISNUMBER('Com-Ind Calculations'!N59),((F59/'Com-Ind Calculations'!N59)*0.00001),"NA"))))</f>
        <v>NA</v>
      </c>
      <c r="I59" s="702" t="str">
        <f>IF('Chemical Info'!R60="X",'Com-Ind Worksheet'!G59,"")</f>
        <v/>
      </c>
      <c r="J59" s="702" t="str">
        <f>IF('Chemical Info'!S60="X",'Com-Ind Worksheet'!G59,"")</f>
        <v/>
      </c>
      <c r="K59" s="702" t="str">
        <f>IF('Chemical Info'!T60="X",'Com-Ind Worksheet'!G59,"")</f>
        <v/>
      </c>
      <c r="L59" s="702" t="str">
        <f>IF('Chemical Info'!U60="X",'Com-Ind Worksheet'!G59,"")</f>
        <v/>
      </c>
      <c r="M59" s="702" t="str">
        <f>IF('Chemical Info'!V60="X",'Com-Ind Worksheet'!G59,"")</f>
        <v/>
      </c>
      <c r="N59" s="702" t="str">
        <f>IF('Chemical Info'!W60="X",'Com-Ind Worksheet'!G59,"")</f>
        <v/>
      </c>
      <c r="O59" s="702" t="str">
        <f>IF('Chemical Info'!X60="X",'Com-Ind Worksheet'!G59,"")</f>
        <v/>
      </c>
      <c r="P59" s="702" t="str">
        <f>IF('Chemical Info'!Y60="X",'Com-Ind Worksheet'!G59,"")</f>
        <v/>
      </c>
      <c r="Q59" s="702" t="str">
        <f>IF('Chemical Info'!Z60="X",'Com-Ind Worksheet'!G59,"")</f>
        <v/>
      </c>
      <c r="R59" s="702" t="str">
        <f>IF('Chemical Info'!AA60="X",'Com-Ind Worksheet'!G59,"")</f>
        <v/>
      </c>
      <c r="S59" s="692" t="str">
        <f t="shared" si="0"/>
        <v>Based on Csat. A concentration &gt; Csat indicates potential for free product in soil.</v>
      </c>
    </row>
    <row r="60" spans="1:19" ht="10">
      <c r="A60" s="133" t="s">
        <v>367</v>
      </c>
      <c r="B60" s="566" t="s">
        <v>160</v>
      </c>
      <c r="C60" s="566">
        <v>2016</v>
      </c>
      <c r="D60" s="126">
        <f>'Com-Ind Calculations'!W60</f>
        <v>1700</v>
      </c>
      <c r="E60" s="126" t="str">
        <f>'Com-Ind Calculations'!X60</f>
        <v>Csat</v>
      </c>
      <c r="F60" s="127"/>
      <c r="G60" s="698" t="str">
        <f>IF(E60="BTV","NA",IF(E60="Max Limit","NA",IF(E60="Csat","NA",IF(ISNUMBER('Com-Ind Calculations'!U60),((F60/'Com-Ind Calculations'!U60)),"NA"))))</f>
        <v>NA</v>
      </c>
      <c r="H60" s="704" t="str">
        <f>IF(E60="BTV","NA",IF(E60="Max Limit","NA",IF(E60="Csat","NA",IF(ISNUMBER('Com-Ind Calculations'!N60),((F60/'Com-Ind Calculations'!N60)*0.00001),"NA"))))</f>
        <v>NA</v>
      </c>
      <c r="I60" s="702" t="str">
        <f>IF('Chemical Info'!R61="X",'Com-Ind Worksheet'!G60,"")</f>
        <v>NA</v>
      </c>
      <c r="J60" s="702" t="str">
        <f>IF('Chemical Info'!S61="X",'Com-Ind Worksheet'!G60,"")</f>
        <v/>
      </c>
      <c r="K60" s="702" t="str">
        <f>IF('Chemical Info'!T61="X",'Com-Ind Worksheet'!G60,"")</f>
        <v/>
      </c>
      <c r="L60" s="702" t="str">
        <f>IF('Chemical Info'!U61="X",'Com-Ind Worksheet'!G60,"")</f>
        <v/>
      </c>
      <c r="M60" s="702" t="str">
        <f>IF('Chemical Info'!V61="X",'Com-Ind Worksheet'!G60,"")</f>
        <v/>
      </c>
      <c r="N60" s="702" t="str">
        <f>IF('Chemical Info'!W61="X",'Com-Ind Worksheet'!G60,"")</f>
        <v/>
      </c>
      <c r="O60" s="702" t="str">
        <f>IF('Chemical Info'!X61="X",'Com-Ind Worksheet'!G60,"")</f>
        <v/>
      </c>
      <c r="P60" s="702" t="str">
        <f>IF('Chemical Info'!Y61="X",'Com-Ind Worksheet'!G60,"")</f>
        <v/>
      </c>
      <c r="Q60" s="702" t="str">
        <f>IF('Chemical Info'!Z61="X",'Com-Ind Worksheet'!G60,"")</f>
        <v/>
      </c>
      <c r="R60" s="702" t="str">
        <f>IF('Chemical Info'!AA61="X",'Com-Ind Worksheet'!G60,"")</f>
        <v/>
      </c>
      <c r="S60" s="692" t="str">
        <f t="shared" si="0"/>
        <v>Based on Csat. A concentration &gt; Csat indicates potential for free product in soil.</v>
      </c>
    </row>
    <row r="61" spans="1:19" ht="10">
      <c r="A61" s="133" t="s">
        <v>368</v>
      </c>
      <c r="B61" s="566" t="s">
        <v>161</v>
      </c>
      <c r="C61" s="566">
        <v>2021</v>
      </c>
      <c r="D61" s="126">
        <f>'Com-Ind Calculations'!W61</f>
        <v>72</v>
      </c>
      <c r="E61" s="126" t="str">
        <f>'Com-Ind Calculations'!X61</f>
        <v>Cancer</v>
      </c>
      <c r="F61" s="127"/>
      <c r="G61" s="698">
        <f>IF(E61="BTV","NA",IF(E61="Max Limit","NA",IF(E61="Csat","NA",IF(ISNUMBER('Com-Ind Calculations'!U61),((F61/'Com-Ind Calculations'!U61)),"NA"))))</f>
        <v>0</v>
      </c>
      <c r="H61" s="704">
        <f>IF(E61="BTV","NA",IF(E61="Max Limit","NA",IF(E61="Csat","NA",IF(ISNUMBER('Com-Ind Calculations'!N61),((F61/'Com-Ind Calculations'!N61)*0.00001),"NA"))))</f>
        <v>0</v>
      </c>
      <c r="I61" s="702">
        <f>IF('Chemical Info'!R62="X",'Com-Ind Worksheet'!G61,"")</f>
        <v>0</v>
      </c>
      <c r="J61" s="702" t="str">
        <f>IF('Chemical Info'!S62="X",'Com-Ind Worksheet'!G61,"")</f>
        <v/>
      </c>
      <c r="K61" s="702" t="str">
        <f>IF('Chemical Info'!T62="X",'Com-Ind Worksheet'!G61,"")</f>
        <v/>
      </c>
      <c r="L61" s="702">
        <f>IF('Chemical Info'!U62="X",'Com-Ind Worksheet'!G61,"")</f>
        <v>0</v>
      </c>
      <c r="M61" s="702">
        <f>IF('Chemical Info'!V62="X",'Com-Ind Worksheet'!G61,"")</f>
        <v>0</v>
      </c>
      <c r="N61" s="702" t="str">
        <f>IF('Chemical Info'!W62="X",'Com-Ind Worksheet'!G61,"")</f>
        <v/>
      </c>
      <c r="O61" s="702" t="str">
        <f>IF('Chemical Info'!X62="X",'Com-Ind Worksheet'!G61,"")</f>
        <v/>
      </c>
      <c r="P61" s="702" t="str">
        <f>IF('Chemical Info'!Y62="X",'Com-Ind Worksheet'!G61,"")</f>
        <v/>
      </c>
      <c r="Q61" s="702" t="str">
        <f>IF('Chemical Info'!Z62="X",'Com-Ind Worksheet'!G61,"")</f>
        <v/>
      </c>
      <c r="R61" s="702" t="str">
        <f>IF('Chemical Info'!AA62="X",'Com-Ind Worksheet'!G61,"")</f>
        <v/>
      </c>
      <c r="S61" s="692" t="str">
        <f t="shared" si="0"/>
        <v/>
      </c>
    </row>
    <row r="62" spans="1:19" ht="10">
      <c r="A62" s="133" t="s">
        <v>416</v>
      </c>
      <c r="B62" s="566" t="s">
        <v>162</v>
      </c>
      <c r="C62" s="566">
        <v>2016</v>
      </c>
      <c r="D62" s="126">
        <f>'Com-Ind Calculations'!W62</f>
        <v>1200</v>
      </c>
      <c r="E62" s="126" t="str">
        <f>'Com-Ind Calculations'!X62</f>
        <v>Csat</v>
      </c>
      <c r="F62" s="127"/>
      <c r="G62" s="698" t="str">
        <f>IF(E62="BTV","NA",IF(E62="Max Limit","NA",IF(E62="Csat","NA",IF(ISNUMBER('Com-Ind Calculations'!U62),((F62/'Com-Ind Calculations'!U62)),"NA"))))</f>
        <v>NA</v>
      </c>
      <c r="H62" s="704" t="str">
        <f>IF(E62="BTV","NA",IF(E62="Max Limit","NA",IF(E62="Csat","NA",IF(ISNUMBER('Com-Ind Calculations'!N62),((F62/'Com-Ind Calculations'!N62)*0.00001),"NA"))))</f>
        <v>NA</v>
      </c>
      <c r="I62" s="702" t="str">
        <f>IF('Chemical Info'!R63="X",'Com-Ind Worksheet'!G62,"")</f>
        <v/>
      </c>
      <c r="J62" s="702" t="str">
        <f>IF('Chemical Info'!S63="X",'Com-Ind Worksheet'!G62,"")</f>
        <v/>
      </c>
      <c r="K62" s="702" t="str">
        <f>IF('Chemical Info'!T63="X",'Com-Ind Worksheet'!G62,"")</f>
        <v/>
      </c>
      <c r="L62" s="702" t="str">
        <f>IF('Chemical Info'!U63="X",'Com-Ind Worksheet'!G62,"")</f>
        <v/>
      </c>
      <c r="M62" s="702" t="str">
        <f>IF('Chemical Info'!V63="X",'Com-Ind Worksheet'!G62,"")</f>
        <v>NA</v>
      </c>
      <c r="N62" s="702" t="str">
        <f>IF('Chemical Info'!W63="X",'Com-Ind Worksheet'!G62,"")</f>
        <v/>
      </c>
      <c r="O62" s="702" t="str">
        <f>IF('Chemical Info'!X63="X",'Com-Ind Worksheet'!G62,"")</f>
        <v/>
      </c>
      <c r="P62" s="702" t="str">
        <f>IF('Chemical Info'!Y63="X",'Com-Ind Worksheet'!G62,"")</f>
        <v/>
      </c>
      <c r="Q62" s="702" t="str">
        <f>IF('Chemical Info'!Z63="X",'Com-Ind Worksheet'!G62,"")</f>
        <v/>
      </c>
      <c r="R62" s="702" t="str">
        <f>IF('Chemical Info'!AA63="X",'Com-Ind Worksheet'!G62,"")</f>
        <v/>
      </c>
      <c r="S62" s="692" t="str">
        <f t="shared" si="0"/>
        <v>Based on Csat. A concentration &gt; Csat indicates potential for free product in soil.</v>
      </c>
    </row>
    <row r="63" spans="1:19" s="123" customFormat="1" ht="10">
      <c r="A63" s="129" t="s">
        <v>370</v>
      </c>
      <c r="B63" s="566" t="s">
        <v>113</v>
      </c>
      <c r="C63" s="566">
        <v>2023</v>
      </c>
      <c r="D63" s="132">
        <f>'Com-Ind Calculations'!W63</f>
        <v>250</v>
      </c>
      <c r="E63" s="132" t="str">
        <f>'Com-Ind Calculations'!X63</f>
        <v>Noncancer</v>
      </c>
      <c r="F63" s="127"/>
      <c r="G63" s="717">
        <f>IF(E63="BTV","NA",IF(E63="Max Limit","NA",IF(E63="Csat","NA",IF(ISNUMBER('Com-Ind Calculations'!U63),((F63/'Com-Ind Calculations'!U63)),"NA"))))</f>
        <v>0</v>
      </c>
      <c r="H63" s="718" t="str">
        <f>IF(E63="BTV","NA",IF(E63="Max Limit","NA",IF(E63="Csat","NA",IF(ISNUMBER('Com-Ind Calculations'!N63),((F63/'Com-Ind Calculations'!N63)*0.00001),"NA"))))</f>
        <v>NA</v>
      </c>
      <c r="I63" s="702" t="str">
        <f>IF('Chemical Info'!R64="X",'Com-Ind Worksheet'!G63,"")</f>
        <v/>
      </c>
      <c r="J63" s="702" t="str">
        <f>IF('Chemical Info'!S64="X",'Com-Ind Worksheet'!G63,"")</f>
        <v/>
      </c>
      <c r="K63" s="702">
        <f>IF('Chemical Info'!T64="X",'Com-Ind Worksheet'!G63,"")</f>
        <v>0</v>
      </c>
      <c r="L63" s="702">
        <f>IF('Chemical Info'!U64="X",'Com-Ind Worksheet'!G63,"")</f>
        <v>0</v>
      </c>
      <c r="M63" s="702" t="str">
        <f>IF('Chemical Info'!V64="X",'Com-Ind Worksheet'!G63,"")</f>
        <v/>
      </c>
      <c r="N63" s="702" t="str">
        <f>IF('Chemical Info'!W64="X",'Com-Ind Worksheet'!G63,"")</f>
        <v/>
      </c>
      <c r="O63" s="702" t="str">
        <f>IF('Chemical Info'!X64="X",'Com-Ind Worksheet'!G63,"")</f>
        <v/>
      </c>
      <c r="P63" s="702" t="str">
        <f>IF('Chemical Info'!Y64="X",'Com-Ind Worksheet'!G63,"")</f>
        <v/>
      </c>
      <c r="Q63" s="702" t="str">
        <f>IF('Chemical Info'!Z64="X",'Com-Ind Worksheet'!G63,"")</f>
        <v/>
      </c>
      <c r="R63" s="702" t="str">
        <f>IF('Chemical Info'!AA64="X",'Com-Ind Worksheet'!G63,"")</f>
        <v/>
      </c>
      <c r="S63" s="133" t="str">
        <f t="shared" si="0"/>
        <v/>
      </c>
    </row>
    <row r="64" spans="1:19" ht="10">
      <c r="A64" s="129" t="s">
        <v>371</v>
      </c>
      <c r="B64" s="566" t="s">
        <v>152</v>
      </c>
      <c r="C64" s="566">
        <v>2021</v>
      </c>
      <c r="D64" s="126">
        <f>'Com-Ind Calculations'!W64</f>
        <v>210</v>
      </c>
      <c r="E64" s="126" t="str">
        <f>'Com-Ind Calculations'!X64</f>
        <v>Noncancer</v>
      </c>
      <c r="F64" s="127"/>
      <c r="G64" s="698">
        <f>IF(E64="BTV","NA",IF(E64="Max Limit","NA",IF(E64="Csat","NA",IF(ISNUMBER('Com-Ind Calculations'!U64),((F64/'Com-Ind Calculations'!U64)),"NA"))))</f>
        <v>0</v>
      </c>
      <c r="H64" s="704" t="str">
        <f>IF(E64="BTV","NA",IF(E64="Max Limit","NA",IF(E64="Csat","NA",IF(ISNUMBER('Com-Ind Calculations'!N64),((F64/'Com-Ind Calculations'!N64)*0.00001),"NA"))))</f>
        <v>NA</v>
      </c>
      <c r="I64" s="702" t="str">
        <f>IF('Chemical Info'!R65="X",'Com-Ind Worksheet'!G64,"")</f>
        <v/>
      </c>
      <c r="J64" s="702" t="str">
        <f>IF('Chemical Info'!S65="X",'Com-Ind Worksheet'!G64,"")</f>
        <v/>
      </c>
      <c r="K64" s="702">
        <f>IF('Chemical Info'!T65="X",'Com-Ind Worksheet'!G64,"")</f>
        <v>0</v>
      </c>
      <c r="L64" s="702" t="str">
        <f>IF('Chemical Info'!U65="X",'Com-Ind Worksheet'!G64,"")</f>
        <v/>
      </c>
      <c r="M64" s="702" t="str">
        <f>IF('Chemical Info'!V65="X",'Com-Ind Worksheet'!G64,"")</f>
        <v/>
      </c>
      <c r="N64" s="702" t="str">
        <f>IF('Chemical Info'!W65="X",'Com-Ind Worksheet'!G64,"")</f>
        <v/>
      </c>
      <c r="O64" s="702" t="str">
        <f>IF('Chemical Info'!X65="X",'Com-Ind Worksheet'!G64,"")</f>
        <v/>
      </c>
      <c r="P64" s="702" t="str">
        <f>IF('Chemical Info'!Y65="X",'Com-Ind Worksheet'!G64,"")</f>
        <v/>
      </c>
      <c r="Q64" s="702" t="str">
        <f>IF('Chemical Info'!Z65="X",'Com-Ind Worksheet'!G64,"")</f>
        <v/>
      </c>
      <c r="R64" s="702" t="str">
        <f>IF('Chemical Info'!AA65="X",'Com-Ind Worksheet'!G64,"")</f>
        <v/>
      </c>
      <c r="S64" s="692" t="str">
        <f t="shared" si="0"/>
        <v/>
      </c>
    </row>
    <row r="65" spans="1:19" ht="10">
      <c r="A65" s="133" t="s">
        <v>372</v>
      </c>
      <c r="B65" s="566" t="s">
        <v>153</v>
      </c>
      <c r="C65" s="566">
        <v>2016</v>
      </c>
      <c r="D65" s="126">
        <f>'Com-Ind Calculations'!W65</f>
        <v>1300</v>
      </c>
      <c r="E65" s="126" t="str">
        <f>'Com-Ind Calculations'!X65</f>
        <v>Csat</v>
      </c>
      <c r="F65" s="127"/>
      <c r="G65" s="698" t="str">
        <f>IF(E65="BTV","NA",IF(E65="Max Limit","NA",IF(E65="Csat","NA",IF(ISNUMBER('Com-Ind Calculations'!U65),((F65/'Com-Ind Calculations'!U65)),"NA"))))</f>
        <v>NA</v>
      </c>
      <c r="H65" s="704" t="str">
        <f>IF(E65="BTV","NA",IF(E65="Max Limit","NA",IF(E65="Csat","NA",IF(ISNUMBER('Com-Ind Calculations'!N65),((F65/'Com-Ind Calculations'!N65)*0.00001),"NA"))))</f>
        <v>NA</v>
      </c>
      <c r="I65" s="702" t="str">
        <f>IF('Chemical Info'!R66="X",'Com-Ind Worksheet'!G65,"")</f>
        <v/>
      </c>
      <c r="J65" s="702" t="str">
        <f>IF('Chemical Info'!S66="X",'Com-Ind Worksheet'!G65,"")</f>
        <v/>
      </c>
      <c r="K65" s="702" t="str">
        <f>IF('Chemical Info'!T66="X",'Com-Ind Worksheet'!G65,"")</f>
        <v/>
      </c>
      <c r="L65" s="702" t="str">
        <f>IF('Chemical Info'!U66="X",'Com-Ind Worksheet'!G65,"")</f>
        <v/>
      </c>
      <c r="M65" s="702" t="str">
        <f>IF('Chemical Info'!V66="X",'Com-Ind Worksheet'!G65,"")</f>
        <v>NA</v>
      </c>
      <c r="N65" s="702" t="str">
        <f>IF('Chemical Info'!W66="X",'Com-Ind Worksheet'!G65,"")</f>
        <v/>
      </c>
      <c r="O65" s="702" t="str">
        <f>IF('Chemical Info'!X66="X",'Com-Ind Worksheet'!G65,"")</f>
        <v/>
      </c>
      <c r="P65" s="702" t="str">
        <f>IF('Chemical Info'!Y66="X",'Com-Ind Worksheet'!G65,"")</f>
        <v/>
      </c>
      <c r="Q65" s="702" t="str">
        <f>IF('Chemical Info'!Z66="X",'Com-Ind Worksheet'!G65,"")</f>
        <v/>
      </c>
      <c r="R65" s="702" t="str">
        <f>IF('Chemical Info'!AA66="X",'Com-Ind Worksheet'!G65,"")</f>
        <v/>
      </c>
      <c r="S65" s="692" t="str">
        <f t="shared" si="0"/>
        <v>Based on Csat. A concentration &gt; Csat indicates potential for free product in soil.</v>
      </c>
    </row>
    <row r="66" spans="1:19" ht="10">
      <c r="A66" s="129" t="s">
        <v>324</v>
      </c>
      <c r="B66" s="566" t="s">
        <v>27</v>
      </c>
      <c r="C66" s="566">
        <v>2021</v>
      </c>
      <c r="D66" s="126">
        <f>'Com-Ind Calculations'!W66</f>
        <v>1600</v>
      </c>
      <c r="E66" s="126" t="str">
        <f>'Com-Ind Calculations'!X66</f>
        <v>Noncancer</v>
      </c>
      <c r="F66" s="127"/>
      <c r="G66" s="698">
        <f>IF(E66="BTV","NA",IF(E66="Max Limit","NA",IF(E66="Csat","NA",IF(ISNUMBER('Com-Ind Calculations'!U66),((F66/'Com-Ind Calculations'!U66)),"NA"))))</f>
        <v>0</v>
      </c>
      <c r="H66" s="704">
        <f>IF(E66="BTV","NA",IF(E66="Max Limit","NA",IF(E66="Csat","NA",IF(ISNUMBER('Com-Ind Calculations'!N66),((F66/'Com-Ind Calculations'!N66)*0.00001),"NA"))))</f>
        <v>0</v>
      </c>
      <c r="I66" s="702" t="str">
        <f>IF('Chemical Info'!R67="X",'Com-Ind Worksheet'!G66,"")</f>
        <v/>
      </c>
      <c r="J66" s="702" t="str">
        <f>IF('Chemical Info'!S67="X",'Com-Ind Worksheet'!G66,"")</f>
        <v/>
      </c>
      <c r="K66" s="702" t="str">
        <f>IF('Chemical Info'!T67="X",'Com-Ind Worksheet'!G66,"")</f>
        <v/>
      </c>
      <c r="L66" s="702" t="str">
        <f>IF('Chemical Info'!U67="X",'Com-Ind Worksheet'!G66,"")</f>
        <v/>
      </c>
      <c r="M66" s="702">
        <f>IF('Chemical Info'!V67="X",'Com-Ind Worksheet'!G66,"")</f>
        <v>0</v>
      </c>
      <c r="N66" s="702" t="str">
        <f>IF('Chemical Info'!W67="X",'Com-Ind Worksheet'!G66,"")</f>
        <v/>
      </c>
      <c r="O66" s="702" t="str">
        <f>IF('Chemical Info'!X67="X",'Com-Ind Worksheet'!G66,"")</f>
        <v/>
      </c>
      <c r="P66" s="702" t="str">
        <f>IF('Chemical Info'!Y67="X",'Com-Ind Worksheet'!G66,"")</f>
        <v/>
      </c>
      <c r="Q66" s="702" t="str">
        <f>IF('Chemical Info'!Z67="X",'Com-Ind Worksheet'!G66,"")</f>
        <v/>
      </c>
      <c r="R66" s="702" t="str">
        <f>IF('Chemical Info'!AA67="X",'Com-Ind Worksheet'!G66,"")</f>
        <v/>
      </c>
      <c r="S66" s="692" t="str">
        <f t="shared" si="0"/>
        <v/>
      </c>
    </row>
    <row r="67" spans="1:19" ht="10">
      <c r="A67" s="133" t="s">
        <v>398</v>
      </c>
      <c r="B67" s="566" t="s">
        <v>123</v>
      </c>
      <c r="C67" s="566">
        <v>2022</v>
      </c>
      <c r="D67" s="126">
        <f>'Com-Ind Calculations'!W67</f>
        <v>62</v>
      </c>
      <c r="E67" s="126" t="str">
        <f>'Com-Ind Calculations'!X67</f>
        <v>Noncancer</v>
      </c>
      <c r="F67" s="127"/>
      <c r="G67" s="698">
        <f>IF(E67="BTV","NA",IF(E67="Max Limit","NA",IF(E67="Csat","NA",IF(ISNUMBER('Com-Ind Calculations'!U67),((F67/'Com-Ind Calculations'!U67)),"NA"))))</f>
        <v>0</v>
      </c>
      <c r="H67" s="704">
        <f>IF(E67="BTV","NA",IF(E67="Max Limit","NA",IF(E67="Csat","NA",IF(ISNUMBER('Com-Ind Calculations'!N67),((F67/'Com-Ind Calculations'!N67)*0.00001),"NA"))))</f>
        <v>0</v>
      </c>
      <c r="I67" s="702">
        <f>IF('Chemical Info'!R68="X",'Com-Ind Worksheet'!G67,"")</f>
        <v>0</v>
      </c>
      <c r="J67" s="702">
        <f>IF('Chemical Info'!S68="X",'Com-Ind Worksheet'!G67,"")</f>
        <v>0</v>
      </c>
      <c r="K67" s="702" t="str">
        <f>IF('Chemical Info'!T68="X",'Com-Ind Worksheet'!G67,"")</f>
        <v/>
      </c>
      <c r="L67" s="702" t="str">
        <f>IF('Chemical Info'!U68="X",'Com-Ind Worksheet'!G67,"")</f>
        <v/>
      </c>
      <c r="M67" s="702">
        <f>IF('Chemical Info'!V68="X",'Com-Ind Worksheet'!G67,"")</f>
        <v>0</v>
      </c>
      <c r="N67" s="702">
        <f>IF('Chemical Info'!W68="X",'Com-Ind Worksheet'!G67,"")</f>
        <v>0</v>
      </c>
      <c r="O67" s="702">
        <f>IF('Chemical Info'!X68="X",'Com-Ind Worksheet'!G67,"")</f>
        <v>0</v>
      </c>
      <c r="P67" s="702" t="str">
        <f>IF('Chemical Info'!Y68="X",'Com-Ind Worksheet'!G67,"")</f>
        <v/>
      </c>
      <c r="Q67" s="702" t="str">
        <f>IF('Chemical Info'!Z68="X",'Com-Ind Worksheet'!G67,"")</f>
        <v/>
      </c>
      <c r="R67" s="702" t="str">
        <f>IF('Chemical Info'!AA68="X",'Com-Ind Worksheet'!G67,"")</f>
        <v/>
      </c>
      <c r="S67" s="692" t="str">
        <f t="shared" si="0"/>
        <v/>
      </c>
    </row>
    <row r="68" spans="1:19" ht="10">
      <c r="A68" s="133" t="s">
        <v>1183</v>
      </c>
      <c r="B68" s="566" t="s">
        <v>1184</v>
      </c>
      <c r="C68" s="566">
        <v>2022</v>
      </c>
      <c r="D68" s="126">
        <f>'Com-Ind Calculations'!W68</f>
        <v>1500</v>
      </c>
      <c r="E68" s="126" t="str">
        <f>'Com-Ind Calculations'!X68</f>
        <v>Csat</v>
      </c>
      <c r="F68" s="127"/>
      <c r="G68" s="698" t="str">
        <f>IF(E68="BTV","NA",IF(E68="Max Limit","NA",IF(E68="Csat","NA",IF(ISNUMBER('Com-Ind Calculations'!U68),((F68/'Com-Ind Calculations'!U68)),"NA"))))</f>
        <v>NA</v>
      </c>
      <c r="H68" s="704" t="str">
        <f>IF(E68="BTV","NA",IF(E68="Max Limit","NA",IF(E68="Csat","NA",IF(ISNUMBER('Com-Ind Calculations'!N68),((F68/'Com-Ind Calculations'!N68)*0.00001),"NA"))))</f>
        <v>NA</v>
      </c>
      <c r="I68" s="702" t="str">
        <f>IF('Chemical Info'!R69="X",'Com-Ind Worksheet'!G68,"")</f>
        <v/>
      </c>
      <c r="J68" s="702" t="str">
        <f>IF('Chemical Info'!S69="X",'Com-Ind Worksheet'!G68,"")</f>
        <v/>
      </c>
      <c r="K68" s="702" t="str">
        <f>IF('Chemical Info'!T69="X",'Com-Ind Worksheet'!G68,"")</f>
        <v/>
      </c>
      <c r="L68" s="702" t="str">
        <f>IF('Chemical Info'!U69="X",'Com-Ind Worksheet'!G68,"")</f>
        <v>NA</v>
      </c>
      <c r="M68" s="702" t="str">
        <f>IF('Chemical Info'!V69="X",'Com-Ind Worksheet'!G68,"")</f>
        <v>NA</v>
      </c>
      <c r="N68" s="702" t="str">
        <f>IF('Chemical Info'!W69="X",'Com-Ind Worksheet'!G68,"")</f>
        <v/>
      </c>
      <c r="O68" s="702" t="str">
        <f>IF('Chemical Info'!X69="X",'Com-Ind Worksheet'!G68,"")</f>
        <v/>
      </c>
      <c r="P68" s="702" t="str">
        <f>IF('Chemical Info'!Y69="X",'Com-Ind Worksheet'!G68,"")</f>
        <v/>
      </c>
      <c r="Q68" s="702" t="str">
        <f>IF('Chemical Info'!Z69="X",'Com-Ind Worksheet'!G68,"")</f>
        <v/>
      </c>
      <c r="R68" s="702" t="str">
        <f>IF('Chemical Info'!AA69="X",'Com-Ind Worksheet'!G68,"")</f>
        <v/>
      </c>
      <c r="S68" s="692" t="str">
        <f t="shared" si="0"/>
        <v>Based on Csat. A concentration &gt; Csat indicates potential for free product in soil.</v>
      </c>
    </row>
    <row r="69" spans="1:19" ht="10">
      <c r="A69" s="129" t="s">
        <v>124</v>
      </c>
      <c r="B69" s="566" t="s">
        <v>125</v>
      </c>
      <c r="C69" s="566">
        <v>2021</v>
      </c>
      <c r="D69" s="126">
        <f>'Com-Ind Calculations'!W69</f>
        <v>480</v>
      </c>
      <c r="E69" s="126" t="str">
        <f>'Com-Ind Calculations'!X69</f>
        <v>Csat</v>
      </c>
      <c r="F69" s="127"/>
      <c r="G69" s="698" t="str">
        <f>IF(E69="BTV","NA",IF(E69="Max Limit","NA",IF(E69="Csat","NA",IF(ISNUMBER('Com-Ind Calculations'!U69),((F69/'Com-Ind Calculations'!U69)),"NA"))))</f>
        <v>NA</v>
      </c>
      <c r="H69" s="704" t="str">
        <f>IF(E69="BTV","NA",IF(E69="Max Limit","NA",IF(E69="Csat","NA",IF(ISNUMBER('Com-Ind Calculations'!N69),((F69/'Com-Ind Calculations'!N69)*0.00001),"NA"))))</f>
        <v>NA</v>
      </c>
      <c r="I69" s="702" t="str">
        <f>IF('Chemical Info'!R70="X",'Com-Ind Worksheet'!G69,"")</f>
        <v/>
      </c>
      <c r="J69" s="702" t="str">
        <f>IF('Chemical Info'!S70="X",'Com-Ind Worksheet'!G69,"")</f>
        <v/>
      </c>
      <c r="K69" s="702" t="str">
        <f>IF('Chemical Info'!T70="X",'Com-Ind Worksheet'!G69,"")</f>
        <v/>
      </c>
      <c r="L69" s="702" t="str">
        <f>IF('Chemical Info'!U70="X",'Com-Ind Worksheet'!G69,"")</f>
        <v>NA</v>
      </c>
      <c r="M69" s="702" t="str">
        <f>IF('Chemical Info'!V70="X",'Com-Ind Worksheet'!G69,"")</f>
        <v>NA</v>
      </c>
      <c r="N69" s="702" t="str">
        <f>IF('Chemical Info'!W70="X",'Com-Ind Worksheet'!G69,"")</f>
        <v/>
      </c>
      <c r="O69" s="702" t="str">
        <f>IF('Chemical Info'!X70="X",'Com-Ind Worksheet'!G69,"")</f>
        <v/>
      </c>
      <c r="P69" s="702" t="str">
        <f>IF('Chemical Info'!Y70="X",'Com-Ind Worksheet'!G69,"")</f>
        <v/>
      </c>
      <c r="Q69" s="702" t="str">
        <f>IF('Chemical Info'!Z70="X",'Com-Ind Worksheet'!G69,"")</f>
        <v/>
      </c>
      <c r="R69" s="702" t="str">
        <f>IF('Chemical Info'!AA70="X",'Com-Ind Worksheet'!G69,"")</f>
        <v/>
      </c>
      <c r="S69" s="692" t="str">
        <f t="shared" ref="S69:S132" si="1">IF(E69="Csat","Based on Csat. A concentration &gt; Csat indicates potential for free product in soil.",IF(E69="Max Limit","Based on maximum contaminant limit. Concentration should not be &gt; SRV.",""))</f>
        <v>Based on Csat. A concentration &gt; Csat indicates potential for free product in soil.</v>
      </c>
    </row>
    <row r="70" spans="1:19" ht="10">
      <c r="A70" s="129" t="s">
        <v>1122</v>
      </c>
      <c r="B70" s="566" t="s">
        <v>1114</v>
      </c>
      <c r="C70" s="566">
        <v>2022</v>
      </c>
      <c r="D70" s="126">
        <f>'Com-Ind Calculations'!W70</f>
        <v>10000</v>
      </c>
      <c r="E70" s="126" t="str">
        <f>'Com-Ind Calculations'!X70</f>
        <v>Csat</v>
      </c>
      <c r="F70" s="127"/>
      <c r="G70" s="698" t="str">
        <f>IF(E70="BTV","NA",IF(E70="Max Limit","NA",IF(E70="Csat","NA",IF(ISNUMBER('Com-Ind Calculations'!U70),((F70/'Com-Ind Calculations'!U70)),"NA"))))</f>
        <v>NA</v>
      </c>
      <c r="H70" s="704" t="str">
        <f>IF(E70="BTV","NA",IF(E70="Max Limit","NA",IF(E70="Csat","NA",IF(ISNUMBER('Com-Ind Calculations'!N70),((F70/'Com-Ind Calculations'!N70)*0.00001),"NA"))))</f>
        <v>NA</v>
      </c>
      <c r="I70" s="702" t="str">
        <f>IF('Chemical Info'!R71="X",'Com-Ind Worksheet'!G70,"")</f>
        <v>NA</v>
      </c>
      <c r="J70" s="702" t="str">
        <f>IF('Chemical Info'!S71="X",'Com-Ind Worksheet'!G70,"")</f>
        <v/>
      </c>
      <c r="K70" s="702" t="str">
        <f>IF('Chemical Info'!T71="X",'Com-Ind Worksheet'!G70,"")</f>
        <v/>
      </c>
      <c r="L70" s="702" t="str">
        <f>IF('Chemical Info'!U71="X",'Com-Ind Worksheet'!G70,"")</f>
        <v/>
      </c>
      <c r="M70" s="702" t="str">
        <f>IF('Chemical Info'!V71="X",'Com-Ind Worksheet'!G70,"")</f>
        <v>NA</v>
      </c>
      <c r="N70" s="702" t="str">
        <f>IF('Chemical Info'!W71="X",'Com-Ind Worksheet'!G70,"")</f>
        <v/>
      </c>
      <c r="O70" s="702" t="str">
        <f>IF('Chemical Info'!X71="X",'Com-Ind Worksheet'!G70,"")</f>
        <v/>
      </c>
      <c r="P70" s="702" t="str">
        <f>IF('Chemical Info'!Y71="X",'Com-Ind Worksheet'!G70,"")</f>
        <v/>
      </c>
      <c r="Q70" s="702" t="str">
        <f>IF('Chemical Info'!Z71="X",'Com-Ind Worksheet'!G70,"")</f>
        <v/>
      </c>
      <c r="R70" s="702" t="str">
        <f>IF('Chemical Info'!AA71="X",'Com-Ind Worksheet'!G70,"")</f>
        <v/>
      </c>
      <c r="S70" s="692" t="str">
        <f t="shared" si="1"/>
        <v>Based on Csat. A concentration &gt; Csat indicates potential for free product in soil.</v>
      </c>
    </row>
    <row r="71" spans="1:19" ht="10">
      <c r="A71" s="129" t="s">
        <v>1228</v>
      </c>
      <c r="B71" s="566" t="s">
        <v>1229</v>
      </c>
      <c r="C71" s="566">
        <v>2022</v>
      </c>
      <c r="D71" s="126">
        <f>'Com-Ind Calculations'!W71</f>
        <v>2900</v>
      </c>
      <c r="E71" s="126" t="str">
        <f>'Com-Ind Calculations'!X71</f>
        <v>Csat</v>
      </c>
      <c r="F71" s="127"/>
      <c r="G71" s="698" t="str">
        <f>IF(E71="BTV","NA",IF(E71="Max Limit","NA",IF(E71="Csat","NA",IF(ISNUMBER('Com-Ind Calculations'!U71),((F71/'Com-Ind Calculations'!U71)),"NA"))))</f>
        <v>NA</v>
      </c>
      <c r="H71" s="704" t="str">
        <f>IF(E71="BTV","NA",IF(E71="Max Limit","NA",IF(E71="Csat","NA",IF(ISNUMBER('Com-Ind Calculations'!N71),((F71/'Com-Ind Calculations'!N71)*0.00001),"NA"))))</f>
        <v>NA</v>
      </c>
      <c r="I71" s="702" t="str">
        <f>IF('Chemical Info'!R72="X",'Com-Ind Worksheet'!G71,"")</f>
        <v/>
      </c>
      <c r="J71" s="702" t="str">
        <f>IF('Chemical Info'!S72="X",'Com-Ind Worksheet'!G71,"")</f>
        <v/>
      </c>
      <c r="K71" s="702" t="str">
        <f>IF('Chemical Info'!T72="X",'Com-Ind Worksheet'!G71,"")</f>
        <v/>
      </c>
      <c r="L71" s="702" t="str">
        <f>IF('Chemical Info'!U72="X",'Com-Ind Worksheet'!G71,"")</f>
        <v>NA</v>
      </c>
      <c r="M71" s="702" t="str">
        <f>IF('Chemical Info'!V72="X",'Com-Ind Worksheet'!G71,"")</f>
        <v/>
      </c>
      <c r="N71" s="702" t="str">
        <f>IF('Chemical Info'!W72="X",'Com-Ind Worksheet'!G71,"")</f>
        <v/>
      </c>
      <c r="O71" s="702" t="str">
        <f>IF('Chemical Info'!X72="X",'Com-Ind Worksheet'!G71,"")</f>
        <v/>
      </c>
      <c r="P71" s="702" t="str">
        <f>IF('Chemical Info'!Y72="X",'Com-Ind Worksheet'!G71,"")</f>
        <v/>
      </c>
      <c r="Q71" s="702" t="str">
        <f>IF('Chemical Info'!Z72="X",'Com-Ind Worksheet'!G71,"")</f>
        <v/>
      </c>
      <c r="R71" s="702" t="str">
        <f>IF('Chemical Info'!AA72="X",'Com-Ind Worksheet'!G71,"")</f>
        <v/>
      </c>
      <c r="S71" s="692" t="str">
        <f t="shared" si="1"/>
        <v>Based on Csat. A concentration &gt; Csat indicates potential for free product in soil.</v>
      </c>
    </row>
    <row r="72" spans="1:19" ht="10">
      <c r="A72" s="129" t="s">
        <v>1167</v>
      </c>
      <c r="B72" s="566" t="s">
        <v>1168</v>
      </c>
      <c r="C72" s="566">
        <v>2022</v>
      </c>
      <c r="D72" s="126">
        <f>'Com-Ind Calculations'!W72</f>
        <v>27</v>
      </c>
      <c r="E72" s="126" t="str">
        <f>'Com-Ind Calculations'!X72</f>
        <v>Noncancer</v>
      </c>
      <c r="F72" s="127"/>
      <c r="G72" s="698">
        <f>IF(E72="BTV","NA",IF(E72="Max Limit","NA",IF(E72="Csat","NA",IF(ISNUMBER('Com-Ind Calculations'!U72),((F72/'Com-Ind Calculations'!U72)),"NA"))))</f>
        <v>0</v>
      </c>
      <c r="H72" s="704">
        <f>IF(E72="BTV","NA",IF(E72="Max Limit","NA",IF(E72="Csat","NA",IF(ISNUMBER('Com-Ind Calculations'!N72),((F72/'Com-Ind Calculations'!N72)*0.00001),"NA"))))</f>
        <v>0</v>
      </c>
      <c r="I72" s="702" t="str">
        <f>IF('Chemical Info'!R73="X",'Com-Ind Worksheet'!G72,"")</f>
        <v/>
      </c>
      <c r="J72" s="702" t="str">
        <f>IF('Chemical Info'!S73="X",'Com-Ind Worksheet'!G72,"")</f>
        <v/>
      </c>
      <c r="K72" s="702" t="str">
        <f>IF('Chemical Info'!T73="X",'Com-Ind Worksheet'!G72,"")</f>
        <v/>
      </c>
      <c r="L72" s="702" t="str">
        <f>IF('Chemical Info'!U73="X",'Com-Ind Worksheet'!G72,"")</f>
        <v/>
      </c>
      <c r="M72" s="702" t="str">
        <f>IF('Chemical Info'!V73="X",'Com-Ind Worksheet'!G72,"")</f>
        <v/>
      </c>
      <c r="N72" s="702">
        <f>IF('Chemical Info'!W73="X",'Com-Ind Worksheet'!G72,"")</f>
        <v>0</v>
      </c>
      <c r="O72" s="702">
        <f>IF('Chemical Info'!X73="X",'Com-Ind Worksheet'!G72,"")</f>
        <v>0</v>
      </c>
      <c r="P72" s="702" t="str">
        <f>IF('Chemical Info'!Y73="X",'Com-Ind Worksheet'!G72,"")</f>
        <v/>
      </c>
      <c r="Q72" s="702" t="str">
        <f>IF('Chemical Info'!Z73="X",'Com-Ind Worksheet'!G72,"")</f>
        <v/>
      </c>
      <c r="R72" s="702" t="str">
        <f>IF('Chemical Info'!AA73="X",'Com-Ind Worksheet'!G72,"")</f>
        <v/>
      </c>
      <c r="S72" s="692" t="str">
        <f t="shared" si="1"/>
        <v/>
      </c>
    </row>
    <row r="73" spans="1:19" ht="10">
      <c r="A73" s="129" t="s">
        <v>166</v>
      </c>
      <c r="B73" s="566" t="s">
        <v>167</v>
      </c>
      <c r="C73" s="566">
        <v>2016</v>
      </c>
      <c r="D73" s="126">
        <f>'Com-Ind Calculations'!W73</f>
        <v>320</v>
      </c>
      <c r="E73" s="126" t="str">
        <f>'Com-Ind Calculations'!X73</f>
        <v>Noncancer</v>
      </c>
      <c r="F73" s="127"/>
      <c r="G73" s="698">
        <f>IF(E73="BTV","NA",IF(E73="Max Limit","NA",IF(E73="Csat","NA",IF(ISNUMBER('Com-Ind Calculations'!U73),((F73/'Com-Ind Calculations'!U73)),"NA"))))</f>
        <v>0</v>
      </c>
      <c r="H73" s="704" t="str">
        <f>IF(E73="BTV","NA",IF(E73="Max Limit","NA",IF(E73="Csat","NA",IF(ISNUMBER('Com-Ind Calculations'!N73),((F73/'Com-Ind Calculations'!N73)*0.00001),"NA"))))</f>
        <v>NA</v>
      </c>
      <c r="I73" s="702" t="str">
        <f>IF('Chemical Info'!R74="X",'Com-Ind Worksheet'!G73,"")</f>
        <v/>
      </c>
      <c r="J73" s="702" t="str">
        <f>IF('Chemical Info'!S74="X",'Com-Ind Worksheet'!G73,"")</f>
        <v/>
      </c>
      <c r="K73" s="702" t="str">
        <f>IF('Chemical Info'!T74="X",'Com-Ind Worksheet'!G73,"")</f>
        <v/>
      </c>
      <c r="L73" s="702" t="str">
        <f>IF('Chemical Info'!U74="X",'Com-Ind Worksheet'!G73,"")</f>
        <v/>
      </c>
      <c r="M73" s="702">
        <f>IF('Chemical Info'!V74="X",'Com-Ind Worksheet'!G73,"")</f>
        <v>0</v>
      </c>
      <c r="N73" s="702" t="str">
        <f>IF('Chemical Info'!W74="X",'Com-Ind Worksheet'!G73,"")</f>
        <v/>
      </c>
      <c r="O73" s="702" t="str">
        <f>IF('Chemical Info'!X74="X",'Com-Ind Worksheet'!G73,"")</f>
        <v/>
      </c>
      <c r="P73" s="702" t="str">
        <f>IF('Chemical Info'!Y74="X",'Com-Ind Worksheet'!G73,"")</f>
        <v/>
      </c>
      <c r="Q73" s="702" t="str">
        <f>IF('Chemical Info'!Z74="X",'Com-Ind Worksheet'!G73,"")</f>
        <v/>
      </c>
      <c r="R73" s="702" t="str">
        <f>IF('Chemical Info'!AA74="X",'Com-Ind Worksheet'!G73,"")</f>
        <v/>
      </c>
      <c r="S73" s="692" t="str">
        <f t="shared" si="1"/>
        <v/>
      </c>
    </row>
    <row r="74" spans="1:19" ht="10">
      <c r="A74" s="129" t="s">
        <v>63</v>
      </c>
      <c r="B74" s="566" t="s">
        <v>64</v>
      </c>
      <c r="C74" s="566">
        <v>2016</v>
      </c>
      <c r="D74" s="126">
        <f>'Com-Ind Calculations'!W74</f>
        <v>140</v>
      </c>
      <c r="E74" s="126" t="str">
        <f>'Com-Ind Calculations'!X74</f>
        <v>Csat</v>
      </c>
      <c r="F74" s="127"/>
      <c r="G74" s="698" t="str">
        <f>IF(E74="BTV","NA",IF(E74="Max Limit","NA",IF(E74="Csat","NA",IF(ISNUMBER('Com-Ind Calculations'!U74),((F74/'Com-Ind Calculations'!U74)),"NA"))))</f>
        <v>NA</v>
      </c>
      <c r="H74" s="704" t="str">
        <f>IF(E74="BTV","NA",IF(E74="Max Limit","NA",IF(E74="Csat","NA",IF(ISNUMBER('Com-Ind Calculations'!N74),((F74/'Com-Ind Calculations'!N74)*0.00001),"NA"))))</f>
        <v>NA</v>
      </c>
      <c r="I74" s="702" t="str">
        <f>IF('Chemical Info'!R75="X",'Com-Ind Worksheet'!G74,"")</f>
        <v>NA</v>
      </c>
      <c r="J74" s="702" t="str">
        <f>IF('Chemical Info'!S75="X",'Com-Ind Worksheet'!G74,"")</f>
        <v/>
      </c>
      <c r="K74" s="702" t="str">
        <f>IF('Chemical Info'!T75="X",'Com-Ind Worksheet'!G74,"")</f>
        <v/>
      </c>
      <c r="L74" s="702" t="str">
        <f>IF('Chemical Info'!U75="X",'Com-Ind Worksheet'!G74,"")</f>
        <v/>
      </c>
      <c r="M74" s="702" t="str">
        <f>IF('Chemical Info'!V75="X",'Com-Ind Worksheet'!G74,"")</f>
        <v/>
      </c>
      <c r="N74" s="702" t="str">
        <f>IF('Chemical Info'!W75="X",'Com-Ind Worksheet'!G74,"")</f>
        <v/>
      </c>
      <c r="O74" s="702" t="str">
        <f>IF('Chemical Info'!X75="X",'Com-Ind Worksheet'!G74,"")</f>
        <v/>
      </c>
      <c r="P74" s="702" t="str">
        <f>IF('Chemical Info'!Y75="X",'Com-Ind Worksheet'!G74,"")</f>
        <v/>
      </c>
      <c r="Q74" s="702" t="str">
        <f>IF('Chemical Info'!Z75="X",'Com-Ind Worksheet'!G74,"")</f>
        <v/>
      </c>
      <c r="R74" s="702" t="str">
        <f>IF('Chemical Info'!AA75="X",'Com-Ind Worksheet'!G74,"")</f>
        <v/>
      </c>
      <c r="S74" s="692" t="str">
        <f t="shared" si="1"/>
        <v>Based on Csat. A concentration &gt; Csat indicates potential for free product in soil.</v>
      </c>
    </row>
    <row r="75" spans="1:19" ht="10">
      <c r="A75" s="129" t="s">
        <v>1173</v>
      </c>
      <c r="B75" s="566" t="s">
        <v>1174</v>
      </c>
      <c r="C75" s="566">
        <v>2022</v>
      </c>
      <c r="D75" s="126">
        <f>'Com-Ind Calculations'!W75</f>
        <v>30</v>
      </c>
      <c r="E75" s="126" t="str">
        <f>'Com-Ind Calculations'!X75</f>
        <v>Noncancer</v>
      </c>
      <c r="F75" s="127"/>
      <c r="G75" s="698">
        <f>IF(E75="BTV","NA",IF(E75="Max Limit","NA",IF(E75="Csat","NA",IF(ISNUMBER('Com-Ind Calculations'!U75),((F75/'Com-Ind Calculations'!U75)),"NA"))))</f>
        <v>0</v>
      </c>
      <c r="H75" s="704" t="str">
        <f>IF(E75="BTV","NA",IF(E75="Max Limit","NA",IF(E75="Csat","NA",IF(ISNUMBER('Com-Ind Calculations'!N75),((F75/'Com-Ind Calculations'!N75)*0.00001),"NA"))))</f>
        <v>NA</v>
      </c>
      <c r="I75" s="702" t="str">
        <f>IF('Chemical Info'!R76="X",'Com-Ind Worksheet'!G75,"")</f>
        <v/>
      </c>
      <c r="J75" s="702" t="str">
        <f>IF('Chemical Info'!S76="X",'Com-Ind Worksheet'!G75,"")</f>
        <v/>
      </c>
      <c r="K75" s="702" t="str">
        <f>IF('Chemical Info'!T76="X",'Com-Ind Worksheet'!G75,"")</f>
        <v/>
      </c>
      <c r="L75" s="702" t="str">
        <f>IF('Chemical Info'!U76="X",'Com-Ind Worksheet'!G75,"")</f>
        <v/>
      </c>
      <c r="M75" s="702">
        <f>IF('Chemical Info'!V76="X",'Com-Ind Worksheet'!G75,"")</f>
        <v>0</v>
      </c>
      <c r="N75" s="702" t="str">
        <f>IF('Chemical Info'!W76="X",'Com-Ind Worksheet'!G75,"")</f>
        <v/>
      </c>
      <c r="O75" s="702" t="str">
        <f>IF('Chemical Info'!X76="X",'Com-Ind Worksheet'!G75,"")</f>
        <v/>
      </c>
      <c r="P75" s="702" t="str">
        <f>IF('Chemical Info'!Y76="X",'Com-Ind Worksheet'!G75,"")</f>
        <v/>
      </c>
      <c r="Q75" s="702" t="str">
        <f>IF('Chemical Info'!Z76="X",'Com-Ind Worksheet'!G75,"")</f>
        <v/>
      </c>
      <c r="R75" s="702" t="str">
        <f>IF('Chemical Info'!AA76="X",'Com-Ind Worksheet'!G75,"")</f>
        <v/>
      </c>
      <c r="S75" s="692" t="str">
        <f t="shared" si="1"/>
        <v/>
      </c>
    </row>
    <row r="76" spans="1:19" ht="10">
      <c r="A76" s="129" t="s">
        <v>325</v>
      </c>
      <c r="B76" s="566" t="s">
        <v>225</v>
      </c>
      <c r="C76" s="566">
        <v>2016</v>
      </c>
      <c r="D76" s="126">
        <f>'Com-Ind Calculations'!W76</f>
        <v>28000</v>
      </c>
      <c r="E76" s="126" t="str">
        <f>'Com-Ind Calculations'!X76</f>
        <v>Csat</v>
      </c>
      <c r="F76" s="127"/>
      <c r="G76" s="698" t="str">
        <f>IF(E76="BTV","NA",IF(E76="Max Limit","NA",IF(E76="Csat","NA",IF(ISNUMBER('Com-Ind Calculations'!U76),((F76/'Com-Ind Calculations'!U76)),"NA"))))</f>
        <v>NA</v>
      </c>
      <c r="H76" s="704" t="str">
        <f>IF(E76="BTV","NA",IF(E76="Max Limit","NA",IF(E76="Csat","NA",IF(ISNUMBER('Com-Ind Calculations'!N76),((F76/'Com-Ind Calculations'!N76)*0.00001),"NA"))))</f>
        <v>NA</v>
      </c>
      <c r="I76" s="702" t="str">
        <f>IF('Chemical Info'!R77="X",'Com-Ind Worksheet'!G76,"")</f>
        <v/>
      </c>
      <c r="J76" s="702" t="str">
        <f>IF('Chemical Info'!S77="X",'Com-Ind Worksheet'!G76,"")</f>
        <v/>
      </c>
      <c r="K76" s="702" t="str">
        <f>IF('Chemical Info'!T77="X",'Com-Ind Worksheet'!G76,"")</f>
        <v/>
      </c>
      <c r="L76" s="702" t="str">
        <f>IF('Chemical Info'!U77="X",'Com-Ind Worksheet'!G76,"")</f>
        <v/>
      </c>
      <c r="M76" s="702" t="str">
        <f>IF('Chemical Info'!V77="X",'Com-Ind Worksheet'!G76,"")</f>
        <v/>
      </c>
      <c r="N76" s="702" t="str">
        <f>IF('Chemical Info'!W77="X",'Com-Ind Worksheet'!G76,"")</f>
        <v>NA</v>
      </c>
      <c r="O76" s="702" t="str">
        <f>IF('Chemical Info'!X77="X",'Com-Ind Worksheet'!G76,"")</f>
        <v/>
      </c>
      <c r="P76" s="702" t="str">
        <f>IF('Chemical Info'!Y77="X",'Com-Ind Worksheet'!G76,"")</f>
        <v>NA</v>
      </c>
      <c r="Q76" s="702" t="str">
        <f>IF('Chemical Info'!Z77="X",'Com-Ind Worksheet'!G76,"")</f>
        <v/>
      </c>
      <c r="R76" s="702" t="str">
        <f>IF('Chemical Info'!AA77="X",'Com-Ind Worksheet'!G76,"")</f>
        <v/>
      </c>
      <c r="S76" s="692" t="str">
        <f t="shared" si="1"/>
        <v>Based on Csat. A concentration &gt; Csat indicates potential for free product in soil.</v>
      </c>
    </row>
    <row r="77" spans="1:19" ht="10">
      <c r="A77" s="129" t="s">
        <v>1175</v>
      </c>
      <c r="B77" s="566" t="s">
        <v>1176</v>
      </c>
      <c r="C77" s="566">
        <v>2022</v>
      </c>
      <c r="D77" s="126">
        <f>'Com-Ind Calculations'!W77</f>
        <v>2400</v>
      </c>
      <c r="E77" s="126" t="str">
        <f>'Com-Ind Calculations'!X77</f>
        <v>Csat</v>
      </c>
      <c r="F77" s="127"/>
      <c r="G77" s="698" t="str">
        <f>IF(E77="BTV","NA",IF(E77="Max Limit","NA",IF(E77="Csat","NA",IF(ISNUMBER('Com-Ind Calculations'!U77),((F77/'Com-Ind Calculations'!U77)),"NA"))))</f>
        <v>NA</v>
      </c>
      <c r="H77" s="704" t="str">
        <f>IF(E77="BTV","NA",IF(E77="Max Limit","NA",IF(E77="Csat","NA",IF(ISNUMBER('Com-Ind Calculations'!N77),((F77/'Com-Ind Calculations'!N77)*0.00001),"NA"))))</f>
        <v>NA</v>
      </c>
      <c r="I77" s="702" t="str">
        <f>IF('Chemical Info'!R78="X",'Com-Ind Worksheet'!G77,"")</f>
        <v>NA</v>
      </c>
      <c r="J77" s="702" t="str">
        <f>IF('Chemical Info'!S78="X",'Com-Ind Worksheet'!G77,"")</f>
        <v/>
      </c>
      <c r="K77" s="702" t="str">
        <f>IF('Chemical Info'!T78="X",'Com-Ind Worksheet'!G77,"")</f>
        <v/>
      </c>
      <c r="L77" s="702" t="str">
        <f>IF('Chemical Info'!U78="X",'Com-Ind Worksheet'!G77,"")</f>
        <v/>
      </c>
      <c r="M77" s="702" t="str">
        <f>IF('Chemical Info'!V78="X",'Com-Ind Worksheet'!G77,"")</f>
        <v/>
      </c>
      <c r="N77" s="702" t="str">
        <f>IF('Chemical Info'!W78="X",'Com-Ind Worksheet'!G77,"")</f>
        <v/>
      </c>
      <c r="O77" s="702" t="str">
        <f>IF('Chemical Info'!X78="X",'Com-Ind Worksheet'!G77,"")</f>
        <v>NA</v>
      </c>
      <c r="P77" s="702" t="str">
        <f>IF('Chemical Info'!Y78="X",'Com-Ind Worksheet'!G77,"")</f>
        <v/>
      </c>
      <c r="Q77" s="702" t="str">
        <f>IF('Chemical Info'!Z78="X",'Com-Ind Worksheet'!G77,"")</f>
        <v/>
      </c>
      <c r="R77" s="702" t="str">
        <f>IF('Chemical Info'!AA78="X",'Com-Ind Worksheet'!G77,"")</f>
        <v/>
      </c>
      <c r="S77" s="692" t="str">
        <f t="shared" si="1"/>
        <v>Based on Csat. A concentration &gt; Csat indicates potential for free product in soil.</v>
      </c>
    </row>
    <row r="78" spans="1:19" ht="10">
      <c r="A78" s="129" t="s">
        <v>918</v>
      </c>
      <c r="B78" s="566" t="s">
        <v>34</v>
      </c>
      <c r="C78" s="566">
        <v>2016</v>
      </c>
      <c r="D78" s="126">
        <f>'Com-Ind Calculations'!W78</f>
        <v>3400</v>
      </c>
      <c r="E78" s="126" t="str">
        <f>'Com-Ind Calculations'!X78</f>
        <v>Csat</v>
      </c>
      <c r="F78" s="127"/>
      <c r="G78" s="698" t="str">
        <f>IF(E78="BTV","NA",IF(E78="Max Limit","NA",IF(E78="Csat","NA",IF(ISNUMBER('Com-Ind Calculations'!U78),((F78/'Com-Ind Calculations'!U78)),"NA"))))</f>
        <v>NA</v>
      </c>
      <c r="H78" s="704" t="str">
        <f>IF(E78="BTV","NA",IF(E78="Max Limit","NA",IF(E78="Csat","NA",IF(ISNUMBER('Com-Ind Calculations'!N78),((F78/'Com-Ind Calculations'!N78)*0.00001),"NA"))))</f>
        <v>NA</v>
      </c>
      <c r="I78" s="702" t="str">
        <f>IF('Chemical Info'!R79="X",'Com-Ind Worksheet'!G78,"")</f>
        <v/>
      </c>
      <c r="J78" s="702" t="str">
        <f>IF('Chemical Info'!S79="X",'Com-Ind Worksheet'!G78,"")</f>
        <v/>
      </c>
      <c r="K78" s="702" t="str">
        <f>IF('Chemical Info'!T79="X",'Com-Ind Worksheet'!G78,"")</f>
        <v/>
      </c>
      <c r="L78" s="702" t="str">
        <f>IF('Chemical Info'!U79="X",'Com-Ind Worksheet'!G78,"")</f>
        <v/>
      </c>
      <c r="M78" s="702" t="str">
        <f>IF('Chemical Info'!V79="X",'Com-Ind Worksheet'!G78,"")</f>
        <v>NA</v>
      </c>
      <c r="N78" s="702" t="str">
        <f>IF('Chemical Info'!W79="X",'Com-Ind Worksheet'!G78,"")</f>
        <v>NA</v>
      </c>
      <c r="O78" s="702" t="str">
        <f>IF('Chemical Info'!X79="X",'Com-Ind Worksheet'!G78,"")</f>
        <v/>
      </c>
      <c r="P78" s="702" t="str">
        <f>IF('Chemical Info'!Y79="X",'Com-Ind Worksheet'!G78,"")</f>
        <v>NA</v>
      </c>
      <c r="Q78" s="702" t="str">
        <f>IF('Chemical Info'!Z79="X",'Com-Ind Worksheet'!G78,"")</f>
        <v/>
      </c>
      <c r="R78" s="702" t="str">
        <f>IF('Chemical Info'!AA79="X",'Com-Ind Worksheet'!G78,"")</f>
        <v/>
      </c>
      <c r="S78" s="692" t="str">
        <f t="shared" si="1"/>
        <v>Based on Csat. A concentration &gt; Csat indicates potential for free product in soil.</v>
      </c>
    </row>
    <row r="79" spans="1:19" ht="10">
      <c r="A79" s="129" t="s">
        <v>1110</v>
      </c>
      <c r="B79" s="566" t="s">
        <v>1111</v>
      </c>
      <c r="C79" s="566">
        <v>2022</v>
      </c>
      <c r="D79" s="126">
        <f>'Com-Ind Calculations'!W79</f>
        <v>6300</v>
      </c>
      <c r="E79" s="126" t="str">
        <f>'Com-Ind Calculations'!X79</f>
        <v>Cancer</v>
      </c>
      <c r="F79" s="127"/>
      <c r="G79" s="698">
        <f>IF(E79="BTV","NA",IF(E79="Max Limit","NA",IF(E79="Csat","NA",IF(ISNUMBER('Com-Ind Calculations'!U79),((F79/'Com-Ind Calculations'!U79)),"NA"))))</f>
        <v>0</v>
      </c>
      <c r="H79" s="704">
        <f>IF(E79="BTV","NA",IF(E79="Max Limit","NA",IF(E79="Csat","NA",IF(ISNUMBER('Com-Ind Calculations'!N79),((F79/'Com-Ind Calculations'!N79)*0.00001),"NA"))))</f>
        <v>0</v>
      </c>
      <c r="I79" s="702" t="str">
        <f>IF('Chemical Info'!R80="X",'Com-Ind Worksheet'!G79,"")</f>
        <v/>
      </c>
      <c r="J79" s="702" t="str">
        <f>IF('Chemical Info'!S80="X",'Com-Ind Worksheet'!G79,"")</f>
        <v/>
      </c>
      <c r="K79" s="702" t="str">
        <f>IF('Chemical Info'!T80="X",'Com-Ind Worksheet'!G79,"")</f>
        <v/>
      </c>
      <c r="L79" s="702">
        <f>IF('Chemical Info'!U80="X",'Com-Ind Worksheet'!G79,"")</f>
        <v>0</v>
      </c>
      <c r="M79" s="702">
        <f>IF('Chemical Info'!V80="X",'Com-Ind Worksheet'!G79,"")</f>
        <v>0</v>
      </c>
      <c r="N79" s="702" t="str">
        <f>IF('Chemical Info'!W80="X",'Com-Ind Worksheet'!G79,"")</f>
        <v/>
      </c>
      <c r="O79" s="702" t="str">
        <f>IF('Chemical Info'!X80="X",'Com-Ind Worksheet'!G79,"")</f>
        <v/>
      </c>
      <c r="P79" s="702" t="str">
        <f>IF('Chemical Info'!Y80="X",'Com-Ind Worksheet'!G79,"")</f>
        <v/>
      </c>
      <c r="Q79" s="702" t="str">
        <f>IF('Chemical Info'!Z80="X",'Com-Ind Worksheet'!G79,"")</f>
        <v/>
      </c>
      <c r="R79" s="702" t="str">
        <f>IF('Chemical Info'!AA80="X",'Com-Ind Worksheet'!G79,"")</f>
        <v/>
      </c>
      <c r="S79" s="692" t="str">
        <f t="shared" si="1"/>
        <v/>
      </c>
    </row>
    <row r="80" spans="1:19" ht="10">
      <c r="A80" s="129" t="s">
        <v>158</v>
      </c>
      <c r="B80" s="566" t="s">
        <v>36</v>
      </c>
      <c r="C80" s="566">
        <v>2021</v>
      </c>
      <c r="D80" s="126">
        <f>'Com-Ind Calculations'!W80</f>
        <v>280</v>
      </c>
      <c r="E80" s="126" t="str">
        <f>'Com-Ind Calculations'!X80</f>
        <v>Cancer</v>
      </c>
      <c r="F80" s="127"/>
      <c r="G80" s="698">
        <f>IF(E80="BTV","NA",IF(E80="Max Limit","NA",IF(E80="Csat","NA",IF(ISNUMBER('Com-Ind Calculations'!U80),((F80/'Com-Ind Calculations'!U80)),"NA"))))</f>
        <v>0</v>
      </c>
      <c r="H80" s="704">
        <f>IF(E80="BTV","NA",IF(E80="Max Limit","NA",IF(E80="Csat","NA",IF(ISNUMBER('Com-Ind Calculations'!N80),((F80/'Com-Ind Calculations'!N80)*0.00001),"NA"))))</f>
        <v>0</v>
      </c>
      <c r="I80" s="702">
        <f>IF('Chemical Info'!R81="X",'Com-Ind Worksheet'!G80,"")</f>
        <v>0</v>
      </c>
      <c r="J80" s="702">
        <f>IF('Chemical Info'!S81="X",'Com-Ind Worksheet'!G80,"")</f>
        <v>0</v>
      </c>
      <c r="K80" s="702">
        <f>IF('Chemical Info'!T81="X",'Com-Ind Worksheet'!G80,"")</f>
        <v>0</v>
      </c>
      <c r="L80" s="702" t="str">
        <f>IF('Chemical Info'!U81="X",'Com-Ind Worksheet'!G80,"")</f>
        <v/>
      </c>
      <c r="M80" s="702" t="str">
        <f>IF('Chemical Info'!V81="X",'Com-Ind Worksheet'!G80,"")</f>
        <v/>
      </c>
      <c r="N80" s="702" t="str">
        <f>IF('Chemical Info'!W81="X",'Com-Ind Worksheet'!G80,"")</f>
        <v/>
      </c>
      <c r="O80" s="702">
        <f>IF('Chemical Info'!X81="X",'Com-Ind Worksheet'!G80,"")</f>
        <v>0</v>
      </c>
      <c r="P80" s="702" t="str">
        <f>IF('Chemical Info'!Y81="X",'Com-Ind Worksheet'!G80,"")</f>
        <v/>
      </c>
      <c r="Q80" s="702" t="str">
        <f>IF('Chemical Info'!Z81="X",'Com-Ind Worksheet'!G80,"")</f>
        <v/>
      </c>
      <c r="R80" s="702" t="str">
        <f>IF('Chemical Info'!AA81="X",'Com-Ind Worksheet'!G80,"")</f>
        <v/>
      </c>
      <c r="S80" s="692" t="str">
        <f t="shared" si="1"/>
        <v/>
      </c>
    </row>
    <row r="81" spans="1:19" ht="10">
      <c r="A81" s="129" t="s">
        <v>442</v>
      </c>
      <c r="B81" s="566" t="s">
        <v>443</v>
      </c>
      <c r="C81" s="566">
        <v>2016</v>
      </c>
      <c r="D81" s="126">
        <f>'Com-Ind Calculations'!W81</f>
        <v>260</v>
      </c>
      <c r="E81" s="126" t="str">
        <f>'Com-Ind Calculations'!X81</f>
        <v>Csat</v>
      </c>
      <c r="F81" s="127"/>
      <c r="G81" s="698" t="str">
        <f>IF(E81="BTV","NA",IF(E81="Max Limit","NA",IF(E81="Csat","NA",IF(ISNUMBER('Com-Ind Calculations'!U81),((F81/'Com-Ind Calculations'!U81)),"NA"))))</f>
        <v>NA</v>
      </c>
      <c r="H81" s="704" t="str">
        <f>IF(E81="BTV","NA",IF(E81="Max Limit","NA",IF(E81="Csat","NA",IF(ISNUMBER('Com-Ind Calculations'!N81),((F81/'Com-Ind Calculations'!N81)*0.00001),"NA"))))</f>
        <v>NA</v>
      </c>
      <c r="I81" s="702" t="str">
        <f>IF('Chemical Info'!R82="X",'Com-Ind Worksheet'!G81,"")</f>
        <v/>
      </c>
      <c r="J81" s="702" t="str">
        <f>IF('Chemical Info'!S82="X",'Com-Ind Worksheet'!G81,"")</f>
        <v/>
      </c>
      <c r="K81" s="702" t="str">
        <f>IF('Chemical Info'!T82="X",'Com-Ind Worksheet'!G81,"")</f>
        <v/>
      </c>
      <c r="L81" s="702" t="str">
        <f>IF('Chemical Info'!U82="X",'Com-Ind Worksheet'!G81,"")</f>
        <v>NA</v>
      </c>
      <c r="M81" s="702" t="str">
        <f>IF('Chemical Info'!V82="X",'Com-Ind Worksheet'!G81,"")</f>
        <v>NA</v>
      </c>
      <c r="N81" s="702" t="str">
        <f>IF('Chemical Info'!W82="X",'Com-Ind Worksheet'!G81,"")</f>
        <v>NA</v>
      </c>
      <c r="O81" s="702" t="str">
        <f>IF('Chemical Info'!X82="X",'Com-Ind Worksheet'!G81,"")</f>
        <v/>
      </c>
      <c r="P81" s="702" t="str">
        <f>IF('Chemical Info'!Y82="X",'Com-Ind Worksheet'!G81,"")</f>
        <v/>
      </c>
      <c r="Q81" s="702" t="str">
        <f>IF('Chemical Info'!Z82="X",'Com-Ind Worksheet'!G81,"")</f>
        <v/>
      </c>
      <c r="R81" s="702" t="str">
        <f>IF('Chemical Info'!AA82="X",'Com-Ind Worksheet'!G81,"")</f>
        <v/>
      </c>
      <c r="S81" s="692" t="str">
        <f t="shared" si="1"/>
        <v>Based on Csat. A concentration &gt; Csat indicates potential for free product in soil.</v>
      </c>
    </row>
    <row r="82" spans="1:19" ht="10">
      <c r="A82" s="129" t="s">
        <v>47</v>
      </c>
      <c r="B82" s="566" t="s">
        <v>48</v>
      </c>
      <c r="C82" s="566">
        <v>2016</v>
      </c>
      <c r="D82" s="126">
        <f>'Com-Ind Calculations'!W82</f>
        <v>870</v>
      </c>
      <c r="E82" s="126" t="str">
        <f>'Com-Ind Calculations'!X82</f>
        <v>Csat</v>
      </c>
      <c r="F82" s="127"/>
      <c r="G82" s="698" t="str">
        <f>IF(E82="BTV","NA",IF(E82="Max Limit","NA",IF(E82="Csat","NA",IF(ISNUMBER('Com-Ind Calculations'!U82),((F82/'Com-Ind Calculations'!U82)),"NA"))))</f>
        <v>NA</v>
      </c>
      <c r="H82" s="704" t="str">
        <f>IF(E82="BTV","NA",IF(E82="Max Limit","NA",IF(E82="Csat","NA",IF(ISNUMBER('Com-Ind Calculations'!N82),((F82/'Com-Ind Calculations'!N82)*0.00001),"NA"))))</f>
        <v>NA</v>
      </c>
      <c r="I82" s="702" t="str">
        <f>IF('Chemical Info'!R83="X",'Com-Ind Worksheet'!G82,"")</f>
        <v>NA</v>
      </c>
      <c r="J82" s="702" t="str">
        <f>IF('Chemical Info'!S83="X",'Com-Ind Worksheet'!G82,"")</f>
        <v>NA</v>
      </c>
      <c r="K82" s="702" t="str">
        <f>IF('Chemical Info'!T83="X",'Com-Ind Worksheet'!G82,"")</f>
        <v/>
      </c>
      <c r="L82" s="702" t="str">
        <f>IF('Chemical Info'!U83="X",'Com-Ind Worksheet'!G82,"")</f>
        <v/>
      </c>
      <c r="M82" s="702" t="str">
        <f>IF('Chemical Info'!V83="X",'Com-Ind Worksheet'!G82,"")</f>
        <v>NA</v>
      </c>
      <c r="N82" s="702" t="str">
        <f>IF('Chemical Info'!W83="X",'Com-Ind Worksheet'!G82,"")</f>
        <v/>
      </c>
      <c r="O82" s="702" t="str">
        <f>IF('Chemical Info'!X83="X",'Com-Ind Worksheet'!G82,"")</f>
        <v/>
      </c>
      <c r="P82" s="702" t="str">
        <f>IF('Chemical Info'!Y83="X",'Com-Ind Worksheet'!G82,"")</f>
        <v/>
      </c>
      <c r="Q82" s="702" t="str">
        <f>IF('Chemical Info'!Z83="X",'Com-Ind Worksheet'!G82,"")</f>
        <v/>
      </c>
      <c r="R82" s="702" t="str">
        <f>IF('Chemical Info'!AA83="X",'Com-Ind Worksheet'!G82,"")</f>
        <v/>
      </c>
      <c r="S82" s="692" t="str">
        <f t="shared" si="1"/>
        <v>Based on Csat. A concentration &gt; Csat indicates potential for free product in soil.</v>
      </c>
    </row>
    <row r="83" spans="1:19" ht="10">
      <c r="A83" s="133" t="s">
        <v>374</v>
      </c>
      <c r="B83" s="566" t="s">
        <v>49</v>
      </c>
      <c r="C83" s="566">
        <v>2016</v>
      </c>
      <c r="D83" s="126">
        <f>'Com-Ind Calculations'!W83</f>
        <v>680</v>
      </c>
      <c r="E83" s="126" t="str">
        <f>'Com-Ind Calculations'!X83</f>
        <v>Csat</v>
      </c>
      <c r="F83" s="127"/>
      <c r="G83" s="698" t="str">
        <f>IF(E83="BTV","NA",IF(E83="Max Limit","NA",IF(E83="Csat","NA",IF(ISNUMBER('Com-Ind Calculations'!U83),((F83/'Com-Ind Calculations'!U83)),"NA"))))</f>
        <v>NA</v>
      </c>
      <c r="H83" s="704" t="str">
        <f>IF(E83="BTV","NA",IF(E83="Max Limit","NA",IF(E83="Csat","NA",IF(ISNUMBER('Com-Ind Calculations'!N83),((F83/'Com-Ind Calculations'!N83)*0.00001),"NA"))))</f>
        <v>NA</v>
      </c>
      <c r="I83" s="702" t="str">
        <f>IF('Chemical Info'!R84="X",'Com-Ind Worksheet'!G83,"")</f>
        <v/>
      </c>
      <c r="J83" s="702" t="str">
        <f>IF('Chemical Info'!S84="X",'Com-Ind Worksheet'!G83,"")</f>
        <v/>
      </c>
      <c r="K83" s="702" t="str">
        <f>IF('Chemical Info'!T84="X",'Com-Ind Worksheet'!G83,"")</f>
        <v/>
      </c>
      <c r="L83" s="702" t="str">
        <f>IF('Chemical Info'!U84="X",'Com-Ind Worksheet'!G83,"")</f>
        <v>NA</v>
      </c>
      <c r="M83" s="702" t="str">
        <f>IF('Chemical Info'!V84="X",'Com-Ind Worksheet'!G83,"")</f>
        <v>NA</v>
      </c>
      <c r="N83" s="702" t="str">
        <f>IF('Chemical Info'!W84="X",'Com-Ind Worksheet'!G83,"")</f>
        <v/>
      </c>
      <c r="O83" s="702" t="str">
        <f>IF('Chemical Info'!X84="X",'Com-Ind Worksheet'!G83,"")</f>
        <v/>
      </c>
      <c r="P83" s="702" t="str">
        <f>IF('Chemical Info'!Y84="X",'Com-Ind Worksheet'!G83,"")</f>
        <v/>
      </c>
      <c r="Q83" s="702" t="str">
        <f>IF('Chemical Info'!Z84="X",'Com-Ind Worksheet'!G83,"")</f>
        <v/>
      </c>
      <c r="R83" s="702" t="str">
        <f>IF('Chemical Info'!AA84="X",'Com-Ind Worksheet'!G83,"")</f>
        <v/>
      </c>
      <c r="S83" s="692" t="str">
        <f t="shared" si="1"/>
        <v>Based on Csat. A concentration &gt; Csat indicates potential for free product in soil.</v>
      </c>
    </row>
    <row r="84" spans="1:19" ht="10">
      <c r="A84" s="133" t="s">
        <v>375</v>
      </c>
      <c r="B84" s="566" t="s">
        <v>183</v>
      </c>
      <c r="C84" s="566">
        <v>2016</v>
      </c>
      <c r="D84" s="126">
        <f>'Com-Ind Calculations'!W84</f>
        <v>230</v>
      </c>
      <c r="E84" s="126" t="str">
        <f>'Com-Ind Calculations'!X84</f>
        <v>Cancer</v>
      </c>
      <c r="F84" s="127"/>
      <c r="G84" s="698">
        <f>IF(E84="BTV","NA",IF(E84="Max Limit","NA",IF(E84="Csat","NA",IF(ISNUMBER('Com-Ind Calculations'!U84),((F84/'Com-Ind Calculations'!U84)),"NA"))))</f>
        <v>0</v>
      </c>
      <c r="H84" s="704">
        <f>IF(E84="BTV","NA",IF(E84="Max Limit","NA",IF(E84="Csat","NA",IF(ISNUMBER('Com-Ind Calculations'!N84),((F84/'Com-Ind Calculations'!N84)*0.00001),"NA"))))</f>
        <v>0</v>
      </c>
      <c r="I84" s="702" t="str">
        <f>IF('Chemical Info'!R85="X",'Com-Ind Worksheet'!G84,"")</f>
        <v/>
      </c>
      <c r="J84" s="702" t="str">
        <f>IF('Chemical Info'!S85="X",'Com-Ind Worksheet'!G84,"")</f>
        <v/>
      </c>
      <c r="K84" s="702" t="str">
        <f>IF('Chemical Info'!T85="X",'Com-Ind Worksheet'!G84,"")</f>
        <v/>
      </c>
      <c r="L84" s="702" t="str">
        <f>IF('Chemical Info'!U85="X",'Com-Ind Worksheet'!G84,"")</f>
        <v/>
      </c>
      <c r="M84" s="702">
        <f>IF('Chemical Info'!V85="X",'Com-Ind Worksheet'!G84,"")</f>
        <v>0</v>
      </c>
      <c r="N84" s="702" t="str">
        <f>IF('Chemical Info'!W85="X",'Com-Ind Worksheet'!G84,"")</f>
        <v/>
      </c>
      <c r="O84" s="702" t="str">
        <f>IF('Chemical Info'!X85="X",'Com-Ind Worksheet'!G84,"")</f>
        <v/>
      </c>
      <c r="P84" s="702" t="str">
        <f>IF('Chemical Info'!Y85="X",'Com-Ind Worksheet'!G84,"")</f>
        <v/>
      </c>
      <c r="Q84" s="702" t="str">
        <f>IF('Chemical Info'!Z85="X",'Com-Ind Worksheet'!G84,"")</f>
        <v/>
      </c>
      <c r="R84" s="702" t="str">
        <f>IF('Chemical Info'!AA85="X",'Com-Ind Worksheet'!G84,"")</f>
        <v/>
      </c>
      <c r="S84" s="692" t="str">
        <f t="shared" si="1"/>
        <v/>
      </c>
    </row>
    <row r="85" spans="1:19" ht="10">
      <c r="A85" s="129" t="s">
        <v>490</v>
      </c>
      <c r="B85" s="566" t="s">
        <v>100</v>
      </c>
      <c r="C85" s="566">
        <v>2021</v>
      </c>
      <c r="D85" s="126">
        <f>'Com-Ind Calculations'!W85</f>
        <v>170</v>
      </c>
      <c r="E85" s="126" t="str">
        <f>'Com-Ind Calculations'!X85</f>
        <v>Csat</v>
      </c>
      <c r="F85" s="127"/>
      <c r="G85" s="698" t="str">
        <f>IF(E85="BTV","NA",IF(E85="Max Limit","NA",IF(E85="Csat","NA",IF(ISNUMBER('Com-Ind Calculations'!U85),((F85/'Com-Ind Calculations'!U85)),"NA"))))</f>
        <v>NA</v>
      </c>
      <c r="H85" s="704" t="str">
        <f>IF(E85="BTV","NA",IF(E85="Max Limit","NA",IF(E85="Csat","NA",IF(ISNUMBER('Com-Ind Calculations'!N85),((F85/'Com-Ind Calculations'!N85)*0.00001),"NA"))))</f>
        <v>NA</v>
      </c>
      <c r="I85" s="702" t="str">
        <f>IF('Chemical Info'!R86="X",'Com-Ind Worksheet'!G85,"")</f>
        <v>NA</v>
      </c>
      <c r="J85" s="702" t="str">
        <f>IF('Chemical Info'!S86="X",'Com-Ind Worksheet'!G85,"")</f>
        <v/>
      </c>
      <c r="K85" s="702" t="str">
        <f>IF('Chemical Info'!T86="X",'Com-Ind Worksheet'!G85,"")</f>
        <v/>
      </c>
      <c r="L85" s="702" t="str">
        <f>IF('Chemical Info'!U86="X",'Com-Ind Worksheet'!G85,"")</f>
        <v/>
      </c>
      <c r="M85" s="702" t="str">
        <f>IF('Chemical Info'!V86="X",'Com-Ind Worksheet'!G85,"")</f>
        <v/>
      </c>
      <c r="N85" s="702" t="str">
        <f>IF('Chemical Info'!W86="X",'Com-Ind Worksheet'!G85,"")</f>
        <v/>
      </c>
      <c r="O85" s="702" t="str">
        <f>IF('Chemical Info'!X86="X",'Com-Ind Worksheet'!G85,"")</f>
        <v/>
      </c>
      <c r="P85" s="702" t="str">
        <f>IF('Chemical Info'!Y86="X",'Com-Ind Worksheet'!G85,"")</f>
        <v/>
      </c>
      <c r="Q85" s="702" t="str">
        <f>IF('Chemical Info'!Z86="X",'Com-Ind Worksheet'!G85,"")</f>
        <v/>
      </c>
      <c r="R85" s="702" t="str">
        <f>IF('Chemical Info'!AA86="X",'Com-Ind Worksheet'!G85,"")</f>
        <v/>
      </c>
      <c r="S85" s="692" t="str">
        <f t="shared" si="1"/>
        <v>Based on Csat. A concentration &gt; Csat indicates potential for free product in soil.</v>
      </c>
    </row>
    <row r="86" spans="1:19" ht="10">
      <c r="A86" s="129" t="s">
        <v>101</v>
      </c>
      <c r="B86" s="566" t="s">
        <v>102</v>
      </c>
      <c r="C86" s="566">
        <v>2016</v>
      </c>
      <c r="D86" s="126">
        <f>'Com-Ind Calculations'!W86</f>
        <v>820</v>
      </c>
      <c r="E86" s="126" t="str">
        <f>'Com-Ind Calculations'!X86</f>
        <v>Csat</v>
      </c>
      <c r="F86" s="127"/>
      <c r="G86" s="698" t="str">
        <f>IF(E86="BTV","NA",IF(E86="Max Limit","NA",IF(E86="Csat","NA",IF(ISNUMBER('Com-Ind Calculations'!U86),((F86/'Com-Ind Calculations'!U86)),"NA"))))</f>
        <v>NA</v>
      </c>
      <c r="H86" s="704" t="str">
        <f>IF(E86="BTV","NA",IF(E86="Max Limit","NA",IF(E86="Csat","NA",IF(ISNUMBER('Com-Ind Calculations'!N86),((F86/'Com-Ind Calculations'!N86)*0.00001),"NA"))))</f>
        <v>NA</v>
      </c>
      <c r="I86" s="702" t="str">
        <f>IF('Chemical Info'!R87="X",'Com-Ind Worksheet'!G86,"")</f>
        <v>NA</v>
      </c>
      <c r="J86" s="702" t="str">
        <f>IF('Chemical Info'!S87="X",'Com-Ind Worksheet'!G86,"")</f>
        <v/>
      </c>
      <c r="K86" s="702" t="str">
        <f>IF('Chemical Info'!T87="X",'Com-Ind Worksheet'!G86,"")</f>
        <v>NA</v>
      </c>
      <c r="L86" s="702" t="str">
        <f>IF('Chemical Info'!U87="X",'Com-Ind Worksheet'!G86,"")</f>
        <v>NA</v>
      </c>
      <c r="M86" s="702" t="str">
        <f>IF('Chemical Info'!V87="X",'Com-Ind Worksheet'!G86,"")</f>
        <v>NA</v>
      </c>
      <c r="N86" s="702" t="str">
        <f>IF('Chemical Info'!W87="X",'Com-Ind Worksheet'!G86,"")</f>
        <v/>
      </c>
      <c r="O86" s="702" t="str">
        <f>IF('Chemical Info'!X87="X",'Com-Ind Worksheet'!G86,"")</f>
        <v/>
      </c>
      <c r="P86" s="702" t="str">
        <f>IF('Chemical Info'!Y87="X",'Com-Ind Worksheet'!G86,"")</f>
        <v/>
      </c>
      <c r="Q86" s="702" t="str">
        <f>IF('Chemical Info'!Z87="X",'Com-Ind Worksheet'!G86,"")</f>
        <v/>
      </c>
      <c r="R86" s="702" t="str">
        <f>IF('Chemical Info'!AA87="X",'Com-Ind Worksheet'!G86,"")</f>
        <v/>
      </c>
      <c r="S86" s="692" t="str">
        <f t="shared" si="1"/>
        <v>Based on Csat. A concentration &gt; Csat indicates potential for free product in soil.</v>
      </c>
    </row>
    <row r="87" spans="1:19" ht="10">
      <c r="A87" s="133" t="s">
        <v>376</v>
      </c>
      <c r="B87" s="566" t="s">
        <v>103</v>
      </c>
      <c r="C87" s="566">
        <v>2021</v>
      </c>
      <c r="D87" s="126">
        <f>'Com-Ind Calculations'!W87</f>
        <v>87</v>
      </c>
      <c r="E87" s="126" t="str">
        <f>'Com-Ind Calculations'!X87</f>
        <v>Noncancer</v>
      </c>
      <c r="F87" s="127"/>
      <c r="G87" s="698">
        <f>IF(E87="BTV","NA",IF(E87="Max Limit","NA",IF(E87="Csat","NA",IF(ISNUMBER('Com-Ind Calculations'!U87),((F87/'Com-Ind Calculations'!U87)),"NA"))))</f>
        <v>0</v>
      </c>
      <c r="H87" s="704">
        <f>IF(E87="BTV","NA",IF(E87="Max Limit","NA",IF(E87="Csat","NA",IF(ISNUMBER('Com-Ind Calculations'!N87),((F87/'Com-Ind Calculations'!N87)*0.00001),"NA"))))</f>
        <v>0</v>
      </c>
      <c r="I87" s="702" t="str">
        <f>IF('Chemical Info'!R88="X",'Com-Ind Worksheet'!G87,"")</f>
        <v/>
      </c>
      <c r="J87" s="702" t="str">
        <f>IF('Chemical Info'!S88="X",'Com-Ind Worksheet'!G87,"")</f>
        <v/>
      </c>
      <c r="K87" s="702" t="str">
        <f>IF('Chemical Info'!T88="X",'Com-Ind Worksheet'!G87,"")</f>
        <v/>
      </c>
      <c r="L87" s="702">
        <f>IF('Chemical Info'!U88="X",'Com-Ind Worksheet'!G87,"")</f>
        <v>0</v>
      </c>
      <c r="M87" s="702">
        <f>IF('Chemical Info'!V88="X",'Com-Ind Worksheet'!G87,"")</f>
        <v>0</v>
      </c>
      <c r="N87" s="702" t="str">
        <f>IF('Chemical Info'!W88="X",'Com-Ind Worksheet'!G87,"")</f>
        <v/>
      </c>
      <c r="O87" s="702" t="str">
        <f>IF('Chemical Info'!X88="X",'Com-Ind Worksheet'!G87,"")</f>
        <v/>
      </c>
      <c r="P87" s="702" t="str">
        <f>IF('Chemical Info'!Y88="X",'Com-Ind Worksheet'!G87,"")</f>
        <v/>
      </c>
      <c r="Q87" s="702" t="str">
        <f>IF('Chemical Info'!Z88="X",'Com-Ind Worksheet'!G87,"")</f>
        <v/>
      </c>
      <c r="R87" s="702" t="str">
        <f>IF('Chemical Info'!AA88="X",'Com-Ind Worksheet'!G87,"")</f>
        <v/>
      </c>
      <c r="S87" s="692" t="str">
        <f t="shared" si="1"/>
        <v/>
      </c>
    </row>
    <row r="88" spans="1:19" ht="10">
      <c r="A88" s="133" t="s">
        <v>400</v>
      </c>
      <c r="B88" s="566" t="s">
        <v>85</v>
      </c>
      <c r="C88" s="566">
        <v>2016</v>
      </c>
      <c r="D88" s="126">
        <f>'Com-Ind Calculations'!W88</f>
        <v>640</v>
      </c>
      <c r="E88" s="126" t="str">
        <f>'Com-Ind Calculations'!X88</f>
        <v>Csat</v>
      </c>
      <c r="F88" s="127"/>
      <c r="G88" s="698" t="str">
        <f>IF(E88="BTV","NA",IF(E88="Max Limit","NA",IF(E88="Csat","NA",IF(ISNUMBER('Com-Ind Calculations'!U88),((F88/'Com-Ind Calculations'!U88)),"NA"))))</f>
        <v>NA</v>
      </c>
      <c r="H88" s="704" t="str">
        <f>IF(E88="BTV","NA",IF(E88="Max Limit","NA",IF(E88="Csat","NA",IF(ISNUMBER('Com-Ind Calculations'!N88),((F88/'Com-Ind Calculations'!N88)*0.00001),"NA"))))</f>
        <v>NA</v>
      </c>
      <c r="I88" s="702" t="str">
        <f>IF('Chemical Info'!R89="X",'Com-Ind Worksheet'!G88,"")</f>
        <v/>
      </c>
      <c r="J88" s="702" t="str">
        <f>IF('Chemical Info'!S89="X",'Com-Ind Worksheet'!G88,"")</f>
        <v/>
      </c>
      <c r="K88" s="702" t="str">
        <f>IF('Chemical Info'!T89="X",'Com-Ind Worksheet'!G88,"")</f>
        <v/>
      </c>
      <c r="L88" s="702" t="str">
        <f>IF('Chemical Info'!U89="X",'Com-Ind Worksheet'!G88,"")</f>
        <v/>
      </c>
      <c r="M88" s="702" t="str">
        <f>IF('Chemical Info'!V89="X",'Com-Ind Worksheet'!G88,"")</f>
        <v>NA</v>
      </c>
      <c r="N88" s="702" t="str">
        <f>IF('Chemical Info'!W89="X",'Com-Ind Worksheet'!G88,"")</f>
        <v/>
      </c>
      <c r="O88" s="702" t="str">
        <f>IF('Chemical Info'!X89="X",'Com-Ind Worksheet'!G88,"")</f>
        <v/>
      </c>
      <c r="P88" s="702" t="str">
        <f>IF('Chemical Info'!Y89="X",'Com-Ind Worksheet'!G88,"")</f>
        <v/>
      </c>
      <c r="Q88" s="702" t="str">
        <f>IF('Chemical Info'!Z89="X",'Com-Ind Worksheet'!G88,"")</f>
        <v/>
      </c>
      <c r="R88" s="702" t="str">
        <f>IF('Chemical Info'!AA89="X",'Com-Ind Worksheet'!G88,"")</f>
        <v/>
      </c>
      <c r="S88" s="692" t="str">
        <f t="shared" si="1"/>
        <v>Based on Csat. A concentration &gt; Csat indicates potential for free product in soil.</v>
      </c>
    </row>
    <row r="89" spans="1:19" ht="10">
      <c r="A89" s="133" t="s">
        <v>417</v>
      </c>
      <c r="B89" s="566" t="s">
        <v>86</v>
      </c>
      <c r="C89" s="566">
        <v>2021</v>
      </c>
      <c r="D89" s="126">
        <f>'Com-Ind Calculations'!W89</f>
        <v>3.1</v>
      </c>
      <c r="E89" s="126" t="str">
        <f>'Com-Ind Calculations'!X89</f>
        <v>Noncancer</v>
      </c>
      <c r="F89" s="127"/>
      <c r="G89" s="698">
        <f>IF(E89="BTV","NA",IF(E89="Max Limit","NA",IF(E89="Csat","NA",IF(ISNUMBER('Com-Ind Calculations'!U89),((F89/'Com-Ind Calculations'!U89)),"NA"))))</f>
        <v>0</v>
      </c>
      <c r="H89" s="704">
        <f>IF(E89="BTV","NA",IF(E89="Max Limit","NA",IF(E89="Csat","NA",IF(ISNUMBER('Com-Ind Calculations'!N89),((F89/'Com-Ind Calculations'!N89)*0.00001),"NA"))))</f>
        <v>0</v>
      </c>
      <c r="I89" s="702" t="str">
        <f>IF('Chemical Info'!R90="X",'Com-Ind Worksheet'!G89,"")</f>
        <v/>
      </c>
      <c r="J89" s="702">
        <f>IF('Chemical Info'!S90="X",'Com-Ind Worksheet'!G89,"")</f>
        <v>0</v>
      </c>
      <c r="K89" s="702" t="str">
        <f>IF('Chemical Info'!T90="X",'Com-Ind Worksheet'!G89,"")</f>
        <v/>
      </c>
      <c r="L89" s="702" t="str">
        <f>IF('Chemical Info'!U90="X",'Com-Ind Worksheet'!G89,"")</f>
        <v/>
      </c>
      <c r="M89" s="702">
        <f>IF('Chemical Info'!V90="X",'Com-Ind Worksheet'!G89,"")</f>
        <v>0</v>
      </c>
      <c r="N89" s="702" t="str">
        <f>IF('Chemical Info'!W90="X",'Com-Ind Worksheet'!G89,"")</f>
        <v/>
      </c>
      <c r="O89" s="702">
        <f>IF('Chemical Info'!X90="X",'Com-Ind Worksheet'!G89,"")</f>
        <v>0</v>
      </c>
      <c r="P89" s="702" t="str">
        <f>IF('Chemical Info'!Y90="X",'Com-Ind Worksheet'!G89,"")</f>
        <v/>
      </c>
      <c r="Q89" s="702" t="str">
        <f>IF('Chemical Info'!Z90="X",'Com-Ind Worksheet'!G89,"")</f>
        <v/>
      </c>
      <c r="R89" s="702" t="str">
        <f>IF('Chemical Info'!AA90="X",'Com-Ind Worksheet'!G89,"")</f>
        <v/>
      </c>
      <c r="S89" s="692" t="str">
        <f t="shared" si="1"/>
        <v/>
      </c>
    </row>
    <row r="90" spans="1:19" ht="10">
      <c r="A90" s="129" t="s">
        <v>87</v>
      </c>
      <c r="B90" s="566" t="s">
        <v>88</v>
      </c>
      <c r="C90" s="566">
        <v>2022</v>
      </c>
      <c r="D90" s="126">
        <f>'Com-Ind Calculations'!W90</f>
        <v>20</v>
      </c>
      <c r="E90" s="126" t="str">
        <f>'Com-Ind Calculations'!X90</f>
        <v>Noncancer</v>
      </c>
      <c r="F90" s="127"/>
      <c r="G90" s="698">
        <f>IF(E90="BTV","NA",IF(E90="Max Limit","NA",IF(E90="Csat","NA",IF(ISNUMBER('Com-Ind Calculations'!U90),((F90/'Com-Ind Calculations'!U90)),"NA"))))</f>
        <v>0</v>
      </c>
      <c r="H90" s="704">
        <f>IF(E90="BTV","NA",IF(E90="Max Limit","NA",IF(E90="Csat","NA",IF(ISNUMBER('Com-Ind Calculations'!N90),((F90/'Com-Ind Calculations'!N90)*0.00001),"NA"))))</f>
        <v>0</v>
      </c>
      <c r="I90" s="702" t="str">
        <f>IF('Chemical Info'!R91="X",'Com-Ind Worksheet'!G90,"")</f>
        <v/>
      </c>
      <c r="J90" s="702" t="str">
        <f>IF('Chemical Info'!S91="X",'Com-Ind Worksheet'!G90,"")</f>
        <v/>
      </c>
      <c r="K90" s="702">
        <f>IF('Chemical Info'!T91="X",'Com-Ind Worksheet'!G90,"")</f>
        <v>0</v>
      </c>
      <c r="L90" s="702" t="str">
        <f>IF('Chemical Info'!U91="X",'Com-Ind Worksheet'!G90,"")</f>
        <v/>
      </c>
      <c r="M90" s="702" t="str">
        <f>IF('Chemical Info'!V91="X",'Com-Ind Worksheet'!G90,"")</f>
        <v/>
      </c>
      <c r="N90" s="702">
        <f>IF('Chemical Info'!W91="X",'Com-Ind Worksheet'!G90,"")</f>
        <v>0</v>
      </c>
      <c r="O90" s="702" t="str">
        <f>IF('Chemical Info'!X91="X",'Com-Ind Worksheet'!G90,"")</f>
        <v/>
      </c>
      <c r="P90" s="702" t="str">
        <f>IF('Chemical Info'!Y91="X",'Com-Ind Worksheet'!G90,"")</f>
        <v/>
      </c>
      <c r="Q90" s="702" t="str">
        <f>IF('Chemical Info'!Z91="X",'Com-Ind Worksheet'!G90,"")</f>
        <v/>
      </c>
      <c r="R90" s="702" t="str">
        <f>IF('Chemical Info'!AA91="X",'Com-Ind Worksheet'!G90,"")</f>
        <v/>
      </c>
      <c r="S90" s="692" t="str">
        <f t="shared" si="1"/>
        <v/>
      </c>
    </row>
    <row r="91" spans="1:19" ht="10">
      <c r="A91" s="129" t="s">
        <v>127</v>
      </c>
      <c r="B91" s="566" t="s">
        <v>128</v>
      </c>
      <c r="C91" s="566">
        <v>2016</v>
      </c>
      <c r="D91" s="126">
        <f>'Com-Ind Calculations'!W91</f>
        <v>1200</v>
      </c>
      <c r="E91" s="126" t="str">
        <f>'Com-Ind Calculations'!X91</f>
        <v>Csat</v>
      </c>
      <c r="F91" s="127"/>
      <c r="G91" s="698" t="str">
        <f>IF(E91="BTV","NA",IF(E91="Max Limit","NA",IF(E91="Csat","NA",IF(ISNUMBER('Com-Ind Calculations'!U91),((F91/'Com-Ind Calculations'!U91)),"NA"))))</f>
        <v>NA</v>
      </c>
      <c r="H91" s="704" t="str">
        <f>IF(E91="BTV","NA",IF(E91="Max Limit","NA",IF(E91="Csat","NA",IF(ISNUMBER('Com-Ind Calculations'!N91),((F91/'Com-Ind Calculations'!N91)*0.00001),"NA"))))</f>
        <v>NA</v>
      </c>
      <c r="I91" s="702" t="str">
        <f>IF('Chemical Info'!R92="X",'Com-Ind Worksheet'!G91,"")</f>
        <v>NA</v>
      </c>
      <c r="J91" s="702" t="str">
        <f>IF('Chemical Info'!S92="X",'Com-Ind Worksheet'!G91,"")</f>
        <v/>
      </c>
      <c r="K91" s="702" t="str">
        <f>IF('Chemical Info'!T92="X",'Com-Ind Worksheet'!G91,"")</f>
        <v/>
      </c>
      <c r="L91" s="702" t="str">
        <f>IF('Chemical Info'!U92="X",'Com-Ind Worksheet'!G91,"")</f>
        <v/>
      </c>
      <c r="M91" s="702" t="str">
        <f>IF('Chemical Info'!V92="X",'Com-Ind Worksheet'!G91,"")</f>
        <v/>
      </c>
      <c r="N91" s="702" t="str">
        <f>IF('Chemical Info'!W92="X",'Com-Ind Worksheet'!G91,"")</f>
        <v/>
      </c>
      <c r="O91" s="702" t="str">
        <f>IF('Chemical Info'!X92="X",'Com-Ind Worksheet'!G91,"")</f>
        <v/>
      </c>
      <c r="P91" s="702" t="str">
        <f>IF('Chemical Info'!Y92="X",'Com-Ind Worksheet'!G91,"")</f>
        <v/>
      </c>
      <c r="Q91" s="702" t="str">
        <f>IF('Chemical Info'!Z92="X",'Com-Ind Worksheet'!G91,"")</f>
        <v/>
      </c>
      <c r="R91" s="702" t="str">
        <f>IF('Chemical Info'!AA92="X",'Com-Ind Worksheet'!G91,"")</f>
        <v/>
      </c>
      <c r="S91" s="692" t="str">
        <f t="shared" si="1"/>
        <v>Based on Csat. A concentration &gt; Csat indicates potential for free product in soil.</v>
      </c>
    </row>
    <row r="92" spans="1:19" ht="10">
      <c r="A92" s="125" t="s">
        <v>491</v>
      </c>
      <c r="B92" s="566" t="s">
        <v>175</v>
      </c>
      <c r="C92" s="566">
        <v>2016</v>
      </c>
      <c r="D92" s="126">
        <f>'Com-Ind Calculations'!W92</f>
        <v>900</v>
      </c>
      <c r="E92" s="126" t="str">
        <f>'Com-Ind Calculations'!X92</f>
        <v>Csat</v>
      </c>
      <c r="F92" s="127"/>
      <c r="G92" s="698" t="str">
        <f>IF(E92="BTV","NA",IF(E92="Max Limit","NA",IF(E92="Csat","NA",IF(ISNUMBER('Com-Ind Calculations'!U92),((F92/'Com-Ind Calculations'!U92)),"NA"))))</f>
        <v>NA</v>
      </c>
      <c r="H92" s="704" t="str">
        <f>IF(E92="BTV","NA",IF(E92="Max Limit","NA",IF(E92="Csat","NA",IF(ISNUMBER('Com-Ind Calculations'!N92),((F92/'Com-Ind Calculations'!N92)*0.00001),"NA"))))</f>
        <v>NA</v>
      </c>
      <c r="I92" s="702" t="str">
        <f>IF('Chemical Info'!R93="X",'Com-Ind Worksheet'!G92,"")</f>
        <v>NA</v>
      </c>
      <c r="J92" s="702" t="str">
        <f>IF('Chemical Info'!S93="X",'Com-Ind Worksheet'!G92,"")</f>
        <v/>
      </c>
      <c r="K92" s="702" t="str">
        <f>IF('Chemical Info'!T93="X",'Com-Ind Worksheet'!G92,"")</f>
        <v/>
      </c>
      <c r="L92" s="702" t="str">
        <f>IF('Chemical Info'!U93="X",'Com-Ind Worksheet'!G92,"")</f>
        <v/>
      </c>
      <c r="M92" s="702" t="str">
        <f>IF('Chemical Info'!V93="X",'Com-Ind Worksheet'!G92,"")</f>
        <v/>
      </c>
      <c r="N92" s="702" t="str">
        <f>IF('Chemical Info'!W93="X",'Com-Ind Worksheet'!G92,"")</f>
        <v/>
      </c>
      <c r="O92" s="702" t="str">
        <f>IF('Chemical Info'!X93="X",'Com-Ind Worksheet'!G92,"")</f>
        <v/>
      </c>
      <c r="P92" s="702" t="str">
        <f>IF('Chemical Info'!Y93="X",'Com-Ind Worksheet'!G92,"")</f>
        <v/>
      </c>
      <c r="Q92" s="702" t="str">
        <f>IF('Chemical Info'!Z93="X",'Com-Ind Worksheet'!G92,"")</f>
        <v/>
      </c>
      <c r="R92" s="702" t="str">
        <f>IF('Chemical Info'!AA93="X",'Com-Ind Worksheet'!G92,"")</f>
        <v/>
      </c>
      <c r="S92" s="692" t="str">
        <f t="shared" si="1"/>
        <v>Based on Csat. A concentration &gt; Csat indicates potential for free product in soil.</v>
      </c>
    </row>
    <row r="93" spans="1:19" ht="10">
      <c r="A93" s="125" t="s">
        <v>1123</v>
      </c>
      <c r="B93" s="566" t="s">
        <v>1124</v>
      </c>
      <c r="C93" s="566">
        <v>2022</v>
      </c>
      <c r="D93" s="126">
        <f>'Com-Ind Calculations'!W93</f>
        <v>1.5</v>
      </c>
      <c r="E93" s="126" t="str">
        <f>'Com-Ind Calculations'!X93</f>
        <v>Cancer</v>
      </c>
      <c r="F93" s="127"/>
      <c r="G93" s="698">
        <f>IF(E93="BTV","NA",IF(E93="Max Limit","NA",IF(E93="Csat","NA",IF(ISNUMBER('Com-Ind Calculations'!U93),((F93/'Com-Ind Calculations'!U93)),"NA"))))</f>
        <v>0</v>
      </c>
      <c r="H93" s="704">
        <f>IF(E93="BTV","NA",IF(E93="Max Limit","NA",IF(E93="Csat","NA",IF(ISNUMBER('Com-Ind Calculations'!N93),((F93/'Com-Ind Calculations'!N93)*0.00001),"NA"))))</f>
        <v>0</v>
      </c>
      <c r="I93" s="702" t="str">
        <f>IF('Chemical Info'!R94="X",'Com-Ind Worksheet'!G93,"")</f>
        <v/>
      </c>
      <c r="J93" s="702" t="str">
        <f>IF('Chemical Info'!S94="X",'Com-Ind Worksheet'!G93,"")</f>
        <v/>
      </c>
      <c r="K93" s="702" t="str">
        <f>IF('Chemical Info'!T94="X",'Com-Ind Worksheet'!G93,"")</f>
        <v/>
      </c>
      <c r="L93" s="702">
        <f>IF('Chemical Info'!U94="X",'Com-Ind Worksheet'!G93,"")</f>
        <v>0</v>
      </c>
      <c r="M93" s="702">
        <f>IF('Chemical Info'!V94="X",'Com-Ind Worksheet'!G93,"")</f>
        <v>0</v>
      </c>
      <c r="N93" s="702" t="str">
        <f>IF('Chemical Info'!W94="X",'Com-Ind Worksheet'!G93,"")</f>
        <v/>
      </c>
      <c r="O93" s="702">
        <f>IF('Chemical Info'!X94="X",'Com-Ind Worksheet'!G93,"")</f>
        <v>0</v>
      </c>
      <c r="P93" s="702" t="str">
        <f>IF('Chemical Info'!Y94="X",'Com-Ind Worksheet'!G93,"")</f>
        <v/>
      </c>
      <c r="Q93" s="702" t="str">
        <f>IF('Chemical Info'!Z94="X",'Com-Ind Worksheet'!G93,"")</f>
        <v/>
      </c>
      <c r="R93" s="702" t="str">
        <f>IF('Chemical Info'!AA94="X",'Com-Ind Worksheet'!G93,"")</f>
        <v/>
      </c>
      <c r="S93" s="692" t="str">
        <f t="shared" si="1"/>
        <v/>
      </c>
    </row>
    <row r="94" spans="1:19" ht="10">
      <c r="A94" s="125" t="s">
        <v>1125</v>
      </c>
      <c r="B94" s="566" t="s">
        <v>1126</v>
      </c>
      <c r="C94" s="566">
        <v>2022</v>
      </c>
      <c r="D94" s="126">
        <f>'Com-Ind Calculations'!W94</f>
        <v>290</v>
      </c>
      <c r="E94" s="126" t="str">
        <f>'Com-Ind Calculations'!X94</f>
        <v>Csat</v>
      </c>
      <c r="F94" s="127"/>
      <c r="G94" s="698" t="str">
        <f>IF(E94="BTV","NA",IF(E94="Max Limit","NA",IF(E94="Csat","NA",IF(ISNUMBER('Com-Ind Calculations'!U94),((F94/'Com-Ind Calculations'!U94)),"NA"))))</f>
        <v>NA</v>
      </c>
      <c r="H94" s="704" t="str">
        <f>IF(E94="BTV","NA",IF(E94="Max Limit","NA",IF(E94="Csat","NA",IF(ISNUMBER('Com-Ind Calculations'!N94),((F94/'Com-Ind Calculations'!N94)*0.00001),"NA"))))</f>
        <v>NA</v>
      </c>
      <c r="I94" s="702" t="str">
        <f>IF('Chemical Info'!R95="X",'Com-Ind Worksheet'!G94,"")</f>
        <v>NA</v>
      </c>
      <c r="J94" s="702" t="str">
        <f>IF('Chemical Info'!S95="X",'Com-Ind Worksheet'!G94,"")</f>
        <v/>
      </c>
      <c r="K94" s="702" t="str">
        <f>IF('Chemical Info'!T95="X",'Com-Ind Worksheet'!G94,"")</f>
        <v/>
      </c>
      <c r="L94" s="702" t="str">
        <f>IF('Chemical Info'!U95="X",'Com-Ind Worksheet'!G94,"")</f>
        <v/>
      </c>
      <c r="M94" s="702" t="str">
        <f>IF('Chemical Info'!V95="X",'Com-Ind Worksheet'!G94,"")</f>
        <v/>
      </c>
      <c r="N94" s="702" t="str">
        <f>IF('Chemical Info'!W95="X",'Com-Ind Worksheet'!G94,"")</f>
        <v/>
      </c>
      <c r="O94" s="702" t="str">
        <f>IF('Chemical Info'!X95="X",'Com-Ind Worksheet'!G94,"")</f>
        <v/>
      </c>
      <c r="P94" s="702" t="str">
        <f>IF('Chemical Info'!Y95="X",'Com-Ind Worksheet'!G94,"")</f>
        <v/>
      </c>
      <c r="Q94" s="702" t="str">
        <f>IF('Chemical Info'!Z95="X",'Com-Ind Worksheet'!G94,"")</f>
        <v/>
      </c>
      <c r="R94" s="702" t="str">
        <f>IF('Chemical Info'!AA95="X",'Com-Ind Worksheet'!G94,"")</f>
        <v/>
      </c>
      <c r="S94" s="692" t="str">
        <f t="shared" si="1"/>
        <v>Based on Csat. A concentration &gt; Csat indicates potential for free product in soil.</v>
      </c>
    </row>
    <row r="95" spans="1:19" ht="10">
      <c r="A95" s="133" t="s">
        <v>380</v>
      </c>
      <c r="B95" s="566" t="s">
        <v>209</v>
      </c>
      <c r="C95" s="566">
        <v>2021</v>
      </c>
      <c r="D95" s="126">
        <f>'Com-Ind Calculations'!W95</f>
        <v>220</v>
      </c>
      <c r="E95" s="126" t="str">
        <f>'Com-Ind Calculations'!X95</f>
        <v>Csat</v>
      </c>
      <c r="F95" s="127"/>
      <c r="G95" s="698" t="str">
        <f>IF(E95="BTV","NA",IF(E95="Max Limit","NA",IF(E95="Csat","NA",IF(ISNUMBER('Com-Ind Calculations'!U95),((F95/'Com-Ind Calculations'!U95)),"NA"))))</f>
        <v>NA</v>
      </c>
      <c r="H95" s="704" t="str">
        <f>IF(E95="BTV","NA",IF(E95="Max Limit","NA",IF(E95="Csat","NA",IF(ISNUMBER('Com-Ind Calculations'!N95),((F95/'Com-Ind Calculations'!N95)*0.00001),"NA"))))</f>
        <v>NA</v>
      </c>
      <c r="I95" s="702" t="str">
        <f>IF('Chemical Info'!R96="X",'Com-Ind Worksheet'!G95,"")</f>
        <v>NA</v>
      </c>
      <c r="J95" s="702" t="str">
        <f>IF('Chemical Info'!S96="X",'Com-Ind Worksheet'!G95,"")</f>
        <v/>
      </c>
      <c r="K95" s="702" t="str">
        <f>IF('Chemical Info'!T96="X",'Com-Ind Worksheet'!G95,"")</f>
        <v/>
      </c>
      <c r="L95" s="702" t="str">
        <f>IF('Chemical Info'!U96="X",'Com-Ind Worksheet'!G95,"")</f>
        <v/>
      </c>
      <c r="M95" s="702" t="str">
        <f>IF('Chemical Info'!V96="X",'Com-Ind Worksheet'!G95,"")</f>
        <v/>
      </c>
      <c r="N95" s="702" t="str">
        <f>IF('Chemical Info'!W96="X",'Com-Ind Worksheet'!G95,"")</f>
        <v/>
      </c>
      <c r="O95" s="702" t="str">
        <f>IF('Chemical Info'!X96="X",'Com-Ind Worksheet'!G95,"")</f>
        <v/>
      </c>
      <c r="P95" s="702" t="str">
        <f>IF('Chemical Info'!Y96="X",'Com-Ind Worksheet'!G95,"")</f>
        <v/>
      </c>
      <c r="Q95" s="702" t="str">
        <f>IF('Chemical Info'!Z96="X",'Com-Ind Worksheet'!G95,"")</f>
        <v/>
      </c>
      <c r="R95" s="702" t="str">
        <f>IF('Chemical Info'!AA96="X",'Com-Ind Worksheet'!G95,"")</f>
        <v/>
      </c>
      <c r="S95" s="692" t="str">
        <f t="shared" si="1"/>
        <v>Based on Csat. A concentration &gt; Csat indicates potential for free product in soil.</v>
      </c>
    </row>
    <row r="96" spans="1:19" ht="10">
      <c r="A96" s="133" t="s">
        <v>381</v>
      </c>
      <c r="B96" s="566" t="s">
        <v>210</v>
      </c>
      <c r="C96" s="566">
        <v>2016</v>
      </c>
      <c r="D96" s="126">
        <f>'Com-Ind Calculations'!W96</f>
        <v>180</v>
      </c>
      <c r="E96" s="126" t="str">
        <f>'Com-Ind Calculations'!X96</f>
        <v>Csat</v>
      </c>
      <c r="F96" s="127"/>
      <c r="G96" s="698" t="str">
        <f>IF(E96="BTV","NA",IF(E96="Max Limit","NA",IF(E96="Csat","NA",IF(ISNUMBER('Com-Ind Calculations'!U96),((F96/'Com-Ind Calculations'!U96)),"NA"))))</f>
        <v>NA</v>
      </c>
      <c r="H96" s="704" t="str">
        <f>IF(E96="BTV","NA",IF(E96="Max Limit","NA",IF(E96="Csat","NA",IF(ISNUMBER('Com-Ind Calculations'!N96),((F96/'Com-Ind Calculations'!N96)*0.00001),"NA"))))</f>
        <v>NA</v>
      </c>
      <c r="I96" s="702" t="str">
        <f>IF('Chemical Info'!R97="X",'Com-Ind Worksheet'!G96,"")</f>
        <v>NA</v>
      </c>
      <c r="J96" s="702" t="str">
        <f>IF('Chemical Info'!S97="X",'Com-Ind Worksheet'!G96,"")</f>
        <v/>
      </c>
      <c r="K96" s="702" t="str">
        <f>IF('Chemical Info'!T97="X",'Com-Ind Worksheet'!G96,"")</f>
        <v/>
      </c>
      <c r="L96" s="702" t="str">
        <f>IF('Chemical Info'!U97="X",'Com-Ind Worksheet'!G96,"")</f>
        <v/>
      </c>
      <c r="M96" s="702" t="str">
        <f>IF('Chemical Info'!V97="X",'Com-Ind Worksheet'!G96,"")</f>
        <v/>
      </c>
      <c r="N96" s="702" t="str">
        <f>IF('Chemical Info'!W97="X",'Com-Ind Worksheet'!G96,"")</f>
        <v/>
      </c>
      <c r="O96" s="702" t="str">
        <f>IF('Chemical Info'!X97="X",'Com-Ind Worksheet'!G96,"")</f>
        <v/>
      </c>
      <c r="P96" s="702" t="str">
        <f>IF('Chemical Info'!Y97="X",'Com-Ind Worksheet'!G96,"")</f>
        <v/>
      </c>
      <c r="Q96" s="702" t="str">
        <f>IF('Chemical Info'!Z97="X",'Com-Ind Worksheet'!G96,"")</f>
        <v/>
      </c>
      <c r="R96" s="702" t="str">
        <f>IF('Chemical Info'!AA97="X",'Com-Ind Worksheet'!G96,"")</f>
        <v/>
      </c>
      <c r="S96" s="692" t="str">
        <f t="shared" si="1"/>
        <v>Based on Csat. A concentration &gt; Csat indicates potential for free product in soil.</v>
      </c>
    </row>
    <row r="97" spans="1:19" s="123" customFormat="1" ht="12">
      <c r="A97" s="625" t="s">
        <v>994</v>
      </c>
      <c r="B97" s="566" t="s">
        <v>212</v>
      </c>
      <c r="C97" s="566">
        <v>2021</v>
      </c>
      <c r="D97" s="132">
        <f>'Com-Ind Calculations'!W97</f>
        <v>56</v>
      </c>
      <c r="E97" s="132" t="str">
        <f>'Com-Ind Calculations'!X97</f>
        <v>Cancer</v>
      </c>
      <c r="F97" s="127"/>
      <c r="G97" s="698">
        <f>IF(E97="BTV","NA",IF(E97="Max Limit","NA",IF(E97="Csat","NA",IF(ISNUMBER('Com-Ind Calculations'!U97),((F97/'Com-Ind Calculations'!U97)),"NA"))))</f>
        <v>0</v>
      </c>
      <c r="H97" s="704">
        <f>IF(E97="BTV","NA",IF(E97="Max Limit","NA",IF(E97="Csat","NA",IF(ISNUMBER('Com-Ind Calculations'!N97),((F97/'Com-Ind Calculations'!N97)*0.00001),"NA"))))</f>
        <v>0</v>
      </c>
      <c r="I97" s="702" t="str">
        <f>IF('Chemical Info'!R98="X",'Com-Ind Worksheet'!G97,"")</f>
        <v/>
      </c>
      <c r="J97" s="702" t="str">
        <f>IF('Chemical Info'!S98="X",'Com-Ind Worksheet'!G97,"")</f>
        <v/>
      </c>
      <c r="K97" s="702" t="str">
        <f>IF('Chemical Info'!T98="X",'Com-Ind Worksheet'!G97,"")</f>
        <v/>
      </c>
      <c r="L97" s="702" t="str">
        <f>IF('Chemical Info'!U98="X",'Com-Ind Worksheet'!G97,"")</f>
        <v/>
      </c>
      <c r="M97" s="702">
        <f>IF('Chemical Info'!V98="X",'Com-Ind Worksheet'!G97,"")</f>
        <v>0</v>
      </c>
      <c r="N97" s="702" t="str">
        <f>IF('Chemical Info'!W98="X",'Com-Ind Worksheet'!G97,"")</f>
        <v/>
      </c>
      <c r="O97" s="702" t="str">
        <f>IF('Chemical Info'!X98="X",'Com-Ind Worksheet'!G97,"")</f>
        <v/>
      </c>
      <c r="P97" s="702" t="str">
        <f>IF('Chemical Info'!Y98="X",'Com-Ind Worksheet'!G97,"")</f>
        <v/>
      </c>
      <c r="Q97" s="702" t="str">
        <f>IF('Chemical Info'!Z98="X",'Com-Ind Worksheet'!G97,"")</f>
        <v/>
      </c>
      <c r="R97" s="702" t="str">
        <f>IF('Chemical Info'!AA98="X",'Com-Ind Worksheet'!G97,"")</f>
        <v/>
      </c>
      <c r="S97" s="692" t="str">
        <f t="shared" si="1"/>
        <v/>
      </c>
    </row>
    <row r="98" spans="1:19" ht="10">
      <c r="A98" s="129" t="s">
        <v>115</v>
      </c>
      <c r="B98" s="566" t="s">
        <v>203</v>
      </c>
      <c r="C98" s="566">
        <v>2016</v>
      </c>
      <c r="D98" s="126">
        <f>'Com-Ind Calculations'!W98</f>
        <v>260</v>
      </c>
      <c r="E98" s="126" t="str">
        <f>'Com-Ind Calculations'!X98</f>
        <v>Csat</v>
      </c>
      <c r="F98" s="127"/>
      <c r="G98" s="698" t="str">
        <f>IF(E98="BTV","NA",IF(E98="Max Limit","NA",IF(E98="Csat","NA",IF(ISNUMBER('Com-Ind Calculations'!U98),((F98/'Com-Ind Calculations'!U98)),"NA"))))</f>
        <v>NA</v>
      </c>
      <c r="H98" s="704" t="str">
        <f>IF(E98="BTV","NA",IF(E98="Max Limit","NA",IF(E98="Csat","NA",IF(ISNUMBER('Com-Ind Calculations'!N98),((F98/'Com-Ind Calculations'!N98)*0.00001),"NA"))))</f>
        <v>NA</v>
      </c>
      <c r="I98" s="702" t="str">
        <f>IF('Chemical Info'!R99="X",'Com-Ind Worksheet'!G98,"")</f>
        <v>NA</v>
      </c>
      <c r="J98" s="702" t="str">
        <f>IF('Chemical Info'!S99="X",'Com-Ind Worksheet'!G98,"")</f>
        <v/>
      </c>
      <c r="K98" s="702" t="str">
        <f>IF('Chemical Info'!T99="X",'Com-Ind Worksheet'!G98,"")</f>
        <v/>
      </c>
      <c r="L98" s="702" t="str">
        <f>IF('Chemical Info'!U99="X",'Com-Ind Worksheet'!G98,"")</f>
        <v>NA</v>
      </c>
      <c r="M98" s="702" t="str">
        <f>IF('Chemical Info'!V99="X",'Com-Ind Worksheet'!G98,"")</f>
        <v/>
      </c>
      <c r="N98" s="702" t="str">
        <f>IF('Chemical Info'!W99="X",'Com-Ind Worksheet'!G98,"")</f>
        <v>NA</v>
      </c>
      <c r="O98" s="702" t="str">
        <f>IF('Chemical Info'!X99="X",'Com-Ind Worksheet'!G98,"")</f>
        <v/>
      </c>
      <c r="P98" s="702" t="str">
        <f>IF('Chemical Info'!Y99="X",'Com-Ind Worksheet'!G98,"")</f>
        <v/>
      </c>
      <c r="Q98" s="702" t="str">
        <f>IF('Chemical Info'!Z99="X",'Com-Ind Worksheet'!G98,"")</f>
        <v/>
      </c>
      <c r="R98" s="702" t="str">
        <f>IF('Chemical Info'!AA99="X",'Com-Ind Worksheet'!G98,"")</f>
        <v/>
      </c>
      <c r="S98" s="692" t="str">
        <f t="shared" si="1"/>
        <v>Based on Csat. A concentration &gt; Csat indicates potential for free product in soil.</v>
      </c>
    </row>
    <row r="99" spans="1:19" ht="10">
      <c r="A99" s="383" t="s">
        <v>379</v>
      </c>
      <c r="B99" s="684"/>
      <c r="C99" s="684"/>
      <c r="D99" s="687"/>
      <c r="E99" s="687"/>
      <c r="F99" s="688"/>
      <c r="G99" s="697"/>
      <c r="H99" s="716"/>
      <c r="I99" s="714"/>
      <c r="J99" s="714"/>
      <c r="K99" s="714"/>
      <c r="L99" s="714"/>
      <c r="M99" s="714"/>
      <c r="N99" s="714"/>
      <c r="O99" s="714"/>
      <c r="P99" s="714"/>
      <c r="Q99" s="714"/>
      <c r="R99" s="715"/>
      <c r="S99" s="691"/>
    </row>
    <row r="100" spans="1:19" s="123" customFormat="1" ht="10">
      <c r="A100" s="129" t="s">
        <v>1127</v>
      </c>
      <c r="B100" s="689" t="s">
        <v>1128</v>
      </c>
      <c r="C100" s="689">
        <v>2022</v>
      </c>
      <c r="D100" s="126">
        <f>'Com-Ind Calculations'!W100</f>
        <v>160</v>
      </c>
      <c r="E100" s="126" t="str">
        <f>'Com-Ind Calculations'!X100</f>
        <v>Noncancer</v>
      </c>
      <c r="F100" s="127"/>
      <c r="G100" s="698">
        <f>IF(E100="BTV","NA",IF(E100="Max Limit","NA",IF(E100="Csat","NA",IF(ISNUMBER('Com-Ind Calculations'!U100),((F100/'Com-Ind Calculations'!U100)),"NA"))))</f>
        <v>0</v>
      </c>
      <c r="H100" s="704">
        <f>IF(E100="BTV","NA",IF(E100="Max Limit","NA",IF(E100="Csat","NA",IF(ISNUMBER('Com-Ind Calculations'!N100),((F100/'Com-Ind Calculations'!N100)*0.00001),"NA"))))</f>
        <v>0</v>
      </c>
      <c r="I100" s="702" t="str">
        <f>IF('Chemical Info'!R101="X",'Com-Ind Worksheet'!G100,"")</f>
        <v/>
      </c>
      <c r="J100" s="702">
        <f>IF('Chemical Info'!S101="X",'Com-Ind Worksheet'!G100,"")</f>
        <v>0</v>
      </c>
      <c r="K100" s="702">
        <f>IF('Chemical Info'!T101="X",'Com-Ind Worksheet'!G100,"")</f>
        <v>0</v>
      </c>
      <c r="L100" s="702" t="str">
        <f>IF('Chemical Info'!U101="X",'Com-Ind Worksheet'!G100,"")</f>
        <v/>
      </c>
      <c r="M100" s="702" t="str">
        <f>IF('Chemical Info'!V101="X",'Com-Ind Worksheet'!G100,"")</f>
        <v/>
      </c>
      <c r="N100" s="702" t="str">
        <f>IF('Chemical Info'!W101="X",'Com-Ind Worksheet'!G100,"")</f>
        <v/>
      </c>
      <c r="O100" s="702" t="str">
        <f>IF('Chemical Info'!X101="X",'Com-Ind Worksheet'!G100,"")</f>
        <v/>
      </c>
      <c r="P100" s="702" t="str">
        <f>IF('Chemical Info'!Y101="X",'Com-Ind Worksheet'!G100,"")</f>
        <v/>
      </c>
      <c r="Q100" s="702" t="str">
        <f>IF('Chemical Info'!Z101="X",'Com-Ind Worksheet'!G100,"")</f>
        <v/>
      </c>
      <c r="R100" s="702" t="str">
        <f>IF('Chemical Info'!AA101="X",'Com-Ind Worksheet'!G100,"")</f>
        <v/>
      </c>
      <c r="S100" s="692" t="str">
        <f t="shared" si="1"/>
        <v/>
      </c>
    </row>
    <row r="101" spans="1:19" ht="10">
      <c r="A101" s="129" t="s">
        <v>205</v>
      </c>
      <c r="B101" s="566" t="s">
        <v>206</v>
      </c>
      <c r="C101" s="566">
        <v>2016</v>
      </c>
      <c r="D101" s="126">
        <f>'Com-Ind Calculations'!W101</f>
        <v>100000</v>
      </c>
      <c r="E101" s="126" t="str">
        <f>'Com-Ind Calculations'!X101</f>
        <v>Max Limit</v>
      </c>
      <c r="F101" s="127"/>
      <c r="G101" s="698" t="str">
        <f>IF(E101="BTV","NA",IF(E101="Max Limit","NA",IF(E101="Csat","NA",IF(ISNUMBER('Com-Ind Calculations'!U101),((F101/'Com-Ind Calculations'!U101)),"NA"))))</f>
        <v>NA</v>
      </c>
      <c r="H101" s="704" t="str">
        <f>IF(E101="BTV","NA",IF(E101="Max Limit","NA",IF(E101="Csat","NA",IF(ISNUMBER('Com-Ind Calculations'!N101),((F101/'Com-Ind Calculations'!N101)*0.00001),"NA"))))</f>
        <v>NA</v>
      </c>
      <c r="I101" s="702" t="str">
        <f>IF('Chemical Info'!R102="X",'Com-Ind Worksheet'!G101,"")</f>
        <v/>
      </c>
      <c r="J101" s="702" t="str">
        <f>IF('Chemical Info'!S102="X",'Com-Ind Worksheet'!G101,"")</f>
        <v/>
      </c>
      <c r="K101" s="702" t="str">
        <f>IF('Chemical Info'!T102="X",'Com-Ind Worksheet'!G101,"")</f>
        <v/>
      </c>
      <c r="L101" s="702" t="str">
        <f>IF('Chemical Info'!U102="X",'Com-Ind Worksheet'!G101,"")</f>
        <v/>
      </c>
      <c r="M101" s="702" t="str">
        <f>IF('Chemical Info'!V102="X",'Com-Ind Worksheet'!G101,"")</f>
        <v/>
      </c>
      <c r="N101" s="702" t="str">
        <f>IF('Chemical Info'!W102="X",'Com-Ind Worksheet'!G101,"")</f>
        <v/>
      </c>
      <c r="O101" s="702" t="str">
        <f>IF('Chemical Info'!X102="X",'Com-Ind Worksheet'!G101,"")</f>
        <v/>
      </c>
      <c r="P101" s="702" t="str">
        <f>IF('Chemical Info'!Y102="X",'Com-Ind Worksheet'!G101,"")</f>
        <v/>
      </c>
      <c r="Q101" s="702" t="str">
        <f>IF('Chemical Info'!Z102="X",'Com-Ind Worksheet'!G101,"")</f>
        <v/>
      </c>
      <c r="R101" s="702" t="str">
        <f>IF('Chemical Info'!AA102="X",'Com-Ind Worksheet'!G101,"")</f>
        <v/>
      </c>
      <c r="S101" s="692" t="str">
        <f t="shared" si="1"/>
        <v>Based on maximum contaminant limit. Concentration should not be &gt; SRV.</v>
      </c>
    </row>
    <row r="102" spans="1:19" ht="10">
      <c r="A102" s="129" t="s">
        <v>207</v>
      </c>
      <c r="B102" s="566" t="s">
        <v>434</v>
      </c>
      <c r="C102" s="566">
        <v>2016</v>
      </c>
      <c r="D102" s="126">
        <f>'Com-Ind Calculations'!W102</f>
        <v>18000</v>
      </c>
      <c r="E102" s="126" t="str">
        <f>'Com-Ind Calculations'!X102</f>
        <v>Noncancer</v>
      </c>
      <c r="F102" s="127"/>
      <c r="G102" s="698">
        <f>IF(E102="BTV","NA",IF(E102="Max Limit","NA",IF(E102="Csat","NA",IF(ISNUMBER('Com-Ind Calculations'!U102),((F102/'Com-Ind Calculations'!U102)),"NA"))))</f>
        <v>0</v>
      </c>
      <c r="H102" s="704" t="str">
        <f>IF(E102="BTV","NA",IF(E102="Max Limit","NA",IF(E102="Csat","NA",IF(ISNUMBER('Com-Ind Calculations'!N102),((F102/'Com-Ind Calculations'!N102)*0.00001),"NA"))))</f>
        <v>NA</v>
      </c>
      <c r="I102" s="702" t="str">
        <f>IF('Chemical Info'!R103="X",'Com-Ind Worksheet'!G102,"")</f>
        <v/>
      </c>
      <c r="J102" s="702" t="str">
        <f>IF('Chemical Info'!S103="X",'Com-Ind Worksheet'!G102,"")</f>
        <v/>
      </c>
      <c r="K102" s="702" t="str">
        <f>IF('Chemical Info'!T103="X",'Com-Ind Worksheet'!G102,"")</f>
        <v/>
      </c>
      <c r="L102" s="702" t="str">
        <f>IF('Chemical Info'!U103="X",'Com-Ind Worksheet'!G102,"")</f>
        <v/>
      </c>
      <c r="M102" s="702" t="str">
        <f>IF('Chemical Info'!V103="X",'Com-Ind Worksheet'!G102,"")</f>
        <v/>
      </c>
      <c r="N102" s="702" t="str">
        <f>IF('Chemical Info'!W103="X",'Com-Ind Worksheet'!G102,"")</f>
        <v/>
      </c>
      <c r="O102" s="702" t="str">
        <f>IF('Chemical Info'!X103="X",'Com-Ind Worksheet'!G102,"")</f>
        <v/>
      </c>
      <c r="P102" s="702" t="str">
        <f>IF('Chemical Info'!Y103="X",'Com-Ind Worksheet'!G102,"")</f>
        <v/>
      </c>
      <c r="Q102" s="702" t="str">
        <f>IF('Chemical Info'!Z103="X",'Com-Ind Worksheet'!G102,"")</f>
        <v/>
      </c>
      <c r="R102" s="702" t="str">
        <f>IF('Chemical Info'!AA103="X",'Com-Ind Worksheet'!G102,"")</f>
        <v/>
      </c>
      <c r="S102" s="692" t="str">
        <f t="shared" si="1"/>
        <v/>
      </c>
    </row>
    <row r="103" spans="1:19" ht="10">
      <c r="A103" s="129" t="s">
        <v>1187</v>
      </c>
      <c r="B103" s="566" t="s">
        <v>1188</v>
      </c>
      <c r="C103" s="566">
        <v>2022</v>
      </c>
      <c r="D103" s="126">
        <f>'Com-Ind Calculations'!W103</f>
        <v>540</v>
      </c>
      <c r="E103" s="126" t="str">
        <f>'Com-Ind Calculations'!X103</f>
        <v>Noncancer</v>
      </c>
      <c r="F103" s="127"/>
      <c r="G103" s="698">
        <f>IF(E103="BTV","NA",IF(E103="Max Limit","NA",IF(E103="Csat","NA",IF(ISNUMBER('Com-Ind Calculations'!U103),((F103/'Com-Ind Calculations'!U103)),"NA"))))</f>
        <v>0</v>
      </c>
      <c r="H103" s="704" t="str">
        <f>IF(E103="BTV","NA",IF(E103="Max Limit","NA",IF(E103="Csat","NA",IF(ISNUMBER('Com-Ind Calculations'!N103),((F103/'Com-Ind Calculations'!N103)*0.00001),"NA"))))</f>
        <v>NA</v>
      </c>
      <c r="I103" s="702" t="str">
        <f>IF('Chemical Info'!R104="X",'Com-Ind Worksheet'!G103,"")</f>
        <v/>
      </c>
      <c r="J103" s="702" t="str">
        <f>IF('Chemical Info'!S104="X",'Com-Ind Worksheet'!G103,"")</f>
        <v/>
      </c>
      <c r="K103" s="702" t="str">
        <f>IF('Chemical Info'!T104="X",'Com-Ind Worksheet'!G103,"")</f>
        <v/>
      </c>
      <c r="L103" s="702" t="str">
        <f>IF('Chemical Info'!U104="X",'Com-Ind Worksheet'!G103,"")</f>
        <v/>
      </c>
      <c r="M103" s="702">
        <f>IF('Chemical Info'!V104="X",'Com-Ind Worksheet'!G103,"")</f>
        <v>0</v>
      </c>
      <c r="N103" s="702" t="str">
        <f>IF('Chemical Info'!W104="X",'Com-Ind Worksheet'!G103,"")</f>
        <v/>
      </c>
      <c r="O103" s="702" t="str">
        <f>IF('Chemical Info'!X104="X",'Com-Ind Worksheet'!G103,"")</f>
        <v/>
      </c>
      <c r="P103" s="702" t="str">
        <f>IF('Chemical Info'!Y104="X",'Com-Ind Worksheet'!G103,"")</f>
        <v/>
      </c>
      <c r="Q103" s="702" t="str">
        <f>IF('Chemical Info'!Z104="X",'Com-Ind Worksheet'!G103,"")</f>
        <v/>
      </c>
      <c r="R103" s="702" t="str">
        <f>IF('Chemical Info'!AA104="X",'Com-Ind Worksheet'!G103,"")</f>
        <v/>
      </c>
      <c r="S103" s="692" t="str">
        <f t="shared" si="1"/>
        <v/>
      </c>
    </row>
    <row r="104" spans="1:19" ht="10">
      <c r="A104" s="129" t="s">
        <v>421</v>
      </c>
      <c r="B104" s="566" t="s">
        <v>65</v>
      </c>
      <c r="C104" s="566">
        <v>2021</v>
      </c>
      <c r="D104" s="126">
        <f>'Com-Ind Calculations'!W104</f>
        <v>16</v>
      </c>
      <c r="E104" s="126" t="str">
        <f>'Com-Ind Calculations'!X104</f>
        <v>Cancer</v>
      </c>
      <c r="F104" s="127"/>
      <c r="G104" s="698" t="str">
        <f>IF(E104="BTV","NA",IF(E104="Max Limit","NA",IF(E104="Csat","NA",IF(ISNUMBER('Com-Ind Calculations'!U104),((F104/'Com-Ind Calculations'!U104)),"NA"))))</f>
        <v>NA</v>
      </c>
      <c r="H104" s="704">
        <f>IF(E104="BTV","NA",IF(E104="Max Limit","NA",IF(E104="Csat","NA",IF(ISNUMBER('Com-Ind Calculations'!N104),((F104/'Com-Ind Calculations'!N104)*0.00001),"NA"))))</f>
        <v>0</v>
      </c>
      <c r="I104" s="702" t="str">
        <f>IF('Chemical Info'!R105="X",'Com-Ind Worksheet'!G104,"")</f>
        <v/>
      </c>
      <c r="J104" s="702" t="str">
        <f>IF('Chemical Info'!S105="X",'Com-Ind Worksheet'!G104,"")</f>
        <v/>
      </c>
      <c r="K104" s="702" t="str">
        <f>IF('Chemical Info'!T105="X",'Com-Ind Worksheet'!G104,"")</f>
        <v/>
      </c>
      <c r="L104" s="702" t="str">
        <f>IF('Chemical Info'!U105="X",'Com-Ind Worksheet'!G104,"")</f>
        <v/>
      </c>
      <c r="M104" s="702" t="str">
        <f>IF('Chemical Info'!V105="X",'Com-Ind Worksheet'!G104,"")</f>
        <v/>
      </c>
      <c r="N104" s="702" t="str">
        <f>IF('Chemical Info'!W105="X",'Com-Ind Worksheet'!G104,"")</f>
        <v/>
      </c>
      <c r="O104" s="702" t="str">
        <f>IF('Chemical Info'!X105="X",'Com-Ind Worksheet'!G104,"")</f>
        <v/>
      </c>
      <c r="P104" s="702" t="str">
        <f>IF('Chemical Info'!Y105="X",'Com-Ind Worksheet'!G104,"")</f>
        <v/>
      </c>
      <c r="Q104" s="702" t="str">
        <f>IF('Chemical Info'!Z105="X",'Com-Ind Worksheet'!G104,"")</f>
        <v/>
      </c>
      <c r="R104" s="702" t="str">
        <f>IF('Chemical Info'!AA105="X",'Com-Ind Worksheet'!G104,"")</f>
        <v/>
      </c>
      <c r="S104" s="692" t="str">
        <f t="shared" si="1"/>
        <v/>
      </c>
    </row>
    <row r="105" spans="1:19" ht="10">
      <c r="A105" s="129" t="s">
        <v>1164</v>
      </c>
      <c r="B105" s="566" t="s">
        <v>1165</v>
      </c>
      <c r="C105" s="566">
        <v>2022</v>
      </c>
      <c r="D105" s="126">
        <f>'Com-Ind Calculations'!W105</f>
        <v>1000</v>
      </c>
      <c r="E105" s="126" t="str">
        <f>'Com-Ind Calculations'!X105</f>
        <v>Csat</v>
      </c>
      <c r="F105" s="127"/>
      <c r="G105" s="698" t="str">
        <f>IF(E105="BTV","NA",IF(E105="Max Limit","NA",IF(E105="Csat","NA",IF(ISNUMBER('Com-Ind Calculations'!U105),((F105/'Com-Ind Calculations'!U105)),"NA"))))</f>
        <v>NA</v>
      </c>
      <c r="H105" s="704" t="str">
        <f>IF(E105="BTV","NA",IF(E105="Max Limit","NA",IF(E105="Csat","NA",IF(ISNUMBER('Com-Ind Calculations'!N105),((F105/'Com-Ind Calculations'!N105)*0.00001),"NA"))))</f>
        <v>NA</v>
      </c>
      <c r="I105" s="702" t="str">
        <f>IF('Chemical Info'!R106="X",'Com-Ind Worksheet'!G105,"")</f>
        <v/>
      </c>
      <c r="J105" s="702" t="str">
        <f>IF('Chemical Info'!S106="X",'Com-Ind Worksheet'!G105,"")</f>
        <v>NA</v>
      </c>
      <c r="K105" s="702" t="str">
        <f>IF('Chemical Info'!T106="X",'Com-Ind Worksheet'!G105,"")</f>
        <v/>
      </c>
      <c r="L105" s="702" t="str">
        <f>IF('Chemical Info'!U106="X",'Com-Ind Worksheet'!G105,"")</f>
        <v/>
      </c>
      <c r="M105" s="702" t="str">
        <f>IF('Chemical Info'!V106="X",'Com-Ind Worksheet'!G105,"")</f>
        <v/>
      </c>
      <c r="N105" s="702" t="str">
        <f>IF('Chemical Info'!W106="X",'Com-Ind Worksheet'!G105,"")</f>
        <v/>
      </c>
      <c r="O105" s="702" t="str">
        <f>IF('Chemical Info'!X106="X",'Com-Ind Worksheet'!G105,"")</f>
        <v/>
      </c>
      <c r="P105" s="702" t="str">
        <f>IF('Chemical Info'!Y106="X",'Com-Ind Worksheet'!G105,"")</f>
        <v/>
      </c>
      <c r="Q105" s="702" t="str">
        <f>IF('Chemical Info'!Z106="X",'Com-Ind Worksheet'!G105,"")</f>
        <v/>
      </c>
      <c r="R105" s="702" t="str">
        <f>IF('Chemical Info'!AA106="X",'Com-Ind Worksheet'!G105,"")</f>
        <v/>
      </c>
      <c r="S105" s="692" t="str">
        <f t="shared" si="1"/>
        <v>Based on Csat. A concentration &gt; Csat indicates potential for free product in soil.</v>
      </c>
    </row>
    <row r="106" spans="1:19" ht="10">
      <c r="A106" s="129" t="s">
        <v>318</v>
      </c>
      <c r="B106" s="566" t="s">
        <v>66</v>
      </c>
      <c r="C106" s="566">
        <v>2021</v>
      </c>
      <c r="D106" s="126">
        <f>'Com-Ind Calculations'!W106</f>
        <v>910</v>
      </c>
      <c r="E106" s="126" t="str">
        <f>'Com-Ind Calculations'!X106</f>
        <v>Csat</v>
      </c>
      <c r="F106" s="127"/>
      <c r="G106" s="698" t="str">
        <f>IF(E106="BTV","NA",IF(E106="Max Limit","NA",IF(E106="Csat","NA",IF(ISNUMBER('Com-Ind Calculations'!U106),((F106/'Com-Ind Calculations'!U106)),"NA"))))</f>
        <v>NA</v>
      </c>
      <c r="H106" s="704" t="str">
        <f>IF(E106="BTV","NA",IF(E106="Max Limit","NA",IF(E106="Csat","NA",IF(ISNUMBER('Com-Ind Calculations'!N106),((F106/'Com-Ind Calculations'!N106)*0.00001),"NA"))))</f>
        <v>NA</v>
      </c>
      <c r="I106" s="702" t="str">
        <f>IF('Chemical Info'!R107="X",'Com-Ind Worksheet'!G106,"")</f>
        <v/>
      </c>
      <c r="J106" s="702" t="str">
        <f>IF('Chemical Info'!S107="X",'Com-Ind Worksheet'!G106,"")</f>
        <v/>
      </c>
      <c r="K106" s="702" t="str">
        <f>IF('Chemical Info'!T107="X",'Com-Ind Worksheet'!G106,"")</f>
        <v/>
      </c>
      <c r="L106" s="702" t="str">
        <f>IF('Chemical Info'!U107="X",'Com-Ind Worksheet'!G106,"")</f>
        <v/>
      </c>
      <c r="M106" s="702" t="str">
        <f>IF('Chemical Info'!V107="X",'Com-Ind Worksheet'!G106,"")</f>
        <v>NA</v>
      </c>
      <c r="N106" s="702" t="str">
        <f>IF('Chemical Info'!W107="X",'Com-Ind Worksheet'!G106,"")</f>
        <v/>
      </c>
      <c r="O106" s="702" t="str">
        <f>IF('Chemical Info'!X107="X",'Com-Ind Worksheet'!G106,"")</f>
        <v/>
      </c>
      <c r="P106" s="702" t="str">
        <f>IF('Chemical Info'!Y107="X",'Com-Ind Worksheet'!G106,"")</f>
        <v/>
      </c>
      <c r="Q106" s="702" t="str">
        <f>IF('Chemical Info'!Z107="X",'Com-Ind Worksheet'!G106,"")</f>
        <v/>
      </c>
      <c r="R106" s="702" t="str">
        <f>IF('Chemical Info'!AA107="X",'Com-Ind Worksheet'!G106,"")</f>
        <v/>
      </c>
      <c r="S106" s="692" t="str">
        <f t="shared" si="1"/>
        <v>Based on Csat. A concentration &gt; Csat indicates potential for free product in soil.</v>
      </c>
    </row>
    <row r="107" spans="1:19" ht="10">
      <c r="A107" s="129" t="s">
        <v>40</v>
      </c>
      <c r="B107" s="566" t="s">
        <v>41</v>
      </c>
      <c r="C107" s="566">
        <v>2016</v>
      </c>
      <c r="D107" s="126">
        <f>'Com-Ind Calculations'!W107</f>
        <v>27000</v>
      </c>
      <c r="E107" s="126" t="str">
        <f>'Com-Ind Calculations'!X107</f>
        <v>Noncancer</v>
      </c>
      <c r="F107" s="127"/>
      <c r="G107" s="698">
        <f>IF(E107="BTV","NA",IF(E107="Max Limit","NA",IF(E107="Csat","NA",IF(ISNUMBER('Com-Ind Calculations'!U107),((F107/'Com-Ind Calculations'!U107)),"NA"))))</f>
        <v>0</v>
      </c>
      <c r="H107" s="704" t="str">
        <f>IF(E107="BTV","NA",IF(E107="Max Limit","NA",IF(E107="Csat","NA",IF(ISNUMBER('Com-Ind Calculations'!N107),((F107/'Com-Ind Calculations'!N107)*0.00001),"NA"))))</f>
        <v>NA</v>
      </c>
      <c r="I107" s="702" t="str">
        <f>IF('Chemical Info'!R108="X",'Com-Ind Worksheet'!G107,"")</f>
        <v/>
      </c>
      <c r="J107" s="702" t="str">
        <f>IF('Chemical Info'!S108="X",'Com-Ind Worksheet'!G107,"")</f>
        <v/>
      </c>
      <c r="K107" s="702" t="str">
        <f>IF('Chemical Info'!T108="X",'Com-Ind Worksheet'!G107,"")</f>
        <v/>
      </c>
      <c r="L107" s="702" t="str">
        <f>IF('Chemical Info'!U108="X",'Com-Ind Worksheet'!G107,"")</f>
        <v/>
      </c>
      <c r="M107" s="702" t="str">
        <f>IF('Chemical Info'!V108="X",'Com-Ind Worksheet'!G107,"")</f>
        <v/>
      </c>
      <c r="N107" s="702">
        <f>IF('Chemical Info'!W108="X",'Com-Ind Worksheet'!G107,"")</f>
        <v>0</v>
      </c>
      <c r="O107" s="702" t="str">
        <f>IF('Chemical Info'!X108="X",'Com-Ind Worksheet'!G107,"")</f>
        <v/>
      </c>
      <c r="P107" s="702" t="str">
        <f>IF('Chemical Info'!Y108="X",'Com-Ind Worksheet'!G107,"")</f>
        <v/>
      </c>
      <c r="Q107" s="702" t="str">
        <f>IF('Chemical Info'!Z108="X",'Com-Ind Worksheet'!G107,"")</f>
        <v/>
      </c>
      <c r="R107" s="702">
        <f>IF('Chemical Info'!AA108="X",'Com-Ind Worksheet'!G107,"")</f>
        <v>0</v>
      </c>
      <c r="S107" s="692" t="str">
        <f t="shared" si="1"/>
        <v/>
      </c>
    </row>
    <row r="108" spans="1:19" ht="10">
      <c r="A108" s="129" t="s">
        <v>1129</v>
      </c>
      <c r="B108" s="566" t="s">
        <v>1130</v>
      </c>
      <c r="C108" s="566">
        <v>2022</v>
      </c>
      <c r="D108" s="126">
        <f>'Com-Ind Calculations'!W108</f>
        <v>730</v>
      </c>
      <c r="E108" s="126" t="str">
        <f>'Com-Ind Calculations'!X108</f>
        <v>Noncancer</v>
      </c>
      <c r="F108" s="127"/>
      <c r="G108" s="698">
        <f>IF(E108="BTV","NA",IF(E108="Max Limit","NA",IF(E108="Csat","NA",IF(ISNUMBER('Com-Ind Calculations'!U108),((F108/'Com-Ind Calculations'!U108)),"NA"))))</f>
        <v>0</v>
      </c>
      <c r="H108" s="704" t="str">
        <f>IF(E108="BTV","NA",IF(E108="Max Limit","NA",IF(E108="Csat","NA",IF(ISNUMBER('Com-Ind Calculations'!N108),((F108/'Com-Ind Calculations'!N108)*0.00001),"NA"))))</f>
        <v>NA</v>
      </c>
      <c r="I108" s="702" t="str">
        <f>IF('Chemical Info'!R109="X",'Com-Ind Worksheet'!G108,"")</f>
        <v/>
      </c>
      <c r="J108" s="702" t="str">
        <f>IF('Chemical Info'!S109="X",'Com-Ind Worksheet'!G108,"")</f>
        <v/>
      </c>
      <c r="K108" s="702" t="str">
        <f>IF('Chemical Info'!T109="X",'Com-Ind Worksheet'!G108,"")</f>
        <v/>
      </c>
      <c r="L108" s="702" t="str">
        <f>IF('Chemical Info'!U109="X",'Com-Ind Worksheet'!G108,"")</f>
        <v/>
      </c>
      <c r="M108" s="702" t="str">
        <f>IF('Chemical Info'!V109="X",'Com-Ind Worksheet'!G108,"")</f>
        <v/>
      </c>
      <c r="N108" s="702">
        <f>IF('Chemical Info'!W109="X",'Com-Ind Worksheet'!G108,"")</f>
        <v>0</v>
      </c>
      <c r="O108" s="702">
        <f>IF('Chemical Info'!X109="X",'Com-Ind Worksheet'!G108,"")</f>
        <v>0</v>
      </c>
      <c r="P108" s="702" t="str">
        <f>IF('Chemical Info'!Y109="X",'Com-Ind Worksheet'!G108,"")</f>
        <v/>
      </c>
      <c r="Q108" s="702" t="str">
        <f>IF('Chemical Info'!Z109="X",'Com-Ind Worksheet'!G108,"")</f>
        <v/>
      </c>
      <c r="R108" s="702" t="str">
        <f>IF('Chemical Info'!AA109="X",'Com-Ind Worksheet'!G108,"")</f>
        <v/>
      </c>
      <c r="S108" s="692" t="str">
        <f t="shared" si="1"/>
        <v/>
      </c>
    </row>
    <row r="109" spans="1:19" ht="10">
      <c r="A109" s="129" t="s">
        <v>1233</v>
      </c>
      <c r="B109" s="566" t="s">
        <v>1232</v>
      </c>
      <c r="C109" s="566">
        <v>2022</v>
      </c>
      <c r="D109" s="126">
        <f>'Com-Ind Calculations'!W109</f>
        <v>90</v>
      </c>
      <c r="E109" s="126" t="str">
        <f>'Com-Ind Calculations'!X109</f>
        <v>Noncancer</v>
      </c>
      <c r="F109" s="127"/>
      <c r="G109" s="698">
        <f>IF(E109="BTV","NA",IF(E109="Max Limit","NA",IF(E109="Csat","NA",IF(ISNUMBER('Com-Ind Calculations'!U109),((F109/'Com-Ind Calculations'!U109)),"NA"))))</f>
        <v>0</v>
      </c>
      <c r="H109" s="704">
        <f>IF(E109="BTV","NA",IF(E109="Max Limit","NA",IF(E109="Csat","NA",IF(ISNUMBER('Com-Ind Calculations'!N109),((F109/'Com-Ind Calculations'!N109)*0.00001),"NA"))))</f>
        <v>0</v>
      </c>
      <c r="I109" s="702" t="str">
        <f>IF('Chemical Info'!R110="X",'Com-Ind Worksheet'!G109,"")</f>
        <v/>
      </c>
      <c r="J109" s="702">
        <f>IF('Chemical Info'!S110="X",'Com-Ind Worksheet'!G109,"")</f>
        <v>0</v>
      </c>
      <c r="K109" s="702" t="str">
        <f>IF('Chemical Info'!T110="X",'Com-Ind Worksheet'!G109,"")</f>
        <v/>
      </c>
      <c r="L109" s="702" t="str">
        <f>IF('Chemical Info'!U110="X",'Com-Ind Worksheet'!G109,"")</f>
        <v/>
      </c>
      <c r="M109" s="702" t="str">
        <f>IF('Chemical Info'!V110="X",'Com-Ind Worksheet'!G109,"")</f>
        <v/>
      </c>
      <c r="N109" s="702" t="str">
        <f>IF('Chemical Info'!W110="X",'Com-Ind Worksheet'!G109,"")</f>
        <v/>
      </c>
      <c r="O109" s="702" t="str">
        <f>IF('Chemical Info'!X110="X",'Com-Ind Worksheet'!G109,"")</f>
        <v/>
      </c>
      <c r="P109" s="702" t="str">
        <f>IF('Chemical Info'!Y110="X",'Com-Ind Worksheet'!G109,"")</f>
        <v/>
      </c>
      <c r="Q109" s="702" t="str">
        <f>IF('Chemical Info'!Z110="X",'Com-Ind Worksheet'!G109,"")</f>
        <v/>
      </c>
      <c r="R109" s="702" t="str">
        <f>IF('Chemical Info'!AA110="X",'Com-Ind Worksheet'!G109,"")</f>
        <v/>
      </c>
      <c r="S109" s="692" t="str">
        <f t="shared" si="1"/>
        <v/>
      </c>
    </row>
    <row r="110" spans="1:19" ht="10">
      <c r="A110" s="129" t="s">
        <v>1131</v>
      </c>
      <c r="B110" s="566" t="s">
        <v>1132</v>
      </c>
      <c r="C110" s="566">
        <v>2022</v>
      </c>
      <c r="D110" s="126">
        <f>'Com-Ind Calculations'!W110</f>
        <v>1600</v>
      </c>
      <c r="E110" s="126" t="str">
        <f>'Com-Ind Calculations'!X110</f>
        <v>Noncancer</v>
      </c>
      <c r="F110" s="127"/>
      <c r="G110" s="698">
        <f>IF(E110="BTV","NA",IF(E110="Max Limit","NA",IF(E110="Csat","NA",IF(ISNUMBER('Com-Ind Calculations'!U110),((F110/'Com-Ind Calculations'!U110)),"NA"))))</f>
        <v>0</v>
      </c>
      <c r="H110" s="704" t="str">
        <f>IF(E110="BTV","NA",IF(E110="Max Limit","NA",IF(E110="Csat","NA",IF(ISNUMBER('Com-Ind Calculations'!N110),((F110/'Com-Ind Calculations'!N110)*0.00001),"NA"))))</f>
        <v>NA</v>
      </c>
      <c r="I110" s="702" t="str">
        <f>IF('Chemical Info'!R111="X",'Com-Ind Worksheet'!G110,"")</f>
        <v/>
      </c>
      <c r="J110" s="702" t="str">
        <f>IF('Chemical Info'!S111="X",'Com-Ind Worksheet'!G110,"")</f>
        <v/>
      </c>
      <c r="K110" s="702" t="str">
        <f>IF('Chemical Info'!T111="X",'Com-Ind Worksheet'!G110,"")</f>
        <v/>
      </c>
      <c r="L110" s="702" t="str">
        <f>IF('Chemical Info'!U111="X",'Com-Ind Worksheet'!G110,"")</f>
        <v/>
      </c>
      <c r="M110" s="702" t="str">
        <f>IF('Chemical Info'!V111="X",'Com-Ind Worksheet'!G110,"")</f>
        <v/>
      </c>
      <c r="N110" s="702">
        <f>IF('Chemical Info'!W111="X",'Com-Ind Worksheet'!G110,"")</f>
        <v>0</v>
      </c>
      <c r="O110" s="702" t="str">
        <f>IF('Chemical Info'!X111="X",'Com-Ind Worksheet'!G110,"")</f>
        <v/>
      </c>
      <c r="P110" s="702" t="str">
        <f>IF('Chemical Info'!Y111="X",'Com-Ind Worksheet'!G110,"")</f>
        <v/>
      </c>
      <c r="Q110" s="702" t="str">
        <f>IF('Chemical Info'!Z111="X",'Com-Ind Worksheet'!G110,"")</f>
        <v/>
      </c>
      <c r="R110" s="702" t="str">
        <f>IF('Chemical Info'!AA111="X",'Com-Ind Worksheet'!G110,"")</f>
        <v/>
      </c>
      <c r="S110" s="692" t="str">
        <f t="shared" si="1"/>
        <v/>
      </c>
    </row>
    <row r="111" spans="1:19" ht="10">
      <c r="A111" s="129" t="s">
        <v>42</v>
      </c>
      <c r="B111" s="566" t="s">
        <v>43</v>
      </c>
      <c r="C111" s="566">
        <v>2021</v>
      </c>
      <c r="D111" s="126">
        <f>'Com-Ind Calculations'!W111</f>
        <v>320</v>
      </c>
      <c r="E111" s="126" t="str">
        <f>'Com-Ind Calculations'!X111</f>
        <v>Noncancer</v>
      </c>
      <c r="F111" s="127"/>
      <c r="G111" s="698">
        <f>IF(E111="BTV","NA",IF(E111="Max Limit","NA",IF(E111="Csat","NA",IF(ISNUMBER('Com-Ind Calculations'!U111),((F111/'Com-Ind Calculations'!U111)),"NA"))))</f>
        <v>0</v>
      </c>
      <c r="H111" s="704" t="str">
        <f>IF(E111="BTV","NA",IF(E111="Max Limit","NA",IF(E111="Csat","NA",IF(ISNUMBER('Com-Ind Calculations'!N111),((F111/'Com-Ind Calculations'!N111)*0.00001),"NA"))))</f>
        <v>NA</v>
      </c>
      <c r="I111" s="702" t="str">
        <f>IF('Chemical Info'!R112="X",'Com-Ind Worksheet'!G111,"")</f>
        <v/>
      </c>
      <c r="J111" s="702" t="str">
        <f>IF('Chemical Info'!S112="X",'Com-Ind Worksheet'!G111,"")</f>
        <v/>
      </c>
      <c r="K111" s="702" t="str">
        <f>IF('Chemical Info'!T112="X",'Com-Ind Worksheet'!G111,"")</f>
        <v/>
      </c>
      <c r="L111" s="702" t="str">
        <f>IF('Chemical Info'!U112="X",'Com-Ind Worksheet'!G111,"")</f>
        <v/>
      </c>
      <c r="M111" s="702" t="str">
        <f>IF('Chemical Info'!V112="X",'Com-Ind Worksheet'!G111,"")</f>
        <v/>
      </c>
      <c r="N111" s="702" t="str">
        <f>IF('Chemical Info'!W112="X",'Com-Ind Worksheet'!G111,"")</f>
        <v/>
      </c>
      <c r="O111" s="702" t="str">
        <f>IF('Chemical Info'!X112="X",'Com-Ind Worksheet'!G111,"")</f>
        <v/>
      </c>
      <c r="P111" s="702" t="str">
        <f>IF('Chemical Info'!Y112="X",'Com-Ind Worksheet'!G111,"")</f>
        <v/>
      </c>
      <c r="Q111" s="702" t="str">
        <f>IF('Chemical Info'!Z112="X",'Com-Ind Worksheet'!G111,"")</f>
        <v/>
      </c>
      <c r="R111" s="702" t="str">
        <f>IF('Chemical Info'!AA112="X",'Com-Ind Worksheet'!G111,"")</f>
        <v/>
      </c>
      <c r="S111" s="692" t="str">
        <f t="shared" si="1"/>
        <v/>
      </c>
    </row>
    <row r="112" spans="1:19" ht="10">
      <c r="A112" s="133" t="s">
        <v>401</v>
      </c>
      <c r="B112" s="566" t="s">
        <v>44</v>
      </c>
      <c r="C112" s="566">
        <v>2021</v>
      </c>
      <c r="D112" s="126">
        <f>'Com-Ind Calculations'!W112</f>
        <v>3200</v>
      </c>
      <c r="E112" s="126" t="str">
        <f>'Com-Ind Calculations'!X112</f>
        <v>Noncancer</v>
      </c>
      <c r="F112" s="127"/>
      <c r="G112" s="698">
        <f>IF(E112="BTV","NA",IF(E112="Max Limit","NA",IF(E112="Csat","NA",IF(ISNUMBER('Com-Ind Calculations'!U112),((F112/'Com-Ind Calculations'!U112)),"NA"))))</f>
        <v>0</v>
      </c>
      <c r="H112" s="704" t="str">
        <f>IF(E112="BTV","NA",IF(E112="Max Limit","NA",IF(E112="Csat","NA",IF(ISNUMBER('Com-Ind Calculations'!N112),((F112/'Com-Ind Calculations'!N112)*0.00001),"NA"))))</f>
        <v>NA</v>
      </c>
      <c r="I112" s="702" t="str">
        <f>IF('Chemical Info'!R113="X",'Com-Ind Worksheet'!G112,"")</f>
        <v/>
      </c>
      <c r="J112" s="702" t="str">
        <f>IF('Chemical Info'!S113="X",'Com-Ind Worksheet'!G112,"")</f>
        <v/>
      </c>
      <c r="K112" s="702" t="str">
        <f>IF('Chemical Info'!T113="X",'Com-Ind Worksheet'!G112,"")</f>
        <v/>
      </c>
      <c r="L112" s="702" t="str">
        <f>IF('Chemical Info'!U113="X",'Com-Ind Worksheet'!G112,"")</f>
        <v/>
      </c>
      <c r="M112" s="702">
        <f>IF('Chemical Info'!V113="X",'Com-Ind Worksheet'!G112,"")</f>
        <v>0</v>
      </c>
      <c r="N112" s="702" t="str">
        <f>IF('Chemical Info'!W113="X",'Com-Ind Worksheet'!G112,"")</f>
        <v/>
      </c>
      <c r="O112" s="702" t="str">
        <f>IF('Chemical Info'!X113="X",'Com-Ind Worksheet'!G112,"")</f>
        <v/>
      </c>
      <c r="P112" s="702" t="str">
        <f>IF('Chemical Info'!Y113="X",'Com-Ind Worksheet'!G112,"")</f>
        <v/>
      </c>
      <c r="Q112" s="702" t="str">
        <f>IF('Chemical Info'!Z113="X",'Com-Ind Worksheet'!G112,"")</f>
        <v/>
      </c>
      <c r="R112" s="702" t="str">
        <f>IF('Chemical Info'!AA113="X",'Com-Ind Worksheet'!G112,"")</f>
        <v/>
      </c>
      <c r="S112" s="692" t="str">
        <f t="shared" si="1"/>
        <v/>
      </c>
    </row>
    <row r="113" spans="1:19" ht="10">
      <c r="A113" s="129" t="s">
        <v>67</v>
      </c>
      <c r="B113" s="566" t="s">
        <v>68</v>
      </c>
      <c r="C113" s="566">
        <v>2016</v>
      </c>
      <c r="D113" s="126">
        <f>'Com-Ind Calculations'!W113</f>
        <v>540</v>
      </c>
      <c r="E113" s="126" t="str">
        <f>'Com-Ind Calculations'!X113</f>
        <v>Cancer</v>
      </c>
      <c r="F113" s="127"/>
      <c r="G113" s="698">
        <f>IF(E113="BTV","NA",IF(E113="Max Limit","NA",IF(E113="Csat","NA",IF(ISNUMBER('Com-Ind Calculations'!U113),((F113/'Com-Ind Calculations'!U113)),"NA"))))</f>
        <v>0</v>
      </c>
      <c r="H113" s="704">
        <f>IF(E113="BTV","NA",IF(E113="Max Limit","NA",IF(E113="Csat","NA",IF(ISNUMBER('Com-Ind Calculations'!N113),((F113/'Com-Ind Calculations'!N113)*0.00001),"NA"))))</f>
        <v>0</v>
      </c>
      <c r="I113" s="702" t="str">
        <f>IF('Chemical Info'!R114="X",'Com-Ind Worksheet'!G113,"")</f>
        <v/>
      </c>
      <c r="J113" s="702" t="str">
        <f>IF('Chemical Info'!S114="X",'Com-Ind Worksheet'!G113,"")</f>
        <v/>
      </c>
      <c r="K113" s="702" t="str">
        <f>IF('Chemical Info'!T114="X",'Com-Ind Worksheet'!G113,"")</f>
        <v/>
      </c>
      <c r="L113" s="702" t="str">
        <f>IF('Chemical Info'!U114="X",'Com-Ind Worksheet'!G113,"")</f>
        <v/>
      </c>
      <c r="M113" s="702">
        <f>IF('Chemical Info'!V114="X",'Com-Ind Worksheet'!G113,"")</f>
        <v>0</v>
      </c>
      <c r="N113" s="702" t="str">
        <f>IF('Chemical Info'!W114="X",'Com-Ind Worksheet'!G113,"")</f>
        <v/>
      </c>
      <c r="O113" s="702" t="str">
        <f>IF('Chemical Info'!X114="X",'Com-Ind Worksheet'!G113,"")</f>
        <v/>
      </c>
      <c r="P113" s="702" t="str">
        <f>IF('Chemical Info'!Y114="X",'Com-Ind Worksheet'!G113,"")</f>
        <v/>
      </c>
      <c r="Q113" s="702" t="str">
        <f>IF('Chemical Info'!Z114="X",'Com-Ind Worksheet'!G113,"")</f>
        <v/>
      </c>
      <c r="R113" s="702">
        <f>IF('Chemical Info'!AA114="X",'Com-Ind Worksheet'!G113,"")</f>
        <v>0</v>
      </c>
      <c r="S113" s="692" t="str">
        <f t="shared" si="1"/>
        <v/>
      </c>
    </row>
    <row r="114" spans="1:19" ht="10">
      <c r="A114" s="146" t="s">
        <v>487</v>
      </c>
      <c r="B114" s="566" t="s">
        <v>156</v>
      </c>
      <c r="C114" s="566">
        <v>2016</v>
      </c>
      <c r="D114" s="126">
        <f>'Com-Ind Calculations'!W114</f>
        <v>4100</v>
      </c>
      <c r="E114" s="126" t="str">
        <f>'Com-Ind Calculations'!X114</f>
        <v>Noncancer</v>
      </c>
      <c r="F114" s="127"/>
      <c r="G114" s="698">
        <f>IF(E114="BTV","NA",IF(E114="Max Limit","NA",IF(E114="Csat","NA",IF(ISNUMBER('Com-Ind Calculations'!U114),((F114/'Com-Ind Calculations'!U114)),"NA"))))</f>
        <v>0</v>
      </c>
      <c r="H114" s="704" t="str">
        <f>IF(E114="BTV","NA",IF(E114="Max Limit","NA",IF(E114="Csat","NA",IF(ISNUMBER('Com-Ind Calculations'!N114),((F114/'Com-Ind Calculations'!N114)*0.00001),"NA"))))</f>
        <v>NA</v>
      </c>
      <c r="I114" s="702" t="str">
        <f>IF('Chemical Info'!R115="X",'Com-Ind Worksheet'!G114,"")</f>
        <v/>
      </c>
      <c r="J114" s="702" t="str">
        <f>IF('Chemical Info'!S115="X",'Com-Ind Worksheet'!G114,"")</f>
        <v/>
      </c>
      <c r="K114" s="702" t="str">
        <f>IF('Chemical Info'!T115="X",'Com-Ind Worksheet'!G114,"")</f>
        <v/>
      </c>
      <c r="L114" s="702" t="str">
        <f>IF('Chemical Info'!U115="X",'Com-Ind Worksheet'!G114,"")</f>
        <v/>
      </c>
      <c r="M114" s="702" t="str">
        <f>IF('Chemical Info'!V115="X",'Com-Ind Worksheet'!G114,"")</f>
        <v/>
      </c>
      <c r="N114" s="702">
        <f>IF('Chemical Info'!W115="X",'Com-Ind Worksheet'!G114,"")</f>
        <v>0</v>
      </c>
      <c r="O114" s="702" t="str">
        <f>IF('Chemical Info'!X115="X",'Com-Ind Worksheet'!G114,"")</f>
        <v/>
      </c>
      <c r="P114" s="702" t="str">
        <f>IF('Chemical Info'!Y115="X",'Com-Ind Worksheet'!G114,"")</f>
        <v/>
      </c>
      <c r="Q114" s="702" t="str">
        <f>IF('Chemical Info'!Z115="X",'Com-Ind Worksheet'!G114,"")</f>
        <v/>
      </c>
      <c r="R114" s="702" t="str">
        <f>IF('Chemical Info'!AA115="X",'Com-Ind Worksheet'!G114,"")</f>
        <v/>
      </c>
      <c r="S114" s="692" t="str">
        <f t="shared" si="1"/>
        <v/>
      </c>
    </row>
    <row r="115" spans="1:19" ht="10">
      <c r="A115" s="133" t="s">
        <v>402</v>
      </c>
      <c r="B115" s="566" t="s">
        <v>157</v>
      </c>
      <c r="C115" s="566">
        <v>2016</v>
      </c>
      <c r="D115" s="126">
        <f>'Com-Ind Calculations'!W115</f>
        <v>380</v>
      </c>
      <c r="E115" s="126" t="str">
        <f>'Com-Ind Calculations'!X115</f>
        <v>Csat</v>
      </c>
      <c r="F115" s="127"/>
      <c r="G115" s="698" t="str">
        <f>IF(E115="BTV","NA",IF(E115="Max Limit","NA",IF(E115="Csat","NA",IF(ISNUMBER('Com-Ind Calculations'!U115),((F115/'Com-Ind Calculations'!U115)),"NA"))))</f>
        <v>NA</v>
      </c>
      <c r="H115" s="704" t="str">
        <f>IF(E115="BTV","NA",IF(E115="Max Limit","NA",IF(E115="Csat","NA",IF(ISNUMBER('Com-Ind Calculations'!N115),((F115/'Com-Ind Calculations'!N115)*0.00001),"NA"))))</f>
        <v>NA</v>
      </c>
      <c r="I115" s="702" t="str">
        <f>IF('Chemical Info'!R116="X",'Com-Ind Worksheet'!G115,"")</f>
        <v/>
      </c>
      <c r="J115" s="702" t="str">
        <f>IF('Chemical Info'!S116="X",'Com-Ind Worksheet'!G115,"")</f>
        <v/>
      </c>
      <c r="K115" s="702" t="str">
        <f>IF('Chemical Info'!T116="X",'Com-Ind Worksheet'!G115,"")</f>
        <v/>
      </c>
      <c r="L115" s="702" t="str">
        <f>IF('Chemical Info'!U116="X",'Com-Ind Worksheet'!G115,"")</f>
        <v/>
      </c>
      <c r="M115" s="702" t="str">
        <f>IF('Chemical Info'!V116="X",'Com-Ind Worksheet'!G115,"")</f>
        <v/>
      </c>
      <c r="N115" s="702" t="str">
        <f>IF('Chemical Info'!W116="X",'Com-Ind Worksheet'!G115,"")</f>
        <v/>
      </c>
      <c r="O115" s="702" t="str">
        <f>IF('Chemical Info'!X116="X",'Com-Ind Worksheet'!G115,"")</f>
        <v/>
      </c>
      <c r="P115" s="702" t="str">
        <f>IF('Chemical Info'!Y116="X",'Com-Ind Worksheet'!G115,"")</f>
        <v/>
      </c>
      <c r="Q115" s="702" t="str">
        <f>IF('Chemical Info'!Z116="X",'Com-Ind Worksheet'!G115,"")</f>
        <v/>
      </c>
      <c r="R115" s="702" t="str">
        <f>IF('Chemical Info'!AA116="X",'Com-Ind Worksheet'!G115,"")</f>
        <v/>
      </c>
      <c r="S115" s="692" t="str">
        <f t="shared" si="1"/>
        <v>Based on Csat. A concentration &gt; Csat indicates potential for free product in soil.</v>
      </c>
    </row>
    <row r="116" spans="1:19" ht="10">
      <c r="A116" s="133" t="s">
        <v>403</v>
      </c>
      <c r="B116" s="566" t="s">
        <v>198</v>
      </c>
      <c r="C116" s="566">
        <v>2016</v>
      </c>
      <c r="D116" s="126">
        <f>'Com-Ind Calculations'!W116</f>
        <v>300</v>
      </c>
      <c r="E116" s="126" t="str">
        <f>'Com-Ind Calculations'!X116</f>
        <v>Csat</v>
      </c>
      <c r="F116" s="127"/>
      <c r="G116" s="698" t="str">
        <f>IF(E116="BTV","NA",IF(E116="Max Limit","NA",IF(E116="Csat","NA",IF(ISNUMBER('Com-Ind Calculations'!U116),((F116/'Com-Ind Calculations'!U116)),"NA"))))</f>
        <v>NA</v>
      </c>
      <c r="H116" s="704" t="str">
        <f>IF(E116="BTV","NA",IF(E116="Max Limit","NA",IF(E116="Csat","NA",IF(ISNUMBER('Com-Ind Calculations'!N116),((F116/'Com-Ind Calculations'!N116)*0.00001),"NA"))))</f>
        <v>NA</v>
      </c>
      <c r="I116" s="702" t="str">
        <f>IF('Chemical Info'!R117="X",'Com-Ind Worksheet'!G116,"")</f>
        <v/>
      </c>
      <c r="J116" s="702" t="str">
        <f>IF('Chemical Info'!S117="X",'Com-Ind Worksheet'!G116,"")</f>
        <v/>
      </c>
      <c r="K116" s="702" t="str">
        <f>IF('Chemical Info'!T117="X",'Com-Ind Worksheet'!G116,"")</f>
        <v/>
      </c>
      <c r="L116" s="702" t="str">
        <f>IF('Chemical Info'!U117="X",'Com-Ind Worksheet'!G116,"")</f>
        <v/>
      </c>
      <c r="M116" s="702" t="str">
        <f>IF('Chemical Info'!V117="X",'Com-Ind Worksheet'!G116,"")</f>
        <v/>
      </c>
      <c r="N116" s="702" t="str">
        <f>IF('Chemical Info'!W117="X",'Com-Ind Worksheet'!G116,"")</f>
        <v/>
      </c>
      <c r="O116" s="702" t="str">
        <f>IF('Chemical Info'!X117="X",'Com-Ind Worksheet'!G116,"")</f>
        <v/>
      </c>
      <c r="P116" s="702" t="str">
        <f>IF('Chemical Info'!Y117="X",'Com-Ind Worksheet'!G116,"")</f>
        <v/>
      </c>
      <c r="Q116" s="702" t="str">
        <f>IF('Chemical Info'!Z117="X",'Com-Ind Worksheet'!G116,"")</f>
        <v/>
      </c>
      <c r="R116" s="702" t="str">
        <f>IF('Chemical Info'!AA117="X",'Com-Ind Worksheet'!G116,"")</f>
        <v/>
      </c>
      <c r="S116" s="692" t="str">
        <f t="shared" si="1"/>
        <v>Based on Csat. A concentration &gt; Csat indicates potential for free product in soil.</v>
      </c>
    </row>
    <row r="117" spans="1:19" ht="10">
      <c r="A117" s="133" t="s">
        <v>404</v>
      </c>
      <c r="B117" s="566" t="s">
        <v>199</v>
      </c>
      <c r="C117" s="566">
        <v>2021</v>
      </c>
      <c r="D117" s="126">
        <f>'Com-Ind Calculations'!W117</f>
        <v>200</v>
      </c>
      <c r="E117" s="126" t="str">
        <f>'Com-Ind Calculations'!X117</f>
        <v>Cancer</v>
      </c>
      <c r="F117" s="127"/>
      <c r="G117" s="698">
        <f>IF(E117="BTV","NA",IF(E117="Max Limit","NA",IF(E117="Csat","NA",IF(ISNUMBER('Com-Ind Calculations'!U117),((F117/'Com-Ind Calculations'!U117)),"NA"))))</f>
        <v>0</v>
      </c>
      <c r="H117" s="704">
        <f>IF(E117="BTV","NA",IF(E117="Max Limit","NA",IF(E117="Csat","NA",IF(ISNUMBER('Com-Ind Calculations'!N117),((F117/'Com-Ind Calculations'!N117)*0.00001),"NA"))))</f>
        <v>0</v>
      </c>
      <c r="I117" s="702">
        <f>IF('Chemical Info'!R118="X",'Com-Ind Worksheet'!G117,"")</f>
        <v>0</v>
      </c>
      <c r="J117" s="702">
        <f>IF('Chemical Info'!S118="X",'Com-Ind Worksheet'!G117,"")</f>
        <v>0</v>
      </c>
      <c r="K117" s="702">
        <f>IF('Chemical Info'!T118="X",'Com-Ind Worksheet'!G117,"")</f>
        <v>0</v>
      </c>
      <c r="L117" s="702">
        <f>IF('Chemical Info'!U118="X",'Com-Ind Worksheet'!G117,"")</f>
        <v>0</v>
      </c>
      <c r="M117" s="702">
        <f>IF('Chemical Info'!V118="X",'Com-Ind Worksheet'!G117,"")</f>
        <v>0</v>
      </c>
      <c r="N117" s="702">
        <f>IF('Chemical Info'!W118="X",'Com-Ind Worksheet'!G117,"")</f>
        <v>0</v>
      </c>
      <c r="O117" s="702">
        <f>IF('Chemical Info'!X118="X",'Com-Ind Worksheet'!G117,"")</f>
        <v>0</v>
      </c>
      <c r="P117" s="702" t="str">
        <f>IF('Chemical Info'!Y118="X",'Com-Ind Worksheet'!G117,"")</f>
        <v/>
      </c>
      <c r="Q117" s="702" t="str">
        <f>IF('Chemical Info'!Z118="X",'Com-Ind Worksheet'!G117,"")</f>
        <v/>
      </c>
      <c r="R117" s="702">
        <f>IF('Chemical Info'!AA118="X",'Com-Ind Worksheet'!G117,"")</f>
        <v>0</v>
      </c>
      <c r="S117" s="692" t="str">
        <f t="shared" si="1"/>
        <v/>
      </c>
    </row>
    <row r="118" spans="1:19" ht="10">
      <c r="A118" s="133" t="s">
        <v>405</v>
      </c>
      <c r="B118" s="566" t="s">
        <v>200</v>
      </c>
      <c r="C118" s="566">
        <v>2021</v>
      </c>
      <c r="D118" s="126">
        <f>'Com-Ind Calculations'!W118</f>
        <v>54</v>
      </c>
      <c r="E118" s="126" t="str">
        <f>'Com-Ind Calculations'!X118</f>
        <v>Cancer</v>
      </c>
      <c r="F118" s="127"/>
      <c r="G118" s="698" t="str">
        <f>IF(E118="BTV","NA",IF(E118="Max Limit","NA",IF(E118="Csat","NA",IF(ISNUMBER('Com-Ind Calculations'!U118),((F118/'Com-Ind Calculations'!U118)),"NA"))))</f>
        <v>NA</v>
      </c>
      <c r="H118" s="704">
        <f>IF(E118="BTV","NA",IF(E118="Max Limit","NA",IF(E118="Csat","NA",IF(ISNUMBER('Com-Ind Calculations'!N118),((F118/'Com-Ind Calculations'!N118)*0.00001),"NA"))))</f>
        <v>0</v>
      </c>
      <c r="I118" s="702" t="str">
        <f>IF('Chemical Info'!R119="X",'Com-Ind Worksheet'!G118,"")</f>
        <v/>
      </c>
      <c r="J118" s="702" t="str">
        <f>IF('Chemical Info'!S119="X",'Com-Ind Worksheet'!G118,"")</f>
        <v/>
      </c>
      <c r="K118" s="702" t="str">
        <f>IF('Chemical Info'!T119="X",'Com-Ind Worksheet'!G118,"")</f>
        <v/>
      </c>
      <c r="L118" s="702" t="str">
        <f>IF('Chemical Info'!U119="X",'Com-Ind Worksheet'!G118,"")</f>
        <v/>
      </c>
      <c r="M118" s="702" t="str">
        <f>IF('Chemical Info'!V119="X",'Com-Ind Worksheet'!G118,"")</f>
        <v/>
      </c>
      <c r="N118" s="702" t="str">
        <f>IF('Chemical Info'!W119="X",'Com-Ind Worksheet'!G118,"")</f>
        <v/>
      </c>
      <c r="O118" s="702" t="str">
        <f>IF('Chemical Info'!X119="X",'Com-Ind Worksheet'!G118,"")</f>
        <v/>
      </c>
      <c r="P118" s="702" t="str">
        <f>IF('Chemical Info'!Y119="X",'Com-Ind Worksheet'!G118,"")</f>
        <v/>
      </c>
      <c r="Q118" s="702" t="str">
        <f>IF('Chemical Info'!Z119="X",'Com-Ind Worksheet'!G118,"")</f>
        <v/>
      </c>
      <c r="R118" s="702" t="str">
        <f>IF('Chemical Info'!AA119="X",'Com-Ind Worksheet'!G118,"")</f>
        <v/>
      </c>
      <c r="S118" s="692" t="str">
        <f t="shared" si="1"/>
        <v/>
      </c>
    </row>
    <row r="119" spans="1:19" ht="10">
      <c r="A119" s="133" t="s">
        <v>406</v>
      </c>
      <c r="B119" s="566" t="s">
        <v>201</v>
      </c>
      <c r="C119" s="566">
        <v>2016</v>
      </c>
      <c r="D119" s="126">
        <f>'Com-Ind Calculations'!W119</f>
        <v>540</v>
      </c>
      <c r="E119" s="126" t="str">
        <f>'Com-Ind Calculations'!X119</f>
        <v>Noncancer</v>
      </c>
      <c r="F119" s="127"/>
      <c r="G119" s="698">
        <f>IF(E119="BTV","NA",IF(E119="Max Limit","NA",IF(E119="Csat","NA",IF(ISNUMBER('Com-Ind Calculations'!U119),((F119/'Com-Ind Calculations'!U119)),"NA"))))</f>
        <v>0</v>
      </c>
      <c r="H119" s="704" t="str">
        <f>IF(E119="BTV","NA",IF(E119="Max Limit","NA",IF(E119="Csat","NA",IF(ISNUMBER('Com-Ind Calculations'!N119),((F119/'Com-Ind Calculations'!N119)*0.00001),"NA"))))</f>
        <v>NA</v>
      </c>
      <c r="I119" s="702" t="str">
        <f>IF('Chemical Info'!R120="X",'Com-Ind Worksheet'!G119,"")</f>
        <v/>
      </c>
      <c r="J119" s="702" t="str">
        <f>IF('Chemical Info'!S120="X",'Com-Ind Worksheet'!G119,"")</f>
        <v/>
      </c>
      <c r="K119" s="702">
        <f>IF('Chemical Info'!T120="X",'Com-Ind Worksheet'!G119,"")</f>
        <v>0</v>
      </c>
      <c r="L119" s="702" t="str">
        <f>IF('Chemical Info'!U120="X",'Com-Ind Worksheet'!G119,"")</f>
        <v/>
      </c>
      <c r="M119" s="702" t="str">
        <f>IF('Chemical Info'!V120="X",'Com-Ind Worksheet'!G119,"")</f>
        <v/>
      </c>
      <c r="N119" s="702" t="str">
        <f>IF('Chemical Info'!W120="X",'Com-Ind Worksheet'!G119,"")</f>
        <v/>
      </c>
      <c r="O119" s="702" t="str">
        <f>IF('Chemical Info'!X120="X",'Com-Ind Worksheet'!G119,"")</f>
        <v/>
      </c>
      <c r="P119" s="702" t="str">
        <f>IF('Chemical Info'!Y120="X",'Com-Ind Worksheet'!G119,"")</f>
        <v/>
      </c>
      <c r="Q119" s="702" t="str">
        <f>IF('Chemical Info'!Z120="X",'Com-Ind Worksheet'!G119,"")</f>
        <v/>
      </c>
      <c r="R119" s="702" t="str">
        <f>IF('Chemical Info'!AA120="X",'Com-Ind Worksheet'!G119,"")</f>
        <v/>
      </c>
      <c r="S119" s="692" t="str">
        <f t="shared" si="1"/>
        <v/>
      </c>
    </row>
    <row r="120" spans="1:19" ht="10">
      <c r="A120" s="133" t="s">
        <v>1154</v>
      </c>
      <c r="B120" s="566" t="s">
        <v>1155</v>
      </c>
      <c r="C120" s="566">
        <v>2022</v>
      </c>
      <c r="D120" s="126">
        <f>'Com-Ind Calculations'!W120</f>
        <v>100000</v>
      </c>
      <c r="E120" s="126" t="str">
        <f>'Com-Ind Calculations'!X120</f>
        <v>Max Limit</v>
      </c>
      <c r="F120" s="127"/>
      <c r="G120" s="698" t="str">
        <f>IF(E120="BTV","NA",IF(E120="Max Limit","NA",IF(E120="Csat","NA",IF(ISNUMBER('Com-Ind Calculations'!U120),((F120/'Com-Ind Calculations'!U120)),"NA"))))</f>
        <v>NA</v>
      </c>
      <c r="H120" s="704" t="str">
        <f>IF(E120="BTV","NA",IF(E120="Max Limit","NA",IF(E120="Csat","NA",IF(ISNUMBER('Com-Ind Calculations'!N120),((F120/'Com-Ind Calculations'!N120)*0.00001),"NA"))))</f>
        <v>NA</v>
      </c>
      <c r="I120" s="702" t="str">
        <f>IF('Chemical Info'!R121="X",'Com-Ind Worksheet'!G120,"")</f>
        <v/>
      </c>
      <c r="J120" s="702" t="str">
        <f>IF('Chemical Info'!S121="X",'Com-Ind Worksheet'!G120,"")</f>
        <v/>
      </c>
      <c r="K120" s="702" t="str">
        <f>IF('Chemical Info'!T121="X",'Com-Ind Worksheet'!G120,"")</f>
        <v/>
      </c>
      <c r="L120" s="702" t="str">
        <f>IF('Chemical Info'!U121="X",'Com-Ind Worksheet'!G120,"")</f>
        <v/>
      </c>
      <c r="M120" s="702" t="str">
        <f>IF('Chemical Info'!V121="X",'Com-Ind Worksheet'!G120,"")</f>
        <v/>
      </c>
      <c r="N120" s="702" t="str">
        <f>IF('Chemical Info'!W121="X",'Com-Ind Worksheet'!G120,"")</f>
        <v/>
      </c>
      <c r="O120" s="702" t="str">
        <f>IF('Chemical Info'!X121="X",'Com-Ind Worksheet'!G120,"")</f>
        <v/>
      </c>
      <c r="P120" s="702" t="str">
        <f>IF('Chemical Info'!Y121="X",'Com-Ind Worksheet'!G120,"")</f>
        <v/>
      </c>
      <c r="Q120" s="702" t="str">
        <f>IF('Chemical Info'!Z121="X",'Com-Ind Worksheet'!G120,"")</f>
        <v/>
      </c>
      <c r="R120" s="702" t="str">
        <f>IF('Chemical Info'!AA121="X",'Com-Ind Worksheet'!G120,"")</f>
        <v/>
      </c>
      <c r="S120" s="692" t="str">
        <f t="shared" si="1"/>
        <v>Based on maximum contaminant limit. Concentration should not be &gt; SRV.</v>
      </c>
    </row>
    <row r="121" spans="1:19" ht="10">
      <c r="A121" s="133" t="s">
        <v>1133</v>
      </c>
      <c r="B121" s="566" t="s">
        <v>1134</v>
      </c>
      <c r="C121" s="566">
        <v>2022</v>
      </c>
      <c r="D121" s="126">
        <f>'Com-Ind Calculations'!W121</f>
        <v>18</v>
      </c>
      <c r="E121" s="126" t="str">
        <f>'Com-Ind Calculations'!X121</f>
        <v>Noncancer</v>
      </c>
      <c r="F121" s="127"/>
      <c r="G121" s="698">
        <f>IF(E121="BTV","NA",IF(E121="Max Limit","NA",IF(E121="Csat","NA",IF(ISNUMBER('Com-Ind Calculations'!U121),((F121/'Com-Ind Calculations'!U121)),"NA"))))</f>
        <v>0</v>
      </c>
      <c r="H121" s="704" t="str">
        <f>IF(E121="BTV","NA",IF(E121="Max Limit","NA",IF(E121="Csat","NA",IF(ISNUMBER('Com-Ind Calculations'!N121),((F121/'Com-Ind Calculations'!N121)*0.00001),"NA"))))</f>
        <v>NA</v>
      </c>
      <c r="I121" s="702" t="str">
        <f>IF('Chemical Info'!R122="X",'Com-Ind Worksheet'!G121,"")</f>
        <v/>
      </c>
      <c r="J121" s="702" t="str">
        <f>IF('Chemical Info'!S122="X",'Com-Ind Worksheet'!G121,"")</f>
        <v/>
      </c>
      <c r="K121" s="702">
        <f>IF('Chemical Info'!T122="X",'Com-Ind Worksheet'!G121,"")</f>
        <v>0</v>
      </c>
      <c r="L121" s="702" t="str">
        <f>IF('Chemical Info'!U122="X",'Com-Ind Worksheet'!G121,"")</f>
        <v/>
      </c>
      <c r="M121" s="702" t="str">
        <f>IF('Chemical Info'!V122="X",'Com-Ind Worksheet'!G121,"")</f>
        <v/>
      </c>
      <c r="N121" s="702" t="str">
        <f>IF('Chemical Info'!W122="X",'Com-Ind Worksheet'!G121,"")</f>
        <v/>
      </c>
      <c r="O121" s="702" t="str">
        <f>IF('Chemical Info'!X122="X",'Com-Ind Worksheet'!G121,"")</f>
        <v/>
      </c>
      <c r="P121" s="702" t="str">
        <f>IF('Chemical Info'!Y122="X",'Com-Ind Worksheet'!G121,"")</f>
        <v/>
      </c>
      <c r="Q121" s="702" t="str">
        <f>IF('Chemical Info'!Z122="X",'Com-Ind Worksheet'!G121,"")</f>
        <v/>
      </c>
      <c r="R121" s="702" t="str">
        <f>IF('Chemical Info'!AA122="X",'Com-Ind Worksheet'!G121,"")</f>
        <v/>
      </c>
      <c r="S121" s="692" t="str">
        <f t="shared" si="1"/>
        <v/>
      </c>
    </row>
    <row r="122" spans="1:19" ht="10">
      <c r="A122" s="133" t="s">
        <v>1135</v>
      </c>
      <c r="B122" s="566" t="s">
        <v>1136</v>
      </c>
      <c r="C122" s="566">
        <v>2022</v>
      </c>
      <c r="D122" s="126">
        <f>'Com-Ind Calculations'!W122</f>
        <v>18</v>
      </c>
      <c r="E122" s="126" t="str">
        <f>'Com-Ind Calculations'!X122</f>
        <v>Noncancer</v>
      </c>
      <c r="F122" s="127"/>
      <c r="G122" s="698">
        <f>IF(E122="BTV","NA",IF(E122="Max Limit","NA",IF(E122="Csat","NA",IF(ISNUMBER('Com-Ind Calculations'!U122),((F122/'Com-Ind Calculations'!U122)),"NA"))))</f>
        <v>0</v>
      </c>
      <c r="H122" s="704" t="str">
        <f>IF(E122="BTV","NA",IF(E122="Max Limit","NA",IF(E122="Csat","NA",IF(ISNUMBER('Com-Ind Calculations'!N122),((F122/'Com-Ind Calculations'!N122)*0.00001),"NA"))))</f>
        <v>NA</v>
      </c>
      <c r="I122" s="702" t="str">
        <f>IF('Chemical Info'!R123="X",'Com-Ind Worksheet'!G122,"")</f>
        <v/>
      </c>
      <c r="J122" s="702" t="str">
        <f>IF('Chemical Info'!S123="X",'Com-Ind Worksheet'!G122,"")</f>
        <v/>
      </c>
      <c r="K122" s="702">
        <f>IF('Chemical Info'!T123="X",'Com-Ind Worksheet'!G122,"")</f>
        <v>0</v>
      </c>
      <c r="L122" s="702" t="str">
        <f>IF('Chemical Info'!U123="X",'Com-Ind Worksheet'!G122,"")</f>
        <v/>
      </c>
      <c r="M122" s="702" t="str">
        <f>IF('Chemical Info'!V123="X",'Com-Ind Worksheet'!G122,"")</f>
        <v/>
      </c>
      <c r="N122" s="702" t="str">
        <f>IF('Chemical Info'!W123="X",'Com-Ind Worksheet'!G122,"")</f>
        <v/>
      </c>
      <c r="O122" s="702" t="str">
        <f>IF('Chemical Info'!X123="X",'Com-Ind Worksheet'!G122,"")</f>
        <v/>
      </c>
      <c r="P122" s="702" t="str">
        <f>IF('Chemical Info'!Y123="X",'Com-Ind Worksheet'!G122,"")</f>
        <v/>
      </c>
      <c r="Q122" s="702" t="str">
        <f>IF('Chemical Info'!Z123="X",'Com-Ind Worksheet'!G122,"")</f>
        <v/>
      </c>
      <c r="R122" s="702" t="str">
        <f>IF('Chemical Info'!AA123="X",'Com-Ind Worksheet'!G122,"")</f>
        <v/>
      </c>
      <c r="S122" s="692" t="str">
        <f t="shared" si="1"/>
        <v/>
      </c>
    </row>
    <row r="123" spans="1:19" ht="10">
      <c r="A123" s="133" t="s">
        <v>1194</v>
      </c>
      <c r="B123" s="566" t="s">
        <v>1156</v>
      </c>
      <c r="C123" s="566">
        <v>2022</v>
      </c>
      <c r="D123" s="126">
        <f>'Com-Ind Calculations'!W123</f>
        <v>360</v>
      </c>
      <c r="E123" s="126" t="str">
        <f>'Com-Ind Calculations'!X123</f>
        <v>Noncancer</v>
      </c>
      <c r="F123" s="127"/>
      <c r="G123" s="698">
        <f>IF(E123="BTV","NA",IF(E123="Max Limit","NA",IF(E123="Csat","NA",IF(ISNUMBER('Com-Ind Calculations'!U123),((F123/'Com-Ind Calculations'!U123)),"NA"))))</f>
        <v>0</v>
      </c>
      <c r="H123" s="704" t="str">
        <f>IF(E123="BTV","NA",IF(E123="Max Limit","NA",IF(E123="Csat","NA",IF(ISNUMBER('Com-Ind Calculations'!N123),((F123/'Com-Ind Calculations'!N123)*0.00001),"NA"))))</f>
        <v>NA</v>
      </c>
      <c r="I123" s="702" t="str">
        <f>IF('Chemical Info'!R124="X",'Com-Ind Worksheet'!G123,"")</f>
        <v/>
      </c>
      <c r="J123" s="702" t="str">
        <f>IF('Chemical Info'!S124="X",'Com-Ind Worksheet'!G123,"")</f>
        <v/>
      </c>
      <c r="K123" s="702" t="str">
        <f>IF('Chemical Info'!T124="X",'Com-Ind Worksheet'!G123,"")</f>
        <v/>
      </c>
      <c r="L123" s="702" t="str">
        <f>IF('Chemical Info'!U124="X",'Com-Ind Worksheet'!G123,"")</f>
        <v/>
      </c>
      <c r="M123" s="702" t="str">
        <f>IF('Chemical Info'!V124="X",'Com-Ind Worksheet'!G123,"")</f>
        <v/>
      </c>
      <c r="N123" s="702" t="str">
        <f>IF('Chemical Info'!W124="X",'Com-Ind Worksheet'!G123,"")</f>
        <v/>
      </c>
      <c r="O123" s="702" t="str">
        <f>IF('Chemical Info'!X124="X",'Com-Ind Worksheet'!G123,"")</f>
        <v/>
      </c>
      <c r="P123" s="702" t="str">
        <f>IF('Chemical Info'!Y124="X",'Com-Ind Worksheet'!G123,"")</f>
        <v/>
      </c>
      <c r="Q123" s="702" t="str">
        <f>IF('Chemical Info'!Z124="X",'Com-Ind Worksheet'!G123,"")</f>
        <v/>
      </c>
      <c r="R123" s="702" t="str">
        <f>IF('Chemical Info'!AA124="X",'Com-Ind Worksheet'!G123,"")</f>
        <v/>
      </c>
      <c r="S123" s="692" t="str">
        <f t="shared" si="1"/>
        <v/>
      </c>
    </row>
    <row r="124" spans="1:19" ht="10">
      <c r="A124" s="129" t="s">
        <v>217</v>
      </c>
      <c r="B124" s="566" t="s">
        <v>218</v>
      </c>
      <c r="C124" s="566">
        <v>2016</v>
      </c>
      <c r="D124" s="126">
        <f>'Com-Ind Calculations'!W124</f>
        <v>4500</v>
      </c>
      <c r="E124" s="126" t="str">
        <f>'Com-Ind Calculations'!X124</f>
        <v>Noncancer</v>
      </c>
      <c r="F124" s="127"/>
      <c r="G124" s="698">
        <f>IF(E124="BTV","NA",IF(E124="Max Limit","NA",IF(E124="Csat","NA",IF(ISNUMBER('Com-Ind Calculations'!U124),((F124/'Com-Ind Calculations'!U124)),"NA"))))</f>
        <v>0</v>
      </c>
      <c r="H124" s="704" t="str">
        <f>IF(E124="BTV","NA",IF(E124="Max Limit","NA",IF(E124="Csat","NA",IF(ISNUMBER('Com-Ind Calculations'!N124),((F124/'Com-Ind Calculations'!N124)*0.00001),"NA"))))</f>
        <v>NA</v>
      </c>
      <c r="I124" s="702" t="str">
        <f>IF('Chemical Info'!R125="X",'Com-Ind Worksheet'!G124,"")</f>
        <v/>
      </c>
      <c r="J124" s="702" t="str">
        <f>IF('Chemical Info'!S125="X",'Com-Ind Worksheet'!G124,"")</f>
        <v/>
      </c>
      <c r="K124" s="702" t="str">
        <f>IF('Chemical Info'!T125="X",'Com-Ind Worksheet'!G124,"")</f>
        <v/>
      </c>
      <c r="L124" s="702">
        <f>IF('Chemical Info'!U125="X",'Com-Ind Worksheet'!G124,"")</f>
        <v>0</v>
      </c>
      <c r="M124" s="702">
        <f>IF('Chemical Info'!V125="X",'Com-Ind Worksheet'!G124,"")</f>
        <v>0</v>
      </c>
      <c r="N124" s="702" t="str">
        <f>IF('Chemical Info'!W125="X",'Com-Ind Worksheet'!G124,"")</f>
        <v/>
      </c>
      <c r="O124" s="702" t="str">
        <f>IF('Chemical Info'!X125="X",'Com-Ind Worksheet'!G124,"")</f>
        <v/>
      </c>
      <c r="P124" s="702" t="str">
        <f>IF('Chemical Info'!Y125="X",'Com-Ind Worksheet'!G124,"")</f>
        <v/>
      </c>
      <c r="Q124" s="702" t="str">
        <f>IF('Chemical Info'!Z125="X",'Com-Ind Worksheet'!G124,"")</f>
        <v/>
      </c>
      <c r="R124" s="702" t="str">
        <f>IF('Chemical Info'!AA125="X",'Com-Ind Worksheet'!G124,"")</f>
        <v/>
      </c>
      <c r="S124" s="692" t="str">
        <f t="shared" si="1"/>
        <v/>
      </c>
    </row>
    <row r="125" spans="1:19" ht="10">
      <c r="A125" s="63" t="s">
        <v>488</v>
      </c>
      <c r="B125" s="566" t="s">
        <v>221</v>
      </c>
      <c r="C125" s="566">
        <v>2016</v>
      </c>
      <c r="D125" s="126">
        <f>'Com-Ind Calculations'!W125</f>
        <v>1800</v>
      </c>
      <c r="E125" s="126" t="str">
        <f>'Com-Ind Calculations'!X125</f>
        <v>Cancer</v>
      </c>
      <c r="F125" s="127"/>
      <c r="G125" s="698">
        <f>IF(E125="BTV","NA",IF(E125="Max Limit","NA",IF(E125="Csat","NA",IF(ISNUMBER('Com-Ind Calculations'!U125),((F125/'Com-Ind Calculations'!U125)),"NA"))))</f>
        <v>0</v>
      </c>
      <c r="H125" s="704">
        <f>IF(E125="BTV","NA",IF(E125="Max Limit","NA",IF(E125="Csat","NA",IF(ISNUMBER('Com-Ind Calculations'!N125),((F125/'Com-Ind Calculations'!N125)*0.00001),"NA"))))</f>
        <v>0</v>
      </c>
      <c r="I125" s="702" t="str">
        <f>IF('Chemical Info'!R126="X",'Com-Ind Worksheet'!G125,"")</f>
        <v/>
      </c>
      <c r="J125" s="702" t="str">
        <f>IF('Chemical Info'!S126="X",'Com-Ind Worksheet'!G125,"")</f>
        <v/>
      </c>
      <c r="K125" s="702" t="str">
        <f>IF('Chemical Info'!T126="X",'Com-Ind Worksheet'!G125,"")</f>
        <v/>
      </c>
      <c r="L125" s="702" t="str">
        <f>IF('Chemical Info'!U126="X",'Com-Ind Worksheet'!G125,"")</f>
        <v/>
      </c>
      <c r="M125" s="702" t="str">
        <f>IF('Chemical Info'!V126="X",'Com-Ind Worksheet'!G125,"")</f>
        <v/>
      </c>
      <c r="N125" s="702">
        <f>IF('Chemical Info'!W126="X",'Com-Ind Worksheet'!G125,"")</f>
        <v>0</v>
      </c>
      <c r="O125" s="702" t="str">
        <f>IF('Chemical Info'!X126="X",'Com-Ind Worksheet'!G125,"")</f>
        <v/>
      </c>
      <c r="P125" s="702" t="str">
        <f>IF('Chemical Info'!Y126="X",'Com-Ind Worksheet'!G125,"")</f>
        <v/>
      </c>
      <c r="Q125" s="702" t="str">
        <f>IF('Chemical Info'!Z126="X",'Com-Ind Worksheet'!G125,"")</f>
        <v/>
      </c>
      <c r="R125" s="702" t="str">
        <f>IF('Chemical Info'!AA126="X",'Com-Ind Worksheet'!G125,"")</f>
        <v/>
      </c>
      <c r="S125" s="692" t="str">
        <f t="shared" si="1"/>
        <v/>
      </c>
    </row>
    <row r="126" spans="1:19" ht="10">
      <c r="A126" s="133" t="s">
        <v>384</v>
      </c>
      <c r="B126" s="566" t="s">
        <v>174</v>
      </c>
      <c r="C126" s="566">
        <v>2016</v>
      </c>
      <c r="D126" s="126">
        <f>'Com-Ind Calculations'!W126</f>
        <v>3600</v>
      </c>
      <c r="E126" s="126" t="str">
        <f>'Com-Ind Calculations'!X126</f>
        <v>Noncancer</v>
      </c>
      <c r="F126" s="127"/>
      <c r="G126" s="698">
        <f>IF(E126="BTV","NA",IF(E126="Max Limit","NA",IF(E126="Csat","NA",IF(ISNUMBER('Com-Ind Calculations'!U126),((F126/'Com-Ind Calculations'!U126)),"NA"))))</f>
        <v>0</v>
      </c>
      <c r="H126" s="704" t="str">
        <f>IF(E126="BTV","NA",IF(E126="Max Limit","NA",IF(E126="Csat","NA",IF(ISNUMBER('Com-Ind Calculations'!N126),((F126/'Com-Ind Calculations'!N126)*0.00001),"NA"))))</f>
        <v>NA</v>
      </c>
      <c r="I126" s="702">
        <f>IF('Chemical Info'!R127="X",'Com-Ind Worksheet'!G126,"")</f>
        <v>0</v>
      </c>
      <c r="J126" s="702">
        <f>IF('Chemical Info'!S127="X",'Com-Ind Worksheet'!G126,"")</f>
        <v>0</v>
      </c>
      <c r="K126" s="702" t="str">
        <f>IF('Chemical Info'!T127="X",'Com-Ind Worksheet'!G126,"")</f>
        <v/>
      </c>
      <c r="L126" s="702" t="str">
        <f>IF('Chemical Info'!U127="X",'Com-Ind Worksheet'!G126,"")</f>
        <v/>
      </c>
      <c r="M126" s="702" t="str">
        <f>IF('Chemical Info'!V127="X",'Com-Ind Worksheet'!G126,"")</f>
        <v/>
      </c>
      <c r="N126" s="702" t="str">
        <f>IF('Chemical Info'!W127="X",'Com-Ind Worksheet'!G126,"")</f>
        <v/>
      </c>
      <c r="O126" s="702" t="str">
        <f>IF('Chemical Info'!X127="X",'Com-Ind Worksheet'!G126,"")</f>
        <v/>
      </c>
      <c r="P126" s="702" t="str">
        <f>IF('Chemical Info'!Y127="X",'Com-Ind Worksheet'!G126,"")</f>
        <v/>
      </c>
      <c r="Q126" s="702" t="str">
        <f>IF('Chemical Info'!Z127="X",'Com-Ind Worksheet'!G126,"")</f>
        <v/>
      </c>
      <c r="R126" s="702" t="str">
        <f>IF('Chemical Info'!AA127="X",'Com-Ind Worksheet'!G126,"")</f>
        <v/>
      </c>
      <c r="S126" s="692" t="str">
        <f t="shared" si="1"/>
        <v/>
      </c>
    </row>
    <row r="127" spans="1:19" ht="10">
      <c r="A127" s="129" t="s">
        <v>219</v>
      </c>
      <c r="B127" s="566" t="s">
        <v>220</v>
      </c>
      <c r="C127" s="566">
        <v>2022</v>
      </c>
      <c r="D127" s="126">
        <f>'Com-Ind Calculations'!W127</f>
        <v>1800</v>
      </c>
      <c r="E127" s="126" t="str">
        <f>'Com-Ind Calculations'!X127</f>
        <v>Noncancer</v>
      </c>
      <c r="F127" s="127"/>
      <c r="G127" s="698">
        <f>IF(E127="BTV","NA",IF(E127="Max Limit","NA",IF(E127="Csat","NA",IF(ISNUMBER('Com-Ind Calculations'!U127),((F127/'Com-Ind Calculations'!U127)),"NA"))))</f>
        <v>0</v>
      </c>
      <c r="H127" s="704" t="str">
        <f>IF(E127="BTV","NA",IF(E127="Max Limit","NA",IF(E127="Csat","NA",IF(ISNUMBER('Com-Ind Calculations'!N127),((F127/'Com-Ind Calculations'!N127)*0.00001),"NA"))))</f>
        <v>NA</v>
      </c>
      <c r="I127" s="702" t="str">
        <f>IF('Chemical Info'!R128="X",'Com-Ind Worksheet'!G127,"")</f>
        <v/>
      </c>
      <c r="J127" s="702" t="str">
        <f>IF('Chemical Info'!S128="X",'Com-Ind Worksheet'!G127,"")</f>
        <v/>
      </c>
      <c r="K127" s="702" t="str">
        <f>IF('Chemical Info'!T128="X",'Com-Ind Worksheet'!G127,"")</f>
        <v/>
      </c>
      <c r="L127" s="702" t="str">
        <f>IF('Chemical Info'!U128="X",'Com-Ind Worksheet'!G127,"")</f>
        <v/>
      </c>
      <c r="M127" s="702">
        <f>IF('Chemical Info'!V128="X",'Com-Ind Worksheet'!G127,"")</f>
        <v>0</v>
      </c>
      <c r="N127" s="702" t="str">
        <f>IF('Chemical Info'!W128="X",'Com-Ind Worksheet'!G127,"")</f>
        <v/>
      </c>
      <c r="O127" s="702" t="str">
        <f>IF('Chemical Info'!X128="X",'Com-Ind Worksheet'!G127,"")</f>
        <v/>
      </c>
      <c r="P127" s="702" t="str">
        <f>IF('Chemical Info'!Y128="X",'Com-Ind Worksheet'!G127,"")</f>
        <v/>
      </c>
      <c r="Q127" s="702" t="str">
        <f>IF('Chemical Info'!Z128="X",'Com-Ind Worksheet'!G127,"")</f>
        <v/>
      </c>
      <c r="R127" s="702" t="str">
        <f>IF('Chemical Info'!AA128="X",'Com-Ind Worksheet'!G127,"")</f>
        <v/>
      </c>
      <c r="S127" s="692" t="str">
        <f t="shared" si="1"/>
        <v/>
      </c>
    </row>
    <row r="128" spans="1:19" ht="10">
      <c r="A128" s="133" t="s">
        <v>385</v>
      </c>
      <c r="B128" s="566" t="s">
        <v>163</v>
      </c>
      <c r="C128" s="566">
        <v>2021</v>
      </c>
      <c r="D128" s="126">
        <f>'Com-Ind Calculations'!W128</f>
        <v>360</v>
      </c>
      <c r="E128" s="126" t="str">
        <f>'Com-Ind Calculations'!X128</f>
        <v>Cancer</v>
      </c>
      <c r="F128" s="127"/>
      <c r="G128" s="698">
        <f>IF(E128="BTV","NA",IF(E128="Max Limit","NA",IF(E128="Csat","NA",IF(ISNUMBER('Com-Ind Calculations'!U128),((F128/'Com-Ind Calculations'!U128)),"NA"))))</f>
        <v>0</v>
      </c>
      <c r="H128" s="704">
        <f>IF(E128="BTV","NA",IF(E128="Max Limit","NA",IF(E128="Csat","NA",IF(ISNUMBER('Com-Ind Calculations'!N128),((F128/'Com-Ind Calculations'!N128)*0.00001),"NA"))))</f>
        <v>0</v>
      </c>
      <c r="I128" s="702" t="str">
        <f>IF('Chemical Info'!R129="X",'Com-Ind Worksheet'!G128,"")</f>
        <v/>
      </c>
      <c r="J128" s="702" t="str">
        <f>IF('Chemical Info'!S129="X",'Com-Ind Worksheet'!G128,"")</f>
        <v/>
      </c>
      <c r="K128" s="702" t="str">
        <f>IF('Chemical Info'!T129="X",'Com-Ind Worksheet'!G128,"")</f>
        <v/>
      </c>
      <c r="L128" s="702">
        <f>IF('Chemical Info'!U129="X",'Com-Ind Worksheet'!G128,"")</f>
        <v>0</v>
      </c>
      <c r="M128" s="702">
        <f>IF('Chemical Info'!V129="X",'Com-Ind Worksheet'!G128,"")</f>
        <v>0</v>
      </c>
      <c r="N128" s="702" t="str">
        <f>IF('Chemical Info'!W129="X",'Com-Ind Worksheet'!G128,"")</f>
        <v/>
      </c>
      <c r="O128" s="702">
        <f>IF('Chemical Info'!X129="X",'Com-Ind Worksheet'!G128,"")</f>
        <v>0</v>
      </c>
      <c r="P128" s="702" t="str">
        <f>IF('Chemical Info'!Y129="X",'Com-Ind Worksheet'!G128,"")</f>
        <v/>
      </c>
      <c r="Q128" s="702" t="str">
        <f>IF('Chemical Info'!Z129="X",'Com-Ind Worksheet'!G128,"")</f>
        <v/>
      </c>
      <c r="R128" s="702" t="str">
        <f>IF('Chemical Info'!AA129="X",'Com-Ind Worksheet'!G128,"")</f>
        <v/>
      </c>
      <c r="S128" s="692" t="str">
        <f t="shared" si="1"/>
        <v/>
      </c>
    </row>
    <row r="129" spans="1:19" ht="10">
      <c r="A129" s="129" t="s">
        <v>8</v>
      </c>
      <c r="B129" s="566" t="s">
        <v>9</v>
      </c>
      <c r="C129" s="566">
        <v>2021</v>
      </c>
      <c r="D129" s="126">
        <f>'Com-Ind Calculations'!W129</f>
        <v>32000</v>
      </c>
      <c r="E129" s="126" t="str">
        <f>'Com-Ind Calculations'!X129</f>
        <v>Noncancer</v>
      </c>
      <c r="F129" s="127"/>
      <c r="G129" s="698">
        <f>IF(E129="BTV","NA",IF(E129="Max Limit","NA",IF(E129="Csat","NA",IF(ISNUMBER('Com-Ind Calculations'!U129),((F129/'Com-Ind Calculations'!U129)),"NA"))))</f>
        <v>0</v>
      </c>
      <c r="H129" s="704" t="str">
        <f>IF(E129="BTV","NA",IF(E129="Max Limit","NA",IF(E129="Csat","NA",IF(ISNUMBER('Com-Ind Calculations'!N129),((F129/'Com-Ind Calculations'!N129)*0.00001),"NA"))))</f>
        <v>NA</v>
      </c>
      <c r="I129" s="702" t="str">
        <f>IF('Chemical Info'!R130="X",'Com-Ind Worksheet'!G129,"")</f>
        <v/>
      </c>
      <c r="J129" s="702" t="str">
        <f>IF('Chemical Info'!S130="X",'Com-Ind Worksheet'!G129,"")</f>
        <v/>
      </c>
      <c r="K129" s="702" t="str">
        <f>IF('Chemical Info'!T130="X",'Com-Ind Worksheet'!G129,"")</f>
        <v/>
      </c>
      <c r="L129" s="702">
        <f>IF('Chemical Info'!U130="X",'Com-Ind Worksheet'!G129,"")</f>
        <v>0</v>
      </c>
      <c r="M129" s="702" t="str">
        <f>IF('Chemical Info'!V130="X",'Com-Ind Worksheet'!G129,"")</f>
        <v/>
      </c>
      <c r="N129" s="702">
        <f>IF('Chemical Info'!W130="X",'Com-Ind Worksheet'!G129,"")</f>
        <v>0</v>
      </c>
      <c r="O129" s="702">
        <f>IF('Chemical Info'!X130="X",'Com-Ind Worksheet'!G129,"")</f>
        <v>0</v>
      </c>
      <c r="P129" s="702" t="str">
        <f>IF('Chemical Info'!Y130="X",'Com-Ind Worksheet'!G129,"")</f>
        <v/>
      </c>
      <c r="Q129" s="702" t="str">
        <f>IF('Chemical Info'!Z130="X",'Com-Ind Worksheet'!G129,"")</f>
        <v/>
      </c>
      <c r="R129" s="702" t="str">
        <f>IF('Chemical Info'!AA130="X",'Com-Ind Worksheet'!G129,"")</f>
        <v/>
      </c>
      <c r="S129" s="692" t="str">
        <f t="shared" si="1"/>
        <v/>
      </c>
    </row>
    <row r="130" spans="1:19" ht="10">
      <c r="A130" s="129" t="s">
        <v>164</v>
      </c>
      <c r="B130" s="566" t="s">
        <v>165</v>
      </c>
      <c r="C130" s="736">
        <v>2025</v>
      </c>
      <c r="D130" s="126">
        <f>'Com-Ind Calculations'!W130</f>
        <v>780</v>
      </c>
      <c r="E130" s="126" t="str">
        <f>'Com-Ind Calculations'!X130</f>
        <v>Noncancer</v>
      </c>
      <c r="F130" s="127"/>
      <c r="G130" s="698">
        <f>IF(E130="BTV","NA",IF(E130="Max Limit","NA",IF(E130="Csat","NA",IF(ISNUMBER('Com-Ind Calculations'!U130),((F130/'Com-Ind Calculations'!U130)),"NA"))))</f>
        <v>0</v>
      </c>
      <c r="H130" s="704" t="str">
        <f>IF(E130="BTV","NA",IF(E130="Max Limit","NA",IF(E130="Csat","NA",IF(ISNUMBER('Com-Ind Calculations'!N130),((F130/'Com-Ind Calculations'!N130)*0.00001),"NA"))))</f>
        <v>NA</v>
      </c>
      <c r="I130" s="702" t="str">
        <f>IF('Chemical Info'!R131="X",'Com-Ind Worksheet'!G130,"")</f>
        <v/>
      </c>
      <c r="J130" s="702" t="str">
        <f>IF('Chemical Info'!S131="X",'Com-Ind Worksheet'!G130,"")</f>
        <v/>
      </c>
      <c r="K130" s="702" t="str">
        <f>IF('Chemical Info'!T131="X",'Com-Ind Worksheet'!G130,"")</f>
        <v/>
      </c>
      <c r="L130" s="702" t="str">
        <f>IF('Chemical Info'!U131="X",'Com-Ind Worksheet'!G130,"")</f>
        <v/>
      </c>
      <c r="M130" s="702">
        <f>IF('Chemical Info'!V131="X",'Com-Ind Worksheet'!G130,"")</f>
        <v>0</v>
      </c>
      <c r="N130" s="702" t="str">
        <f>IF('Chemical Info'!W131="X",'Com-Ind Worksheet'!G130,"")</f>
        <v/>
      </c>
      <c r="O130" s="702">
        <f>IF('Chemical Info'!X131="X",'Com-Ind Worksheet'!G130,"")</f>
        <v>0</v>
      </c>
      <c r="P130" s="702" t="str">
        <f>IF('Chemical Info'!Y131="X",'Com-Ind Worksheet'!G130,"")</f>
        <v/>
      </c>
      <c r="Q130" s="702" t="str">
        <f>IF('Chemical Info'!Z131="X",'Com-Ind Worksheet'!G130,"")</f>
        <v/>
      </c>
      <c r="R130" s="702" t="str">
        <f>IF('Chemical Info'!AA131="X",'Com-Ind Worksheet'!G130,"")</f>
        <v/>
      </c>
      <c r="S130" s="692" t="str">
        <f t="shared" si="1"/>
        <v/>
      </c>
    </row>
    <row r="131" spans="1:19" ht="10">
      <c r="A131" s="129" t="s">
        <v>89</v>
      </c>
      <c r="B131" s="566" t="s">
        <v>90</v>
      </c>
      <c r="C131" s="566">
        <v>2022</v>
      </c>
      <c r="D131" s="126">
        <f>'Com-Ind Calculations'!W131</f>
        <v>970</v>
      </c>
      <c r="E131" s="126" t="str">
        <f>'Com-Ind Calculations'!X131</f>
        <v>Noncancer</v>
      </c>
      <c r="F131" s="127"/>
      <c r="G131" s="698">
        <f>IF(E131="BTV","NA",IF(E131="Max Limit","NA",IF(E131="Csat","NA",IF(ISNUMBER('Com-Ind Calculations'!U131),((F131/'Com-Ind Calculations'!U131)),"NA"))))</f>
        <v>0</v>
      </c>
      <c r="H131" s="704" t="str">
        <f>IF(E131="BTV","NA",IF(E131="Max Limit","NA",IF(E131="Csat","NA",IF(ISNUMBER('Com-Ind Calculations'!N131),((F131/'Com-Ind Calculations'!N131)*0.00001),"NA"))))</f>
        <v>NA</v>
      </c>
      <c r="I131" s="702" t="str">
        <f>IF('Chemical Info'!R132="X",'Com-Ind Worksheet'!G131,"")</f>
        <v/>
      </c>
      <c r="J131" s="702" t="str">
        <f>IF('Chemical Info'!S132="X",'Com-Ind Worksheet'!G131,"")</f>
        <v/>
      </c>
      <c r="K131" s="702" t="str">
        <f>IF('Chemical Info'!T132="X",'Com-Ind Worksheet'!G131,"")</f>
        <v/>
      </c>
      <c r="L131" s="702" t="str">
        <f>IF('Chemical Info'!U132="X",'Com-Ind Worksheet'!G131,"")</f>
        <v/>
      </c>
      <c r="M131" s="702">
        <f>IF('Chemical Info'!V132="X",'Com-Ind Worksheet'!G131,"")</f>
        <v>0</v>
      </c>
      <c r="N131" s="702" t="str">
        <f>IF('Chemical Info'!W132="X",'Com-Ind Worksheet'!G131,"")</f>
        <v/>
      </c>
      <c r="O131" s="702" t="str">
        <f>IF('Chemical Info'!X132="X",'Com-Ind Worksheet'!G131,"")</f>
        <v/>
      </c>
      <c r="P131" s="702" t="str">
        <f>IF('Chemical Info'!Y132="X",'Com-Ind Worksheet'!G131,"")</f>
        <v/>
      </c>
      <c r="Q131" s="702" t="str">
        <f>IF('Chemical Info'!Z132="X",'Com-Ind Worksheet'!G131,"")</f>
        <v/>
      </c>
      <c r="R131" s="702" t="str">
        <f>IF('Chemical Info'!AA132="X",'Com-Ind Worksheet'!G131,"")</f>
        <v/>
      </c>
      <c r="S131" s="692" t="str">
        <f t="shared" si="1"/>
        <v/>
      </c>
    </row>
    <row r="132" spans="1:19" ht="10">
      <c r="A132" s="129" t="s">
        <v>22</v>
      </c>
      <c r="B132" s="566" t="s">
        <v>23</v>
      </c>
      <c r="C132" s="566">
        <v>2022</v>
      </c>
      <c r="D132" s="126">
        <f>'Com-Ind Calculations'!W132</f>
        <v>3.2</v>
      </c>
      <c r="E132" s="126" t="str">
        <f>'Com-Ind Calculations'!X132</f>
        <v>Noncancer</v>
      </c>
      <c r="F132" s="127"/>
      <c r="G132" s="698">
        <f>IF(E132="BTV","NA",IF(E132="Max Limit","NA",IF(E132="Csat","NA",IF(ISNUMBER('Com-Ind Calculations'!U132),((F132/'Com-Ind Calculations'!U132)),"NA"))))</f>
        <v>0</v>
      </c>
      <c r="H132" s="704">
        <f>IF(E132="BTV","NA",IF(E132="Max Limit","NA",IF(E132="Csat","NA",IF(ISNUMBER('Com-Ind Calculations'!N132),((F132/'Com-Ind Calculations'!N132)*0.00001),"NA"))))</f>
        <v>0</v>
      </c>
      <c r="I132" s="702" t="str">
        <f>IF('Chemical Info'!R133="X",'Com-Ind Worksheet'!G132,"")</f>
        <v/>
      </c>
      <c r="J132" s="702" t="str">
        <f>IF('Chemical Info'!S133="X",'Com-Ind Worksheet'!G132,"")</f>
        <v/>
      </c>
      <c r="K132" s="702" t="str">
        <f>IF('Chemical Info'!T133="X",'Com-Ind Worksheet'!G132,"")</f>
        <v/>
      </c>
      <c r="L132" s="702" t="str">
        <f>IF('Chemical Info'!U133="X",'Com-Ind Worksheet'!G132,"")</f>
        <v/>
      </c>
      <c r="M132" s="702" t="str">
        <f>IF('Chemical Info'!V133="X",'Com-Ind Worksheet'!G132,"")</f>
        <v/>
      </c>
      <c r="N132" s="702">
        <f>IF('Chemical Info'!W133="X",'Com-Ind Worksheet'!G132,"")</f>
        <v>0</v>
      </c>
      <c r="O132" s="702" t="str">
        <f>IF('Chemical Info'!X133="X",'Com-Ind Worksheet'!G132,"")</f>
        <v/>
      </c>
      <c r="P132" s="702" t="str">
        <f>IF('Chemical Info'!Y133="X",'Com-Ind Worksheet'!G132,"")</f>
        <v/>
      </c>
      <c r="Q132" s="702" t="str">
        <f>IF('Chemical Info'!Z133="X",'Com-Ind Worksheet'!G132,"")</f>
        <v/>
      </c>
      <c r="R132" s="702" t="str">
        <f>IF('Chemical Info'!AA133="X",'Com-Ind Worksheet'!G132,"")</f>
        <v/>
      </c>
      <c r="S132" s="692" t="str">
        <f t="shared" si="1"/>
        <v/>
      </c>
    </row>
    <row r="133" spans="1:19" ht="10">
      <c r="A133" s="129" t="s">
        <v>70</v>
      </c>
      <c r="B133" s="566" t="s">
        <v>96</v>
      </c>
      <c r="C133" s="566">
        <v>2016</v>
      </c>
      <c r="D133" s="126">
        <f>'Com-Ind Calculations'!W133</f>
        <v>17</v>
      </c>
      <c r="E133" s="126" t="str">
        <f>'Com-Ind Calculations'!X133</f>
        <v>Csat</v>
      </c>
      <c r="F133" s="127"/>
      <c r="G133" s="698" t="str">
        <f>IF(E133="BTV","NA",IF(E133="Max Limit","NA",IF(E133="Csat","NA",IF(ISNUMBER('Com-Ind Calculations'!U133),((F133/'Com-Ind Calculations'!U133)),"NA"))))</f>
        <v>NA</v>
      </c>
      <c r="H133" s="704" t="str">
        <f>IF(E133="BTV","NA",IF(E133="Max Limit","NA",IF(E133="Csat","NA",IF(ISNUMBER('Com-Ind Calculations'!N133),((F133/'Com-Ind Calculations'!N133)*0.00001),"NA"))))</f>
        <v>NA</v>
      </c>
      <c r="I133" s="702" t="str">
        <f>IF('Chemical Info'!R134="X",'Com-Ind Worksheet'!G133,"")</f>
        <v/>
      </c>
      <c r="J133" s="702" t="str">
        <f>IF('Chemical Info'!S134="X",'Com-Ind Worksheet'!G133,"")</f>
        <v/>
      </c>
      <c r="K133" s="702" t="str">
        <f>IF('Chemical Info'!T134="X",'Com-Ind Worksheet'!G133,"")</f>
        <v/>
      </c>
      <c r="L133" s="702" t="str">
        <f>IF('Chemical Info'!U134="X",'Com-Ind Worksheet'!G133,"")</f>
        <v>NA</v>
      </c>
      <c r="M133" s="702" t="str">
        <f>IF('Chemical Info'!V134="X",'Com-Ind Worksheet'!G133,"")</f>
        <v/>
      </c>
      <c r="N133" s="702" t="str">
        <f>IF('Chemical Info'!W134="X",'Com-Ind Worksheet'!G133,"")</f>
        <v/>
      </c>
      <c r="O133" s="702" t="str">
        <f>IF('Chemical Info'!X134="X",'Com-Ind Worksheet'!G133,"")</f>
        <v/>
      </c>
      <c r="P133" s="702" t="str">
        <f>IF('Chemical Info'!Y134="X",'Com-Ind Worksheet'!G133,"")</f>
        <v/>
      </c>
      <c r="Q133" s="702" t="str">
        <f>IF('Chemical Info'!Z134="X",'Com-Ind Worksheet'!G133,"")</f>
        <v/>
      </c>
      <c r="R133" s="702" t="str">
        <f>IF('Chemical Info'!AA134="X",'Com-Ind Worksheet'!G133,"")</f>
        <v/>
      </c>
      <c r="S133" s="692" t="str">
        <f t="shared" ref="S133:S200" si="2">IF(E133="Csat","Based on Csat. A concentration &gt; Csat indicates potential for free product in soil.",IF(E133="Max Limit","Based on maximum contaminant limit. Concentration should not be &gt; SRV.",""))</f>
        <v>Based on Csat. A concentration &gt; Csat indicates potential for free product in soil.</v>
      </c>
    </row>
    <row r="134" spans="1:19" ht="10">
      <c r="A134" s="129" t="s">
        <v>24</v>
      </c>
      <c r="B134" s="566" t="s">
        <v>25</v>
      </c>
      <c r="C134" s="566">
        <v>2021</v>
      </c>
      <c r="D134" s="126">
        <f>'Com-Ind Calculations'!W134</f>
        <v>3.1</v>
      </c>
      <c r="E134" s="126" t="str">
        <f>'Com-Ind Calculations'!X134</f>
        <v>Noncancer</v>
      </c>
      <c r="F134" s="127"/>
      <c r="G134" s="698">
        <f>IF(E134="BTV","NA",IF(E134="Max Limit","NA",IF(E134="Csat","NA",IF(ISNUMBER('Com-Ind Calculations'!U134),((F134/'Com-Ind Calculations'!U134)),"NA"))))</f>
        <v>0</v>
      </c>
      <c r="H134" s="704" t="str">
        <f>IF(E134="BTV","NA",IF(E134="Max Limit","NA",IF(E134="Csat","NA",IF(ISNUMBER('Com-Ind Calculations'!N134),((F134/'Com-Ind Calculations'!N134)*0.00001),"NA"))))</f>
        <v>NA</v>
      </c>
      <c r="I134" s="702" t="str">
        <f>IF('Chemical Info'!R135="X",'Com-Ind Worksheet'!G134,"")</f>
        <v/>
      </c>
      <c r="J134" s="702" t="str">
        <f>IF('Chemical Info'!S135="X",'Com-Ind Worksheet'!G134,"")</f>
        <v/>
      </c>
      <c r="K134" s="702" t="str">
        <f>IF('Chemical Info'!T135="X",'Com-Ind Worksheet'!G134,"")</f>
        <v/>
      </c>
      <c r="L134" s="702" t="str">
        <f>IF('Chemical Info'!U135="X",'Com-Ind Worksheet'!G134,"")</f>
        <v/>
      </c>
      <c r="M134" s="702" t="str">
        <f>IF('Chemical Info'!V135="X",'Com-Ind Worksheet'!G134,"")</f>
        <v/>
      </c>
      <c r="N134" s="702" t="str">
        <f>IF('Chemical Info'!W135="X",'Com-Ind Worksheet'!G134,"")</f>
        <v/>
      </c>
      <c r="O134" s="702">
        <f>IF('Chemical Info'!X135="X",'Com-Ind Worksheet'!G134,"")</f>
        <v>0</v>
      </c>
      <c r="P134" s="702" t="str">
        <f>IF('Chemical Info'!Y135="X",'Com-Ind Worksheet'!G134,"")</f>
        <v/>
      </c>
      <c r="Q134" s="702" t="str">
        <f>IF('Chemical Info'!Z135="X",'Com-Ind Worksheet'!G134,"")</f>
        <v/>
      </c>
      <c r="R134" s="702" t="str">
        <f>IF('Chemical Info'!AA135="X",'Com-Ind Worksheet'!G134,"")</f>
        <v/>
      </c>
      <c r="S134" s="692" t="str">
        <f t="shared" si="2"/>
        <v/>
      </c>
    </row>
    <row r="135" spans="1:19" ht="10">
      <c r="A135" s="129" t="s">
        <v>1169</v>
      </c>
      <c r="B135" s="566" t="s">
        <v>1170</v>
      </c>
      <c r="C135" s="566">
        <v>2022</v>
      </c>
      <c r="D135" s="126">
        <f>'Com-Ind Calculations'!W135</f>
        <v>150</v>
      </c>
      <c r="E135" s="126" t="str">
        <f>'Com-Ind Calculations'!X135</f>
        <v>Noncancer</v>
      </c>
      <c r="F135" s="127"/>
      <c r="G135" s="698">
        <f>IF(E135="BTV","NA",IF(E135="Max Limit","NA",IF(E135="Csat","NA",IF(ISNUMBER('Com-Ind Calculations'!U135),((F135/'Com-Ind Calculations'!U135)),"NA"))))</f>
        <v>0</v>
      </c>
      <c r="H135" s="704">
        <f>IF(E135="BTV","NA",IF(E135="Max Limit","NA",IF(E135="Csat","NA",IF(ISNUMBER('Com-Ind Calculations'!N135),((F135/'Com-Ind Calculations'!N135)*0.00001),"NA"))))</f>
        <v>0</v>
      </c>
      <c r="I135" s="702">
        <f>IF('Chemical Info'!R136="X",'Com-Ind Worksheet'!G135,"")</f>
        <v>0</v>
      </c>
      <c r="J135" s="702" t="str">
        <f>IF('Chemical Info'!S136="X",'Com-Ind Worksheet'!G135,"")</f>
        <v/>
      </c>
      <c r="K135" s="702" t="str">
        <f>IF('Chemical Info'!T136="X",'Com-Ind Worksheet'!G135,"")</f>
        <v/>
      </c>
      <c r="L135" s="702">
        <f>IF('Chemical Info'!U136="X",'Com-Ind Worksheet'!G135,"")</f>
        <v>0</v>
      </c>
      <c r="M135" s="702" t="str">
        <f>IF('Chemical Info'!V136="X",'Com-Ind Worksheet'!G135,"")</f>
        <v/>
      </c>
      <c r="N135" s="702" t="str">
        <f>IF('Chemical Info'!W136="X",'Com-Ind Worksheet'!G135,"")</f>
        <v/>
      </c>
      <c r="O135" s="702" t="str">
        <f>IF('Chemical Info'!X136="X",'Com-Ind Worksheet'!G135,"")</f>
        <v/>
      </c>
      <c r="P135" s="702" t="str">
        <f>IF('Chemical Info'!Y136="X",'Com-Ind Worksheet'!G135,"")</f>
        <v/>
      </c>
      <c r="Q135" s="702" t="str">
        <f>IF('Chemical Info'!Z136="X",'Com-Ind Worksheet'!G135,"")</f>
        <v/>
      </c>
      <c r="R135" s="702" t="str">
        <f>IF('Chemical Info'!AA136="X",'Com-Ind Worksheet'!G135,"")</f>
        <v/>
      </c>
      <c r="S135" s="692" t="str">
        <f t="shared" si="2"/>
        <v/>
      </c>
    </row>
    <row r="136" spans="1:19" ht="10">
      <c r="A136" s="129" t="s">
        <v>1189</v>
      </c>
      <c r="B136" s="566" t="s">
        <v>1190</v>
      </c>
      <c r="C136" s="566">
        <v>2022</v>
      </c>
      <c r="D136" s="126">
        <f>'Com-Ind Calculations'!W136</f>
        <v>72</v>
      </c>
      <c r="E136" s="126" t="str">
        <f>'Com-Ind Calculations'!X136</f>
        <v>Noncancer</v>
      </c>
      <c r="F136" s="127"/>
      <c r="G136" s="698">
        <f>IF(E136="BTV","NA",IF(E136="Max Limit","NA",IF(E136="Csat","NA",IF(ISNUMBER('Com-Ind Calculations'!U136),((F136/'Com-Ind Calculations'!U136)),"NA"))))</f>
        <v>0</v>
      </c>
      <c r="H136" s="704" t="str">
        <f>IF(E136="BTV","NA",IF(E136="Max Limit","NA",IF(E136="Csat","NA",IF(ISNUMBER('Com-Ind Calculations'!N136),((F136/'Com-Ind Calculations'!N136)*0.00001),"NA"))))</f>
        <v>NA</v>
      </c>
      <c r="I136" s="702" t="str">
        <f>IF('Chemical Info'!R137="X",'Com-Ind Worksheet'!G136,"")</f>
        <v/>
      </c>
      <c r="J136" s="702" t="str">
        <f>IF('Chemical Info'!S137="X",'Com-Ind Worksheet'!G136,"")</f>
        <v/>
      </c>
      <c r="K136" s="702" t="str">
        <f>IF('Chemical Info'!T137="X",'Com-Ind Worksheet'!G136,"")</f>
        <v/>
      </c>
      <c r="L136" s="702" t="str">
        <f>IF('Chemical Info'!U137="X",'Com-Ind Worksheet'!G136,"")</f>
        <v/>
      </c>
      <c r="M136" s="702" t="str">
        <f>IF('Chemical Info'!V137="X",'Com-Ind Worksheet'!G136,"")</f>
        <v/>
      </c>
      <c r="N136" s="702" t="str">
        <f>IF('Chemical Info'!W137="X",'Com-Ind Worksheet'!G136,"")</f>
        <v/>
      </c>
      <c r="O136" s="702">
        <f>IF('Chemical Info'!X137="X",'Com-Ind Worksheet'!G136,"")</f>
        <v>0</v>
      </c>
      <c r="P136" s="702" t="str">
        <f>IF('Chemical Info'!Y137="X",'Com-Ind Worksheet'!G136,"")</f>
        <v/>
      </c>
      <c r="Q136" s="702" t="str">
        <f>IF('Chemical Info'!Z137="X",'Com-Ind Worksheet'!G136,"")</f>
        <v/>
      </c>
      <c r="R136" s="702" t="str">
        <f>IF('Chemical Info'!AA137="X",'Com-Ind Worksheet'!G136,"")</f>
        <v/>
      </c>
      <c r="S136" s="692" t="str">
        <f t="shared" si="2"/>
        <v/>
      </c>
    </row>
    <row r="137" spans="1:19" ht="10">
      <c r="A137" s="129" t="s">
        <v>235</v>
      </c>
      <c r="B137" s="566" t="s">
        <v>236</v>
      </c>
      <c r="C137" s="566">
        <v>2016</v>
      </c>
      <c r="D137" s="126">
        <f>'Com-Ind Calculations'!W137</f>
        <v>26000</v>
      </c>
      <c r="E137" s="126" t="str">
        <f>'Com-Ind Calculations'!X137</f>
        <v>Cancer</v>
      </c>
      <c r="F137" s="127"/>
      <c r="G137" s="698">
        <f>IF(E137="BTV","NA",IF(E137="Max Limit","NA",IF(E137="Csat","NA",IF(ISNUMBER('Com-Ind Calculations'!U137),((F137/'Com-Ind Calculations'!U137)),"NA"))))</f>
        <v>0</v>
      </c>
      <c r="H137" s="704">
        <f>IF(E137="BTV","NA",IF(E137="Max Limit","NA",IF(E137="Csat","NA",IF(ISNUMBER('Com-Ind Calculations'!N137),((F137/'Com-Ind Calculations'!N137)*0.00001),"NA"))))</f>
        <v>0</v>
      </c>
      <c r="I137" s="702" t="str">
        <f>IF('Chemical Info'!R138="X",'Com-Ind Worksheet'!G137,"")</f>
        <v/>
      </c>
      <c r="J137" s="702" t="str">
        <f>IF('Chemical Info'!S138="X",'Com-Ind Worksheet'!G137,"")</f>
        <v/>
      </c>
      <c r="K137" s="702" t="str">
        <f>IF('Chemical Info'!T138="X",'Com-Ind Worksheet'!G137,"")</f>
        <v/>
      </c>
      <c r="L137" s="702">
        <f>IF('Chemical Info'!U138="X",'Com-Ind Worksheet'!G137,"")</f>
        <v>0</v>
      </c>
      <c r="M137" s="702">
        <f>IF('Chemical Info'!V138="X",'Com-Ind Worksheet'!G137,"")</f>
        <v>0</v>
      </c>
      <c r="N137" s="702">
        <f>IF('Chemical Info'!W138="X",'Com-Ind Worksheet'!G137,"")</f>
        <v>0</v>
      </c>
      <c r="O137" s="702" t="str">
        <f>IF('Chemical Info'!X138="X",'Com-Ind Worksheet'!G137,"")</f>
        <v/>
      </c>
      <c r="P137" s="702" t="str">
        <f>IF('Chemical Info'!Y138="X",'Com-Ind Worksheet'!G137,"")</f>
        <v/>
      </c>
      <c r="Q137" s="702" t="str">
        <f>IF('Chemical Info'!Z138="X",'Com-Ind Worksheet'!G137,"")</f>
        <v/>
      </c>
      <c r="R137" s="702" t="str">
        <f>IF('Chemical Info'!AA138="X",'Com-Ind Worksheet'!G137,"")</f>
        <v/>
      </c>
      <c r="S137" s="692" t="str">
        <f t="shared" si="2"/>
        <v/>
      </c>
    </row>
    <row r="138" spans="1:19" ht="10">
      <c r="A138" s="129" t="s">
        <v>1171</v>
      </c>
      <c r="B138" s="566" t="s">
        <v>1172</v>
      </c>
      <c r="C138" s="566">
        <v>2022</v>
      </c>
      <c r="D138" s="126">
        <f>'Com-Ind Calculations'!W138</f>
        <v>42</v>
      </c>
      <c r="E138" s="126" t="str">
        <f>'Com-Ind Calculations'!X138</f>
        <v>Noncancer</v>
      </c>
      <c r="F138" s="127"/>
      <c r="G138" s="698">
        <f>IF(E138="BTV","NA",IF(E138="Max Limit","NA",IF(E138="Csat","NA",IF(ISNUMBER('Com-Ind Calculations'!U138),((F138/'Com-Ind Calculations'!U138)),"NA"))))</f>
        <v>0</v>
      </c>
      <c r="H138" s="704" t="str">
        <f>IF(E138="BTV","NA",IF(E138="Max Limit","NA",IF(E138="Csat","NA",IF(ISNUMBER('Com-Ind Calculations'!N138),((F138/'Com-Ind Calculations'!N138)*0.00001),"NA"))))</f>
        <v>NA</v>
      </c>
      <c r="I138" s="702" t="str">
        <f>IF('Chemical Info'!R139="X",'Com-Ind Worksheet'!G138,"")</f>
        <v/>
      </c>
      <c r="J138" s="702" t="str">
        <f>IF('Chemical Info'!S139="X",'Com-Ind Worksheet'!G138,"")</f>
        <v/>
      </c>
      <c r="K138" s="702" t="str">
        <f>IF('Chemical Info'!T139="X",'Com-Ind Worksheet'!G138,"")</f>
        <v/>
      </c>
      <c r="L138" s="702">
        <f>IF('Chemical Info'!U139="X",'Com-Ind Worksheet'!G138,"")</f>
        <v>0</v>
      </c>
      <c r="M138" s="702" t="str">
        <f>IF('Chemical Info'!V139="X",'Com-Ind Worksheet'!G138,"")</f>
        <v/>
      </c>
      <c r="N138" s="702" t="str">
        <f>IF('Chemical Info'!W139="X",'Com-Ind Worksheet'!G138,"")</f>
        <v/>
      </c>
      <c r="O138" s="702">
        <f>IF('Chemical Info'!X139="X",'Com-Ind Worksheet'!G138,"")</f>
        <v>0</v>
      </c>
      <c r="P138" s="702" t="str">
        <f>IF('Chemical Info'!Y139="X",'Com-Ind Worksheet'!G138,"")</f>
        <v/>
      </c>
      <c r="Q138" s="702" t="str">
        <f>IF('Chemical Info'!Z139="X",'Com-Ind Worksheet'!G138,"")</f>
        <v/>
      </c>
      <c r="R138" s="702" t="str">
        <f>IF('Chemical Info'!AA139="X",'Com-Ind Worksheet'!G138,"")</f>
        <v/>
      </c>
      <c r="S138" s="692" t="str">
        <f t="shared" si="2"/>
        <v/>
      </c>
    </row>
    <row r="139" spans="1:19" ht="10">
      <c r="A139" s="129" t="s">
        <v>1191</v>
      </c>
      <c r="B139" s="566" t="s">
        <v>1192</v>
      </c>
      <c r="C139" s="566">
        <v>2022</v>
      </c>
      <c r="D139" s="126">
        <f>'Com-Ind Calculations'!W139</f>
        <v>18</v>
      </c>
      <c r="E139" s="126" t="str">
        <f>'Com-Ind Calculations'!X139</f>
        <v>Noncancer</v>
      </c>
      <c r="F139" s="127"/>
      <c r="G139" s="698">
        <f>IF(E139="BTV","NA",IF(E139="Max Limit","NA",IF(E139="Csat","NA",IF(ISNUMBER('Com-Ind Calculations'!U139),((F139/'Com-Ind Calculations'!U139)),"NA"))))</f>
        <v>0</v>
      </c>
      <c r="H139" s="704" t="str">
        <f>IF(E139="BTV","NA",IF(E139="Max Limit","NA",IF(E139="Csat","NA",IF(ISNUMBER('Com-Ind Calculations'!N139),((F139/'Com-Ind Calculations'!N139)*0.00001),"NA"))))</f>
        <v>NA</v>
      </c>
      <c r="I139" s="702" t="str">
        <f>IF('Chemical Info'!R140="X",'Com-Ind Worksheet'!G139,"")</f>
        <v/>
      </c>
      <c r="J139" s="702" t="str">
        <f>IF('Chemical Info'!S140="X",'Com-Ind Worksheet'!G139,"")</f>
        <v/>
      </c>
      <c r="K139" s="702" t="str">
        <f>IF('Chemical Info'!T140="X",'Com-Ind Worksheet'!G139,"")</f>
        <v/>
      </c>
      <c r="L139" s="702" t="str">
        <f>IF('Chemical Info'!U140="X",'Com-Ind Worksheet'!G139,"")</f>
        <v/>
      </c>
      <c r="M139" s="702">
        <f>IF('Chemical Info'!V140="X",'Com-Ind Worksheet'!G139,"")</f>
        <v>0</v>
      </c>
      <c r="N139" s="702" t="str">
        <f>IF('Chemical Info'!W140="X",'Com-Ind Worksheet'!G139,"")</f>
        <v/>
      </c>
      <c r="O139" s="702" t="str">
        <f>IF('Chemical Info'!X140="X",'Com-Ind Worksheet'!G139,"")</f>
        <v/>
      </c>
      <c r="P139" s="702" t="str">
        <f>IF('Chemical Info'!Y140="X",'Com-Ind Worksheet'!G139,"")</f>
        <v/>
      </c>
      <c r="Q139" s="702" t="str">
        <f>IF('Chemical Info'!Z140="X",'Com-Ind Worksheet'!G139,"")</f>
        <v/>
      </c>
      <c r="R139" s="702" t="str">
        <f>IF('Chemical Info'!AA140="X",'Com-Ind Worksheet'!G139,"")</f>
        <v/>
      </c>
      <c r="S139" s="692" t="str">
        <f t="shared" si="2"/>
        <v/>
      </c>
    </row>
    <row r="140" spans="1:19" ht="10">
      <c r="A140" s="129" t="s">
        <v>222</v>
      </c>
      <c r="B140" s="566" t="s">
        <v>223</v>
      </c>
      <c r="C140" s="566">
        <v>2016</v>
      </c>
      <c r="D140" s="126">
        <f>'Com-Ind Calculations'!W140</f>
        <v>100000</v>
      </c>
      <c r="E140" s="126" t="str">
        <f>'Com-Ind Calculations'!X140</f>
        <v>Max Limit</v>
      </c>
      <c r="F140" s="127"/>
      <c r="G140" s="698" t="str">
        <f>IF(E140="BTV","NA",IF(E140="Max Limit","NA",IF(E140="Csat","NA",IF(ISNUMBER('Com-Ind Calculations'!U140),((F140/'Com-Ind Calculations'!U140)),"NA"))))</f>
        <v>NA</v>
      </c>
      <c r="H140" s="704" t="str">
        <f>IF(E140="BTV","NA",IF(E140="Max Limit","NA",IF(E140="Csat","NA",IF(ISNUMBER('Com-Ind Calculations'!N140),((F140/'Com-Ind Calculations'!N140)*0.00001),"NA"))))</f>
        <v>NA</v>
      </c>
      <c r="I140" s="702" t="str">
        <f>IF('Chemical Info'!R141="X",'Com-Ind Worksheet'!G140,"")</f>
        <v>NA</v>
      </c>
      <c r="J140" s="702" t="str">
        <f>IF('Chemical Info'!S141="X",'Com-Ind Worksheet'!G140,"")</f>
        <v/>
      </c>
      <c r="K140" s="702" t="str">
        <f>IF('Chemical Info'!T141="X",'Com-Ind Worksheet'!G140,"")</f>
        <v/>
      </c>
      <c r="L140" s="702" t="str">
        <f>IF('Chemical Info'!U141="X",'Com-Ind Worksheet'!G140,"")</f>
        <v/>
      </c>
      <c r="M140" s="702" t="str">
        <f>IF('Chemical Info'!V141="X",'Com-Ind Worksheet'!G140,"")</f>
        <v/>
      </c>
      <c r="N140" s="702" t="str">
        <f>IF('Chemical Info'!W141="X",'Com-Ind Worksheet'!G140,"")</f>
        <v>NA</v>
      </c>
      <c r="O140" s="702" t="str">
        <f>IF('Chemical Info'!X141="X",'Com-Ind Worksheet'!G140,"")</f>
        <v/>
      </c>
      <c r="P140" s="702" t="str">
        <f>IF('Chemical Info'!Y141="X",'Com-Ind Worksheet'!G140,"")</f>
        <v/>
      </c>
      <c r="Q140" s="702" t="str">
        <f>IF('Chemical Info'!Z141="X",'Com-Ind Worksheet'!G140,"")</f>
        <v/>
      </c>
      <c r="R140" s="702" t="str">
        <f>IF('Chemical Info'!AA141="X",'Com-Ind Worksheet'!G140,"")</f>
        <v/>
      </c>
      <c r="S140" s="692" t="str">
        <f t="shared" si="2"/>
        <v>Based on maximum contaminant limit. Concentration should not be &gt; SRV.</v>
      </c>
    </row>
    <row r="141" spans="1:19" ht="10">
      <c r="A141" s="129" t="s">
        <v>1185</v>
      </c>
      <c r="B141" s="566" t="s">
        <v>1186</v>
      </c>
      <c r="C141" s="566">
        <v>2022</v>
      </c>
      <c r="D141" s="126">
        <f>'Com-Ind Calculations'!W141</f>
        <v>220</v>
      </c>
      <c r="E141" s="126" t="str">
        <f>'Com-Ind Calculations'!X141</f>
        <v>Cancer</v>
      </c>
      <c r="F141" s="127"/>
      <c r="G141" s="698">
        <f>IF(E141="BTV","NA",IF(E141="Max Limit","NA",IF(E141="Csat","NA",IF(ISNUMBER('Com-Ind Calculations'!U141),((F141/'Com-Ind Calculations'!U141)),"NA"))))</f>
        <v>0</v>
      </c>
      <c r="H141" s="704">
        <f>IF(E141="BTV","NA",IF(E141="Max Limit","NA",IF(E141="Csat","NA",IF(ISNUMBER('Com-Ind Calculations'!N141),((F141/'Com-Ind Calculations'!N141)*0.00001),"NA"))))</f>
        <v>0</v>
      </c>
      <c r="I141" s="702" t="str">
        <f>IF('Chemical Info'!R142="X",'Com-Ind Worksheet'!G141,"")</f>
        <v/>
      </c>
      <c r="J141" s="702" t="str">
        <f>IF('Chemical Info'!S142="X",'Com-Ind Worksheet'!G141,"")</f>
        <v/>
      </c>
      <c r="K141" s="702" t="str">
        <f>IF('Chemical Info'!T142="X",'Com-Ind Worksheet'!G141,"")</f>
        <v/>
      </c>
      <c r="L141" s="702" t="str">
        <f>IF('Chemical Info'!U142="X",'Com-Ind Worksheet'!G141,"")</f>
        <v/>
      </c>
      <c r="M141" s="702">
        <f>IF('Chemical Info'!V142="X",'Com-Ind Worksheet'!G141,"")</f>
        <v>0</v>
      </c>
      <c r="N141" s="702" t="str">
        <f>IF('Chemical Info'!W142="X",'Com-Ind Worksheet'!G141,"")</f>
        <v/>
      </c>
      <c r="O141" s="702" t="str">
        <f>IF('Chemical Info'!X142="X",'Com-Ind Worksheet'!G141,"")</f>
        <v/>
      </c>
      <c r="P141" s="702" t="str">
        <f>IF('Chemical Info'!Y142="X",'Com-Ind Worksheet'!G141,"")</f>
        <v/>
      </c>
      <c r="Q141" s="702" t="str">
        <f>IF('Chemical Info'!Z142="X",'Com-Ind Worksheet'!G141,"")</f>
        <v/>
      </c>
      <c r="R141" s="702" t="str">
        <f>IF('Chemical Info'!AA142="X",'Com-Ind Worksheet'!G141,"")</f>
        <v/>
      </c>
      <c r="S141" s="692" t="str">
        <f t="shared" si="2"/>
        <v/>
      </c>
    </row>
    <row r="142" spans="1:19" ht="10">
      <c r="A142" s="133" t="s">
        <v>386</v>
      </c>
      <c r="B142" s="566" t="s">
        <v>224</v>
      </c>
      <c r="C142" s="566">
        <v>2021</v>
      </c>
      <c r="D142" s="126">
        <f>'Com-Ind Calculations'!W142</f>
        <v>8700</v>
      </c>
      <c r="E142" s="126" t="str">
        <f>'Com-Ind Calculations'!X142</f>
        <v>Noncancer</v>
      </c>
      <c r="F142" s="127"/>
      <c r="G142" s="698">
        <f>IF(E142="BTV","NA",IF(E142="Max Limit","NA",IF(E142="Csat","NA",IF(ISNUMBER('Com-Ind Calculations'!U142),((F142/'Com-Ind Calculations'!U142)),"NA"))))</f>
        <v>0</v>
      </c>
      <c r="H142" s="704" t="str">
        <f>IF(E142="BTV","NA",IF(E142="Max Limit","NA",IF(E142="Csat","NA",IF(ISNUMBER('Com-Ind Calculations'!N142),((F142/'Com-Ind Calculations'!N142)*0.00001),"NA"))))</f>
        <v>NA</v>
      </c>
      <c r="I142" s="702">
        <f>IF('Chemical Info'!R143="X",'Com-Ind Worksheet'!G142,"")</f>
        <v>0</v>
      </c>
      <c r="J142" s="702" t="str">
        <f>IF('Chemical Info'!S143="X",'Com-Ind Worksheet'!G142,"")</f>
        <v/>
      </c>
      <c r="K142" s="702" t="str">
        <f>IF('Chemical Info'!T143="X",'Com-Ind Worksheet'!G142,"")</f>
        <v/>
      </c>
      <c r="L142" s="702" t="str">
        <f>IF('Chemical Info'!U143="X",'Com-Ind Worksheet'!G142,"")</f>
        <v/>
      </c>
      <c r="M142" s="702" t="str">
        <f>IF('Chemical Info'!V143="X",'Com-Ind Worksheet'!G142,"")</f>
        <v/>
      </c>
      <c r="N142" s="702" t="str">
        <f>IF('Chemical Info'!W143="X",'Com-Ind Worksheet'!G142,"")</f>
        <v/>
      </c>
      <c r="O142" s="702" t="str">
        <f>IF('Chemical Info'!X143="X",'Com-Ind Worksheet'!G142,"")</f>
        <v/>
      </c>
      <c r="P142" s="702" t="str">
        <f>IF('Chemical Info'!Y143="X",'Com-Ind Worksheet'!G142,"")</f>
        <v/>
      </c>
      <c r="Q142" s="702" t="str">
        <f>IF('Chemical Info'!Z143="X",'Com-Ind Worksheet'!G142,"")</f>
        <v/>
      </c>
      <c r="R142" s="702" t="str">
        <f>IF('Chemical Info'!AA143="X",'Com-Ind Worksheet'!G142,"")</f>
        <v/>
      </c>
      <c r="S142" s="692" t="str">
        <f t="shared" si="2"/>
        <v/>
      </c>
    </row>
    <row r="143" spans="1:19" ht="10">
      <c r="A143" s="133" t="s">
        <v>387</v>
      </c>
      <c r="B143" s="566" t="s">
        <v>138</v>
      </c>
      <c r="C143" s="566">
        <v>2021</v>
      </c>
      <c r="D143" s="126">
        <f>'Com-Ind Calculations'!W143</f>
        <v>8700</v>
      </c>
      <c r="E143" s="126" t="str">
        <f>'Com-Ind Calculations'!X143</f>
        <v>Noncancer</v>
      </c>
      <c r="F143" s="127"/>
      <c r="G143" s="698">
        <f>IF(E143="BTV","NA",IF(E143="Max Limit","NA",IF(E143="Csat","NA",IF(ISNUMBER('Com-Ind Calculations'!U143),((F143/'Com-Ind Calculations'!U143)),"NA"))))</f>
        <v>0</v>
      </c>
      <c r="H143" s="704" t="str">
        <f>IF(E143="BTV","NA",IF(E143="Max Limit","NA",IF(E143="Csat","NA",IF(ISNUMBER('Com-Ind Calculations'!N143),((F143/'Com-Ind Calculations'!N143)*0.00001),"NA"))))</f>
        <v>NA</v>
      </c>
      <c r="I143" s="702">
        <f>IF('Chemical Info'!R144="X",'Com-Ind Worksheet'!G143,"")</f>
        <v>0</v>
      </c>
      <c r="J143" s="702" t="str">
        <f>IF('Chemical Info'!S144="X",'Com-Ind Worksheet'!G143,"")</f>
        <v/>
      </c>
      <c r="K143" s="702" t="str">
        <f>IF('Chemical Info'!T144="X",'Com-Ind Worksheet'!G143,"")</f>
        <v/>
      </c>
      <c r="L143" s="702" t="str">
        <f>IF('Chemical Info'!U144="X",'Com-Ind Worksheet'!G143,"")</f>
        <v/>
      </c>
      <c r="M143" s="702" t="str">
        <f>IF('Chemical Info'!V144="X",'Com-Ind Worksheet'!G143,"")</f>
        <v/>
      </c>
      <c r="N143" s="702" t="str">
        <f>IF('Chemical Info'!W144="X",'Com-Ind Worksheet'!G143,"")</f>
        <v/>
      </c>
      <c r="O143" s="702" t="str">
        <f>IF('Chemical Info'!X144="X",'Com-Ind Worksheet'!G143,"")</f>
        <v/>
      </c>
      <c r="P143" s="702" t="str">
        <f>IF('Chemical Info'!Y144="X",'Com-Ind Worksheet'!G143,"")</f>
        <v/>
      </c>
      <c r="Q143" s="702" t="str">
        <f>IF('Chemical Info'!Z144="X",'Com-Ind Worksheet'!G143,"")</f>
        <v/>
      </c>
      <c r="R143" s="702" t="str">
        <f>IF('Chemical Info'!AA144="X",'Com-Ind Worksheet'!G143,"")</f>
        <v/>
      </c>
      <c r="S143" s="692" t="str">
        <f t="shared" si="2"/>
        <v/>
      </c>
    </row>
    <row r="144" spans="1:19" ht="10">
      <c r="A144" s="133" t="s">
        <v>388</v>
      </c>
      <c r="B144" s="566" t="s">
        <v>139</v>
      </c>
      <c r="C144" s="566">
        <v>2022</v>
      </c>
      <c r="D144" s="126">
        <f>'Com-Ind Calculations'!W144</f>
        <v>3500</v>
      </c>
      <c r="E144" s="126" t="str">
        <f>'Com-Ind Calculations'!X144</f>
        <v>Noncancer</v>
      </c>
      <c r="F144" s="127"/>
      <c r="G144" s="698">
        <f>IF(E144="BTV","NA",IF(E144="Max Limit","NA",IF(E144="Csat","NA",IF(ISNUMBER('Com-Ind Calculations'!U144),((F144/'Com-Ind Calculations'!U144)),"NA"))))</f>
        <v>0</v>
      </c>
      <c r="H144" s="704" t="str">
        <f>IF(E144="BTV","NA",IF(E144="Max Limit","NA",IF(E144="Csat","NA",IF(ISNUMBER('Com-Ind Calculations'!N144),((F144/'Com-Ind Calculations'!N144)*0.00001),"NA"))))</f>
        <v>NA</v>
      </c>
      <c r="I144" s="702">
        <f>IF('Chemical Info'!R145="X",'Com-Ind Worksheet'!G144,"")</f>
        <v>0</v>
      </c>
      <c r="J144" s="702" t="str">
        <f>IF('Chemical Info'!S145="X",'Com-Ind Worksheet'!G144,"")</f>
        <v/>
      </c>
      <c r="K144" s="702" t="str">
        <f>IF('Chemical Info'!T145="X",'Com-Ind Worksheet'!G144,"")</f>
        <v/>
      </c>
      <c r="L144" s="702" t="str">
        <f>IF('Chemical Info'!U145="X",'Com-Ind Worksheet'!G144,"")</f>
        <v/>
      </c>
      <c r="M144" s="702" t="str">
        <f>IF('Chemical Info'!V145="X",'Com-Ind Worksheet'!G144,"")</f>
        <v/>
      </c>
      <c r="N144" s="702">
        <f>IF('Chemical Info'!W145="X",'Com-Ind Worksheet'!G144,"")</f>
        <v>0</v>
      </c>
      <c r="O144" s="702" t="str">
        <f>IF('Chemical Info'!X145="X",'Com-Ind Worksheet'!G144,"")</f>
        <v/>
      </c>
      <c r="P144" s="702" t="str">
        <f>IF('Chemical Info'!Y145="X",'Com-Ind Worksheet'!G144,"")</f>
        <v/>
      </c>
      <c r="Q144" s="702" t="str">
        <f>IF('Chemical Info'!Z145="X",'Com-Ind Worksheet'!G144,"")</f>
        <v/>
      </c>
      <c r="R144" s="702" t="str">
        <f>IF('Chemical Info'!AA145="X",'Com-Ind Worksheet'!G144,"")</f>
        <v/>
      </c>
      <c r="S144" s="692" t="str">
        <f t="shared" si="2"/>
        <v/>
      </c>
    </row>
    <row r="145" spans="1:19" ht="10">
      <c r="A145" s="133" t="s">
        <v>1107</v>
      </c>
      <c r="B145" s="566" t="s">
        <v>1108</v>
      </c>
      <c r="C145" s="566">
        <v>2022</v>
      </c>
      <c r="D145" s="126">
        <f>'Com-Ind Calculations'!W145</f>
        <v>380</v>
      </c>
      <c r="E145" s="126" t="str">
        <f>'Com-Ind Calculations'!X145</f>
        <v>Cancer</v>
      </c>
      <c r="F145" s="127"/>
      <c r="G145" s="698">
        <f>IF(E145="BTV","NA",IF(E145="Max Limit","NA",IF(E145="Csat","NA",IF(ISNUMBER('Com-Ind Calculations'!U145),((F145/'Com-Ind Calculations'!U145)),"NA"))))</f>
        <v>0</v>
      </c>
      <c r="H145" s="704">
        <f>IF(E145="BTV","NA",IF(E145="Max Limit","NA",IF(E145="Csat","NA",IF(ISNUMBER('Com-Ind Calculations'!N145),((F145/'Com-Ind Calculations'!N145)*0.00001),"NA"))))</f>
        <v>0</v>
      </c>
      <c r="I145" s="702">
        <f>IF('Chemical Info'!R146="X",'Com-Ind Worksheet'!G145,"")</f>
        <v>0</v>
      </c>
      <c r="J145" s="702">
        <f>IF('Chemical Info'!S146="X",'Com-Ind Worksheet'!G145,"")</f>
        <v>0</v>
      </c>
      <c r="K145" s="702" t="str">
        <f>IF('Chemical Info'!T146="X",'Com-Ind Worksheet'!G145,"")</f>
        <v/>
      </c>
      <c r="L145" s="702" t="str">
        <f>IF('Chemical Info'!U146="X",'Com-Ind Worksheet'!G145,"")</f>
        <v/>
      </c>
      <c r="M145" s="702" t="str">
        <f>IF('Chemical Info'!V146="X",'Com-Ind Worksheet'!G145,"")</f>
        <v/>
      </c>
      <c r="N145" s="702" t="str">
        <f>IF('Chemical Info'!W146="X",'Com-Ind Worksheet'!G145,"")</f>
        <v/>
      </c>
      <c r="O145" s="702">
        <f>IF('Chemical Info'!X146="X",'Com-Ind Worksheet'!G145,"")</f>
        <v>0</v>
      </c>
      <c r="P145" s="702" t="str">
        <f>IF('Chemical Info'!Y146="X",'Com-Ind Worksheet'!G145,"")</f>
        <v/>
      </c>
      <c r="Q145" s="702" t="str">
        <f>IF('Chemical Info'!Z146="X",'Com-Ind Worksheet'!G145,"")</f>
        <v/>
      </c>
      <c r="R145" s="702" t="str">
        <f>IF('Chemical Info'!AA146="X",'Com-Ind Worksheet'!G145,"")</f>
        <v/>
      </c>
      <c r="S145" s="692" t="str">
        <f t="shared" si="2"/>
        <v/>
      </c>
    </row>
    <row r="146" spans="1:19" ht="10">
      <c r="A146" s="133" t="s">
        <v>418</v>
      </c>
      <c r="B146" s="566" t="s">
        <v>140</v>
      </c>
      <c r="C146" s="566">
        <v>2016</v>
      </c>
      <c r="D146" s="126">
        <f>'Com-Ind Calculations'!W146</f>
        <v>1400</v>
      </c>
      <c r="E146" s="126" t="str">
        <f>'Com-Ind Calculations'!X146</f>
        <v>Noncancer</v>
      </c>
      <c r="F146" s="127"/>
      <c r="G146" s="698">
        <f>IF(E146="BTV","NA",IF(E146="Max Limit","NA",IF(E146="Csat","NA",IF(ISNUMBER('Com-Ind Calculations'!U146),((F146/'Com-Ind Calculations'!U146)),"NA"))))</f>
        <v>0</v>
      </c>
      <c r="H146" s="704" t="str">
        <f>IF(E146="BTV","NA",IF(E146="Max Limit","NA",IF(E146="Csat","NA",IF(ISNUMBER('Com-Ind Calculations'!N146),((F146/'Com-Ind Calculations'!N146)*0.00001),"NA"))))</f>
        <v>NA</v>
      </c>
      <c r="I146" s="702" t="str">
        <f>IF('Chemical Info'!R147="X",'Com-Ind Worksheet'!G146,"")</f>
        <v/>
      </c>
      <c r="J146" s="702" t="str">
        <f>IF('Chemical Info'!S147="X",'Com-Ind Worksheet'!G146,"")</f>
        <v/>
      </c>
      <c r="K146" s="702" t="str">
        <f>IF('Chemical Info'!T147="X",'Com-Ind Worksheet'!G146,"")</f>
        <v/>
      </c>
      <c r="L146" s="702" t="str">
        <f>IF('Chemical Info'!U147="X",'Com-Ind Worksheet'!G146,"")</f>
        <v/>
      </c>
      <c r="M146" s="702" t="str">
        <f>IF('Chemical Info'!V147="X",'Com-Ind Worksheet'!G146,"")</f>
        <v/>
      </c>
      <c r="N146" s="702" t="str">
        <f>IF('Chemical Info'!W147="X",'Com-Ind Worksheet'!G146,"")</f>
        <v/>
      </c>
      <c r="O146" s="702" t="str">
        <f>IF('Chemical Info'!X147="X",'Com-Ind Worksheet'!G146,"")</f>
        <v/>
      </c>
      <c r="P146" s="702" t="str">
        <f>IF('Chemical Info'!Y147="X",'Com-Ind Worksheet'!G146,"")</f>
        <v/>
      </c>
      <c r="Q146" s="702" t="str">
        <f>IF('Chemical Info'!Z147="X",'Com-Ind Worksheet'!G146,"")</f>
        <v/>
      </c>
      <c r="R146" s="702" t="str">
        <f>IF('Chemical Info'!AA147="X",'Com-Ind Worksheet'!G146,"")</f>
        <v/>
      </c>
      <c r="S146" s="692" t="str">
        <f t="shared" si="2"/>
        <v/>
      </c>
    </row>
    <row r="147" spans="1:19" ht="10">
      <c r="A147" s="129" t="s">
        <v>143</v>
      </c>
      <c r="B147" s="566" t="s">
        <v>60</v>
      </c>
      <c r="C147" s="566">
        <v>2021</v>
      </c>
      <c r="D147" s="126">
        <f>'Com-Ind Calculations'!W147</f>
        <v>3</v>
      </c>
      <c r="E147" s="126" t="str">
        <f>'Com-Ind Calculations'!X147</f>
        <v>Cancer</v>
      </c>
      <c r="F147" s="127"/>
      <c r="G147" s="698" t="str">
        <f>IF(E147="BTV","NA",IF(E147="Max Limit","NA",IF(E147="Csat","NA",IF(ISNUMBER('Com-Ind Calculations'!U147),((F147/'Com-Ind Calculations'!U147)),"NA"))))</f>
        <v>NA</v>
      </c>
      <c r="H147" s="704">
        <f>IF(E147="BTV","NA",IF(E147="Max Limit","NA",IF(E147="Csat","NA",IF(ISNUMBER('Com-Ind Calculations'!N147),((F147/'Com-Ind Calculations'!N147)*0.00001),"NA"))))</f>
        <v>0</v>
      </c>
      <c r="I147" s="702" t="str">
        <f>IF('Chemical Info'!R148="X",'Com-Ind Worksheet'!G147,"")</f>
        <v/>
      </c>
      <c r="J147" s="702" t="str">
        <f>IF('Chemical Info'!S148="X",'Com-Ind Worksheet'!G147,"")</f>
        <v/>
      </c>
      <c r="K147" s="702" t="str">
        <f>IF('Chemical Info'!T148="X",'Com-Ind Worksheet'!G147,"")</f>
        <v/>
      </c>
      <c r="L147" s="702" t="str">
        <f>IF('Chemical Info'!U148="X",'Com-Ind Worksheet'!G147,"")</f>
        <v/>
      </c>
      <c r="M147" s="702" t="str">
        <f>IF('Chemical Info'!V148="X",'Com-Ind Worksheet'!G147,"")</f>
        <v/>
      </c>
      <c r="N147" s="702" t="str">
        <f>IF('Chemical Info'!W148="X",'Com-Ind Worksheet'!G147,"")</f>
        <v/>
      </c>
      <c r="O147" s="702" t="str">
        <f>IF('Chemical Info'!X148="X",'Com-Ind Worksheet'!G147,"")</f>
        <v/>
      </c>
      <c r="P147" s="702" t="str">
        <f>IF('Chemical Info'!Y148="X",'Com-Ind Worksheet'!G147,"")</f>
        <v/>
      </c>
      <c r="Q147" s="702" t="str">
        <f>IF('Chemical Info'!Z148="X",'Com-Ind Worksheet'!G147,"")</f>
        <v/>
      </c>
      <c r="R147" s="702" t="str">
        <f>IF('Chemical Info'!AA148="X",'Com-Ind Worksheet'!G147,"")</f>
        <v/>
      </c>
      <c r="S147" s="692" t="str">
        <f t="shared" si="2"/>
        <v/>
      </c>
    </row>
    <row r="148" spans="1:19" ht="10">
      <c r="A148" s="129" t="s">
        <v>1137</v>
      </c>
      <c r="B148" s="566" t="s">
        <v>1138</v>
      </c>
      <c r="C148" s="566">
        <v>2022</v>
      </c>
      <c r="D148" s="126">
        <f>'Com-Ind Calculations'!W148</f>
        <v>0.13</v>
      </c>
      <c r="E148" s="126" t="str">
        <f>'Com-Ind Calculations'!X148</f>
        <v>Cancer</v>
      </c>
      <c r="F148" s="127"/>
      <c r="G148" s="698" t="str">
        <f>IF(E148="BTV","NA",IF(E148="Max Limit","NA",IF(E148="Csat","NA",IF(ISNUMBER('Com-Ind Calculations'!U148),((F148/'Com-Ind Calculations'!U148)),"NA"))))</f>
        <v>NA</v>
      </c>
      <c r="H148" s="704">
        <f>IF(E148="BTV","NA",IF(E148="Max Limit","NA",IF(E148="Csat","NA",IF(ISNUMBER('Com-Ind Calculations'!N148),((F148/'Com-Ind Calculations'!N148)*0.00001),"NA"))))</f>
        <v>0</v>
      </c>
      <c r="I148" s="702" t="str">
        <f>IF('Chemical Info'!R149="X",'Com-Ind Worksheet'!G148,"")</f>
        <v/>
      </c>
      <c r="J148" s="702" t="str">
        <f>IF('Chemical Info'!S149="X",'Com-Ind Worksheet'!G148,"")</f>
        <v/>
      </c>
      <c r="K148" s="702" t="str">
        <f>IF('Chemical Info'!T149="X",'Com-Ind Worksheet'!G148,"")</f>
        <v/>
      </c>
      <c r="L148" s="702" t="str">
        <f>IF('Chemical Info'!U149="X",'Com-Ind Worksheet'!G148,"")</f>
        <v/>
      </c>
      <c r="M148" s="702" t="str">
        <f>IF('Chemical Info'!V149="X",'Com-Ind Worksheet'!G148,"")</f>
        <v/>
      </c>
      <c r="N148" s="702" t="str">
        <f>IF('Chemical Info'!W149="X",'Com-Ind Worksheet'!G148,"")</f>
        <v/>
      </c>
      <c r="O148" s="702" t="str">
        <f>IF('Chemical Info'!X149="X",'Com-Ind Worksheet'!G148,"")</f>
        <v/>
      </c>
      <c r="P148" s="702" t="str">
        <f>IF('Chemical Info'!Y149="X",'Com-Ind Worksheet'!G148,"")</f>
        <v/>
      </c>
      <c r="Q148" s="702" t="str">
        <f>IF('Chemical Info'!Z149="X",'Com-Ind Worksheet'!G148,"")</f>
        <v/>
      </c>
      <c r="R148" s="702" t="str">
        <f>IF('Chemical Info'!AA149="X",'Com-Ind Worksheet'!G148,"")</f>
        <v/>
      </c>
      <c r="S148" s="692" t="str">
        <f t="shared" si="2"/>
        <v/>
      </c>
    </row>
    <row r="149" spans="1:19" ht="10">
      <c r="A149" s="129" t="s">
        <v>1157</v>
      </c>
      <c r="B149" s="566" t="s">
        <v>1158</v>
      </c>
      <c r="C149" s="566">
        <v>2022</v>
      </c>
      <c r="D149" s="126">
        <f>'Com-Ind Calculations'!W149</f>
        <v>0.88</v>
      </c>
      <c r="E149" s="126" t="str">
        <f>'Com-Ind Calculations'!X149</f>
        <v>Cancer</v>
      </c>
      <c r="F149" s="127"/>
      <c r="G149" s="698">
        <f>IF(E149="BTV","NA",IF(E149="Max Limit","NA",IF(E149="Csat","NA",IF(ISNUMBER('Com-Ind Calculations'!U149),((F149/'Com-Ind Calculations'!U149)),"NA"))))</f>
        <v>0</v>
      </c>
      <c r="H149" s="704">
        <f>IF(E149="BTV","NA",IF(E149="Max Limit","NA",IF(E149="Csat","NA",IF(ISNUMBER('Com-Ind Calculations'!N149),((F149/'Com-Ind Calculations'!N149)*0.00001),"NA"))))</f>
        <v>0</v>
      </c>
      <c r="I149" s="702" t="str">
        <f>IF('Chemical Info'!R150="X",'Com-Ind Worksheet'!G149,"")</f>
        <v/>
      </c>
      <c r="J149" s="702" t="str">
        <f>IF('Chemical Info'!S150="X",'Com-Ind Worksheet'!G149,"")</f>
        <v/>
      </c>
      <c r="K149" s="702" t="str">
        <f>IF('Chemical Info'!T150="X",'Com-Ind Worksheet'!G149,"")</f>
        <v/>
      </c>
      <c r="L149" s="702" t="str">
        <f>IF('Chemical Info'!U150="X",'Com-Ind Worksheet'!G149,"")</f>
        <v/>
      </c>
      <c r="M149" s="702" t="str">
        <f>IF('Chemical Info'!V150="X",'Com-Ind Worksheet'!G149,"")</f>
        <v/>
      </c>
      <c r="N149" s="702">
        <f>IF('Chemical Info'!W150="X",'Com-Ind Worksheet'!G149,"")</f>
        <v>0</v>
      </c>
      <c r="O149" s="702" t="str">
        <f>IF('Chemical Info'!X150="X",'Com-Ind Worksheet'!G149,"")</f>
        <v/>
      </c>
      <c r="P149" s="702" t="str">
        <f>IF('Chemical Info'!Y150="X",'Com-Ind Worksheet'!G149,"")</f>
        <v/>
      </c>
      <c r="Q149" s="702" t="str">
        <f>IF('Chemical Info'!Z150="X",'Com-Ind Worksheet'!G149,"")</f>
        <v/>
      </c>
      <c r="R149" s="702" t="str">
        <f>IF('Chemical Info'!AA150="X",'Com-Ind Worksheet'!G149,"")</f>
        <v/>
      </c>
      <c r="S149" s="692" t="str">
        <f t="shared" si="2"/>
        <v/>
      </c>
    </row>
    <row r="150" spans="1:19" ht="10">
      <c r="A150" s="129" t="s">
        <v>141</v>
      </c>
      <c r="B150" s="566" t="s">
        <v>142</v>
      </c>
      <c r="C150" s="566">
        <v>2022</v>
      </c>
      <c r="D150" s="126">
        <f>'Com-Ind Calculations'!W150</f>
        <v>4800</v>
      </c>
      <c r="E150" s="126" t="str">
        <f>'Com-Ind Calculations'!X150</f>
        <v>Cancer</v>
      </c>
      <c r="F150" s="127"/>
      <c r="G150" s="698" t="str">
        <f>IF(E150="BTV","NA",IF(E150="Max Limit","NA",IF(E150="Csat","NA",IF(ISNUMBER('Com-Ind Calculations'!U150),((F150/'Com-Ind Calculations'!U150)),"NA"))))</f>
        <v>NA</v>
      </c>
      <c r="H150" s="704">
        <f>IF(E150="BTV","NA",IF(E150="Max Limit","NA",IF(E150="Csat","NA",IF(ISNUMBER('Com-Ind Calculations'!N150),((F150/'Com-Ind Calculations'!N150)*0.00001),"NA"))))</f>
        <v>0</v>
      </c>
      <c r="I150" s="702" t="str">
        <f>IF('Chemical Info'!R151="X",'Com-Ind Worksheet'!G150,"")</f>
        <v/>
      </c>
      <c r="J150" s="702" t="str">
        <f>IF('Chemical Info'!S151="X",'Com-Ind Worksheet'!G150,"")</f>
        <v/>
      </c>
      <c r="K150" s="702" t="str">
        <f>IF('Chemical Info'!T151="X",'Com-Ind Worksheet'!G150,"")</f>
        <v/>
      </c>
      <c r="L150" s="702" t="str">
        <f>IF('Chemical Info'!U151="X",'Com-Ind Worksheet'!G150,"")</f>
        <v/>
      </c>
      <c r="M150" s="702" t="str">
        <f>IF('Chemical Info'!V151="X",'Com-Ind Worksheet'!G150,"")</f>
        <v/>
      </c>
      <c r="N150" s="702" t="str">
        <f>IF('Chemical Info'!W151="X",'Com-Ind Worksheet'!G150,"")</f>
        <v/>
      </c>
      <c r="O150" s="702" t="str">
        <f>IF('Chemical Info'!X151="X",'Com-Ind Worksheet'!G150,"")</f>
        <v/>
      </c>
      <c r="P150" s="702" t="str">
        <f>IF('Chemical Info'!Y151="X",'Com-Ind Worksheet'!G150,"")</f>
        <v/>
      </c>
      <c r="Q150" s="702" t="str">
        <f>IF('Chemical Info'!Z151="X",'Com-Ind Worksheet'!G150,"")</f>
        <v/>
      </c>
      <c r="R150" s="702" t="str">
        <f>IF('Chemical Info'!AA151="X",'Com-Ind Worksheet'!G150,"")</f>
        <v/>
      </c>
      <c r="S150" s="692" t="str">
        <f t="shared" si="2"/>
        <v/>
      </c>
    </row>
    <row r="151" spans="1:19" ht="10">
      <c r="A151" s="129" t="s">
        <v>1177</v>
      </c>
      <c r="B151" s="566" t="s">
        <v>1178</v>
      </c>
      <c r="C151" s="566">
        <v>2022</v>
      </c>
      <c r="D151" s="126">
        <f>'Com-Ind Calculations'!W151</f>
        <v>260</v>
      </c>
      <c r="E151" s="126" t="str">
        <f>'Com-Ind Calculations'!X151</f>
        <v>Noncancer</v>
      </c>
      <c r="F151" s="127"/>
      <c r="G151" s="698">
        <f>IF(E151="BTV","NA",IF(E151="Max Limit","NA",IF(E151="Csat","NA",IF(ISNUMBER('Com-Ind Calculations'!U151),((F151/'Com-Ind Calculations'!U151)),"NA"))))</f>
        <v>0</v>
      </c>
      <c r="H151" s="704" t="str">
        <f>IF(E151="BTV","NA",IF(E151="Max Limit","NA",IF(E151="Csat","NA",IF(ISNUMBER('Com-Ind Calculations'!N151),((F151/'Com-Ind Calculations'!N151)*0.00001),"NA"))))</f>
        <v>NA</v>
      </c>
      <c r="I151" s="702" t="str">
        <f>IF('Chemical Info'!R152="X",'Com-Ind Worksheet'!G151,"")</f>
        <v/>
      </c>
      <c r="J151" s="702" t="str">
        <f>IF('Chemical Info'!S152="X",'Com-Ind Worksheet'!G151,"")</f>
        <v/>
      </c>
      <c r="K151" s="702" t="str">
        <f>IF('Chemical Info'!T152="X",'Com-Ind Worksheet'!G151,"")</f>
        <v/>
      </c>
      <c r="L151" s="702">
        <f>IF('Chemical Info'!U152="X",'Com-Ind Worksheet'!G151,"")</f>
        <v>0</v>
      </c>
      <c r="M151" s="702">
        <f>IF('Chemical Info'!V152="X",'Com-Ind Worksheet'!G151,"")</f>
        <v>0</v>
      </c>
      <c r="N151" s="702" t="str">
        <f>IF('Chemical Info'!W152="X",'Com-Ind Worksheet'!G151,"")</f>
        <v/>
      </c>
      <c r="O151" s="702" t="str">
        <f>IF('Chemical Info'!X152="X",'Com-Ind Worksheet'!G151,"")</f>
        <v/>
      </c>
      <c r="P151" s="702" t="str">
        <f>IF('Chemical Info'!Y152="X",'Com-Ind Worksheet'!G151,"")</f>
        <v/>
      </c>
      <c r="Q151" s="702" t="str">
        <f>IF('Chemical Info'!Z152="X",'Com-Ind Worksheet'!G151,"")</f>
        <v/>
      </c>
      <c r="R151" s="702" t="str">
        <f>IF('Chemical Info'!AA152="X",'Com-Ind Worksheet'!G151,"")</f>
        <v/>
      </c>
      <c r="S151" s="692" t="str">
        <f t="shared" si="2"/>
        <v/>
      </c>
    </row>
    <row r="152" spans="1:19" ht="10">
      <c r="A152" s="129" t="s">
        <v>686</v>
      </c>
      <c r="B152" s="566" t="s">
        <v>238</v>
      </c>
      <c r="C152" s="566">
        <v>2016</v>
      </c>
      <c r="D152" s="126">
        <f>'Com-Ind Calculations'!W152</f>
        <v>46</v>
      </c>
      <c r="E152" s="126" t="str">
        <f>'Com-Ind Calculations'!X152</f>
        <v>Cancer</v>
      </c>
      <c r="F152" s="127"/>
      <c r="G152" s="698">
        <f>IF(E152="BTV","NA",IF(E152="Max Limit","NA",IF(E152="Csat","NA",IF(ISNUMBER('Com-Ind Calculations'!U152),((F152/'Com-Ind Calculations'!U152)),"NA"))))</f>
        <v>0</v>
      </c>
      <c r="H152" s="704">
        <f>IF(E152="BTV","NA",IF(E152="Max Limit","NA",IF(E152="Csat","NA",IF(ISNUMBER('Com-Ind Calculations'!N152),((F152/'Com-Ind Calculations'!N152)*0.00001),"NA"))))</f>
        <v>0</v>
      </c>
      <c r="I152" s="702" t="str">
        <f>IF('Chemical Info'!R153="X",'Com-Ind Worksheet'!G152,"")</f>
        <v/>
      </c>
      <c r="J152" s="702" t="str">
        <f>IF('Chemical Info'!S153="X",'Com-Ind Worksheet'!G152,"")</f>
        <v/>
      </c>
      <c r="K152" s="702">
        <f>IF('Chemical Info'!T153="X",'Com-Ind Worksheet'!G152,"")</f>
        <v>0</v>
      </c>
      <c r="L152" s="702" t="str">
        <f>IF('Chemical Info'!U153="X",'Com-Ind Worksheet'!G152,"")</f>
        <v/>
      </c>
      <c r="M152" s="702">
        <f>IF('Chemical Info'!V153="X",'Com-Ind Worksheet'!G152,"")</f>
        <v>0</v>
      </c>
      <c r="N152" s="702">
        <f>IF('Chemical Info'!W153="X",'Com-Ind Worksheet'!G152,"")</f>
        <v>0</v>
      </c>
      <c r="O152" s="702" t="str">
        <f>IF('Chemical Info'!X153="X",'Com-Ind Worksheet'!G152,"")</f>
        <v/>
      </c>
      <c r="P152" s="702" t="str">
        <f>IF('Chemical Info'!Y153="X",'Com-Ind Worksheet'!G152,"")</f>
        <v/>
      </c>
      <c r="Q152" s="702" t="str">
        <f>IF('Chemical Info'!Z153="X",'Com-Ind Worksheet'!G152,"")</f>
        <v/>
      </c>
      <c r="R152" s="702">
        <f>IF('Chemical Info'!AA153="X",'Com-Ind Worksheet'!G152,"")</f>
        <v>0</v>
      </c>
      <c r="S152" s="692" t="str">
        <f t="shared" si="2"/>
        <v/>
      </c>
    </row>
    <row r="153" spans="1:19" s="123" customFormat="1" ht="10">
      <c r="A153" s="719" t="s">
        <v>1263</v>
      </c>
      <c r="B153" s="566" t="s">
        <v>242</v>
      </c>
      <c r="C153" s="566">
        <v>2023</v>
      </c>
      <c r="D153" s="132">
        <f>'Com-Ind Calculations'!W153</f>
        <v>14</v>
      </c>
      <c r="E153" s="132" t="str">
        <f>'Com-Ind Calculations'!X153</f>
        <v>Noncancer</v>
      </c>
      <c r="F153" s="127"/>
      <c r="G153" s="717">
        <f>IF(E153="BTV","NA",IF(E153="Max Limit","NA",IF(E153="Csat","NA",IF(ISNUMBER('Com-Ind Calculations'!U153),((F153/'Com-Ind Calculations'!U153)),"NA"))))</f>
        <v>0</v>
      </c>
      <c r="H153" s="718" t="str">
        <f>IF(E153="BTV","NA",IF(E153="Max Limit","NA",IF(E153="Csat","NA",IF(ISNUMBER('Com-Ind Calculations'!N153),((F153/'Com-Ind Calculations'!N153)*0.00001),"NA"))))</f>
        <v>NA</v>
      </c>
      <c r="I153" s="702" t="str">
        <f>IF('Chemical Info'!R154="X",'Com-Ind Worksheet'!G153,"")</f>
        <v/>
      </c>
      <c r="J153" s="702" t="str">
        <f>IF('Chemical Info'!S154="X",'Com-Ind Worksheet'!G153,"")</f>
        <v/>
      </c>
      <c r="K153" s="702" t="str">
        <f>IF('Chemical Info'!T154="X",'Com-Ind Worksheet'!G153,"")</f>
        <v/>
      </c>
      <c r="L153" s="702" t="str">
        <f>IF('Chemical Info'!U154="X",'Com-Ind Worksheet'!G153,"")</f>
        <v/>
      </c>
      <c r="M153" s="702" t="str">
        <f>IF('Chemical Info'!V154="X",'Com-Ind Worksheet'!G153,"")</f>
        <v/>
      </c>
      <c r="N153" s="702" t="str">
        <f>IF('Chemical Info'!W154="X",'Com-Ind Worksheet'!G153,"")</f>
        <v/>
      </c>
      <c r="O153" s="702" t="str">
        <f>IF('Chemical Info'!X154="X",'Com-Ind Worksheet'!G153,"")</f>
        <v/>
      </c>
      <c r="P153" s="702" t="str">
        <f>IF('Chemical Info'!Y154="X",'Com-Ind Worksheet'!G153,"")</f>
        <v/>
      </c>
      <c r="Q153" s="702" t="str">
        <f>IF('Chemical Info'!Z154="X",'Com-Ind Worksheet'!G153,"")</f>
        <v/>
      </c>
      <c r="R153" s="702">
        <f>IF('Chemical Info'!AA154="X",'Com-Ind Worksheet'!G153,"")</f>
        <v>0</v>
      </c>
      <c r="S153" s="133" t="str">
        <f t="shared" si="2"/>
        <v/>
      </c>
    </row>
    <row r="154" spans="1:19" ht="10">
      <c r="A154" s="129" t="s">
        <v>1264</v>
      </c>
      <c r="B154" s="566" t="s">
        <v>234</v>
      </c>
      <c r="C154" s="736">
        <v>2026</v>
      </c>
      <c r="D154" s="126">
        <f>'Com-Ind Calculations'!W154</f>
        <v>250</v>
      </c>
      <c r="E154" s="126" t="str">
        <f>'Com-Ind Calculations'!X154</f>
        <v>Csat</v>
      </c>
      <c r="F154" s="127"/>
      <c r="G154" s="698" t="str">
        <f>IF(E154="BTV","NA",IF(E154="Max Limit","NA",IF(E154="Csat","NA",IF(ISNUMBER('Com-Ind Calculations'!U154),((F154/'Com-Ind Calculations'!U154)),"NA"))))</f>
        <v>NA</v>
      </c>
      <c r="H154" s="704" t="str">
        <f>IF(E154="BTV","NA",IF(E154="Max Limit","NA",IF(E154="Csat","NA",IF(ISNUMBER('Com-Ind Calculations'!N154),((F154/'Com-Ind Calculations'!N154)*0.00001),"NA"))))</f>
        <v>NA</v>
      </c>
      <c r="I154" s="702" t="str">
        <f>IF('Chemical Info'!R155="X",'Com-Ind Worksheet'!G154,"")</f>
        <v/>
      </c>
      <c r="J154" s="702" t="str">
        <f>IF('Chemical Info'!S155="X",'Com-Ind Worksheet'!G154,"")</f>
        <v>NA</v>
      </c>
      <c r="K154" s="702" t="str">
        <f>IF('Chemical Info'!T155="X",'Com-Ind Worksheet'!G154,"")</f>
        <v/>
      </c>
      <c r="L154" s="702" t="str">
        <f>IF('Chemical Info'!U155="X",'Com-Ind Worksheet'!G154,"")</f>
        <v/>
      </c>
      <c r="M154" s="702" t="str">
        <f>IF('Chemical Info'!V155="X",'Com-Ind Worksheet'!G154,"")</f>
        <v>NA</v>
      </c>
      <c r="N154" s="702" t="str">
        <f>IF('Chemical Info'!W155="X",'Com-Ind Worksheet'!G154,"")</f>
        <v>NA</v>
      </c>
      <c r="O154" s="702" t="str">
        <f>IF('Chemical Info'!X155="X",'Com-Ind Worksheet'!G154,"")</f>
        <v/>
      </c>
      <c r="P154" s="702" t="str">
        <f>IF('Chemical Info'!Y155="X",'Com-Ind Worksheet'!G154,"")</f>
        <v/>
      </c>
      <c r="Q154" s="702" t="str">
        <f>IF('Chemical Info'!Z155="X",'Com-Ind Worksheet'!G154,"")</f>
        <v/>
      </c>
      <c r="R154" s="702" t="str">
        <f>IF('Chemical Info'!AA155="X",'Com-Ind Worksheet'!G154,"")</f>
        <v>NA</v>
      </c>
      <c r="S154" s="692" t="str">
        <f t="shared" si="2"/>
        <v>Based on Csat. A concentration &gt; Csat indicates potential for free product in soil.</v>
      </c>
    </row>
    <row r="155" spans="1:19" ht="10">
      <c r="A155" s="129" t="s">
        <v>1265</v>
      </c>
      <c r="B155" s="566" t="s">
        <v>58</v>
      </c>
      <c r="C155" s="566">
        <v>2026</v>
      </c>
      <c r="D155" s="126">
        <f>'Com-Ind Calculations'!W155</f>
        <v>0.18</v>
      </c>
      <c r="E155" s="126" t="str">
        <f>'Com-Ind Calculations'!X155</f>
        <v>Noncancer</v>
      </c>
      <c r="F155" s="127"/>
      <c r="G155" s="698">
        <f>IF(E155="BTV","NA",IF(E155="Max Limit","NA",IF(E155="Csat","NA",IF(ISNUMBER('Com-Ind Calculations'!U155),((F155/'Com-Ind Calculations'!U155)),"NA"))))</f>
        <v>0</v>
      </c>
      <c r="H155" s="704">
        <f>IF(E155="BTV","NA",IF(E155="Max Limit","NA",IF(E155="Csat","NA",IF(ISNUMBER('Com-Ind Calculations'!N155),((F155/'Com-Ind Calculations'!N155)*0.00001),"NA"))))</f>
        <v>0</v>
      </c>
      <c r="I155" s="702" t="str">
        <f>IF('Chemical Info'!R156="X",'Com-Ind Worksheet'!G155,"")</f>
        <v/>
      </c>
      <c r="J155" s="702" t="str">
        <f>IF('Chemical Info'!S156="X",'Com-Ind Worksheet'!G155,"")</f>
        <v/>
      </c>
      <c r="K155" s="702">
        <f>IF('Chemical Info'!T156="X",'Com-Ind Worksheet'!G155,"")</f>
        <v>0</v>
      </c>
      <c r="L155" s="702">
        <f>IF('Chemical Info'!U156="X",'Com-Ind Worksheet'!G155,"")</f>
        <v>0</v>
      </c>
      <c r="M155" s="702">
        <f>IF('Chemical Info'!V156="X",'Com-Ind Worksheet'!G155,"")</f>
        <v>0</v>
      </c>
      <c r="N155" s="702">
        <f>IF('Chemical Info'!W156="X",'Com-Ind Worksheet'!G155,"")</f>
        <v>0</v>
      </c>
      <c r="O155" s="702" t="str">
        <f>IF('Chemical Info'!X156="X",'Com-Ind Worksheet'!G155,"")</f>
        <v/>
      </c>
      <c r="P155" s="702" t="str">
        <f>IF('Chemical Info'!Y156="X",'Com-Ind Worksheet'!G155,"")</f>
        <v/>
      </c>
      <c r="Q155" s="702" t="str">
        <f>IF('Chemical Info'!Z156="X",'Com-Ind Worksheet'!G155,"")</f>
        <v/>
      </c>
      <c r="R155" s="702">
        <f>IF('Chemical Info'!AA156="X",'Com-Ind Worksheet'!G155,"")</f>
        <v>0</v>
      </c>
      <c r="S155" s="692" t="str">
        <f t="shared" si="2"/>
        <v/>
      </c>
    </row>
    <row r="156" spans="1:19" ht="10">
      <c r="A156" s="129" t="s">
        <v>57</v>
      </c>
      <c r="B156" s="566" t="s">
        <v>59</v>
      </c>
      <c r="C156" s="566">
        <v>2026</v>
      </c>
      <c r="D156" s="126">
        <f>'Com-Ind Calculations'!W156</f>
        <v>2E-3</v>
      </c>
      <c r="E156" s="126" t="str">
        <f>'Com-Ind Calculations'!X156</f>
        <v>Cancer</v>
      </c>
      <c r="F156" s="127"/>
      <c r="G156" s="698">
        <f>IF(E156="BTV","NA",IF(E156="Max Limit","NA",IF(E156="Csat","NA",IF(ISNUMBER('Com-Ind Calculations'!U156),((F156/'Com-Ind Calculations'!U156)),"NA"))))</f>
        <v>0</v>
      </c>
      <c r="H156" s="704">
        <f>IF(E156="BTV","NA",IF(E156="Max Limit","NA",IF(E156="Csat","NA",IF(ISNUMBER('Com-Ind Calculations'!N156),((F156/'Com-Ind Calculations'!N156)*0.00001),"NA"))))</f>
        <v>0</v>
      </c>
      <c r="I156" s="702" t="str">
        <f>IF('Chemical Info'!R157="X",'Com-Ind Worksheet'!G156,"")</f>
        <v/>
      </c>
      <c r="J156" s="702" t="str">
        <f>IF('Chemical Info'!S157="X",'Com-Ind Worksheet'!G156,"")</f>
        <v/>
      </c>
      <c r="K156" s="702">
        <f>IF('Chemical Info'!T157="X",'Com-Ind Worksheet'!G156,"")</f>
        <v>0</v>
      </c>
      <c r="L156" s="702">
        <f>IF('Chemical Info'!U157="X",'Com-Ind Worksheet'!G156,"")</f>
        <v>0</v>
      </c>
      <c r="M156" s="702">
        <f>IF('Chemical Info'!V157="X",'Com-Ind Worksheet'!G156,"")</f>
        <v>0</v>
      </c>
      <c r="N156" s="702">
        <f>IF('Chemical Info'!W157="X",'Com-Ind Worksheet'!G156,"")</f>
        <v>0</v>
      </c>
      <c r="O156" s="702" t="str">
        <f>IF('Chemical Info'!X157="X",'Com-Ind Worksheet'!G156,"")</f>
        <v/>
      </c>
      <c r="P156" s="702" t="str">
        <f>IF('Chemical Info'!Y157="X",'Com-Ind Worksheet'!G156,"")</f>
        <v/>
      </c>
      <c r="Q156" s="702" t="str">
        <f>IF('Chemical Info'!Z157="X",'Com-Ind Worksheet'!G156,"")</f>
        <v/>
      </c>
      <c r="R156" s="702" t="str">
        <f>IF('Chemical Info'!AA157="X",'Com-Ind Worksheet'!G156,"")</f>
        <v/>
      </c>
      <c r="S156" s="692" t="str">
        <f t="shared" si="2"/>
        <v/>
      </c>
    </row>
    <row r="157" spans="1:19" ht="10">
      <c r="A157" s="129" t="s">
        <v>1266</v>
      </c>
      <c r="B157" s="566" t="s">
        <v>998</v>
      </c>
      <c r="C157" s="566">
        <v>2026</v>
      </c>
      <c r="D157" s="126">
        <f>'Com-Ind Calculations'!W157</f>
        <v>1.6</v>
      </c>
      <c r="E157" s="126" t="str">
        <f>'Com-Ind Calculations'!X157</f>
        <v>Noncancer</v>
      </c>
      <c r="F157" s="127"/>
      <c r="G157" s="698">
        <f>IF(E157="BTV","NA",IF(E157="Max Limit","NA",IF(E157="Csat","NA",IF(ISNUMBER('Com-Ind Calculations'!U157),((F157/'Com-Ind Calculations'!U157)),"NA"))))</f>
        <v>0</v>
      </c>
      <c r="H157" s="704" t="str">
        <f>IF(E157="BTV","NA",IF(E157="Max Limit","NA",IF(E157="Csat","NA",IF(ISNUMBER('Com-Ind Calculations'!N157),((F157/'Com-Ind Calculations'!N157)*0.00001),"NA"))))</f>
        <v>NA</v>
      </c>
      <c r="I157" s="702" t="str">
        <f>IF('Chemical Info'!R158="X",'Com-Ind Worksheet'!G157,"")</f>
        <v/>
      </c>
      <c r="J157" s="702" t="str">
        <f>IF('Chemical Info'!S158="X",'Com-Ind Worksheet'!G157,"")</f>
        <v/>
      </c>
      <c r="K157" s="702">
        <f>IF('Chemical Info'!T158="X",'Com-Ind Worksheet'!G157,"")</f>
        <v>0</v>
      </c>
      <c r="L157" s="702" t="str">
        <f>IF('Chemical Info'!U158="X",'Com-Ind Worksheet'!G157,"")</f>
        <v/>
      </c>
      <c r="M157" s="702">
        <f>IF('Chemical Info'!V158="X",'Com-Ind Worksheet'!G157,"")</f>
        <v>0</v>
      </c>
      <c r="N157" s="702">
        <f>IF('Chemical Info'!W158="X",'Com-Ind Worksheet'!G157,"")</f>
        <v>0</v>
      </c>
      <c r="O157" s="702" t="str">
        <f>IF('Chemical Info'!X158="X",'Com-Ind Worksheet'!G157,"")</f>
        <v/>
      </c>
      <c r="P157" s="702" t="str">
        <f>IF('Chemical Info'!Y158="X",'Com-Ind Worksheet'!G157,"")</f>
        <v/>
      </c>
      <c r="Q157" s="702" t="str">
        <f>IF('Chemical Info'!Z158="X",'Com-Ind Worksheet'!G157,"")</f>
        <v/>
      </c>
      <c r="R157" s="702">
        <f>IF('Chemical Info'!AA158="X",'Com-Ind Worksheet'!G157,"")</f>
        <v>0</v>
      </c>
      <c r="S157" s="692" t="str">
        <f t="shared" si="2"/>
        <v/>
      </c>
    </row>
    <row r="158" spans="1:19" ht="10">
      <c r="A158" s="129" t="s">
        <v>1267</v>
      </c>
      <c r="B158" s="566" t="s">
        <v>1209</v>
      </c>
      <c r="C158" s="566">
        <v>2022</v>
      </c>
      <c r="D158" s="126">
        <f>'Com-Ind Calculations'!W158</f>
        <v>24</v>
      </c>
      <c r="E158" s="126" t="str">
        <f>'Com-Ind Calculations'!X158</f>
        <v>Noncancer</v>
      </c>
      <c r="F158" s="127"/>
      <c r="G158" s="698">
        <f>IF(E158="BTV","NA",IF(E158="Max Limit","NA",IF(E158="Csat","NA",IF(ISNUMBER('Com-Ind Calculations'!U158),((F158/'Com-Ind Calculations'!U158)),"NA"))))</f>
        <v>0</v>
      </c>
      <c r="H158" s="704" t="str">
        <f>IF(E158="BTV","NA",IF(E158="Max Limit","NA",IF(E158="Csat","NA",IF(ISNUMBER('Com-Ind Calculations'!N158),((F158/'Com-Ind Calculations'!N158)*0.00001),"NA"))))</f>
        <v>NA</v>
      </c>
      <c r="I158" s="702" t="str">
        <f>IF('Chemical Info'!R159="X",'Com-Ind Worksheet'!G158,"")</f>
        <v/>
      </c>
      <c r="J158" s="702" t="str">
        <f>IF('Chemical Info'!S159="X",'Com-Ind Worksheet'!G158,"")</f>
        <v/>
      </c>
      <c r="K158" s="702" t="str">
        <f>IF('Chemical Info'!T159="X",'Com-Ind Worksheet'!G158,"")</f>
        <v/>
      </c>
      <c r="L158" s="702" t="str">
        <f>IF('Chemical Info'!U159="X",'Com-Ind Worksheet'!G158,"")</f>
        <v/>
      </c>
      <c r="M158" s="702">
        <f>IF('Chemical Info'!V159="X",'Com-Ind Worksheet'!G158,"")</f>
        <v>0</v>
      </c>
      <c r="N158" s="702" t="str">
        <f>IF('Chemical Info'!W159="X",'Com-Ind Worksheet'!G158,"")</f>
        <v/>
      </c>
      <c r="O158" s="702">
        <f>IF('Chemical Info'!X159="X",'Com-Ind Worksheet'!G158,"")</f>
        <v>0</v>
      </c>
      <c r="P158" s="702" t="str">
        <f>IF('Chemical Info'!Y159="X",'Com-Ind Worksheet'!G158,"")</f>
        <v/>
      </c>
      <c r="Q158" s="702" t="str">
        <f>IF('Chemical Info'!Z159="X",'Com-Ind Worksheet'!G158,"")</f>
        <v/>
      </c>
      <c r="R158" s="702" t="str">
        <f>IF('Chemical Info'!AA159="X",'Com-Ind Worksheet'!G158,"")</f>
        <v/>
      </c>
      <c r="S158" s="692" t="str">
        <f t="shared" si="2"/>
        <v/>
      </c>
    </row>
    <row r="159" spans="1:19" s="123" customFormat="1" ht="10">
      <c r="A159" s="727" t="s">
        <v>1323</v>
      </c>
      <c r="B159" s="728" t="s">
        <v>1324</v>
      </c>
      <c r="C159" s="566">
        <v>2025</v>
      </c>
      <c r="D159" s="132">
        <f>'Com-Ind Calculations'!W159</f>
        <v>3.6000000000000002E-4</v>
      </c>
      <c r="E159" s="132" t="str">
        <f>'Com-Ind Calculations'!X159</f>
        <v>Noncancer</v>
      </c>
      <c r="F159" s="127"/>
      <c r="G159" s="717">
        <f>IF(E159="BTV","NA",IF(E159="Max Limit","NA",IF(E159="Csat","NA",IF(ISNUMBER('Com-Ind Calculations'!U159),((F159/'Com-Ind Calculations'!U159)),"NA"))))</f>
        <v>0</v>
      </c>
      <c r="H159" s="718" t="str">
        <f>IF(E159="BTV","NA",IF(E159="Max Limit","NA",IF(E159="Csat","NA",IF(ISNUMBER('Com-Ind Calculations'!N159),((F159/'Com-Ind Calculations'!N159)*0.00001),"NA"))))</f>
        <v>NA</v>
      </c>
      <c r="I159" s="702" t="str">
        <f>IF('Chemical Info'!R160="X",'Com-Ind Worksheet'!G159,"")</f>
        <v/>
      </c>
      <c r="J159" s="702" t="str">
        <f>IF('Chemical Info'!S160="X",'Com-Ind Worksheet'!G159,"")</f>
        <v/>
      </c>
      <c r="K159" s="702">
        <f>IF('Chemical Info'!T160="X",'Com-Ind Worksheet'!G159,"")</f>
        <v>0</v>
      </c>
      <c r="L159" s="702" t="str">
        <f>IF('Chemical Info'!U160="X",'Com-Ind Worksheet'!G159,"")</f>
        <v/>
      </c>
      <c r="M159" s="702" t="str">
        <f>IF('Chemical Info'!V160="X",'Com-Ind Worksheet'!G159,"")</f>
        <v/>
      </c>
      <c r="N159" s="702">
        <f>IF('Chemical Info'!W160="X",'Com-Ind Worksheet'!G159,"")</f>
        <v>0</v>
      </c>
      <c r="O159" s="702" t="str">
        <f>IF('Chemical Info'!X160="X",'Com-Ind Worksheet'!G159,"")</f>
        <v/>
      </c>
      <c r="P159" s="702" t="str">
        <f>IF('Chemical Info'!Y160="X",'Com-Ind Worksheet'!G159,"")</f>
        <v/>
      </c>
      <c r="Q159" s="702" t="str">
        <f>IF('Chemical Info'!Z160="X",'Com-Ind Worksheet'!G159,"")</f>
        <v/>
      </c>
      <c r="R159" s="702" t="str">
        <f>IF('Chemical Info'!AA160="X",'Com-Ind Worksheet'!G159,"")</f>
        <v/>
      </c>
      <c r="S159" s="692" t="str">
        <f t="shared" si="2"/>
        <v/>
      </c>
    </row>
    <row r="160" spans="1:19" s="123" customFormat="1" ht="10">
      <c r="A160" s="727" t="s">
        <v>1734</v>
      </c>
      <c r="B160" s="740" t="s">
        <v>1735</v>
      </c>
      <c r="C160" s="566">
        <v>2026</v>
      </c>
      <c r="D160" s="132">
        <f>'Com-Ind Calculations'!W160</f>
        <v>0.54</v>
      </c>
      <c r="E160" s="132" t="str">
        <f>'Com-Ind Calculations'!X160</f>
        <v>Noncancer</v>
      </c>
      <c r="F160" s="127"/>
      <c r="G160" s="717">
        <f>IF(E160="BTV","NA",IF(E160="Max Limit","NA",IF(E160="Csat","NA",IF(ISNUMBER('Com-Ind Calculations'!U160),((F160/'Com-Ind Calculations'!U160)),"NA"))))</f>
        <v>0</v>
      </c>
      <c r="H160" s="718" t="str">
        <f>IF(E160="BTV","NA",IF(E160="Max Limit","NA",IF(E160="Csat","NA",IF(ISNUMBER('Com-Ind Calculations'!N160),((F160/'Com-Ind Calculations'!N160)*0.00001),"NA"))))</f>
        <v>NA</v>
      </c>
      <c r="I160" s="702" t="str">
        <f>IF('Chemical Info'!R161="X",'Com-Ind Worksheet'!G160,"")</f>
        <v/>
      </c>
      <c r="J160" s="702" t="str">
        <f>IF('Chemical Info'!S161="X",'Com-Ind Worksheet'!G160,"")</f>
        <v/>
      </c>
      <c r="K160" s="702" t="str">
        <f>IF('Chemical Info'!T161="X",'Com-Ind Worksheet'!G160,"")</f>
        <v/>
      </c>
      <c r="L160" s="702" t="str">
        <f>IF('Chemical Info'!U161="X",'Com-Ind Worksheet'!G160,"")</f>
        <v/>
      </c>
      <c r="M160" s="702">
        <f>IF('Chemical Info'!V161="X",'Com-Ind Worksheet'!G160,"")</f>
        <v>0</v>
      </c>
      <c r="N160" s="702">
        <f>IF('Chemical Info'!W161="X",'Com-Ind Worksheet'!G160,"")</f>
        <v>0</v>
      </c>
      <c r="O160" s="702" t="str">
        <f>IF('Chemical Info'!X161="X",'Com-Ind Worksheet'!G160,"")</f>
        <v/>
      </c>
      <c r="P160" s="702" t="str">
        <f>IF('Chemical Info'!Y161="X",'Com-Ind Worksheet'!G160,"")</f>
        <v/>
      </c>
      <c r="Q160" s="702" t="str">
        <f>IF('Chemical Info'!Z161="X",'Com-Ind Worksheet'!G160,"")</f>
        <v/>
      </c>
      <c r="R160" s="702" t="str">
        <f>IF('Chemical Info'!AA161="X",'Com-Ind Worksheet'!G160,"")</f>
        <v/>
      </c>
      <c r="S160" s="692" t="str">
        <f t="shared" si="2"/>
        <v/>
      </c>
    </row>
    <row r="161" spans="1:19" s="123" customFormat="1" ht="10">
      <c r="A161" s="129" t="s">
        <v>1269</v>
      </c>
      <c r="B161" s="566" t="s">
        <v>1270</v>
      </c>
      <c r="C161" s="566">
        <v>2023</v>
      </c>
      <c r="D161" s="132">
        <f>'Com-Ind Calculations'!W161</f>
        <v>0.97</v>
      </c>
      <c r="E161" s="132" t="str">
        <f>'Com-Ind Calculations'!X161</f>
        <v>Noncancer</v>
      </c>
      <c r="F161" s="127"/>
      <c r="G161" s="717">
        <f>IF(E161="BTV","NA",IF(E161="Max Limit","NA",IF(E161="Csat","NA",IF(ISNUMBER('Com-Ind Calculations'!U161),((F161/'Com-Ind Calculations'!U161)),"NA"))))</f>
        <v>0</v>
      </c>
      <c r="H161" s="718" t="str">
        <f>IF(E161="BTV","NA",IF(E161="Max Limit","NA",IF(E161="Csat","NA",IF(ISNUMBER('Com-Ind Calculations'!N161),((F161/'Com-Ind Calculations'!N161)*0.00001),"NA"))))</f>
        <v>NA</v>
      </c>
      <c r="I161" s="702" t="str">
        <f>IF('Chemical Info'!R162="X",'Com-Ind Worksheet'!G161,"")</f>
        <v/>
      </c>
      <c r="J161" s="702" t="str">
        <f>IF('Chemical Info'!S162="X",'Com-Ind Worksheet'!G161,"")</f>
        <v/>
      </c>
      <c r="K161" s="702" t="str">
        <f>IF('Chemical Info'!T162="X",'Com-Ind Worksheet'!G161,"")</f>
        <v/>
      </c>
      <c r="L161" s="702" t="str">
        <f>IF('Chemical Info'!U162="X",'Com-Ind Worksheet'!G161,"")</f>
        <v/>
      </c>
      <c r="M161" s="702">
        <f>IF('Chemical Info'!V162="X",'Com-Ind Worksheet'!G161,"")</f>
        <v>0</v>
      </c>
      <c r="N161" s="702" t="str">
        <f>IF('Chemical Info'!W162="X",'Com-Ind Worksheet'!G161,"")</f>
        <v/>
      </c>
      <c r="O161" s="702" t="str">
        <f>IF('Chemical Info'!X162="X",'Com-Ind Worksheet'!G161,"")</f>
        <v/>
      </c>
      <c r="P161" s="702" t="str">
        <f>IF('Chemical Info'!Y162="X",'Com-Ind Worksheet'!G161,"")</f>
        <v/>
      </c>
      <c r="Q161" s="702" t="str">
        <f>IF('Chemical Info'!Z162="X",'Com-Ind Worksheet'!G161,"")</f>
        <v/>
      </c>
      <c r="R161" s="702" t="str">
        <f>IF('Chemical Info'!AA162="X",'Com-Ind Worksheet'!G161,"")</f>
        <v/>
      </c>
      <c r="S161" s="133" t="str">
        <f t="shared" ref="S161" si="3">IF(E161="Csat","Based on Csat. A concentration &gt; Csat indicates potential for free product in soil.",IF(E161="Max Limit","Based on maximum contaminant limit. Concentration should not be &gt; SRV.",""))</f>
        <v/>
      </c>
    </row>
    <row r="162" spans="1:19" ht="10">
      <c r="A162" s="129" t="s">
        <v>239</v>
      </c>
      <c r="B162" s="566" t="s">
        <v>240</v>
      </c>
      <c r="C162" s="566">
        <v>2021</v>
      </c>
      <c r="D162" s="126">
        <f>'Com-Ind Calculations'!W162</f>
        <v>35000</v>
      </c>
      <c r="E162" s="126" t="str">
        <f>'Com-Ind Calculations'!X162</f>
        <v>Noncancer</v>
      </c>
      <c r="F162" s="127"/>
      <c r="G162" s="698">
        <f>IF(E162="BTV","NA",IF(E162="Max Limit","NA",IF(E162="Csat","NA",IF(ISNUMBER('Com-Ind Calculations'!U162),((F162/'Com-Ind Calculations'!U162)),"NA"))))</f>
        <v>0</v>
      </c>
      <c r="H162" s="704" t="str">
        <f>IF(E162="BTV","NA",IF(E162="Max Limit","NA",IF(E162="Csat","NA",IF(ISNUMBER('Com-Ind Calculations'!N162),((F162/'Com-Ind Calculations'!N162)*0.00001),"NA"))))</f>
        <v>NA</v>
      </c>
      <c r="I162" s="702">
        <f>IF('Chemical Info'!R163="X",'Com-Ind Worksheet'!G162,"")</f>
        <v>0</v>
      </c>
      <c r="J162" s="702" t="str">
        <f>IF('Chemical Info'!S163="X",'Com-Ind Worksheet'!G162,"")</f>
        <v/>
      </c>
      <c r="K162" s="702" t="str">
        <f>IF('Chemical Info'!T163="X",'Com-Ind Worksheet'!G162,"")</f>
        <v/>
      </c>
      <c r="L162" s="702" t="str">
        <f>IF('Chemical Info'!U163="X",'Com-Ind Worksheet'!G162,"")</f>
        <v/>
      </c>
      <c r="M162" s="702">
        <f>IF('Chemical Info'!V163="X",'Com-Ind Worksheet'!G162,"")</f>
        <v>0</v>
      </c>
      <c r="N162" s="702">
        <f>IF('Chemical Info'!W163="X",'Com-Ind Worksheet'!G162,"")</f>
        <v>0</v>
      </c>
      <c r="O162" s="702" t="str">
        <f>IF('Chemical Info'!X163="X",'Com-Ind Worksheet'!G162,"")</f>
        <v/>
      </c>
      <c r="P162" s="702" t="str">
        <f>IF('Chemical Info'!Y163="X",'Com-Ind Worksheet'!G162,"")</f>
        <v/>
      </c>
      <c r="Q162" s="702" t="str">
        <f>IF('Chemical Info'!Z163="X",'Com-Ind Worksheet'!G162,"")</f>
        <v/>
      </c>
      <c r="R162" s="702" t="str">
        <f>IF('Chemical Info'!AA163="X",'Com-Ind Worksheet'!G162,"")</f>
        <v/>
      </c>
      <c r="S162" s="692" t="str">
        <f t="shared" si="2"/>
        <v/>
      </c>
    </row>
    <row r="163" spans="1:19" ht="10">
      <c r="A163" s="129" t="s">
        <v>1179</v>
      </c>
      <c r="B163" s="566" t="s">
        <v>1180</v>
      </c>
      <c r="C163" s="566">
        <v>2022</v>
      </c>
      <c r="D163" s="126">
        <f>'Com-Ind Calculations'!W163</f>
        <v>1400</v>
      </c>
      <c r="E163" s="126" t="str">
        <f>'Com-Ind Calculations'!X163</f>
        <v>Noncancer</v>
      </c>
      <c r="F163" s="127"/>
      <c r="G163" s="698">
        <f>IF(E163="BTV","NA",IF(E163="Max Limit","NA",IF(E163="Csat","NA",IF(ISNUMBER('Com-Ind Calculations'!U163),((F163/'Com-Ind Calculations'!U163)),"NA"))))</f>
        <v>0</v>
      </c>
      <c r="H163" s="704" t="str">
        <f>IF(E163="BTV","NA",IF(E163="Max Limit","NA",IF(E163="Csat","NA",IF(ISNUMBER('Com-Ind Calculations'!N163),((F163/'Com-Ind Calculations'!N163)*0.00001),"NA"))))</f>
        <v>NA</v>
      </c>
      <c r="I163" s="702" t="str">
        <f>IF('Chemical Info'!R164="X",'Com-Ind Worksheet'!G163,"")</f>
        <v/>
      </c>
      <c r="J163" s="702" t="str">
        <f>IF('Chemical Info'!S164="X",'Com-Ind Worksheet'!G163,"")</f>
        <v/>
      </c>
      <c r="K163" s="702" t="str">
        <f>IF('Chemical Info'!T164="X",'Com-Ind Worksheet'!G163,"")</f>
        <v/>
      </c>
      <c r="L163" s="702">
        <f>IF('Chemical Info'!U164="X",'Com-Ind Worksheet'!G163,"")</f>
        <v>0</v>
      </c>
      <c r="M163" s="702" t="str">
        <f>IF('Chemical Info'!V164="X",'Com-Ind Worksheet'!G163,"")</f>
        <v/>
      </c>
      <c r="N163" s="702" t="str">
        <f>IF('Chemical Info'!W164="X",'Com-Ind Worksheet'!G163,"")</f>
        <v/>
      </c>
      <c r="O163" s="702">
        <f>IF('Chemical Info'!X164="X",'Com-Ind Worksheet'!G163,"")</f>
        <v>0</v>
      </c>
      <c r="P163" s="702" t="str">
        <f>IF('Chemical Info'!Y164="X",'Com-Ind Worksheet'!G163,"")</f>
        <v/>
      </c>
      <c r="Q163" s="702" t="str">
        <f>IF('Chemical Info'!Z164="X",'Com-Ind Worksheet'!G163,"")</f>
        <v/>
      </c>
      <c r="R163" s="702" t="str">
        <f>IF('Chemical Info'!AA164="X",'Com-Ind Worksheet'!G163,"")</f>
        <v/>
      </c>
      <c r="S163" s="692" t="str">
        <f t="shared" si="2"/>
        <v/>
      </c>
    </row>
    <row r="164" spans="1:19" ht="10">
      <c r="A164" s="129" t="s">
        <v>1181</v>
      </c>
      <c r="B164" s="566" t="s">
        <v>1182</v>
      </c>
      <c r="C164" s="566">
        <v>2022</v>
      </c>
      <c r="D164" s="126">
        <f>'Com-Ind Calculations'!W164</f>
        <v>650</v>
      </c>
      <c r="E164" s="126" t="str">
        <f>'Com-Ind Calculations'!X164</f>
        <v>Noncancer</v>
      </c>
      <c r="F164" s="127"/>
      <c r="G164" s="698">
        <f>IF(E164="BTV","NA",IF(E164="Max Limit","NA",IF(E164="Csat","NA",IF(ISNUMBER('Com-Ind Calculations'!U164),((F164/'Com-Ind Calculations'!U164)),"NA"))))</f>
        <v>0</v>
      </c>
      <c r="H164" s="704" t="str">
        <f>IF(E164="BTV","NA",IF(E164="Max Limit","NA",IF(E164="Csat","NA",IF(ISNUMBER('Com-Ind Calculations'!N164),((F164/'Com-Ind Calculations'!N164)*0.00001),"NA"))))</f>
        <v>NA</v>
      </c>
      <c r="I164" s="702" t="str">
        <f>IF('Chemical Info'!R165="X",'Com-Ind Worksheet'!G164,"")</f>
        <v/>
      </c>
      <c r="J164" s="702" t="str">
        <f>IF('Chemical Info'!S165="X",'Com-Ind Worksheet'!G164,"")</f>
        <v/>
      </c>
      <c r="K164" s="702" t="str">
        <f>IF('Chemical Info'!T165="X",'Com-Ind Worksheet'!G164,"")</f>
        <v/>
      </c>
      <c r="L164" s="702">
        <f>IF('Chemical Info'!U165="X",'Com-Ind Worksheet'!G164,"")</f>
        <v>0</v>
      </c>
      <c r="M164" s="702">
        <f>IF('Chemical Info'!V165="X",'Com-Ind Worksheet'!G164,"")</f>
        <v>0</v>
      </c>
      <c r="N164" s="702" t="str">
        <f>IF('Chemical Info'!W165="X",'Com-Ind Worksheet'!G164,"")</f>
        <v/>
      </c>
      <c r="O164" s="702" t="str">
        <f>IF('Chemical Info'!X165="X",'Com-Ind Worksheet'!G164,"")</f>
        <v/>
      </c>
      <c r="P164" s="702" t="str">
        <f>IF('Chemical Info'!Y165="X",'Com-Ind Worksheet'!G164,"")</f>
        <v/>
      </c>
      <c r="Q164" s="702" t="str">
        <f>IF('Chemical Info'!Z165="X",'Com-Ind Worksheet'!G164,"")</f>
        <v/>
      </c>
      <c r="R164" s="702" t="str">
        <f>IF('Chemical Info'!AA165="X",'Com-Ind Worksheet'!G164,"")</f>
        <v/>
      </c>
      <c r="S164" s="692" t="str">
        <f t="shared" si="2"/>
        <v/>
      </c>
    </row>
    <row r="165" spans="1:19" ht="10">
      <c r="A165" s="129" t="s">
        <v>1159</v>
      </c>
      <c r="B165" s="566" t="s">
        <v>1160</v>
      </c>
      <c r="C165" s="566">
        <v>2022</v>
      </c>
      <c r="D165" s="126">
        <f>'Com-Ind Calculations'!W165</f>
        <v>9.6999999999999993</v>
      </c>
      <c r="E165" s="126" t="str">
        <f>'Com-Ind Calculations'!X165</f>
        <v>Noncancer</v>
      </c>
      <c r="F165" s="127"/>
      <c r="G165" s="698">
        <f>IF(E165="BTV","NA",IF(E165="Max Limit","NA",IF(E165="Csat","NA",IF(ISNUMBER('Com-Ind Calculations'!U165),((F165/'Com-Ind Calculations'!U165)),"NA"))))</f>
        <v>0</v>
      </c>
      <c r="H165" s="704" t="str">
        <f>IF(E165="BTV","NA",IF(E165="Max Limit","NA",IF(E165="Csat","NA",IF(ISNUMBER('Com-Ind Calculations'!N165),((F165/'Com-Ind Calculations'!N165)*0.00001),"NA"))))</f>
        <v>NA</v>
      </c>
      <c r="I165" s="702" t="str">
        <f>IF('Chemical Info'!R166="X",'Com-Ind Worksheet'!G165,"")</f>
        <v/>
      </c>
      <c r="J165" s="702" t="str">
        <f>IF('Chemical Info'!S166="X",'Com-Ind Worksheet'!G165,"")</f>
        <v/>
      </c>
      <c r="K165" s="702" t="str">
        <f>IF('Chemical Info'!T166="X",'Com-Ind Worksheet'!G165,"")</f>
        <v/>
      </c>
      <c r="L165" s="702" t="str">
        <f>IF('Chemical Info'!U166="X",'Com-Ind Worksheet'!G165,"")</f>
        <v/>
      </c>
      <c r="M165" s="702" t="str">
        <f>IF('Chemical Info'!V166="X",'Com-Ind Worksheet'!G165,"")</f>
        <v/>
      </c>
      <c r="N165" s="702" t="str">
        <f>IF('Chemical Info'!W166="X",'Com-Ind Worksheet'!G165,"")</f>
        <v/>
      </c>
      <c r="O165" s="702" t="str">
        <f>IF('Chemical Info'!X166="X",'Com-Ind Worksheet'!G165,"")</f>
        <v/>
      </c>
      <c r="P165" s="702" t="str">
        <f>IF('Chemical Info'!Y166="X",'Com-Ind Worksheet'!G165,"")</f>
        <v/>
      </c>
      <c r="Q165" s="702" t="str">
        <f>IF('Chemical Info'!Z166="X",'Com-Ind Worksheet'!G165,"")</f>
        <v/>
      </c>
      <c r="R165" s="702">
        <f>IF('Chemical Info'!AA166="X",'Com-Ind Worksheet'!G165,"")</f>
        <v>0</v>
      </c>
      <c r="S165" s="692" t="str">
        <f t="shared" si="2"/>
        <v/>
      </c>
    </row>
    <row r="166" spans="1:19" ht="10">
      <c r="A166" s="133" t="s">
        <v>408</v>
      </c>
      <c r="B166" s="566" t="s">
        <v>61</v>
      </c>
      <c r="C166" s="566">
        <v>2016</v>
      </c>
      <c r="D166" s="126">
        <f>'Com-Ind Calculations'!W166</f>
        <v>5400</v>
      </c>
      <c r="E166" s="126" t="str">
        <f>'Com-Ind Calculations'!X166</f>
        <v>Noncancer</v>
      </c>
      <c r="F166" s="127"/>
      <c r="G166" s="698">
        <f>IF(E166="BTV","NA",IF(E166="Max Limit","NA",IF(E166="Csat","NA",IF(ISNUMBER('Com-Ind Calculations'!U166),((F166/'Com-Ind Calculations'!U166)),"NA"))))</f>
        <v>0</v>
      </c>
      <c r="H166" s="704" t="str">
        <f>IF(E166="BTV","NA",IF(E166="Max Limit","NA",IF(E166="Csat","NA",IF(ISNUMBER('Com-Ind Calculations'!N166),((F166/'Com-Ind Calculations'!N166)*0.00001),"NA"))))</f>
        <v>NA</v>
      </c>
      <c r="I166" s="702" t="str">
        <f>IF('Chemical Info'!R167="X",'Com-Ind Worksheet'!G166,"")</f>
        <v/>
      </c>
      <c r="J166" s="702" t="str">
        <f>IF('Chemical Info'!S167="X",'Com-Ind Worksheet'!G166,"")</f>
        <v/>
      </c>
      <c r="K166" s="702" t="str">
        <f>IF('Chemical Info'!T167="X",'Com-Ind Worksheet'!G166,"")</f>
        <v/>
      </c>
      <c r="L166" s="702" t="str">
        <f>IF('Chemical Info'!U167="X",'Com-Ind Worksheet'!G166,"")</f>
        <v/>
      </c>
      <c r="M166" s="702">
        <f>IF('Chemical Info'!V167="X",'Com-Ind Worksheet'!G166,"")</f>
        <v>0</v>
      </c>
      <c r="N166" s="702" t="str">
        <f>IF('Chemical Info'!W167="X",'Com-Ind Worksheet'!G166,"")</f>
        <v/>
      </c>
      <c r="O166" s="702" t="str">
        <f>IF('Chemical Info'!X167="X",'Com-Ind Worksheet'!G166,"")</f>
        <v/>
      </c>
      <c r="P166" s="702" t="str">
        <f>IF('Chemical Info'!Y167="X",'Com-Ind Worksheet'!G166,"")</f>
        <v/>
      </c>
      <c r="Q166" s="702" t="str">
        <f>IF('Chemical Info'!Z167="X",'Com-Ind Worksheet'!G166,"")</f>
        <v/>
      </c>
      <c r="R166" s="702" t="str">
        <f>IF('Chemical Info'!AA167="X",'Com-Ind Worksheet'!G166,"")</f>
        <v/>
      </c>
      <c r="S166" s="692" t="str">
        <f t="shared" si="2"/>
        <v/>
      </c>
    </row>
    <row r="167" spans="1:19" ht="10">
      <c r="A167" s="133" t="s">
        <v>419</v>
      </c>
      <c r="B167" s="566" t="s">
        <v>62</v>
      </c>
      <c r="C167" s="566">
        <v>2016</v>
      </c>
      <c r="D167" s="126">
        <f>'Com-Ind Calculations'!W167</f>
        <v>18000</v>
      </c>
      <c r="E167" s="126" t="str">
        <f>'Com-Ind Calculations'!X167</f>
        <v>Noncancer</v>
      </c>
      <c r="F167" s="127"/>
      <c r="G167" s="698">
        <f>IF(E167="BTV","NA",IF(E167="Max Limit","NA",IF(E167="Csat","NA",IF(ISNUMBER('Com-Ind Calculations'!U167),((F167/'Com-Ind Calculations'!U167)),"NA"))))</f>
        <v>0</v>
      </c>
      <c r="H167" s="704" t="str">
        <f>IF(E167="BTV","NA",IF(E167="Max Limit","NA",IF(E167="Csat","NA",IF(ISNUMBER('Com-Ind Calculations'!N167),((F167/'Com-Ind Calculations'!N167)*0.00001),"NA"))))</f>
        <v>NA</v>
      </c>
      <c r="I167" s="702" t="str">
        <f>IF('Chemical Info'!R168="X",'Com-Ind Worksheet'!G167,"")</f>
        <v/>
      </c>
      <c r="J167" s="702" t="str">
        <f>IF('Chemical Info'!S168="X",'Com-Ind Worksheet'!G167,"")</f>
        <v/>
      </c>
      <c r="K167" s="702" t="str">
        <f>IF('Chemical Info'!T168="X",'Com-Ind Worksheet'!G167,"")</f>
        <v/>
      </c>
      <c r="L167" s="702">
        <f>IF('Chemical Info'!U168="X",'Com-Ind Worksheet'!G167,"")</f>
        <v>0</v>
      </c>
      <c r="M167" s="702">
        <f>IF('Chemical Info'!V168="X",'Com-Ind Worksheet'!G167,"")</f>
        <v>0</v>
      </c>
      <c r="N167" s="702" t="str">
        <f>IF('Chemical Info'!W168="X",'Com-Ind Worksheet'!G167,"")</f>
        <v/>
      </c>
      <c r="O167" s="702" t="str">
        <f>IF('Chemical Info'!X168="X",'Com-Ind Worksheet'!G167,"")</f>
        <v/>
      </c>
      <c r="P167" s="702" t="str">
        <f>IF('Chemical Info'!Y168="X",'Com-Ind Worksheet'!G167,"")</f>
        <v/>
      </c>
      <c r="Q167" s="702" t="str">
        <f>IF('Chemical Info'!Z168="X",'Com-Ind Worksheet'!G167,"")</f>
        <v/>
      </c>
      <c r="R167" s="702" t="str">
        <f>IF('Chemical Info'!AA168="X",'Com-Ind Worksheet'!G167,"")</f>
        <v/>
      </c>
      <c r="S167" s="692" t="str">
        <f t="shared" si="2"/>
        <v/>
      </c>
    </row>
    <row r="168" spans="1:19" ht="10">
      <c r="A168" s="133" t="s">
        <v>420</v>
      </c>
      <c r="B168" s="566" t="s">
        <v>82</v>
      </c>
      <c r="C168" s="566">
        <v>2016</v>
      </c>
      <c r="D168" s="126">
        <f>'Com-Ind Calculations'!W168</f>
        <v>180</v>
      </c>
      <c r="E168" s="126" t="str">
        <f>'Com-Ind Calculations'!X168</f>
        <v>Noncancer</v>
      </c>
      <c r="F168" s="127"/>
      <c r="G168" s="698">
        <f>IF(E168="BTV","NA",IF(E168="Max Limit","NA",IF(E168="Csat","NA",IF(ISNUMBER('Com-Ind Calculations'!U168),((F168/'Com-Ind Calculations'!U168)),"NA"))))</f>
        <v>0</v>
      </c>
      <c r="H168" s="704">
        <f>IF(E168="BTV","NA",IF(E168="Max Limit","NA",IF(E168="Csat","NA",IF(ISNUMBER('Com-Ind Calculations'!N168),((F168/'Com-Ind Calculations'!N168)*0.00001),"NA"))))</f>
        <v>0</v>
      </c>
      <c r="I168" s="702" t="str">
        <f>IF('Chemical Info'!R169="X",'Com-Ind Worksheet'!G168,"")</f>
        <v/>
      </c>
      <c r="J168" s="702" t="str">
        <f>IF('Chemical Info'!S169="X",'Com-Ind Worksheet'!G168,"")</f>
        <v/>
      </c>
      <c r="K168" s="702" t="str">
        <f>IF('Chemical Info'!T169="X",'Com-Ind Worksheet'!G168,"")</f>
        <v/>
      </c>
      <c r="L168" s="702" t="str">
        <f>IF('Chemical Info'!U169="X",'Com-Ind Worksheet'!G168,"")</f>
        <v/>
      </c>
      <c r="M168" s="702" t="str">
        <f>IF('Chemical Info'!V169="X",'Com-Ind Worksheet'!G168,"")</f>
        <v/>
      </c>
      <c r="N168" s="702">
        <f>IF('Chemical Info'!W169="X",'Com-Ind Worksheet'!G168,"")</f>
        <v>0</v>
      </c>
      <c r="O168" s="702" t="str">
        <f>IF('Chemical Info'!X169="X",'Com-Ind Worksheet'!G168,"")</f>
        <v/>
      </c>
      <c r="P168" s="702" t="str">
        <f>IF('Chemical Info'!Y169="X",'Com-Ind Worksheet'!G168,"")</f>
        <v/>
      </c>
      <c r="Q168" s="702" t="str">
        <f>IF('Chemical Info'!Z169="X",'Com-Ind Worksheet'!G168,"")</f>
        <v/>
      </c>
      <c r="R168" s="702" t="str">
        <f>IF('Chemical Info'!AA169="X",'Com-Ind Worksheet'!G168,"")</f>
        <v/>
      </c>
      <c r="S168" s="692" t="str">
        <f t="shared" si="2"/>
        <v/>
      </c>
    </row>
    <row r="169" spans="1:19" ht="10">
      <c r="A169" s="403" t="s">
        <v>968</v>
      </c>
      <c r="B169" s="593"/>
      <c r="C169" s="593"/>
      <c r="D169" s="384"/>
      <c r="E169" s="384"/>
      <c r="F169" s="392"/>
      <c r="G169" s="697"/>
      <c r="H169" s="703"/>
      <c r="I169" s="714"/>
      <c r="J169" s="714"/>
      <c r="K169" s="714"/>
      <c r="L169" s="714"/>
      <c r="M169" s="714"/>
      <c r="N169" s="714"/>
      <c r="O169" s="714"/>
      <c r="P169" s="714"/>
      <c r="Q169" s="714"/>
      <c r="R169" s="715"/>
      <c r="S169" s="691"/>
    </row>
    <row r="170" spans="1:19" ht="10">
      <c r="A170" s="134" t="s">
        <v>182</v>
      </c>
      <c r="B170" s="566" t="s">
        <v>80</v>
      </c>
      <c r="C170" s="566">
        <v>2021</v>
      </c>
      <c r="D170" s="126">
        <f>'Com-Ind Calculations'!W170</f>
        <v>6800</v>
      </c>
      <c r="E170" s="126" t="str">
        <f>'Com-Ind Calculations'!X170</f>
        <v>Noncancer</v>
      </c>
      <c r="F170" s="136"/>
      <c r="G170" s="698">
        <f>IF(E170="BTV","NA",IF(E170="Max Limit","NA",IF(E170="Csat","NA",IF(ISNUMBER('Com-Ind Calculations'!U170),((F170/'Com-Ind Calculations'!U170)),"NA"))))</f>
        <v>0</v>
      </c>
      <c r="H170" s="704" t="str">
        <f>IF(E170="BTV","NA",IF(E170="Max Limit","NA",IF(E170="Csat","NA",IF(ISNUMBER('Com-Ind Calculations'!N170),((F170/'Com-Ind Calculations'!N170)*0.00001),"NA"))))</f>
        <v>NA</v>
      </c>
      <c r="I170" s="702" t="str">
        <f>IF('Chemical Info'!R171="X",'Com-Ind Worksheet'!G170,"")</f>
        <v/>
      </c>
      <c r="J170" s="702" t="str">
        <f>IF('Chemical Info'!S171="X",'Com-Ind Worksheet'!G170,"")</f>
        <v/>
      </c>
      <c r="K170" s="702" t="str">
        <f>IF('Chemical Info'!T171="X",'Com-Ind Worksheet'!G170,"")</f>
        <v/>
      </c>
      <c r="L170" s="702">
        <f>IF('Chemical Info'!U171="X",'Com-Ind Worksheet'!G170,"")</f>
        <v>0</v>
      </c>
      <c r="M170" s="702">
        <f>IF('Chemical Info'!V171="X",'Com-Ind Worksheet'!G170,"")</f>
        <v>0</v>
      </c>
      <c r="N170" s="702" t="str">
        <f>IF('Chemical Info'!W171="X",'Com-Ind Worksheet'!G170,"")</f>
        <v/>
      </c>
      <c r="O170" s="702" t="str">
        <f>IF('Chemical Info'!X171="X",'Com-Ind Worksheet'!G170,"")</f>
        <v/>
      </c>
      <c r="P170" s="702" t="str">
        <f>IF('Chemical Info'!Y171="X",'Com-Ind Worksheet'!G170,"")</f>
        <v/>
      </c>
      <c r="Q170" s="702" t="str">
        <f>IF('Chemical Info'!Z171="X",'Com-Ind Worksheet'!G170,"")</f>
        <v/>
      </c>
      <c r="R170" s="702" t="str">
        <f>IF('Chemical Info'!AA171="X",'Com-Ind Worksheet'!G170,"")</f>
        <v/>
      </c>
      <c r="S170" s="692" t="str">
        <f t="shared" si="2"/>
        <v/>
      </c>
    </row>
    <row r="171" spans="1:19" ht="10">
      <c r="A171" s="137" t="s">
        <v>181</v>
      </c>
      <c r="B171" s="566" t="s">
        <v>81</v>
      </c>
      <c r="C171" s="566">
        <v>2021</v>
      </c>
      <c r="D171" s="126">
        <f>'Com-Ind Calculations'!W171</f>
        <v>42000</v>
      </c>
      <c r="E171" s="126" t="str">
        <f>'Com-Ind Calculations'!X171</f>
        <v>Noncancer</v>
      </c>
      <c r="F171" s="127"/>
      <c r="G171" s="698">
        <f>IF(E171="BTV","NA",IF(E171="Max Limit","NA",IF(E171="Csat","NA",IF(ISNUMBER('Com-Ind Calculations'!U171),((F171/'Com-Ind Calculations'!U171)),"NA"))))</f>
        <v>0</v>
      </c>
      <c r="H171" s="704" t="str">
        <f>IF(E171="BTV","NA",IF(E171="Max Limit","NA",IF(E171="Csat","NA",IF(ISNUMBER('Com-Ind Calculations'!N171),((F171/'Com-Ind Calculations'!N171)*0.00001),"NA"))))</f>
        <v>NA</v>
      </c>
      <c r="I171" s="702" t="str">
        <f>IF('Chemical Info'!R172="X",'Com-Ind Worksheet'!G171,"")</f>
        <v/>
      </c>
      <c r="J171" s="702" t="str">
        <f>IF('Chemical Info'!S172="X",'Com-Ind Worksheet'!G171,"")</f>
        <v/>
      </c>
      <c r="K171" s="702" t="str">
        <f>IF('Chemical Info'!T172="X",'Com-Ind Worksheet'!G171,"")</f>
        <v/>
      </c>
      <c r="L171" s="702" t="str">
        <f>IF('Chemical Info'!U172="X",'Com-Ind Worksheet'!G171,"")</f>
        <v/>
      </c>
      <c r="M171" s="702" t="str">
        <f>IF('Chemical Info'!V172="X",'Com-Ind Worksheet'!G171,"")</f>
        <v/>
      </c>
      <c r="N171" s="702" t="str">
        <f>IF('Chemical Info'!W172="X",'Com-Ind Worksheet'!G171,"")</f>
        <v/>
      </c>
      <c r="O171" s="702" t="str">
        <f>IF('Chemical Info'!X172="X",'Com-Ind Worksheet'!G171,"")</f>
        <v/>
      </c>
      <c r="P171" s="702" t="str">
        <f>IF('Chemical Info'!Y172="X",'Com-Ind Worksheet'!G171,"")</f>
        <v/>
      </c>
      <c r="Q171" s="702" t="str">
        <f>IF('Chemical Info'!Z172="X",'Com-Ind Worksheet'!G171,"")</f>
        <v/>
      </c>
      <c r="R171" s="702" t="str">
        <f>IF('Chemical Info'!AA172="X",'Com-Ind Worksheet'!G171,"")</f>
        <v/>
      </c>
      <c r="S171" s="692" t="str">
        <f t="shared" si="2"/>
        <v/>
      </c>
    </row>
    <row r="172" spans="1:19" ht="10">
      <c r="A172" s="129" t="s">
        <v>670</v>
      </c>
      <c r="B172" s="566" t="s">
        <v>99</v>
      </c>
      <c r="C172" s="566">
        <v>2019</v>
      </c>
      <c r="D172" s="126">
        <f>'Com-Ind Calculations'!W172</f>
        <v>23</v>
      </c>
      <c r="E172" s="126" t="str">
        <f>'Com-Ind Calculations'!X172</f>
        <v>Cancer</v>
      </c>
      <c r="F172" s="127"/>
      <c r="G172" s="698">
        <f>IF(E172="BTV","NA",IF(E172="Max Limit","NA",IF(E172="Csat","NA",IF(ISNUMBER('Com-Ind Calculations'!U172),((F172/'Com-Ind Calculations'!U172)),"NA"))))</f>
        <v>0</v>
      </c>
      <c r="H172" s="704">
        <f>IF(E172="BTV","NA",IF(E172="Max Limit","NA",IF(E172="Csat","NA",IF(ISNUMBER('Com-Ind Calculations'!N172),((F172/'Com-Ind Calculations'!N172)*0.00001),"NA"))))</f>
        <v>0</v>
      </c>
      <c r="I172" s="702">
        <f>IF('Chemical Info'!R173="X",'Com-Ind Worksheet'!G172,"")</f>
        <v>0</v>
      </c>
      <c r="J172" s="702" t="str">
        <f>IF('Chemical Info'!S173="X",'Com-Ind Worksheet'!G172,"")</f>
        <v/>
      </c>
      <c r="K172" s="702" t="str">
        <f>IF('Chemical Info'!T173="X",'Com-Ind Worksheet'!G172,"")</f>
        <v/>
      </c>
      <c r="L172" s="702" t="str">
        <f>IF('Chemical Info'!U173="X",'Com-Ind Worksheet'!G172,"")</f>
        <v/>
      </c>
      <c r="M172" s="702" t="str">
        <f>IF('Chemical Info'!V173="X",'Com-Ind Worksheet'!G172,"")</f>
        <v/>
      </c>
      <c r="N172" s="702">
        <f>IF('Chemical Info'!W173="X",'Com-Ind Worksheet'!G172,"")</f>
        <v>0</v>
      </c>
      <c r="O172" s="702" t="str">
        <f>IF('Chemical Info'!X173="X",'Com-Ind Worksheet'!G172,"")</f>
        <v/>
      </c>
      <c r="P172" s="702" t="str">
        <f>IF('Chemical Info'!Y173="X",'Com-Ind Worksheet'!G172,"")</f>
        <v/>
      </c>
      <c r="Q172" s="702" t="str">
        <f>IF('Chemical Info'!Z173="X",'Com-Ind Worksheet'!G172,"")</f>
        <v/>
      </c>
      <c r="R172" s="702" t="str">
        <f>IF('Chemical Info'!AA173="X",'Com-Ind Worksheet'!G172,"")</f>
        <v/>
      </c>
      <c r="S172" s="692" t="str">
        <f t="shared" si="2"/>
        <v/>
      </c>
    </row>
    <row r="173" spans="1:19" ht="10">
      <c r="A173" s="129" t="s">
        <v>1195</v>
      </c>
      <c r="B173" s="566" t="s">
        <v>1163</v>
      </c>
      <c r="C173" s="566">
        <v>2022</v>
      </c>
      <c r="D173" s="126">
        <f>'Com-Ind Calculations'!W173</f>
        <v>26000</v>
      </c>
      <c r="E173" s="126" t="str">
        <f>'Com-Ind Calculations'!X173</f>
        <v>Noncancer</v>
      </c>
      <c r="F173" s="127"/>
      <c r="G173" s="698">
        <f>IF(E173="BTV","NA",IF(E173="Max Limit","NA",IF(E173="Csat","NA",IF(ISNUMBER('Com-Ind Calculations'!U173),((F173/'Com-Ind Calculations'!U173)),"NA"))))</f>
        <v>0</v>
      </c>
      <c r="H173" s="704" t="str">
        <f>IF(E173="BTV","NA",IF(E173="Max Limit","NA",IF(E173="Csat","NA",IF(ISNUMBER('Com-Ind Calculations'!N173),((F173/'Com-Ind Calculations'!N173)*0.00001),"NA"))))</f>
        <v>NA</v>
      </c>
      <c r="I173" s="702" t="str">
        <f>IF('Chemical Info'!R174="X",'Com-Ind Worksheet'!G173,"")</f>
        <v/>
      </c>
      <c r="J173" s="702" t="str">
        <f>IF('Chemical Info'!S174="X",'Com-Ind Worksheet'!G173,"")</f>
        <v/>
      </c>
      <c r="K173" s="702" t="str">
        <f>IF('Chemical Info'!T174="X",'Com-Ind Worksheet'!G173,"")</f>
        <v/>
      </c>
      <c r="L173" s="702" t="str">
        <f>IF('Chemical Info'!U174="X",'Com-Ind Worksheet'!G173,"")</f>
        <v/>
      </c>
      <c r="M173" s="702">
        <f>IF('Chemical Info'!V174="X",'Com-Ind Worksheet'!G173,"")</f>
        <v>0</v>
      </c>
      <c r="N173" s="702" t="str">
        <f>IF('Chemical Info'!W174="X",'Com-Ind Worksheet'!G173,"")</f>
        <v/>
      </c>
      <c r="O173" s="702">
        <f>IF('Chemical Info'!X174="X",'Com-Ind Worksheet'!G173,"")</f>
        <v>0</v>
      </c>
      <c r="P173" s="702" t="str">
        <f>IF('Chemical Info'!Y174="X",'Com-Ind Worksheet'!G173,"")</f>
        <v/>
      </c>
      <c r="Q173" s="702" t="str">
        <f>IF('Chemical Info'!Z174="X",'Com-Ind Worksheet'!G173,"")</f>
        <v/>
      </c>
      <c r="R173" s="702" t="str">
        <f>IF('Chemical Info'!AA174="X",'Com-Ind Worksheet'!G173,"")</f>
        <v/>
      </c>
      <c r="S173" s="692" t="str">
        <f t="shared" si="2"/>
        <v/>
      </c>
    </row>
    <row r="174" spans="1:19" ht="10">
      <c r="A174" s="129" t="s">
        <v>180</v>
      </c>
      <c r="B174" s="566" t="s">
        <v>37</v>
      </c>
      <c r="C174" s="566">
        <v>2021</v>
      </c>
      <c r="D174" s="126">
        <f>'Com-Ind Calculations'!W174</f>
        <v>2700</v>
      </c>
      <c r="E174" s="126" t="str">
        <f>'Com-Ind Calculations'!X174</f>
        <v>Noncancer</v>
      </c>
      <c r="F174" s="127"/>
      <c r="G174" s="698">
        <f>IF(E174="BTV","NA",IF(E174="Max Limit","NA",IF(E174="Csat","NA",IF(ISNUMBER('Com-Ind Calculations'!U174),((F174/'Com-Ind Calculations'!U174)),"NA"))))</f>
        <v>0</v>
      </c>
      <c r="H174" s="704" t="str">
        <f>IF(E174="BTV","NA",IF(E174="Max Limit","NA",IF(E174="Csat","NA",IF(ISNUMBER('Com-Ind Calculations'!N174),((F174/'Com-Ind Calculations'!N174)*0.00001),"NA"))))</f>
        <v>NA</v>
      </c>
      <c r="I174" s="702" t="str">
        <f>IF('Chemical Info'!R175="X",'Com-Ind Worksheet'!G174,"")</f>
        <v/>
      </c>
      <c r="J174" s="702" t="str">
        <f>IF('Chemical Info'!S175="X",'Com-Ind Worksheet'!G174,"")</f>
        <v/>
      </c>
      <c r="K174" s="702" t="str">
        <f>IF('Chemical Info'!T175="X",'Com-Ind Worksheet'!G174,"")</f>
        <v/>
      </c>
      <c r="L174" s="702">
        <f>IF('Chemical Info'!U175="X",'Com-Ind Worksheet'!G174,"")</f>
        <v>0</v>
      </c>
      <c r="M174" s="702">
        <f>IF('Chemical Info'!V175="X",'Com-Ind Worksheet'!G174,"")</f>
        <v>0</v>
      </c>
      <c r="N174" s="702" t="str">
        <f>IF('Chemical Info'!W175="X",'Com-Ind Worksheet'!G174,"")</f>
        <v/>
      </c>
      <c r="O174" s="702" t="str">
        <f>IF('Chemical Info'!X175="X",'Com-Ind Worksheet'!G174,"")</f>
        <v/>
      </c>
      <c r="P174" s="702" t="str">
        <f>IF('Chemical Info'!Y175="X",'Com-Ind Worksheet'!G174,"")</f>
        <v/>
      </c>
      <c r="Q174" s="702" t="str">
        <f>IF('Chemical Info'!Z175="X",'Com-Ind Worksheet'!G174,"")</f>
        <v/>
      </c>
      <c r="R174" s="702" t="str">
        <f>IF('Chemical Info'!AA175="X",'Com-Ind Worksheet'!G174,"")</f>
        <v/>
      </c>
      <c r="S174" s="692" t="str">
        <f t="shared" si="2"/>
        <v/>
      </c>
    </row>
    <row r="175" spans="1:19" ht="10">
      <c r="A175" s="129" t="s">
        <v>179</v>
      </c>
      <c r="B175" s="566" t="s">
        <v>121</v>
      </c>
      <c r="C175" s="566">
        <v>2021</v>
      </c>
      <c r="D175" s="126">
        <f>'Com-Ind Calculations'!W175</f>
        <v>5800</v>
      </c>
      <c r="E175" s="126" t="str">
        <f>'Com-Ind Calculations'!X175</f>
        <v>Noncancer</v>
      </c>
      <c r="F175" s="127"/>
      <c r="G175" s="698">
        <f>IF(E175="BTV","NA",IF(E175="Max Limit","NA",IF(E175="Csat","NA",IF(ISNUMBER('Com-Ind Calculations'!U175),((F175/'Com-Ind Calculations'!U175)),"NA"))))</f>
        <v>0</v>
      </c>
      <c r="H175" s="704" t="str">
        <f>IF(E175="BTV","NA",IF(E175="Max Limit","NA",IF(E175="Csat","NA",IF(ISNUMBER('Com-Ind Calculations'!N175),((F175/'Com-Ind Calculations'!N175)*0.00001),"NA"))))</f>
        <v>NA</v>
      </c>
      <c r="I175" s="702" t="str">
        <f>IF('Chemical Info'!R176="X",'Com-Ind Worksheet'!G175,"")</f>
        <v/>
      </c>
      <c r="J175" s="702">
        <f>IF('Chemical Info'!S176="X",'Com-Ind Worksheet'!G175,"")</f>
        <v>0</v>
      </c>
      <c r="K175" s="702">
        <f>IF('Chemical Info'!T176="X",'Com-Ind Worksheet'!G175,"")</f>
        <v>0</v>
      </c>
      <c r="L175" s="702" t="str">
        <f>IF('Chemical Info'!U176="X",'Com-Ind Worksheet'!G175,"")</f>
        <v/>
      </c>
      <c r="M175" s="702" t="str">
        <f>IF('Chemical Info'!V176="X",'Com-Ind Worksheet'!G175,"")</f>
        <v/>
      </c>
      <c r="N175" s="702" t="str">
        <f>IF('Chemical Info'!W176="X",'Com-Ind Worksheet'!G175,"")</f>
        <v/>
      </c>
      <c r="O175" s="702" t="str">
        <f>IF('Chemical Info'!X176="X",'Com-Ind Worksheet'!G175,"")</f>
        <v/>
      </c>
      <c r="P175" s="702" t="str">
        <f>IF('Chemical Info'!Y176="X",'Com-Ind Worksheet'!G175,"")</f>
        <v/>
      </c>
      <c r="Q175" s="702" t="str">
        <f>IF('Chemical Info'!Z176="X",'Com-Ind Worksheet'!G175,"")</f>
        <v/>
      </c>
      <c r="R175" s="702" t="str">
        <f>IF('Chemical Info'!AA176="X",'Com-Ind Worksheet'!G175,"")</f>
        <v/>
      </c>
      <c r="S175" s="692" t="str">
        <f t="shared" si="2"/>
        <v/>
      </c>
    </row>
    <row r="176" spans="1:19" ht="10">
      <c r="A176" s="129" t="s">
        <v>1115</v>
      </c>
      <c r="B176" s="566" t="s">
        <v>1109</v>
      </c>
      <c r="C176" s="736">
        <v>2025</v>
      </c>
      <c r="D176" s="126">
        <f>'Com-Ind Calculations'!W176</f>
        <v>0.26</v>
      </c>
      <c r="E176" s="126" t="str">
        <f>'Com-Ind Calculations'!X176</f>
        <v>Noncancer</v>
      </c>
      <c r="F176" s="127"/>
      <c r="G176" s="698">
        <f>IF(E176="BTV","NA",IF(E176="Max Limit","NA",IF(E176="Csat","NA",IF(ISNUMBER('Com-Ind Calculations'!U176),((F176/'Com-Ind Calculations'!U176)),"NA"))))</f>
        <v>0</v>
      </c>
      <c r="H176" s="704">
        <f>IF(E176="BTV","NA",IF(E176="Max Limit","NA",IF(E176="Csat","NA",IF(ISNUMBER('Com-Ind Calculations'!N176),((F176/'Com-Ind Calculations'!N176)*0.00001),"NA"))))</f>
        <v>0</v>
      </c>
      <c r="I176" s="702" t="str">
        <f>IF('Chemical Info'!R177="X",'Com-Ind Worksheet'!G176,"")</f>
        <v/>
      </c>
      <c r="J176" s="702" t="str">
        <f>IF('Chemical Info'!S177="X",'Com-Ind Worksheet'!G176,"")</f>
        <v/>
      </c>
      <c r="K176" s="702" t="str">
        <f>IF('Chemical Info'!T177="X",'Com-Ind Worksheet'!G176,"")</f>
        <v/>
      </c>
      <c r="L176" s="702" t="str">
        <f>IF('Chemical Info'!U177="X",'Com-Ind Worksheet'!G176,"")</f>
        <v/>
      </c>
      <c r="M176" s="702" t="str">
        <f>IF('Chemical Info'!V177="X",'Com-Ind Worksheet'!G176,"")</f>
        <v/>
      </c>
      <c r="N176" s="702" t="str">
        <f>IF('Chemical Info'!W177="X",'Com-Ind Worksheet'!G176,"")</f>
        <v/>
      </c>
      <c r="O176" s="702">
        <f>IF('Chemical Info'!X177="X",'Com-Ind Worksheet'!G176,"")</f>
        <v>0</v>
      </c>
      <c r="P176" s="702" t="str">
        <f>IF('Chemical Info'!Y177="X",'Com-Ind Worksheet'!G176,"")</f>
        <v/>
      </c>
      <c r="Q176" s="702" t="str">
        <f>IF('Chemical Info'!Z177="X",'Com-Ind Worksheet'!G176,"")</f>
        <v/>
      </c>
      <c r="R176" s="702" t="str">
        <f>IF('Chemical Info'!AA177="X",'Com-Ind Worksheet'!G176,"")</f>
        <v/>
      </c>
      <c r="S176" s="692" t="str">
        <f t="shared" si="2"/>
        <v/>
      </c>
    </row>
    <row r="177" spans="1:19" ht="10">
      <c r="A177" s="133" t="s">
        <v>685</v>
      </c>
      <c r="B177" s="566" t="s">
        <v>35</v>
      </c>
      <c r="C177" s="566">
        <v>2021</v>
      </c>
      <c r="D177" s="126">
        <f>'Com-Ind Calculations'!W177</f>
        <v>580</v>
      </c>
      <c r="E177" s="126" t="str">
        <f>'Com-Ind Calculations'!X177</f>
        <v>Noncancer</v>
      </c>
      <c r="F177" s="127"/>
      <c r="G177" s="698">
        <f>IF(E177="BTV","NA",IF(E177="Max Limit","NA",IF(E177="Csat","NA",IF(ISNUMBER('Com-Ind Calculations'!U177),((F177/'Com-Ind Calculations'!U177)),"NA"))))</f>
        <v>0</v>
      </c>
      <c r="H177" s="704" t="str">
        <f>IF(E177="BTV","NA",IF(E177="Max Limit","NA",IF(E177="Csat","NA",IF(ISNUMBER('Com-Ind Calculations'!N177),((F177/'Com-Ind Calculations'!N177)*0.00001),"NA"))))</f>
        <v>NA</v>
      </c>
      <c r="I177" s="702" t="str">
        <f>IF('Chemical Info'!R178="X",'Com-Ind Worksheet'!G177,"")</f>
        <v/>
      </c>
      <c r="J177" s="702" t="str">
        <f>IF('Chemical Info'!S178="X",'Com-Ind Worksheet'!G177,"")</f>
        <v/>
      </c>
      <c r="K177" s="702" t="str">
        <f>IF('Chemical Info'!T178="X",'Com-Ind Worksheet'!G177,"")</f>
        <v/>
      </c>
      <c r="L177" s="702" t="str">
        <f>IF('Chemical Info'!U178="X",'Com-Ind Worksheet'!G177,"")</f>
        <v/>
      </c>
      <c r="M177" s="702" t="str">
        <f>IF('Chemical Info'!V178="X",'Com-Ind Worksheet'!G177,"")</f>
        <v/>
      </c>
      <c r="N177" s="702" t="str">
        <f>IF('Chemical Info'!W178="X",'Com-Ind Worksheet'!G177,"")</f>
        <v/>
      </c>
      <c r="O177" s="702">
        <f>IF('Chemical Info'!X178="X",'Com-Ind Worksheet'!G177,"")</f>
        <v>0</v>
      </c>
      <c r="P177" s="702" t="str">
        <f>IF('Chemical Info'!Y178="X",'Com-Ind Worksheet'!G177,"")</f>
        <v/>
      </c>
      <c r="Q177" s="702" t="str">
        <f>IF('Chemical Info'!Z178="X",'Com-Ind Worksheet'!G177,"")</f>
        <v/>
      </c>
      <c r="R177" s="702" t="str">
        <f>IF('Chemical Info'!AA178="X",'Com-Ind Worksheet'!G177,"")</f>
        <v/>
      </c>
      <c r="S177" s="692" t="str">
        <f t="shared" si="2"/>
        <v/>
      </c>
    </row>
    <row r="178" spans="1:19" ht="10">
      <c r="A178" s="133" t="s">
        <v>1304</v>
      </c>
      <c r="B178" s="566" t="s">
        <v>1305</v>
      </c>
      <c r="C178" s="566">
        <v>2024</v>
      </c>
      <c r="D178" s="126">
        <f>'Com-Ind Calculations'!W178</f>
        <v>11</v>
      </c>
      <c r="E178" s="126" t="str">
        <f>'Com-Ind Calculations'!X178</f>
        <v>Noncancer</v>
      </c>
      <c r="F178" s="127"/>
      <c r="G178" s="698">
        <f>IF(E178="BTV","NA",IF(E178="Max Limit","NA",IF(E178="Csat","NA",IF(ISNUMBER('Com-Ind Calculations'!U178),((F178/'Com-Ind Calculations'!U178)),"NA"))))</f>
        <v>0</v>
      </c>
      <c r="H178" s="704" t="str">
        <f>IF(E178="BTV","NA",IF(E178="Max Limit","NA",IF(E178="Csat","NA",IF(ISNUMBER('Com-Ind Calculations'!N178),((F178/'Com-Ind Calculations'!N178)*0.00001),"NA"))))</f>
        <v>NA</v>
      </c>
      <c r="I178" s="702">
        <f>IF('Chemical Info'!R179="X",'Com-Ind Worksheet'!G178,"")</f>
        <v>0</v>
      </c>
      <c r="J178" s="702" t="str">
        <f>IF('Chemical Info'!S179="X",'Com-Ind Worksheet'!G178,"")</f>
        <v/>
      </c>
      <c r="K178" s="702" t="str">
        <f>IF('Chemical Info'!T179="X",'Com-Ind Worksheet'!G178,"")</f>
        <v/>
      </c>
      <c r="L178" s="702" t="str">
        <f>IF('Chemical Info'!U179="X",'Com-Ind Worksheet'!G178,"")</f>
        <v/>
      </c>
      <c r="M178" s="702" t="str">
        <f>IF('Chemical Info'!V179="X",'Com-Ind Worksheet'!G178,"")</f>
        <v/>
      </c>
      <c r="N178" s="702">
        <f>IF('Chemical Info'!W179="X",'Com-Ind Worksheet'!G178,"")</f>
        <v>0</v>
      </c>
      <c r="O178" s="702" t="str">
        <f>IF('Chemical Info'!X179="X",'Com-Ind Worksheet'!G178,"")</f>
        <v/>
      </c>
      <c r="P178" s="702" t="str">
        <f>IF('Chemical Info'!Y179="X",'Com-Ind Worksheet'!G178,"")</f>
        <v/>
      </c>
      <c r="Q178" s="702" t="str">
        <f>IF('Chemical Info'!Z179="X",'Com-Ind Worksheet'!G178,"")</f>
        <v/>
      </c>
      <c r="R178" s="702" t="str">
        <f>IF('Chemical Info'!AA179="X",'Com-Ind Worksheet'!G178,"")</f>
        <v/>
      </c>
      <c r="S178" s="692"/>
    </row>
    <row r="179" spans="1:19" ht="10">
      <c r="A179" s="129" t="s">
        <v>177</v>
      </c>
      <c r="B179" s="566" t="s">
        <v>237</v>
      </c>
      <c r="C179" s="566">
        <v>2021</v>
      </c>
      <c r="D179" s="126">
        <f>'Com-Ind Calculations'!W179</f>
        <v>3200</v>
      </c>
      <c r="E179" s="126" t="str">
        <f>'Com-Ind Calculations'!X179</f>
        <v>Noncancer</v>
      </c>
      <c r="F179" s="127"/>
      <c r="G179" s="698">
        <f>IF(E179="BTV","NA",IF(E179="Max Limit","NA",IF(E179="Csat","NA",IF(ISNUMBER('Com-Ind Calculations'!U179),((F179/'Com-Ind Calculations'!U179)),"NA"))))</f>
        <v>0</v>
      </c>
      <c r="H179" s="704" t="str">
        <f>IF(E179="BTV","NA",IF(E179="Max Limit","NA",IF(E179="Csat","NA",IF(ISNUMBER('Com-Ind Calculations'!N179),((F179/'Com-Ind Calculations'!N179)*0.00001),"NA"))))</f>
        <v>NA</v>
      </c>
      <c r="I179" s="702" t="str">
        <f>IF('Chemical Info'!R180="X",'Com-Ind Worksheet'!G179,"")</f>
        <v/>
      </c>
      <c r="J179" s="702" t="str">
        <f>IF('Chemical Info'!S180="X",'Com-Ind Worksheet'!G179,"")</f>
        <v/>
      </c>
      <c r="K179" s="702" t="str">
        <f>IF('Chemical Info'!T180="X",'Com-Ind Worksheet'!G179,"")</f>
        <v/>
      </c>
      <c r="L179" s="702">
        <f>IF('Chemical Info'!U180="X",'Com-Ind Worksheet'!G179,"")</f>
        <v>0</v>
      </c>
      <c r="M179" s="702" t="str">
        <f>IF('Chemical Info'!V180="X",'Com-Ind Worksheet'!G179,"")</f>
        <v/>
      </c>
      <c r="N179" s="702" t="str">
        <f>IF('Chemical Info'!W180="X",'Com-Ind Worksheet'!G179,"")</f>
        <v/>
      </c>
      <c r="O179" s="702" t="str">
        <f>IF('Chemical Info'!X180="X",'Com-Ind Worksheet'!G179,"")</f>
        <v/>
      </c>
      <c r="P179" s="702" t="str">
        <f>IF('Chemical Info'!Y180="X",'Com-Ind Worksheet'!G179,"")</f>
        <v/>
      </c>
      <c r="Q179" s="702" t="str">
        <f>IF('Chemical Info'!Z180="X",'Com-Ind Worksheet'!G179,"")</f>
        <v/>
      </c>
      <c r="R179" s="702" t="str">
        <f>IF('Chemical Info'!AA180="X",'Com-Ind Worksheet'!G179,"")</f>
        <v/>
      </c>
      <c r="S179" s="692" t="str">
        <f t="shared" si="2"/>
        <v/>
      </c>
    </row>
    <row r="180" spans="1:19" ht="10">
      <c r="A180" s="129" t="s">
        <v>178</v>
      </c>
      <c r="B180" s="566" t="s">
        <v>231</v>
      </c>
      <c r="C180" s="566">
        <v>2016</v>
      </c>
      <c r="D180" s="126">
        <f>'Com-Ind Calculations'!W180</f>
        <v>7.8</v>
      </c>
      <c r="E180" s="126" t="str">
        <f>'Com-Ind Calculations'!X180</f>
        <v>Cancer</v>
      </c>
      <c r="F180" s="127"/>
      <c r="G180" s="698">
        <f>IF(E180="BTV","NA",IF(E180="Max Limit","NA",IF(E180="Csat","NA",IF(ISNUMBER('Com-Ind Calculations'!U180),((F180/'Com-Ind Calculations'!U180)),"NA"))))</f>
        <v>0</v>
      </c>
      <c r="H180" s="704">
        <f>IF(E180="BTV","NA",IF(E180="Max Limit","NA",IF(E180="Csat","NA",IF(ISNUMBER('Com-Ind Calculations'!N180),((F180/'Com-Ind Calculations'!N180)*0.00001),"NA"))))</f>
        <v>0</v>
      </c>
      <c r="I180" s="702" t="str">
        <f>IF('Chemical Info'!R181="X",'Com-Ind Worksheet'!G180,"")</f>
        <v/>
      </c>
      <c r="J180" s="702">
        <f>IF('Chemical Info'!S181="X",'Com-Ind Worksheet'!G180,"")</f>
        <v>0</v>
      </c>
      <c r="K180" s="702">
        <f>IF('Chemical Info'!T181="X",'Com-Ind Worksheet'!G180,"")</f>
        <v>0</v>
      </c>
      <c r="L180" s="702">
        <f>IF('Chemical Info'!U181="X",'Com-Ind Worksheet'!G180,"")</f>
        <v>0</v>
      </c>
      <c r="M180" s="702">
        <f>IF('Chemical Info'!V181="X",'Com-Ind Worksheet'!G180,"")</f>
        <v>0</v>
      </c>
      <c r="N180" s="702" t="str">
        <f>IF('Chemical Info'!W181="X",'Com-Ind Worksheet'!G180,"")</f>
        <v/>
      </c>
      <c r="O180" s="702">
        <f>IF('Chemical Info'!X181="X",'Com-Ind Worksheet'!G180,"")</f>
        <v>0</v>
      </c>
      <c r="P180" s="702" t="str">
        <f>IF('Chemical Info'!Y181="X",'Com-Ind Worksheet'!G180,"")</f>
        <v/>
      </c>
      <c r="Q180" s="702" t="str">
        <f>IF('Chemical Info'!Z181="X",'Com-Ind Worksheet'!G180,"")</f>
        <v/>
      </c>
      <c r="R180" s="702" t="str">
        <f>IF('Chemical Info'!AA181="X",'Com-Ind Worksheet'!G180,"")</f>
        <v/>
      </c>
      <c r="S180" s="692" t="str">
        <f t="shared" si="2"/>
        <v/>
      </c>
    </row>
    <row r="181" spans="1:19" ht="10">
      <c r="A181" s="391" t="s">
        <v>389</v>
      </c>
      <c r="B181" s="593"/>
      <c r="C181" s="593"/>
      <c r="D181" s="384"/>
      <c r="E181" s="384"/>
      <c r="F181" s="392"/>
      <c r="G181" s="697"/>
      <c r="H181" s="703"/>
      <c r="I181" s="714"/>
      <c r="J181" s="714"/>
      <c r="K181" s="714"/>
      <c r="L181" s="714"/>
      <c r="M181" s="714"/>
      <c r="N181" s="714"/>
      <c r="O181" s="714"/>
      <c r="P181" s="714"/>
      <c r="Q181" s="714"/>
      <c r="R181" s="715"/>
      <c r="S181" s="691"/>
    </row>
    <row r="182" spans="1:19" ht="10">
      <c r="A182" s="129" t="s">
        <v>232</v>
      </c>
      <c r="B182" s="566" t="s">
        <v>233</v>
      </c>
      <c r="C182" s="566">
        <v>2016</v>
      </c>
      <c r="D182" s="126">
        <f>'Com-Ind Calculations'!W182</f>
        <v>10</v>
      </c>
      <c r="E182" s="126" t="str">
        <f>'Com-Ind Calculations'!X182</f>
        <v>Noncancer</v>
      </c>
      <c r="F182" s="127"/>
      <c r="G182" s="698">
        <f>IF(E182="BTV","NA",IF(E182="Max Limit","NA",IF(E182="Csat","NA",IF(ISNUMBER('Com-Ind Calculations'!U182),((F182/'Com-Ind Calculations'!U182)),"NA"))))</f>
        <v>0</v>
      </c>
      <c r="H182" s="704">
        <f>IF(E182="BTV","NA",IF(E182="Max Limit","NA",IF(E182="Csat","NA",IF(ISNUMBER('Com-Ind Calculations'!N182),((F182/'Com-Ind Calculations'!N182)*0.00001),"NA"))))</f>
        <v>0</v>
      </c>
      <c r="I182" s="702" t="str">
        <f>IF('Chemical Info'!R183="X",'Com-Ind Worksheet'!G182,"")</f>
        <v/>
      </c>
      <c r="J182" s="702" t="str">
        <f>IF('Chemical Info'!S183="X",'Com-Ind Worksheet'!G182,"")</f>
        <v/>
      </c>
      <c r="K182" s="702" t="str">
        <f>IF('Chemical Info'!T183="X",'Com-Ind Worksheet'!G182,"")</f>
        <v/>
      </c>
      <c r="L182" s="702" t="str">
        <f>IF('Chemical Info'!U183="X",'Com-Ind Worksheet'!G182,"")</f>
        <v/>
      </c>
      <c r="M182" s="702" t="str">
        <f>IF('Chemical Info'!V183="X",'Com-Ind Worksheet'!G182,"")</f>
        <v/>
      </c>
      <c r="N182" s="702">
        <f>IF('Chemical Info'!W183="X",'Com-Ind Worksheet'!G182,"")</f>
        <v>0</v>
      </c>
      <c r="O182" s="702" t="str">
        <f>IF('Chemical Info'!X183="X",'Com-Ind Worksheet'!G182,"")</f>
        <v/>
      </c>
      <c r="P182" s="702" t="str">
        <f>IF('Chemical Info'!Y183="X",'Com-Ind Worksheet'!G182,"")</f>
        <v/>
      </c>
      <c r="Q182" s="702" t="str">
        <f>IF('Chemical Info'!Z183="X",'Com-Ind Worksheet'!G182,"")</f>
        <v/>
      </c>
      <c r="R182" s="702" t="str">
        <f>IF('Chemical Info'!AA183="X",'Com-Ind Worksheet'!G182,"")</f>
        <v/>
      </c>
      <c r="S182" s="692" t="str">
        <f t="shared" si="2"/>
        <v/>
      </c>
    </row>
    <row r="183" spans="1:19" ht="13.5" customHeight="1">
      <c r="A183" s="387" t="s">
        <v>894</v>
      </c>
      <c r="B183" s="593"/>
      <c r="C183" s="593"/>
      <c r="D183" s="384"/>
      <c r="E183" s="384"/>
      <c r="F183" s="392"/>
      <c r="G183" s="697"/>
      <c r="H183" s="703"/>
      <c r="I183" s="714"/>
      <c r="J183" s="714"/>
      <c r="K183" s="714"/>
      <c r="L183" s="714"/>
      <c r="M183" s="714"/>
      <c r="N183" s="714"/>
      <c r="O183" s="714"/>
      <c r="P183" s="714"/>
      <c r="Q183" s="714"/>
      <c r="R183" s="715"/>
      <c r="S183" s="691"/>
    </row>
    <row r="184" spans="1:19" ht="10">
      <c r="A184" s="129" t="s">
        <v>45</v>
      </c>
      <c r="B184" s="566" t="s">
        <v>46</v>
      </c>
      <c r="C184" s="566">
        <v>2021</v>
      </c>
      <c r="D184" s="126">
        <f>'Com-Ind Calculations'!W184</f>
        <v>2.6</v>
      </c>
      <c r="E184" s="126" t="str">
        <f>'Com-Ind Calculations'!X184</f>
        <v>Cancer</v>
      </c>
      <c r="F184" s="127"/>
      <c r="G184" s="698">
        <f>IF(E184="BTV","NA",IF(E184="Max Limit","NA",IF(E184="Csat","NA",IF(ISNUMBER('Com-Ind Calculations'!U184),((F184/'Com-Ind Calculations'!U184)),"NA"))))</f>
        <v>0</v>
      </c>
      <c r="H184" s="704">
        <f>IF(E184="BTV","NA",IF(E184="Max Limit","NA",IF(E184="Csat","NA",IF(ISNUMBER('Com-Ind Calculations'!N184),((F184/'Com-Ind Calculations'!N184)*0.00001),"NA"))))</f>
        <v>0</v>
      </c>
      <c r="I184" s="702" t="str">
        <f>IF('Chemical Info'!R185="X",'Com-Ind Worksheet'!G184,"")</f>
        <v/>
      </c>
      <c r="J184" s="702" t="str">
        <f>IF('Chemical Info'!R185="X",'Com-Ind Worksheet'!G184,"")</f>
        <v/>
      </c>
      <c r="K184" s="702" t="str">
        <f>IF('Chemical Info'!T185="X",'Com-Ind Worksheet'!G184,"")</f>
        <v/>
      </c>
      <c r="L184" s="702" t="str">
        <f>IF('Chemical Info'!U185="X",'Com-Ind Worksheet'!G184,"")</f>
        <v/>
      </c>
      <c r="M184" s="702">
        <f>IF('Chemical Info'!V185="X",'Com-Ind Worksheet'!G184,"")</f>
        <v>0</v>
      </c>
      <c r="N184" s="702" t="str">
        <f>IF('Chemical Info'!W185="X",'Com-Ind Worksheet'!G184,"")</f>
        <v/>
      </c>
      <c r="O184" s="702" t="str">
        <f>IF('Chemical Info'!X185="X",'Com-Ind Worksheet'!G184,"")</f>
        <v/>
      </c>
      <c r="P184" s="702" t="str">
        <f>IF('Chemical Info'!Y185="X",'Com-Ind Worksheet'!G184,"")</f>
        <v/>
      </c>
      <c r="Q184" s="702" t="str">
        <f>IF('Chemical Info'!Z185="X",'Com-Ind Worksheet'!G184,"")</f>
        <v/>
      </c>
      <c r="R184" s="702" t="str">
        <f>IF('Chemical Info'!AA185="X",'Com-Ind Worksheet'!G184,"")</f>
        <v/>
      </c>
      <c r="S184" s="692" t="str">
        <f t="shared" si="2"/>
        <v/>
      </c>
    </row>
    <row r="185" spans="1:19" ht="10">
      <c r="A185" s="129" t="s">
        <v>191</v>
      </c>
      <c r="B185" s="566" t="s">
        <v>192</v>
      </c>
      <c r="C185" s="566">
        <v>2016</v>
      </c>
      <c r="D185" s="126">
        <f>'Com-Ind Calculations'!W185</f>
        <v>1300</v>
      </c>
      <c r="E185" s="126" t="str">
        <f>'Com-Ind Calculations'!X185</f>
        <v>Cancer</v>
      </c>
      <c r="F185" s="127"/>
      <c r="G185" s="698" t="str">
        <f>IF(E185="BTV","NA",IF(E185="Max Limit","NA",IF(E185="Csat","NA",IF(ISNUMBER('Com-Ind Calculations'!U185),((F185/'Com-Ind Calculations'!U185)),"NA"))))</f>
        <v>NA</v>
      </c>
      <c r="H185" s="704">
        <f>IF(E185="BTV","NA",IF(E185="Max Limit","NA",IF(E185="Csat","NA",IF(ISNUMBER('Com-Ind Calculations'!N185),((F185/'Com-Ind Calculations'!N185)*0.00001),"NA"))))</f>
        <v>0</v>
      </c>
      <c r="I185" s="702" t="str">
        <f>IF('Chemical Info'!R186="X",'Com-Ind Worksheet'!G185,"")</f>
        <v/>
      </c>
      <c r="J185" s="702" t="str">
        <f>IF('Chemical Info'!S186="X",'Com-Ind Worksheet'!G185,"")</f>
        <v/>
      </c>
      <c r="K185" s="702" t="str">
        <f>IF('Chemical Info'!T186="X",'Com-Ind Worksheet'!G185,"")</f>
        <v/>
      </c>
      <c r="L185" s="702" t="str">
        <f>IF('Chemical Info'!U186="X",'Com-Ind Worksheet'!G185,"")</f>
        <v/>
      </c>
      <c r="M185" s="702" t="str">
        <f>IF('Chemical Info'!V186="X",'Com-Ind Worksheet'!G185,"")</f>
        <v/>
      </c>
      <c r="N185" s="702" t="str">
        <f>IF('Chemical Info'!W186="X",'Com-Ind Worksheet'!G185,"")</f>
        <v/>
      </c>
      <c r="O185" s="702" t="str">
        <f>IF('Chemical Info'!X186="X",'Com-Ind Worksheet'!G185,"")</f>
        <v/>
      </c>
      <c r="P185" s="702" t="str">
        <f>IF('Chemical Info'!Y186="X",'Com-Ind Worksheet'!G185,"")</f>
        <v/>
      </c>
      <c r="Q185" s="702" t="str">
        <f>IF('Chemical Info'!Z186="X",'Com-Ind Worksheet'!G185,"")</f>
        <v/>
      </c>
      <c r="R185" s="702" t="str">
        <f>IF('Chemical Info'!AA186="X",'Com-Ind Worksheet'!G185,"")</f>
        <v/>
      </c>
      <c r="S185" s="692" t="str">
        <f t="shared" si="2"/>
        <v/>
      </c>
    </row>
    <row r="186" spans="1:19" ht="10">
      <c r="A186" s="129" t="s">
        <v>193</v>
      </c>
      <c r="B186" s="566" t="s">
        <v>194</v>
      </c>
      <c r="C186" s="566">
        <v>2016</v>
      </c>
      <c r="D186" s="126">
        <f>'Com-Ind Calculations'!W186</f>
        <v>2700</v>
      </c>
      <c r="E186" s="126" t="str">
        <f>'Com-Ind Calculations'!X186</f>
        <v>Noncancer</v>
      </c>
      <c r="F186" s="127"/>
      <c r="G186" s="698">
        <f>IF(E186="BTV","NA",IF(E186="Max Limit","NA",IF(E186="Csat","NA",IF(ISNUMBER('Com-Ind Calculations'!U186),((F186/'Com-Ind Calculations'!U186)),"NA"))))</f>
        <v>0</v>
      </c>
      <c r="H186" s="704" t="str">
        <f>IF(E186="BTV","NA",IF(E186="Max Limit","NA",IF(E186="Csat","NA",IF(ISNUMBER('Com-Ind Calculations'!N186),((F186/'Com-Ind Calculations'!N186)*0.00001),"NA"))))</f>
        <v>NA</v>
      </c>
      <c r="I186" s="702" t="str">
        <f>IF('Chemical Info'!R187="X",'Com-Ind Worksheet'!G186,"")</f>
        <v/>
      </c>
      <c r="J186" s="702" t="str">
        <f>IF('Chemical Info'!S187="X",'Com-Ind Worksheet'!G186,"")</f>
        <v/>
      </c>
      <c r="K186" s="702" t="str">
        <f>IF('Chemical Info'!T187="X",'Com-Ind Worksheet'!G186,"")</f>
        <v/>
      </c>
      <c r="L186" s="702" t="str">
        <f>IF('Chemical Info'!U187="X",'Com-Ind Worksheet'!G186,"")</f>
        <v/>
      </c>
      <c r="M186" s="702">
        <f>IF('Chemical Info'!V187="X",'Com-Ind Worksheet'!G186,"")</f>
        <v>0</v>
      </c>
      <c r="N186" s="702" t="str">
        <f>IF('Chemical Info'!W187="X",'Com-Ind Worksheet'!G186,"")</f>
        <v/>
      </c>
      <c r="O186" s="702" t="str">
        <f>IF('Chemical Info'!X187="X",'Com-Ind Worksheet'!G186,"")</f>
        <v/>
      </c>
      <c r="P186" s="702" t="str">
        <f>IF('Chemical Info'!Y187="X",'Com-Ind Worksheet'!G186,"")</f>
        <v/>
      </c>
      <c r="Q186" s="702" t="str">
        <f>IF('Chemical Info'!Z187="X",'Com-Ind Worksheet'!G186,"")</f>
        <v/>
      </c>
      <c r="R186" s="702" t="str">
        <f>IF('Chemical Info'!AA187="X",'Com-Ind Worksheet'!G186,"")</f>
        <v/>
      </c>
      <c r="S186" s="692" t="str">
        <f t="shared" si="2"/>
        <v/>
      </c>
    </row>
    <row r="187" spans="1:19" ht="10">
      <c r="A187" s="129" t="s">
        <v>16</v>
      </c>
      <c r="B187" s="590" t="s">
        <v>426</v>
      </c>
      <c r="C187" s="590">
        <v>2021</v>
      </c>
      <c r="D187" s="126">
        <f>'Com-Ind Calculations'!W187</f>
        <v>100</v>
      </c>
      <c r="E187" s="126" t="str">
        <f>'Com-Ind Calculations'!X187</f>
        <v>Cancer</v>
      </c>
      <c r="F187" s="127"/>
      <c r="G187" s="698">
        <f>IF(E187="BTV","NA",IF(E187="Max Limit","NA",IF(E187="Csat","NA",IF(ISNUMBER('Com-Ind Calculations'!U187),((F187/'Com-Ind Calculations'!U187)),"NA"))))</f>
        <v>0</v>
      </c>
      <c r="H187" s="704">
        <f>IF(E187="BTV","NA",IF(E187="Max Limit","NA",IF(E187="Csat","NA",IF(ISNUMBER('Com-Ind Calculations'!N187),((F187/'Com-Ind Calculations'!N187)*0.00001),"NA"))))</f>
        <v>0</v>
      </c>
      <c r="I187" s="702" t="str">
        <f>IF('Chemical Info'!R188="X",'Com-Ind Worksheet'!G187,"")</f>
        <v/>
      </c>
      <c r="J187" s="702" t="str">
        <f>IF('Chemical Info'!S188="X",'Com-Ind Worksheet'!G187,"")</f>
        <v/>
      </c>
      <c r="K187" s="702" t="str">
        <f>IF('Chemical Info'!T188="X",'Com-Ind Worksheet'!G187,"")</f>
        <v/>
      </c>
      <c r="L187" s="702" t="str">
        <f>IF('Chemical Info'!U188="X",'Com-Ind Worksheet'!G187,"")</f>
        <v/>
      </c>
      <c r="M187" s="702">
        <f>IF('Chemical Info'!V188="X",'Com-Ind Worksheet'!G187,"")</f>
        <v>0</v>
      </c>
      <c r="N187" s="702" t="str">
        <f>IF('Chemical Info'!W188="X",'Com-Ind Worksheet'!G187,"")</f>
        <v/>
      </c>
      <c r="O187" s="702" t="str">
        <f>IF('Chemical Info'!X188="X",'Com-Ind Worksheet'!G187,"")</f>
        <v/>
      </c>
      <c r="P187" s="702" t="str">
        <f>IF('Chemical Info'!Y188="X",'Com-Ind Worksheet'!G187,"")</f>
        <v/>
      </c>
      <c r="Q187" s="702" t="str">
        <f>IF('Chemical Info'!Z188="X",'Com-Ind Worksheet'!G187,"")</f>
        <v/>
      </c>
      <c r="R187" s="702" t="str">
        <f>IF('Chemical Info'!AA188="X",'Com-Ind Worksheet'!G187,"")</f>
        <v/>
      </c>
      <c r="S187" s="692" t="str">
        <f t="shared" si="2"/>
        <v/>
      </c>
    </row>
    <row r="188" spans="1:19" s="123" customFormat="1" ht="10">
      <c r="A188" s="133" t="s">
        <v>492</v>
      </c>
      <c r="B188" s="566" t="s">
        <v>1</v>
      </c>
      <c r="C188" s="566">
        <v>2023</v>
      </c>
      <c r="D188" s="132">
        <f>'Com-Ind Calculations'!W188</f>
        <v>90</v>
      </c>
      <c r="E188" s="132" t="str">
        <f>'Com-Ind Calculations'!X188</f>
        <v>Noncancer</v>
      </c>
      <c r="F188" s="127"/>
      <c r="G188" s="717">
        <f>IF(E188="BTV","NA",IF(E188="Max Limit","NA",IF(E188="Csat","NA",IF(ISNUMBER('Com-Ind Calculations'!U188),((F188/'Com-Ind Calculations'!U188)),"NA"))))</f>
        <v>0</v>
      </c>
      <c r="H188" s="718">
        <f>IF(E188="BTV","NA",IF(E188="Max Limit","NA",IF(E188="Csat","NA",IF(ISNUMBER('Com-Ind Calculations'!N188),((F188/'Com-Ind Calculations'!N188)*0.00001),"NA"))))</f>
        <v>0</v>
      </c>
      <c r="I188" s="702" t="str">
        <f>IF('Chemical Info'!R189="X",'Com-Ind Worksheet'!G188,"")</f>
        <v/>
      </c>
      <c r="J188" s="702" t="str">
        <f>IF('Chemical Info'!S189="X",'Com-Ind Worksheet'!G188,"")</f>
        <v/>
      </c>
      <c r="K188" s="702" t="str">
        <f>IF('Chemical Info'!T189="X",'Com-Ind Worksheet'!G188,"")</f>
        <v/>
      </c>
      <c r="L188" s="702" t="str">
        <f>IF('Chemical Info'!U189="X",'Com-Ind Worksheet'!G188,"")</f>
        <v/>
      </c>
      <c r="M188" s="702">
        <f>IF('Chemical Info'!V189="X",'Com-Ind Worksheet'!G188,"")</f>
        <v>0</v>
      </c>
      <c r="N188" s="702" t="str">
        <f>IF('Chemical Info'!W189="X",'Com-Ind Worksheet'!G188,"")</f>
        <v/>
      </c>
      <c r="O188" s="702" t="str">
        <f>IF('Chemical Info'!X189="X",'Com-Ind Worksheet'!G188,"")</f>
        <v/>
      </c>
      <c r="P188" s="702" t="str">
        <f>IF('Chemical Info'!Y189="X",'Com-Ind Worksheet'!G188,"")</f>
        <v/>
      </c>
      <c r="Q188" s="702" t="str">
        <f>IF('Chemical Info'!Z189="X",'Com-Ind Worksheet'!G188,"")</f>
        <v/>
      </c>
      <c r="R188" s="702" t="str">
        <f>IF('Chemical Info'!AA189="X",'Com-Ind Worksheet'!G188,"")</f>
        <v/>
      </c>
      <c r="S188" s="133" t="str">
        <f t="shared" si="2"/>
        <v/>
      </c>
    </row>
    <row r="189" spans="1:19" s="123" customFormat="1" ht="10">
      <c r="A189" s="133" t="s">
        <v>390</v>
      </c>
      <c r="B189" s="566" t="s">
        <v>2</v>
      </c>
      <c r="C189" s="566">
        <v>2021</v>
      </c>
      <c r="D189" s="132">
        <f>'Com-Ind Calculations'!W189</f>
        <v>130</v>
      </c>
      <c r="E189" s="132" t="str">
        <f>'Com-Ind Calculations'!X189</f>
        <v>Cancer</v>
      </c>
      <c r="F189" s="127"/>
      <c r="G189" s="717">
        <f>IF(E189="BTV","NA",IF(E189="Max Limit","NA",IF(E189="Csat","NA",IF(ISNUMBER('Com-Ind Calculations'!U189),((F189/'Com-Ind Calculations'!U189)),"NA"))))</f>
        <v>0</v>
      </c>
      <c r="H189" s="718">
        <f>IF(E189="BTV","NA",IF(E189="Max Limit","NA",IF(E189="Csat","NA",IF(ISNUMBER('Com-Ind Calculations'!N189),((F189/'Com-Ind Calculations'!N189)*0.00001),"NA"))))</f>
        <v>0</v>
      </c>
      <c r="I189" s="702" t="str">
        <f>IF('Chemical Info'!R190="X",'Com-Ind Worksheet'!G189,"")</f>
        <v/>
      </c>
      <c r="J189" s="702" t="str">
        <f>IF('Chemical Info'!S190="X",'Com-Ind Worksheet'!G189,"")</f>
        <v/>
      </c>
      <c r="K189" s="702" t="str">
        <f>IF('Chemical Info'!T190="X",'Com-Ind Worksheet'!G189,"")</f>
        <v/>
      </c>
      <c r="L189" s="702" t="str">
        <f>IF('Chemical Info'!U190="X",'Com-Ind Worksheet'!G189,"")</f>
        <v/>
      </c>
      <c r="M189" s="702">
        <f>IF('Chemical Info'!V190="X",'Com-Ind Worksheet'!G189,"")</f>
        <v>0</v>
      </c>
      <c r="N189" s="702" t="str">
        <f>IF('Chemical Info'!W190="X",'Com-Ind Worksheet'!G189,"")</f>
        <v/>
      </c>
      <c r="O189" s="702" t="str">
        <f>IF('Chemical Info'!X190="X",'Com-Ind Worksheet'!G189,"")</f>
        <v/>
      </c>
      <c r="P189" s="702" t="str">
        <f>IF('Chemical Info'!Y190="X",'Com-Ind Worksheet'!G189,"")</f>
        <v/>
      </c>
      <c r="Q189" s="702" t="str">
        <f>IF('Chemical Info'!Z190="X",'Com-Ind Worksheet'!G189,"")</f>
        <v/>
      </c>
      <c r="R189" s="702" t="str">
        <f>IF('Chemical Info'!AA190="X",'Com-Ind Worksheet'!G189,"")</f>
        <v/>
      </c>
      <c r="S189" s="133" t="str">
        <f t="shared" si="2"/>
        <v/>
      </c>
    </row>
    <row r="190" spans="1:19" ht="10">
      <c r="A190" s="133" t="s">
        <v>409</v>
      </c>
      <c r="B190" s="566" t="s">
        <v>3</v>
      </c>
      <c r="C190" s="566">
        <v>2021</v>
      </c>
      <c r="D190" s="126">
        <f>'Com-Ind Calculations'!W190</f>
        <v>87</v>
      </c>
      <c r="E190" s="126" t="str">
        <f>'Com-Ind Calculations'!X190</f>
        <v>Cancer</v>
      </c>
      <c r="F190" s="127"/>
      <c r="G190" s="698">
        <f>IF(E190="BTV","NA",IF(E190="Max Limit","NA",IF(E190="Csat","NA",IF(ISNUMBER('Com-Ind Calculations'!U190),((F190/'Com-Ind Calculations'!U190)),"NA"))))</f>
        <v>0</v>
      </c>
      <c r="H190" s="704">
        <f>IF(E190="BTV","NA",IF(E190="Max Limit","NA",IF(E190="Csat","NA",IF(ISNUMBER('Com-Ind Calculations'!N190),((F190/'Com-Ind Calculations'!N190)*0.00001),"NA"))))</f>
        <v>0</v>
      </c>
      <c r="I190" s="702" t="str">
        <f>IF('Chemical Info'!R191="X",'Com-Ind Worksheet'!G190,"")</f>
        <v/>
      </c>
      <c r="J190" s="702" t="str">
        <f>IF('Chemical Info'!S191="X",'Com-Ind Worksheet'!G190,"")</f>
        <v/>
      </c>
      <c r="K190" s="702" t="str">
        <f>IF('Chemical Info'!T191="X",'Com-Ind Worksheet'!G190,"")</f>
        <v/>
      </c>
      <c r="L190" s="702" t="str">
        <f>IF('Chemical Info'!U191="X",'Com-Ind Worksheet'!G190,"")</f>
        <v/>
      </c>
      <c r="M190" s="702">
        <f>IF('Chemical Info'!V191="X",'Com-Ind Worksheet'!G190,"")</f>
        <v>0</v>
      </c>
      <c r="N190" s="702" t="str">
        <f>IF('Chemical Info'!W191="X",'Com-Ind Worksheet'!G190,"")</f>
        <v/>
      </c>
      <c r="O190" s="702" t="str">
        <f>IF('Chemical Info'!X191="X",'Com-Ind Worksheet'!G190,"")</f>
        <v/>
      </c>
      <c r="P190" s="702" t="str">
        <f>IF('Chemical Info'!Y191="X",'Com-Ind Worksheet'!G190,"")</f>
        <v/>
      </c>
      <c r="Q190" s="702" t="str">
        <f>IF('Chemical Info'!Z191="X",'Com-Ind Worksheet'!G190,"")</f>
        <v/>
      </c>
      <c r="R190" s="702" t="str">
        <f>IF('Chemical Info'!AA191="X",'Com-Ind Worksheet'!G190,"")</f>
        <v/>
      </c>
      <c r="S190" s="692" t="str">
        <f t="shared" si="2"/>
        <v/>
      </c>
    </row>
    <row r="191" spans="1:19" ht="10">
      <c r="A191" s="129" t="s">
        <v>4</v>
      </c>
      <c r="B191" s="566" t="s">
        <v>5</v>
      </c>
      <c r="C191" s="566">
        <v>2016</v>
      </c>
      <c r="D191" s="126">
        <f>'Com-Ind Calculations'!W191</f>
        <v>130</v>
      </c>
      <c r="E191" s="126" t="str">
        <f>'Com-Ind Calculations'!X191</f>
        <v>Noncancer</v>
      </c>
      <c r="F191" s="127"/>
      <c r="G191" s="698">
        <f>IF(E191="BTV","NA",IF(E191="Max Limit","NA",IF(E191="Csat","NA",IF(ISNUMBER('Com-Ind Calculations'!U191),((F191/'Com-Ind Calculations'!U191)),"NA"))))</f>
        <v>0</v>
      </c>
      <c r="H191" s="704" t="str">
        <f>IF(E191="BTV","NA",IF(E191="Max Limit","NA",IF(E191="Csat","NA",IF(ISNUMBER('Com-Ind Calculations'!N191),((F191/'Com-Ind Calculations'!N191)*0.00001),"NA"))))</f>
        <v>NA</v>
      </c>
      <c r="I191" s="702">
        <f>IF('Chemical Info'!R192="X",'Com-Ind Worksheet'!G191,"")</f>
        <v>0</v>
      </c>
      <c r="J191" s="702" t="str">
        <f>IF('Chemical Info'!S192="X",'Com-Ind Worksheet'!G191,"")</f>
        <v/>
      </c>
      <c r="K191" s="702" t="str">
        <f>IF('Chemical Info'!T192="X",'Com-Ind Worksheet'!G191,"")</f>
        <v/>
      </c>
      <c r="L191" s="702" t="str">
        <f>IF('Chemical Info'!U192="X",'Com-Ind Worksheet'!G191,"")</f>
        <v/>
      </c>
      <c r="M191" s="702" t="str">
        <f>IF('Chemical Info'!V192="X",'Com-Ind Worksheet'!G191,"")</f>
        <v/>
      </c>
      <c r="N191" s="702" t="str">
        <f>IF('Chemical Info'!W192="X",'Com-Ind Worksheet'!G191,"")</f>
        <v/>
      </c>
      <c r="O191" s="702" t="str">
        <f>IF('Chemical Info'!X192="X",'Com-Ind Worksheet'!G191,"")</f>
        <v/>
      </c>
      <c r="P191" s="702" t="str">
        <f>IF('Chemical Info'!Y192="X",'Com-Ind Worksheet'!G191,"")</f>
        <v/>
      </c>
      <c r="Q191" s="702" t="str">
        <f>IF('Chemical Info'!Z192="X",'Com-Ind Worksheet'!G191,"")</f>
        <v/>
      </c>
      <c r="R191" s="702" t="str">
        <f>IF('Chemical Info'!AA192="X",'Com-Ind Worksheet'!G191,"")</f>
        <v/>
      </c>
      <c r="S191" s="692" t="str">
        <f t="shared" si="2"/>
        <v/>
      </c>
    </row>
    <row r="192" spans="1:19" ht="10">
      <c r="A192" s="129" t="s">
        <v>6</v>
      </c>
      <c r="B192" s="566" t="s">
        <v>7</v>
      </c>
      <c r="C192" s="566">
        <v>2016</v>
      </c>
      <c r="D192" s="126">
        <f>'Com-Ind Calculations'!W192</f>
        <v>1.5</v>
      </c>
      <c r="E192" s="126" t="str">
        <f>'Com-Ind Calculations'!X192</f>
        <v>Cancer</v>
      </c>
      <c r="F192" s="127"/>
      <c r="G192" s="698">
        <f>IF(E192="BTV","NA",IF(E192="Max Limit","NA",IF(E192="Csat","NA",IF(ISNUMBER('Com-Ind Calculations'!U192),((F192/'Com-Ind Calculations'!U192)),"NA"))))</f>
        <v>0</v>
      </c>
      <c r="H192" s="704">
        <f>IF(E192="BTV","NA",IF(E192="Max Limit","NA",IF(E192="Csat","NA",IF(ISNUMBER('Com-Ind Calculations'!N192),((F192/'Com-Ind Calculations'!N192)*0.00001),"NA"))))</f>
        <v>0</v>
      </c>
      <c r="I192" s="702">
        <f>IF('Chemical Info'!R193="X",'Com-Ind Worksheet'!G192,"")</f>
        <v>0</v>
      </c>
      <c r="J192" s="702" t="str">
        <f>IF('Chemical Info'!S193="X",'Com-Ind Worksheet'!G192,"")</f>
        <v/>
      </c>
      <c r="K192" s="702" t="str">
        <f>IF('Chemical Info'!T193="X",'Com-Ind Worksheet'!G192,"")</f>
        <v/>
      </c>
      <c r="L192" s="702" t="str">
        <f>IF('Chemical Info'!U193="X",'Com-Ind Worksheet'!G192,"")</f>
        <v/>
      </c>
      <c r="M192" s="702">
        <f>IF('Chemical Info'!V193="X",'Com-Ind Worksheet'!G192,"")</f>
        <v>0</v>
      </c>
      <c r="N192" s="702" t="str">
        <f>IF('Chemical Info'!W193="X",'Com-Ind Worksheet'!G192,"")</f>
        <v/>
      </c>
      <c r="O192" s="702" t="str">
        <f>IF('Chemical Info'!X193="X",'Com-Ind Worksheet'!G192,"")</f>
        <v/>
      </c>
      <c r="P192" s="702" t="str">
        <f>IF('Chemical Info'!Y193="X",'Com-Ind Worksheet'!G192,"")</f>
        <v/>
      </c>
      <c r="Q192" s="702" t="str">
        <f>IF('Chemical Info'!Z193="X",'Com-Ind Worksheet'!G192,"")</f>
        <v/>
      </c>
      <c r="R192" s="702" t="str">
        <f>IF('Chemical Info'!AA193="X",'Com-Ind Worksheet'!G192,"")</f>
        <v/>
      </c>
      <c r="S192" s="692" t="str">
        <f t="shared" si="2"/>
        <v/>
      </c>
    </row>
    <row r="193" spans="1:19" ht="10">
      <c r="A193" s="129" t="s">
        <v>134</v>
      </c>
      <c r="B193" s="566" t="s">
        <v>135</v>
      </c>
      <c r="C193" s="566">
        <v>2021</v>
      </c>
      <c r="D193" s="126">
        <f>'Com-Ind Calculations'!W193</f>
        <v>1900</v>
      </c>
      <c r="E193" s="126" t="str">
        <f>'Com-Ind Calculations'!X193</f>
        <v>Noncancer</v>
      </c>
      <c r="F193" s="127"/>
      <c r="G193" s="698">
        <f>IF(E193="BTV","NA",IF(E193="Max Limit","NA",IF(E193="Csat","NA",IF(ISNUMBER('Com-Ind Calculations'!U193),((F193/'Com-Ind Calculations'!U193)),"NA"))))</f>
        <v>0</v>
      </c>
      <c r="H193" s="704" t="str">
        <f>IF(E193="BTV","NA",IF(E193="Max Limit","NA",IF(E193="Csat","NA",IF(ISNUMBER('Com-Ind Calculations'!N193),((F193/'Com-Ind Calculations'!N193)*0.00001),"NA"))))</f>
        <v>NA</v>
      </c>
      <c r="I193" s="702">
        <f>IF('Chemical Info'!R194="X",'Com-Ind Worksheet'!G193,"")</f>
        <v>0</v>
      </c>
      <c r="J193" s="702">
        <f>IF('Chemical Info'!S194="X",'Com-Ind Worksheet'!G193,"")</f>
        <v>0</v>
      </c>
      <c r="K193" s="702" t="str">
        <f>IF('Chemical Info'!T194="X",'Com-Ind Worksheet'!G193,"")</f>
        <v/>
      </c>
      <c r="L193" s="702">
        <f>IF('Chemical Info'!U194="X",'Com-Ind Worksheet'!G193,"")</f>
        <v>0</v>
      </c>
      <c r="M193" s="702" t="str">
        <f>IF('Chemical Info'!V194="X",'Com-Ind Worksheet'!G193,"")</f>
        <v/>
      </c>
      <c r="N193" s="702" t="str">
        <f>IF('Chemical Info'!W194="X",'Com-Ind Worksheet'!G193,"")</f>
        <v/>
      </c>
      <c r="O193" s="702" t="str">
        <f>IF('Chemical Info'!X194="X",'Com-Ind Worksheet'!G193,"")</f>
        <v/>
      </c>
      <c r="P193" s="702" t="str">
        <f>IF('Chemical Info'!Y194="X",'Com-Ind Worksheet'!G193,"")</f>
        <v/>
      </c>
      <c r="Q193" s="702" t="str">
        <f>IF('Chemical Info'!Z194="X",'Com-Ind Worksheet'!G193,"")</f>
        <v/>
      </c>
      <c r="R193" s="702" t="str">
        <f>IF('Chemical Info'!AA194="X",'Com-Ind Worksheet'!G193,"")</f>
        <v/>
      </c>
      <c r="S193" s="692" t="str">
        <f t="shared" si="2"/>
        <v/>
      </c>
    </row>
    <row r="194" spans="1:19" ht="10">
      <c r="A194" s="129" t="s">
        <v>136</v>
      </c>
      <c r="B194" s="566" t="s">
        <v>137</v>
      </c>
      <c r="C194" s="566">
        <v>2016</v>
      </c>
      <c r="D194" s="126">
        <f>'Com-Ind Calculations'!W194</f>
        <v>54</v>
      </c>
      <c r="E194" s="126" t="str">
        <f>'Com-Ind Calculations'!X194</f>
        <v>Noncancer</v>
      </c>
      <c r="F194" s="127"/>
      <c r="G194" s="698">
        <f>IF(E194="BTV","NA",IF(E194="Max Limit","NA",IF(E194="Csat","NA",IF(ISNUMBER('Com-Ind Calculations'!U194),((F194/'Com-Ind Calculations'!U194)),"NA"))))</f>
        <v>0</v>
      </c>
      <c r="H194" s="704" t="str">
        <f>IF(E194="BTV","NA",IF(E194="Max Limit","NA",IF(E194="Csat","NA",IF(ISNUMBER('Com-Ind Calculations'!N194),((F194/'Com-Ind Calculations'!N194)*0.00001),"NA"))))</f>
        <v>NA</v>
      </c>
      <c r="I194" s="702">
        <f>IF('Chemical Info'!R195="X",'Com-Ind Worksheet'!G194,"")</f>
        <v>0</v>
      </c>
      <c r="J194" s="702" t="str">
        <f>IF('Chemical Info'!S195="X",'Com-Ind Worksheet'!G194,"")</f>
        <v/>
      </c>
      <c r="K194" s="702" t="str">
        <f>IF('Chemical Info'!T195="X",'Com-Ind Worksheet'!G194,"")</f>
        <v/>
      </c>
      <c r="L194" s="702" t="str">
        <f>IF('Chemical Info'!U195="X",'Com-Ind Worksheet'!G194,"")</f>
        <v/>
      </c>
      <c r="M194" s="702">
        <f>IF('Chemical Info'!V195="X",'Com-Ind Worksheet'!G194,"")</f>
        <v>0</v>
      </c>
      <c r="N194" s="702" t="str">
        <f>IF('Chemical Info'!W195="X",'Com-Ind Worksheet'!G194,"")</f>
        <v/>
      </c>
      <c r="O194" s="702" t="str">
        <f>IF('Chemical Info'!X195="X",'Com-Ind Worksheet'!G194,"")</f>
        <v/>
      </c>
      <c r="P194" s="702" t="str">
        <f>IF('Chemical Info'!Y195="X",'Com-Ind Worksheet'!G194,"")</f>
        <v/>
      </c>
      <c r="Q194" s="702" t="str">
        <f>IF('Chemical Info'!Z195="X",'Com-Ind Worksheet'!G194,"")</f>
        <v/>
      </c>
      <c r="R194" s="702" t="str">
        <f>IF('Chemical Info'!AA195="X",'Com-Ind Worksheet'!G194,"")</f>
        <v/>
      </c>
      <c r="S194" s="692" t="str">
        <f t="shared" si="2"/>
        <v/>
      </c>
    </row>
    <row r="195" spans="1:19" ht="10">
      <c r="A195" s="129" t="s">
        <v>12</v>
      </c>
      <c r="B195" s="566" t="s">
        <v>13</v>
      </c>
      <c r="C195" s="566">
        <v>2021</v>
      </c>
      <c r="D195" s="126">
        <f>'Com-Ind Calculations'!W195</f>
        <v>8.9</v>
      </c>
      <c r="E195" s="126" t="str">
        <f>'Com-Ind Calculations'!X195</f>
        <v>Cancer</v>
      </c>
      <c r="F195" s="127"/>
      <c r="G195" s="698">
        <f>IF(E195="BTV","NA",IF(E195="Max Limit","NA",IF(E195="Csat","NA",IF(ISNUMBER('Com-Ind Calculations'!U195),((F195/'Com-Ind Calculations'!U195)),"NA"))))</f>
        <v>0</v>
      </c>
      <c r="H195" s="704">
        <f>IF(E195="BTV","NA",IF(E195="Max Limit","NA",IF(E195="Csat","NA",IF(ISNUMBER('Com-Ind Calculations'!N195),((F195/'Com-Ind Calculations'!N195)*0.00001),"NA"))))</f>
        <v>0</v>
      </c>
      <c r="I195" s="702" t="str">
        <f>IF('Chemical Info'!R196="X",'Com-Ind Worksheet'!G195,"")</f>
        <v/>
      </c>
      <c r="J195" s="702" t="str">
        <f>IF('Chemical Info'!S196="X",'Com-Ind Worksheet'!G195,"")</f>
        <v/>
      </c>
      <c r="K195" s="702">
        <f>IF('Chemical Info'!T196="X",'Com-Ind Worksheet'!G195,"")</f>
        <v>0</v>
      </c>
      <c r="L195" s="702" t="str">
        <f>IF('Chemical Info'!U196="X",'Com-Ind Worksheet'!G195,"")</f>
        <v/>
      </c>
      <c r="M195" s="702" t="str">
        <f>IF('Chemical Info'!V196="X",'Com-Ind Worksheet'!G195,"")</f>
        <v/>
      </c>
      <c r="N195" s="702" t="str">
        <f>IF('Chemical Info'!W196="X",'Com-Ind Worksheet'!G195,"")</f>
        <v/>
      </c>
      <c r="O195" s="702" t="str">
        <f>IF('Chemical Info'!X196="X",'Com-Ind Worksheet'!G195,"")</f>
        <v/>
      </c>
      <c r="P195" s="702" t="str">
        <f>IF('Chemical Info'!Y196="X",'Com-Ind Worksheet'!G195,"")</f>
        <v/>
      </c>
      <c r="Q195" s="702" t="str">
        <f>IF('Chemical Info'!Z196="X",'Com-Ind Worksheet'!G195,"")</f>
        <v/>
      </c>
      <c r="R195" s="702" t="str">
        <f>IF('Chemical Info'!AA196="X",'Com-Ind Worksheet'!G195,"")</f>
        <v/>
      </c>
      <c r="S195" s="692" t="str">
        <f t="shared" si="2"/>
        <v/>
      </c>
    </row>
    <row r="196" spans="1:19" ht="10">
      <c r="A196" s="129" t="s">
        <v>10</v>
      </c>
      <c r="B196" s="566" t="s">
        <v>11</v>
      </c>
      <c r="C196" s="566">
        <v>2021</v>
      </c>
      <c r="D196" s="126">
        <f>'Com-Ind Calculations'!W196</f>
        <v>4.2</v>
      </c>
      <c r="E196" s="126" t="str">
        <f>'Com-Ind Calculations'!X196</f>
        <v>Noncancer</v>
      </c>
      <c r="F196" s="127"/>
      <c r="G196" s="698">
        <f>IF(E196="BTV","NA",IF(E196="Max Limit","NA",IF(E196="Csat","NA",IF(ISNUMBER('Com-Ind Calculations'!U196),((F196/'Com-Ind Calculations'!U196)),"NA"))))</f>
        <v>0</v>
      </c>
      <c r="H196" s="704">
        <f>IF(E196="BTV","NA",IF(E196="Max Limit","NA",IF(E196="Csat","NA",IF(ISNUMBER('Com-Ind Calculations'!N196),((F196/'Com-Ind Calculations'!N196)*0.00001),"NA"))))</f>
        <v>0</v>
      </c>
      <c r="I196" s="702" t="str">
        <f>IF('Chemical Info'!R197="X",'Com-Ind Worksheet'!G196,"")</f>
        <v/>
      </c>
      <c r="J196" s="702" t="str">
        <f>IF('Chemical Info'!S197="X",'Com-Ind Worksheet'!G196,"")</f>
        <v/>
      </c>
      <c r="K196" s="702" t="str">
        <f>IF('Chemical Info'!T197="X",'Com-Ind Worksheet'!G196,"")</f>
        <v/>
      </c>
      <c r="L196" s="702" t="str">
        <f>IF('Chemical Info'!U197="X",'Com-Ind Worksheet'!G196,"")</f>
        <v/>
      </c>
      <c r="M196" s="702">
        <f>IF('Chemical Info'!V197="X",'Com-Ind Worksheet'!G196,"")</f>
        <v>0</v>
      </c>
      <c r="N196" s="702" t="str">
        <f>IF('Chemical Info'!W197="X",'Com-Ind Worksheet'!G196,"")</f>
        <v/>
      </c>
      <c r="O196" s="702" t="str">
        <f>IF('Chemical Info'!X197="X",'Com-Ind Worksheet'!G196,"")</f>
        <v/>
      </c>
      <c r="P196" s="702" t="str">
        <f>IF('Chemical Info'!Y197="X",'Com-Ind Worksheet'!G196,"")</f>
        <v/>
      </c>
      <c r="Q196" s="702" t="str">
        <f>IF('Chemical Info'!Z197="X",'Com-Ind Worksheet'!G196,"")</f>
        <v/>
      </c>
      <c r="R196" s="702" t="str">
        <f>IF('Chemical Info'!AA197="X",'Com-Ind Worksheet'!G196,"")</f>
        <v/>
      </c>
      <c r="S196" s="692" t="str">
        <f t="shared" si="2"/>
        <v/>
      </c>
    </row>
    <row r="197" spans="1:19" ht="20">
      <c r="A197" s="125" t="s">
        <v>493</v>
      </c>
      <c r="B197" s="566" t="s">
        <v>118</v>
      </c>
      <c r="C197" s="566">
        <v>2021</v>
      </c>
      <c r="D197" s="126">
        <f>'Com-Ind Calculations'!W197</f>
        <v>3.8</v>
      </c>
      <c r="E197" s="126" t="str">
        <f>'Com-Ind Calculations'!X197</f>
        <v>Cancer</v>
      </c>
      <c r="F197" s="127"/>
      <c r="G197" s="698">
        <f>IF(E197="BTV","NA",IF(E197="Max Limit","NA",IF(E197="Csat","NA",IF(ISNUMBER('Com-Ind Calculations'!U197),((F197/'Com-Ind Calculations'!U197)),"NA"))))</f>
        <v>0</v>
      </c>
      <c r="H197" s="704">
        <f>IF(E197="BTV","NA",IF(E197="Max Limit","NA",IF(E197="Csat","NA",IF(ISNUMBER('Com-Ind Calculations'!N197),((F197/'Com-Ind Calculations'!N197)*0.00001),"NA"))))</f>
        <v>0</v>
      </c>
      <c r="I197" s="702" t="str">
        <f>IF('Chemical Info'!R198="X",'Com-Ind Worksheet'!G197,"")</f>
        <v/>
      </c>
      <c r="J197" s="702" t="str">
        <f>IF('Chemical Info'!S198="X",'Com-Ind Worksheet'!G197,"")</f>
        <v/>
      </c>
      <c r="K197" s="702" t="str">
        <f>IF('Chemical Info'!T198="X",'Com-Ind Worksheet'!G197,"")</f>
        <v/>
      </c>
      <c r="L197" s="702" t="str">
        <f>IF('Chemical Info'!U198="X",'Com-Ind Worksheet'!G197,"")</f>
        <v/>
      </c>
      <c r="M197" s="702">
        <f>IF('Chemical Info'!V198="X",'Com-Ind Worksheet'!G197,"")</f>
        <v>0</v>
      </c>
      <c r="N197" s="702" t="str">
        <f>IF('Chemical Info'!W198="X",'Com-Ind Worksheet'!G197,"")</f>
        <v/>
      </c>
      <c r="O197" s="702" t="str">
        <f>IF('Chemical Info'!X198="X",'Com-Ind Worksheet'!G197,"")</f>
        <v/>
      </c>
      <c r="P197" s="702" t="str">
        <f>IF('Chemical Info'!Y198="X",'Com-Ind Worksheet'!G197,"")</f>
        <v/>
      </c>
      <c r="Q197" s="702" t="str">
        <f>IF('Chemical Info'!Z198="X",'Com-Ind Worksheet'!G197,"")</f>
        <v/>
      </c>
      <c r="R197" s="702" t="str">
        <f>IF('Chemical Info'!AA198="X",'Com-Ind Worksheet'!G197,"")</f>
        <v/>
      </c>
      <c r="S197" s="692" t="str">
        <f t="shared" si="2"/>
        <v/>
      </c>
    </row>
    <row r="198" spans="1:19" ht="10">
      <c r="A198" s="129" t="s">
        <v>391</v>
      </c>
      <c r="B198" s="566" t="s">
        <v>119</v>
      </c>
      <c r="C198" s="566">
        <v>2021</v>
      </c>
      <c r="D198" s="126">
        <f>'Com-Ind Calculations'!W198</f>
        <v>14</v>
      </c>
      <c r="E198" s="126" t="str">
        <f>'Com-Ind Calculations'!X198</f>
        <v>Cancer</v>
      </c>
      <c r="F198" s="127"/>
      <c r="G198" s="698" t="str">
        <f>IF(E198="BTV","NA",IF(E198="Max Limit","NA",IF(E198="Csat","NA",IF(ISNUMBER('Com-Ind Calculations'!U198),((F198/'Com-Ind Calculations'!U198)),"NA"))))</f>
        <v>NA</v>
      </c>
      <c r="H198" s="704">
        <f>IF(E198="BTV","NA",IF(E198="Max Limit","NA",IF(E198="Csat","NA",IF(ISNUMBER('Com-Ind Calculations'!N198),((F198/'Com-Ind Calculations'!N198)*0.00001),"NA"))))</f>
        <v>0</v>
      </c>
      <c r="I198" s="702" t="str">
        <f>IF('Chemical Info'!R199="X",'Com-Ind Worksheet'!G198,"")</f>
        <v/>
      </c>
      <c r="J198" s="702" t="str">
        <f>IF('Chemical Info'!S199="X",'Com-Ind Worksheet'!G198,"")</f>
        <v/>
      </c>
      <c r="K198" s="702" t="str">
        <f>IF('Chemical Info'!T199="X",'Com-Ind Worksheet'!G198,"")</f>
        <v/>
      </c>
      <c r="L198" s="702" t="str">
        <f>IF('Chemical Info'!U199="X",'Com-Ind Worksheet'!G198,"")</f>
        <v/>
      </c>
      <c r="M198" s="702" t="str">
        <f>IF('Chemical Info'!V199="X",'Com-Ind Worksheet'!G198,"")</f>
        <v/>
      </c>
      <c r="N198" s="702" t="str">
        <f>IF('Chemical Info'!W199="X",'Com-Ind Worksheet'!G198,"")</f>
        <v/>
      </c>
      <c r="O198" s="702" t="str">
        <f>IF('Chemical Info'!X199="X",'Com-Ind Worksheet'!G198,"")</f>
        <v/>
      </c>
      <c r="P198" s="702" t="str">
        <f>IF('Chemical Info'!Y199="X",'Com-Ind Worksheet'!G198,"")</f>
        <v/>
      </c>
      <c r="Q198" s="702" t="str">
        <f>IF('Chemical Info'!Z199="X",'Com-Ind Worksheet'!G198,"")</f>
        <v/>
      </c>
      <c r="R198" s="702" t="str">
        <f>IF('Chemical Info'!AA199="X",'Com-Ind Worksheet'!G198,"")</f>
        <v/>
      </c>
      <c r="S198" s="692" t="str">
        <f t="shared" si="2"/>
        <v/>
      </c>
    </row>
    <row r="199" spans="1:19" ht="10">
      <c r="A199" s="129" t="s">
        <v>392</v>
      </c>
      <c r="B199" s="566" t="s">
        <v>120</v>
      </c>
      <c r="C199" s="736">
        <v>2025</v>
      </c>
      <c r="D199" s="126">
        <f>'Com-Ind Calculations'!W199</f>
        <v>0.17</v>
      </c>
      <c r="E199" s="126" t="str">
        <f>'Com-Ind Calculations'!X199</f>
        <v>Noncancer</v>
      </c>
      <c r="F199" s="127"/>
      <c r="G199" s="698">
        <f>IF(E199="BTV","NA",IF(E199="Max Limit","NA",IF(E199="Csat","NA",IF(ISNUMBER('Com-Ind Calculations'!U199),((F199/'Com-Ind Calculations'!U199)),"NA"))))</f>
        <v>0</v>
      </c>
      <c r="H199" s="704">
        <f>IF(E199="BTV","NA",IF(E199="Max Limit","NA",IF(E199="Csat","NA",IF(ISNUMBER('Com-Ind Calculations'!N199),((F199/'Com-Ind Calculations'!N199)*0.00001),"NA"))))</f>
        <v>0</v>
      </c>
      <c r="I199" s="702" t="str">
        <f>IF('Chemical Info'!R200="X",'Com-Ind Worksheet'!G199,"")</f>
        <v/>
      </c>
      <c r="J199" s="702">
        <f>IF('Chemical Info'!S200="X",'Com-Ind Worksheet'!G199,"")</f>
        <v>0</v>
      </c>
      <c r="K199" s="702" t="str">
        <f>IF('Chemical Info'!T200="X",'Com-Ind Worksheet'!G199,"")</f>
        <v/>
      </c>
      <c r="L199" s="702" t="str">
        <f>IF('Chemical Info'!U200="X",'Com-Ind Worksheet'!G199,"")</f>
        <v/>
      </c>
      <c r="M199" s="702" t="str">
        <f>IF('Chemical Info'!V200="X",'Com-Ind Worksheet'!G199,"")</f>
        <v/>
      </c>
      <c r="N199" s="702">
        <f>IF('Chemical Info'!W200="X",'Com-Ind Worksheet'!G199,"")</f>
        <v>0</v>
      </c>
      <c r="O199" s="702" t="str">
        <f>IF('Chemical Info'!X200="X",'Com-Ind Worksheet'!G199,"")</f>
        <v/>
      </c>
      <c r="P199" s="702" t="str">
        <f>IF('Chemical Info'!Y200="X",'Com-Ind Worksheet'!G199,"")</f>
        <v/>
      </c>
      <c r="Q199" s="702" t="str">
        <f>IF('Chemical Info'!Z200="X",'Com-Ind Worksheet'!G199,"")</f>
        <v/>
      </c>
      <c r="R199" s="702" t="str">
        <f>IF('Chemical Info'!AA200="X",'Com-Ind Worksheet'!G199,"")</f>
        <v/>
      </c>
      <c r="S199" s="692" t="str">
        <f t="shared" si="2"/>
        <v/>
      </c>
    </row>
    <row r="200" spans="1:19" ht="10">
      <c r="A200" s="129" t="s">
        <v>122</v>
      </c>
      <c r="B200" s="566" t="s">
        <v>208</v>
      </c>
      <c r="C200" s="566">
        <v>2021</v>
      </c>
      <c r="D200" s="126">
        <f>'Com-Ind Calculations'!W200</f>
        <v>6.1</v>
      </c>
      <c r="E200" s="126" t="str">
        <f>'Com-Ind Calculations'!X200</f>
        <v>Cancer</v>
      </c>
      <c r="F200" s="127"/>
      <c r="G200" s="698" t="str">
        <f>IF(E200="BTV","NA",IF(E200="Max Limit","NA",IF(E200="Csat","NA",IF(ISNUMBER('Com-Ind Calculations'!U200),((F200/'Com-Ind Calculations'!U200)),"NA"))))</f>
        <v>NA</v>
      </c>
      <c r="H200" s="704">
        <f>IF(E200="BTV","NA",IF(E200="Max Limit","NA",IF(E200="Csat","NA",IF(ISNUMBER('Com-Ind Calculations'!N200),((F200/'Com-Ind Calculations'!N200)*0.00001),"NA"))))</f>
        <v>0</v>
      </c>
      <c r="I200" s="702" t="str">
        <f>IF('Chemical Info'!R201="X",'Com-Ind Worksheet'!G200,"")</f>
        <v/>
      </c>
      <c r="J200" s="702" t="str">
        <f>IF('Chemical Info'!S201="X",'Com-Ind Worksheet'!G200,"")</f>
        <v/>
      </c>
      <c r="K200" s="702" t="str">
        <f>IF('Chemical Info'!T201="X",'Com-Ind Worksheet'!G200,"")</f>
        <v/>
      </c>
      <c r="L200" s="702" t="str">
        <f>IF('Chemical Info'!U201="X",'Com-Ind Worksheet'!G200,"")</f>
        <v/>
      </c>
      <c r="M200" s="702" t="str">
        <f>IF('Chemical Info'!V201="X",'Com-Ind Worksheet'!G200,"")</f>
        <v/>
      </c>
      <c r="N200" s="702" t="str">
        <f>IF('Chemical Info'!W201="X",'Com-Ind Worksheet'!G200,"")</f>
        <v/>
      </c>
      <c r="O200" s="702" t="str">
        <f>IF('Chemical Info'!X201="X",'Com-Ind Worksheet'!G200,"")</f>
        <v/>
      </c>
      <c r="P200" s="702" t="str">
        <f>IF('Chemical Info'!Y201="X",'Com-Ind Worksheet'!G200,"")</f>
        <v/>
      </c>
      <c r="Q200" s="702" t="str">
        <f>IF('Chemical Info'!Z201="X",'Com-Ind Worksheet'!G200,"")</f>
        <v/>
      </c>
      <c r="R200" s="702" t="str">
        <f>IF('Chemical Info'!AA201="X",'Com-Ind Worksheet'!G200,"")</f>
        <v/>
      </c>
      <c r="S200" s="692" t="str">
        <f t="shared" si="2"/>
        <v/>
      </c>
    </row>
    <row r="201" spans="1:19" ht="10">
      <c r="A201" s="133" t="s">
        <v>393</v>
      </c>
      <c r="B201" s="566" t="s">
        <v>79</v>
      </c>
      <c r="C201" s="566">
        <v>2016</v>
      </c>
      <c r="D201" s="126">
        <f>'Com-Ind Calculations'!W201</f>
        <v>180</v>
      </c>
      <c r="E201" s="126" t="str">
        <f>'Com-Ind Calculations'!X201</f>
        <v>Noncancer</v>
      </c>
      <c r="F201" s="127"/>
      <c r="G201" s="698">
        <f>IF(E201="BTV","NA",IF(E201="Max Limit","NA",IF(E201="Csat","NA",IF(ISNUMBER('Com-Ind Calculations'!U201),((F201/'Com-Ind Calculations'!U201)),"NA"))))</f>
        <v>0</v>
      </c>
      <c r="H201" s="704" t="str">
        <f>IF(E201="BTV","NA",IF(E201="Max Limit","NA",IF(E201="Csat","NA",IF(ISNUMBER('Com-Ind Calculations'!N201),((F201/'Com-Ind Calculations'!N201)*0.00001),"NA"))))</f>
        <v>NA</v>
      </c>
      <c r="I201" s="702" t="str">
        <f>IF('Chemical Info'!R202="X",'Com-Ind Worksheet'!G201,"")</f>
        <v/>
      </c>
      <c r="J201" s="702" t="str">
        <f>IF('Chemical Info'!S202="X",'Com-Ind Worksheet'!G201,"")</f>
        <v/>
      </c>
      <c r="K201" s="702" t="str">
        <f>IF('Chemical Info'!T202="X",'Com-Ind Worksheet'!G201,"")</f>
        <v/>
      </c>
      <c r="L201" s="702">
        <f>IF('Chemical Info'!U202="X",'Com-Ind Worksheet'!G201,"")</f>
        <v>0</v>
      </c>
      <c r="M201" s="702" t="str">
        <f>IF('Chemical Info'!V202="X",'Com-Ind Worksheet'!G201,"")</f>
        <v/>
      </c>
      <c r="N201" s="702" t="str">
        <f>IF('Chemical Info'!W202="X",'Com-Ind Worksheet'!G201,"")</f>
        <v/>
      </c>
      <c r="O201" s="702" t="str">
        <f>IF('Chemical Info'!X202="X",'Com-Ind Worksheet'!G201,"")</f>
        <v/>
      </c>
      <c r="P201" s="702" t="str">
        <f>IF('Chemical Info'!Y202="X",'Com-Ind Worksheet'!G201,"")</f>
        <v/>
      </c>
      <c r="Q201" s="702" t="str">
        <f>IF('Chemical Info'!Z202="X",'Com-Ind Worksheet'!G201,"")</f>
        <v/>
      </c>
      <c r="R201" s="702" t="str">
        <f>IF('Chemical Info'!AA202="X",'Com-Ind Worksheet'!G201,"")</f>
        <v/>
      </c>
      <c r="S201" s="692" t="str">
        <f t="shared" ref="S201:S213" si="4">IF(E201="Csat","Based on Csat. A concentration &gt; Csat indicates potential for free product in soil.",IF(E201="Max Limit","Based on maximum contaminant limit. Concentration should not be &gt; SRV.",""))</f>
        <v/>
      </c>
    </row>
    <row r="202" spans="1:19" ht="10">
      <c r="A202" s="129" t="s">
        <v>116</v>
      </c>
      <c r="B202" s="566" t="s">
        <v>117</v>
      </c>
      <c r="C202" s="566">
        <v>2022</v>
      </c>
      <c r="D202" s="126">
        <f>'Com-Ind Calculations'!W202</f>
        <v>16</v>
      </c>
      <c r="E202" s="126" t="str">
        <f>'Com-Ind Calculations'!X202</f>
        <v>Noncancer</v>
      </c>
      <c r="F202" s="127"/>
      <c r="G202" s="698">
        <f>IF(E202="BTV","NA",IF(E202="Max Limit","NA",IF(E202="Csat","NA",IF(ISNUMBER('Com-Ind Calculations'!U202),((F202/'Com-Ind Calculations'!U202)),"NA"))))</f>
        <v>0</v>
      </c>
      <c r="H202" s="704">
        <f>IF(E202="BTV","NA",IF(E202="Max Limit","NA",IF(E202="Csat","NA",IF(ISNUMBER('Com-Ind Calculations'!N202),((F202/'Com-Ind Calculations'!N202)*0.00001),"NA"))))</f>
        <v>0</v>
      </c>
      <c r="I202" s="702" t="str">
        <f>IF('Chemical Info'!R203="X",'Com-Ind Worksheet'!G202,"")</f>
        <v/>
      </c>
      <c r="J202" s="702" t="str">
        <f>IF('Chemical Info'!S203="X",'Com-Ind Worksheet'!G202,"")</f>
        <v/>
      </c>
      <c r="K202" s="702" t="str">
        <f>IF('Chemical Info'!T203="X",'Com-Ind Worksheet'!G202,"")</f>
        <v/>
      </c>
      <c r="L202" s="702" t="str">
        <f>IF('Chemical Info'!U203="X",'Com-Ind Worksheet'!G202,"")</f>
        <v/>
      </c>
      <c r="M202" s="702" t="str">
        <f>IF('Chemical Info'!V203="X",'Com-Ind Worksheet'!G202,"")</f>
        <v/>
      </c>
      <c r="N202" s="702" t="str">
        <f>IF('Chemical Info'!W203="X",'Com-Ind Worksheet'!G202,"")</f>
        <v/>
      </c>
      <c r="O202" s="702" t="str">
        <f>IF('Chemical Info'!X203="X",'Com-Ind Worksheet'!G202,"")</f>
        <v/>
      </c>
      <c r="P202" s="702" t="str">
        <f>IF('Chemical Info'!Y203="X",'Com-Ind Worksheet'!G202,"")</f>
        <v/>
      </c>
      <c r="Q202" s="702" t="str">
        <f>IF('Chemical Info'!Z203="X",'Com-Ind Worksheet'!G202,"")</f>
        <v/>
      </c>
      <c r="R202" s="702">
        <f>IF('Chemical Info'!AA203="X",'Com-Ind Worksheet'!G202,"")</f>
        <v>0</v>
      </c>
      <c r="S202" s="692" t="str">
        <f t="shared" si="4"/>
        <v/>
      </c>
    </row>
    <row r="203" spans="1:19" ht="10">
      <c r="A203" s="380" t="s">
        <v>394</v>
      </c>
      <c r="B203" s="593"/>
      <c r="C203" s="593"/>
      <c r="D203" s="384"/>
      <c r="E203" s="384"/>
      <c r="F203" s="402"/>
      <c r="G203" s="697"/>
      <c r="H203" s="703"/>
      <c r="I203" s="714"/>
      <c r="J203" s="714"/>
      <c r="K203" s="714"/>
      <c r="L203" s="714"/>
      <c r="M203" s="714"/>
      <c r="N203" s="714"/>
      <c r="O203" s="714"/>
      <c r="P203" s="714"/>
      <c r="Q203" s="714"/>
      <c r="R203" s="715"/>
      <c r="S203" s="691"/>
    </row>
    <row r="204" spans="1:19" ht="20">
      <c r="A204" s="146" t="s">
        <v>486</v>
      </c>
      <c r="B204" s="566" t="s">
        <v>104</v>
      </c>
      <c r="C204" s="566">
        <v>2021</v>
      </c>
      <c r="D204" s="166">
        <f>'Com-Ind Calculations'!W204</f>
        <v>2.8E-5</v>
      </c>
      <c r="E204" s="126" t="str">
        <f>'Com-Ind Calculations'!X204</f>
        <v>Cancer</v>
      </c>
      <c r="F204" s="136"/>
      <c r="G204" s="698">
        <f>IF(E204="BTV","NA",IF(E204="Max Limit","NA",IF(E204="Csat","NA",IF(ISNUMBER('Com-Ind Calculations'!U204),((F204/'Com-Ind Calculations'!U204)),"NA"))))</f>
        <v>0</v>
      </c>
      <c r="H204" s="704">
        <f>IF(E204="BTV","NA",IF(E204="Max Limit","NA",IF(E204="Csat","NA",IF(ISNUMBER('Com-Ind Calculations'!N204),((F204/'Com-Ind Calculations'!N204)*0.00001),"NA"))))</f>
        <v>0</v>
      </c>
      <c r="I204" s="702" t="str">
        <f>IF('Chemical Info'!R205="X",'Com-Ind Worksheet'!G204,"")</f>
        <v/>
      </c>
      <c r="J204" s="702">
        <f>IF('Chemical Info'!S205="X",'Com-Ind Worksheet'!G204,"")</f>
        <v>0</v>
      </c>
      <c r="K204" s="702" t="str">
        <f>IF('Chemical Info'!T205="X",'Com-Ind Worksheet'!G204,"")</f>
        <v/>
      </c>
      <c r="L204" s="702" t="str">
        <f>IF('Chemical Info'!U205="X",'Com-Ind Worksheet'!G204,"")</f>
        <v/>
      </c>
      <c r="M204" s="702">
        <f>IF('Chemical Info'!V205="X",'Com-Ind Worksheet'!G204,"")</f>
        <v>0</v>
      </c>
      <c r="N204" s="702">
        <f>IF('Chemical Info'!W205="X",'Com-Ind Worksheet'!G204,"")</f>
        <v>0</v>
      </c>
      <c r="O204" s="702">
        <f>IF('Chemical Info'!X205="X",'Com-Ind Worksheet'!G204,"")</f>
        <v>0</v>
      </c>
      <c r="P204" s="702" t="str">
        <f>IF('Chemical Info'!Y205="X",'Com-Ind Worksheet'!G204,"")</f>
        <v/>
      </c>
      <c r="Q204" s="702" t="str">
        <f>IF('Chemical Info'!Z205="X",'Com-Ind Worksheet'!G204,"")</f>
        <v/>
      </c>
      <c r="R204" s="702" t="str">
        <f>IF('Chemical Info'!AA205="X",'Com-Ind Worksheet'!G204,"")</f>
        <v/>
      </c>
      <c r="S204" s="692" t="str">
        <f t="shared" si="4"/>
        <v/>
      </c>
    </row>
    <row r="205" spans="1:19" ht="10">
      <c r="A205" s="380" t="s">
        <v>395</v>
      </c>
      <c r="B205" s="593"/>
      <c r="C205" s="593"/>
      <c r="D205" s="384"/>
      <c r="E205" s="384"/>
      <c r="F205" s="402"/>
      <c r="G205" s="697"/>
      <c r="H205" s="703"/>
      <c r="I205" s="714"/>
      <c r="J205" s="714"/>
      <c r="K205" s="714"/>
      <c r="L205" s="714"/>
      <c r="M205" s="714"/>
      <c r="N205" s="714"/>
      <c r="O205" s="714"/>
      <c r="P205" s="714"/>
      <c r="Q205" s="714"/>
      <c r="R205" s="715"/>
      <c r="S205" s="691"/>
    </row>
    <row r="206" spans="1:19" ht="10">
      <c r="A206" s="129" t="s">
        <v>413</v>
      </c>
      <c r="B206" s="566" t="s">
        <v>130</v>
      </c>
      <c r="C206" s="566">
        <v>2022</v>
      </c>
      <c r="D206" s="126">
        <f>'Com-Ind Calculations'!W206</f>
        <v>390</v>
      </c>
      <c r="E206" s="126" t="str">
        <f>'Com-Ind Calculations'!X206</f>
        <v>Cancer</v>
      </c>
      <c r="F206" s="136"/>
      <c r="G206" s="698">
        <f>IF(E206="BTV","NA",IF(E206="Max Limit","NA",IF(E206="Csat","NA",IF(ISNUMBER('Com-Ind Calculations'!U206),((F206/'Com-Ind Calculations'!U206)),"NA"))))</f>
        <v>0</v>
      </c>
      <c r="H206" s="704">
        <f>IF(E206="BTV","NA",IF(E206="Max Limit","NA",IF(E206="Csat","NA",IF(ISNUMBER('Com-Ind Calculations'!N206),((F206/'Com-Ind Calculations'!N206)*0.00001),"NA"))))</f>
        <v>0</v>
      </c>
      <c r="I206" s="702">
        <f>IF('Chemical Info'!R207="X",'Com-Ind Worksheet'!G206,"")</f>
        <v>0</v>
      </c>
      <c r="J206" s="702" t="str">
        <f>IF('Chemical Info'!S207="X",'Com-Ind Worksheet'!G206,"")</f>
        <v/>
      </c>
      <c r="K206" s="702" t="str">
        <f>IF('Chemical Info'!T207="X",'Com-Ind Worksheet'!G206,"")</f>
        <v/>
      </c>
      <c r="L206" s="702" t="str">
        <f>IF('Chemical Info'!U207="X",'Com-Ind Worksheet'!G206,"")</f>
        <v/>
      </c>
      <c r="M206" s="702" t="str">
        <f>IF('Chemical Info'!V207="X",'Com-Ind Worksheet'!G206,"")</f>
        <v/>
      </c>
      <c r="N206" s="702" t="str">
        <f>IF('Chemical Info'!W207="X",'Com-Ind Worksheet'!G206,"")</f>
        <v/>
      </c>
      <c r="O206" s="702" t="str">
        <f>IF('Chemical Info'!X207="X",'Com-Ind Worksheet'!G206,"")</f>
        <v/>
      </c>
      <c r="P206" s="702" t="str">
        <f>IF('Chemical Info'!Y207="X",'Com-Ind Worksheet'!G206,"")</f>
        <v/>
      </c>
      <c r="Q206" s="702" t="str">
        <f>IF('Chemical Info'!Z207="X",'Com-Ind Worksheet'!G206,"")</f>
        <v/>
      </c>
      <c r="R206" s="702" t="str">
        <f>IF('Chemical Info'!AA207="X",'Com-Ind Worksheet'!G206,"")</f>
        <v/>
      </c>
      <c r="S206" s="692" t="str">
        <f t="shared" si="4"/>
        <v/>
      </c>
    </row>
    <row r="207" spans="1:19" ht="10">
      <c r="A207" s="133" t="s">
        <v>411</v>
      </c>
      <c r="B207" s="566" t="s">
        <v>91</v>
      </c>
      <c r="C207" s="596">
        <v>2016</v>
      </c>
      <c r="D207" s="171">
        <f>'Com-Ind Calculations'!W207</f>
        <v>18</v>
      </c>
      <c r="E207" s="126" t="str">
        <f>'Com-Ind Calculations'!X207</f>
        <v>Noncancer</v>
      </c>
      <c r="F207" s="127"/>
      <c r="G207" s="698">
        <f>IF(E207="BTV","NA",IF(E207="Max Limit","NA",IF(E207="Csat","NA",IF(ISNUMBER('Com-Ind Calculations'!U207),((F207/'Com-Ind Calculations'!U207)),"NA"))))</f>
        <v>0</v>
      </c>
      <c r="H207" s="704" t="str">
        <f>IF(E207="BTV","NA",IF(E207="Max Limit","NA",IF(E207="Csat","NA",IF(ISNUMBER('Com-Ind Calculations'!N207),((F207/'Com-Ind Calculations'!N207)*0.00001),"NA"))))</f>
        <v>NA</v>
      </c>
      <c r="I207" s="702" t="str">
        <f>IF('Chemical Info'!R208="X",'Com-Ind Worksheet'!G207,"")</f>
        <v/>
      </c>
      <c r="J207" s="702">
        <f>IF('Chemical Info'!S208="X",'Com-Ind Worksheet'!G207,"")</f>
        <v>0</v>
      </c>
      <c r="K207" s="702">
        <f>IF('Chemical Info'!T208="X",'Com-Ind Worksheet'!G207,"")</f>
        <v>0</v>
      </c>
      <c r="L207" s="702" t="str">
        <f>IF('Chemical Info'!U208="X",'Com-Ind Worksheet'!G207,"")</f>
        <v/>
      </c>
      <c r="M207" s="702" t="str">
        <f>IF('Chemical Info'!V208="X",'Com-Ind Worksheet'!G207,"")</f>
        <v/>
      </c>
      <c r="N207" s="702" t="str">
        <f>IF('Chemical Info'!W208="X",'Com-Ind Worksheet'!G207,"")</f>
        <v/>
      </c>
      <c r="O207" s="702" t="str">
        <f>IF('Chemical Info'!X208="X",'Com-Ind Worksheet'!G207,"")</f>
        <v/>
      </c>
      <c r="P207" s="702" t="str">
        <f>IF('Chemical Info'!Y208="X",'Com-Ind Worksheet'!G207,"")</f>
        <v/>
      </c>
      <c r="Q207" s="702" t="str">
        <f>IF('Chemical Info'!Z208="X",'Com-Ind Worksheet'!G207,"")</f>
        <v/>
      </c>
      <c r="R207" s="702" t="str">
        <f>IF('Chemical Info'!AA208="X",'Com-Ind Worksheet'!G207,"")</f>
        <v/>
      </c>
      <c r="S207" s="692" t="str">
        <f t="shared" si="4"/>
        <v/>
      </c>
    </row>
    <row r="208" spans="1:19" ht="10">
      <c r="A208" s="133" t="s">
        <v>687</v>
      </c>
      <c r="B208" s="566" t="s">
        <v>92</v>
      </c>
      <c r="C208" s="596">
        <v>2021</v>
      </c>
      <c r="D208" s="171">
        <f>'Com-Ind Calculations'!W208</f>
        <v>78</v>
      </c>
      <c r="E208" s="126" t="str">
        <f>'Com-Ind Calculations'!X208</f>
        <v>Cancer</v>
      </c>
      <c r="F208" s="127"/>
      <c r="G208" s="698">
        <f>IF(E208="BTV","NA",IF(E208="Max Limit","NA",IF(E208="Csat","NA",IF(ISNUMBER('Com-Ind Calculations'!U208),((F208/'Com-Ind Calculations'!U208)),"NA"))))</f>
        <v>0</v>
      </c>
      <c r="H208" s="704">
        <f>IF(E208="BTV","NA",IF(E208="Max Limit","NA",IF(E208="Csat","NA",IF(ISNUMBER('Com-Ind Calculations'!N208),((F208/'Com-Ind Calculations'!N208)*0.00001),"NA"))))</f>
        <v>0</v>
      </c>
      <c r="I208" s="702">
        <f>IF('Chemical Info'!R209="X",'Com-Ind Worksheet'!G208,"")</f>
        <v>0</v>
      </c>
      <c r="J208" s="702">
        <f>IF('Chemical Info'!S209="X",'Com-Ind Worksheet'!G208,"")</f>
        <v>0</v>
      </c>
      <c r="K208" s="702" t="str">
        <f>IF('Chemical Info'!T209="X",'Com-Ind Worksheet'!G208,"")</f>
        <v/>
      </c>
      <c r="L208" s="702" t="str">
        <f>IF('Chemical Info'!U209="X",'Com-Ind Worksheet'!G208,"")</f>
        <v/>
      </c>
      <c r="M208" s="702">
        <f>IF('Chemical Info'!V209="X",'Com-Ind Worksheet'!G208,"")</f>
        <v>0</v>
      </c>
      <c r="N208" s="702" t="str">
        <f>IF('Chemical Info'!W209="X",'Com-Ind Worksheet'!G208,"")</f>
        <v/>
      </c>
      <c r="O208" s="702" t="str">
        <f>IF('Chemical Info'!X209="X",'Com-Ind Worksheet'!G208,"")</f>
        <v/>
      </c>
      <c r="P208" s="702" t="str">
        <f>IF('Chemical Info'!Y209="X",'Com-Ind Worksheet'!G208,"")</f>
        <v/>
      </c>
      <c r="Q208" s="702" t="str">
        <f>IF('Chemical Info'!Z209="X",'Com-Ind Worksheet'!G208,"")</f>
        <v/>
      </c>
      <c r="R208" s="702" t="str">
        <f>IF('Chemical Info'!AA209="X",'Com-Ind Worksheet'!G208,"")</f>
        <v/>
      </c>
      <c r="S208" s="692" t="str">
        <f t="shared" si="4"/>
        <v/>
      </c>
    </row>
    <row r="209" spans="1:19" ht="10">
      <c r="A209" s="133" t="s">
        <v>688</v>
      </c>
      <c r="B209" s="566" t="s">
        <v>230</v>
      </c>
      <c r="C209" s="596">
        <v>2016</v>
      </c>
      <c r="D209" s="171">
        <f>'Com-Ind Calculations'!W209</f>
        <v>17</v>
      </c>
      <c r="E209" s="126" t="str">
        <f>'Com-Ind Calculations'!X209</f>
        <v>Cancer</v>
      </c>
      <c r="F209" s="127"/>
      <c r="G209" s="698">
        <f>IF(E209="BTV","NA",IF(E209="Max Limit","NA",IF(E209="Csat","NA",IF(ISNUMBER('Com-Ind Calculations'!U209),((F209/'Com-Ind Calculations'!U209)),"NA"))))</f>
        <v>0</v>
      </c>
      <c r="H209" s="704">
        <f>IF(E209="BTV","NA",IF(E209="Max Limit","NA",IF(E209="Csat","NA",IF(ISNUMBER('Com-Ind Calculations'!N209),((F209/'Com-Ind Calculations'!N209)*0.00001),"NA"))))</f>
        <v>0</v>
      </c>
      <c r="I209" s="702" t="str">
        <f>IF('Chemical Info'!R210="X",'Com-Ind Worksheet'!G209,"")</f>
        <v/>
      </c>
      <c r="J209" s="702">
        <f>IF('Chemical Info'!S210="X",'Com-Ind Worksheet'!G209,"")</f>
        <v>0</v>
      </c>
      <c r="K209" s="702" t="str">
        <f>IF('Chemical Info'!T210="X",'Com-Ind Worksheet'!G209,"")</f>
        <v/>
      </c>
      <c r="L209" s="702" t="str">
        <f>IF('Chemical Info'!U210="X",'Com-Ind Worksheet'!G209,"")</f>
        <v/>
      </c>
      <c r="M209" s="702" t="str">
        <f>IF('Chemical Info'!V210="X",'Com-Ind Worksheet'!G209,"")</f>
        <v/>
      </c>
      <c r="N209" s="702" t="str">
        <f>IF('Chemical Info'!W210="X",'Com-Ind Worksheet'!G209,"")</f>
        <v/>
      </c>
      <c r="O209" s="702" t="str">
        <f>IF('Chemical Info'!X210="X",'Com-Ind Worksheet'!G209,"")</f>
        <v/>
      </c>
      <c r="P209" s="702" t="str">
        <f>IF('Chemical Info'!Y210="X",'Com-Ind Worksheet'!G209,"")</f>
        <v/>
      </c>
      <c r="Q209" s="702" t="str">
        <f>IF('Chemical Info'!Z210="X",'Com-Ind Worksheet'!G209,"")</f>
        <v/>
      </c>
      <c r="R209" s="702" t="str">
        <f>IF('Chemical Info'!AA210="X",'Com-Ind Worksheet'!G209,"")</f>
        <v/>
      </c>
      <c r="S209" s="692" t="str">
        <f t="shared" si="4"/>
        <v/>
      </c>
    </row>
    <row r="210" spans="1:19" ht="10">
      <c r="A210" s="133" t="s">
        <v>38</v>
      </c>
      <c r="B210" s="566" t="s">
        <v>427</v>
      </c>
      <c r="C210" s="596">
        <v>2016</v>
      </c>
      <c r="D210" s="171">
        <f>'Com-Ind Calculations'!W210</f>
        <v>37</v>
      </c>
      <c r="E210" s="126" t="str">
        <f>'Com-Ind Calculations'!X210</f>
        <v>Cancer</v>
      </c>
      <c r="F210" s="127"/>
      <c r="G210" s="698">
        <f>IF(E210="BTV","NA",IF(E210="Max Limit","NA",IF(E210="Csat","NA",IF(ISNUMBER('Com-Ind Calculations'!U210),((F210/'Com-Ind Calculations'!U210)),"NA"))))</f>
        <v>0</v>
      </c>
      <c r="H210" s="704">
        <f>IF(E210="BTV","NA",IF(E210="Max Limit","NA",IF(E210="Csat","NA",IF(ISNUMBER('Com-Ind Calculations'!N210),((F210/'Com-Ind Calculations'!N210)*0.00001),"NA"))))</f>
        <v>0</v>
      </c>
      <c r="I210" s="702" t="str">
        <f>IF('Chemical Info'!R211="X",'Com-Ind Worksheet'!G210,"")</f>
        <v/>
      </c>
      <c r="J210" s="702" t="str">
        <f>IF('Chemical Info'!S211="X",'Com-Ind Worksheet'!G210,"")</f>
        <v/>
      </c>
      <c r="K210" s="702" t="str">
        <f>IF('Chemical Info'!T211="X",'Com-Ind Worksheet'!G210,"")</f>
        <v/>
      </c>
      <c r="L210" s="702" t="str">
        <f>IF('Chemical Info'!U211="X",'Com-Ind Worksheet'!G210,"")</f>
        <v/>
      </c>
      <c r="M210" s="702">
        <f>IF('Chemical Info'!V211="X",'Com-Ind Worksheet'!G210,"")</f>
        <v>0</v>
      </c>
      <c r="N210" s="702" t="str">
        <f>IF('Chemical Info'!W211="X",'Com-Ind Worksheet'!G210,"")</f>
        <v/>
      </c>
      <c r="O210" s="702" t="str">
        <f>IF('Chemical Info'!X211="X",'Com-Ind Worksheet'!G210,"")</f>
        <v/>
      </c>
      <c r="P210" s="702" t="str">
        <f>IF('Chemical Info'!Y211="X",'Com-Ind Worksheet'!G210,"")</f>
        <v/>
      </c>
      <c r="Q210" s="702" t="str">
        <f>IF('Chemical Info'!Z211="X",'Com-Ind Worksheet'!G210,"")</f>
        <v/>
      </c>
      <c r="R210" s="702" t="str">
        <f>IF('Chemical Info'!AA211="X",'Com-Ind Worksheet'!G210,"")</f>
        <v/>
      </c>
      <c r="S210" s="692" t="str">
        <f t="shared" si="4"/>
        <v/>
      </c>
    </row>
    <row r="211" spans="1:19" ht="20">
      <c r="A211" s="146" t="s">
        <v>489</v>
      </c>
      <c r="B211" s="566" t="s">
        <v>129</v>
      </c>
      <c r="C211" s="596">
        <v>2016</v>
      </c>
      <c r="D211" s="171">
        <f>'Com-Ind Calculations'!W211</f>
        <v>11000</v>
      </c>
      <c r="E211" s="126" t="str">
        <f>'Com-Ind Calculations'!X211</f>
        <v>Noncancer</v>
      </c>
      <c r="F211" s="127"/>
      <c r="G211" s="698">
        <f>IF(E211="BTV","NA",IF(E211="Max Limit","NA",IF(E211="Csat","NA",IF(ISNUMBER('Com-Ind Calculations'!U211),((F211/'Com-Ind Calculations'!U211)),"NA"))))</f>
        <v>0</v>
      </c>
      <c r="H211" s="704" t="str">
        <f>IF(E211="BTV","NA",IF(E211="Max Limit","NA",IF(E211="Csat","NA",IF(ISNUMBER('Com-Ind Calculations'!N211),((F211/'Com-Ind Calculations'!N211)*0.00001),"NA"))))</f>
        <v>NA</v>
      </c>
      <c r="I211" s="702" t="str">
        <f>IF('Chemical Info'!R212="X",'Com-Ind Worksheet'!G211,"")</f>
        <v/>
      </c>
      <c r="J211" s="702" t="str">
        <f>IF('Chemical Info'!S212="X",'Com-Ind Worksheet'!G211,"")</f>
        <v/>
      </c>
      <c r="K211" s="702" t="str">
        <f>IF('Chemical Info'!T212="X",'Com-Ind Worksheet'!G211,"")</f>
        <v/>
      </c>
      <c r="L211" s="702" t="str">
        <f>IF('Chemical Info'!U212="X",'Com-Ind Worksheet'!G211,"")</f>
        <v/>
      </c>
      <c r="M211" s="702">
        <f>IF('Chemical Info'!V212="X",'Com-Ind Worksheet'!G211,"")</f>
        <v>0</v>
      </c>
      <c r="N211" s="702" t="str">
        <f>IF('Chemical Info'!W212="X",'Com-Ind Worksheet'!G211,"")</f>
        <v/>
      </c>
      <c r="O211" s="702" t="str">
        <f>IF('Chemical Info'!X212="X",'Com-Ind Worksheet'!G211,"")</f>
        <v/>
      </c>
      <c r="P211" s="702" t="str">
        <f>IF('Chemical Info'!Y212="X",'Com-Ind Worksheet'!G211,"")</f>
        <v/>
      </c>
      <c r="Q211" s="702" t="str">
        <f>IF('Chemical Info'!Z212="X",'Com-Ind Worksheet'!G211,"")</f>
        <v/>
      </c>
      <c r="R211" s="702" t="str">
        <f>IF('Chemical Info'!AA212="X",'Com-Ind Worksheet'!G211,"")</f>
        <v/>
      </c>
      <c r="S211" s="692" t="str">
        <f t="shared" si="4"/>
        <v/>
      </c>
    </row>
    <row r="212" spans="1:19" ht="10">
      <c r="A212" s="133" t="s">
        <v>414</v>
      </c>
      <c r="B212" s="566" t="s">
        <v>131</v>
      </c>
      <c r="C212" s="596">
        <v>2016</v>
      </c>
      <c r="D212" s="171">
        <f>'Com-Ind Calculations'!W212</f>
        <v>6600</v>
      </c>
      <c r="E212" s="126" t="str">
        <f>'Com-Ind Calculations'!X212</f>
        <v>Noncancer</v>
      </c>
      <c r="F212" s="127"/>
      <c r="G212" s="698">
        <f>IF(E212="BTV","NA",IF(E212="Max Limit","NA",IF(E212="Csat","NA",IF(ISNUMBER('Com-Ind Calculations'!U212),((F212/'Com-Ind Calculations'!U212)),"NA"))))</f>
        <v>0</v>
      </c>
      <c r="H212" s="704" t="str">
        <f>IF(E212="BTV","NA",IF(E212="Max Limit","NA",IF(E212="Csat","NA",IF(ISNUMBER('Com-Ind Calculations'!N212),((F212/'Com-Ind Calculations'!N212)*0.00001),"NA"))))</f>
        <v>NA</v>
      </c>
      <c r="I212" s="702" t="str">
        <f>IF('Chemical Info'!R213="X",'Com-Ind Worksheet'!G212,"")</f>
        <v/>
      </c>
      <c r="J212" s="702">
        <f>IF('Chemical Info'!S213="X",'Com-Ind Worksheet'!G212,"")</f>
        <v>0</v>
      </c>
      <c r="K212" s="702">
        <f>IF('Chemical Info'!T213="X",'Com-Ind Worksheet'!G212,"")</f>
        <v>0</v>
      </c>
      <c r="L212" s="702" t="str">
        <f>IF('Chemical Info'!U213="X",'Com-Ind Worksheet'!G212,"")</f>
        <v/>
      </c>
      <c r="M212" s="702" t="str">
        <f>IF('Chemical Info'!V213="X",'Com-Ind Worksheet'!G212,"")</f>
        <v/>
      </c>
      <c r="N212" s="702" t="str">
        <f>IF('Chemical Info'!W213="X",'Com-Ind Worksheet'!G212,"")</f>
        <v/>
      </c>
      <c r="O212" s="702" t="str">
        <f>IF('Chemical Info'!X213="X",'Com-Ind Worksheet'!G212,"")</f>
        <v/>
      </c>
      <c r="P212" s="702" t="str">
        <f>IF('Chemical Info'!Y213="X",'Com-Ind Worksheet'!G212,"")</f>
        <v/>
      </c>
      <c r="Q212" s="702" t="str">
        <f>IF('Chemical Info'!Z213="X",'Com-Ind Worksheet'!G212,"")</f>
        <v/>
      </c>
      <c r="R212" s="702" t="str">
        <f>IF('Chemical Info'!AA213="X",'Com-Ind Worksheet'!G212,"")</f>
        <v/>
      </c>
      <c r="S212" s="692" t="str">
        <f t="shared" si="4"/>
        <v/>
      </c>
    </row>
    <row r="213" spans="1:19" ht="10">
      <c r="A213" s="133" t="s">
        <v>415</v>
      </c>
      <c r="B213" s="566" t="s">
        <v>93</v>
      </c>
      <c r="C213" s="566">
        <v>2016</v>
      </c>
      <c r="D213" s="126">
        <f>'Com-Ind Calculations'!W213</f>
        <v>110</v>
      </c>
      <c r="E213" s="126" t="str">
        <f>'Com-Ind Calculations'!X213</f>
        <v>Noncancer</v>
      </c>
      <c r="F213" s="127"/>
      <c r="G213" s="698">
        <f>IF(E213="BTV","NA",IF(E213="Max Limit","NA",IF(E213="Csat","NA",IF(ISNUMBER('Com-Ind Calculations'!U213),((F213/'Com-Ind Calculations'!U213)),"NA"))))</f>
        <v>0</v>
      </c>
      <c r="H213" s="704">
        <f>IF(E213="BTV","NA",IF(E213="Max Limit","NA",IF(E213="Csat","NA",IF(ISNUMBER('Com-Ind Calculations'!N213),((F213/'Com-Ind Calculations'!N213)*0.00001),"NA"))))</f>
        <v>0</v>
      </c>
      <c r="I213" s="702" t="str">
        <f>IF('Chemical Info'!R214="X",'Com-Ind Worksheet'!G213,"")</f>
        <v/>
      </c>
      <c r="J213" s="702" t="str">
        <f>IF('Chemical Info'!S214="X",'Com-Ind Worksheet'!G213,"")</f>
        <v/>
      </c>
      <c r="K213" s="702" t="str">
        <f>IF('Chemical Info'!T214="X",'Com-Ind Worksheet'!G213,"")</f>
        <v/>
      </c>
      <c r="L213" s="702" t="str">
        <f>IF('Chemical Info'!U214="X",'Com-Ind Worksheet'!G213,"")</f>
        <v/>
      </c>
      <c r="M213" s="702">
        <f>IF('Chemical Info'!V214="X",'Com-Ind Worksheet'!G213,"")</f>
        <v>0</v>
      </c>
      <c r="N213" s="702" t="str">
        <f>IF('Chemical Info'!W214="X",'Com-Ind Worksheet'!G213,"")</f>
        <v/>
      </c>
      <c r="O213" s="702" t="str">
        <f>IF('Chemical Info'!X214="X",'Com-Ind Worksheet'!G213,"")</f>
        <v/>
      </c>
      <c r="P213" s="702" t="str">
        <f>IF('Chemical Info'!Y214="X",'Com-Ind Worksheet'!G213,"")</f>
        <v/>
      </c>
      <c r="Q213" s="702" t="str">
        <f>IF('Chemical Info'!Z214="X",'Com-Ind Worksheet'!G213,"")</f>
        <v/>
      </c>
      <c r="R213" s="702" t="str">
        <f>IF('Chemical Info'!AA214="X",'Com-Ind Worksheet'!G213,"")</f>
        <v/>
      </c>
      <c r="S213" s="692" t="str">
        <f t="shared" si="4"/>
        <v/>
      </c>
    </row>
    <row r="214" spans="1:19" ht="13.5" hidden="1" customHeight="1">
      <c r="A214" s="838" t="s">
        <v>1088</v>
      </c>
      <c r="B214" s="839"/>
      <c r="C214" s="839"/>
      <c r="D214" s="839"/>
      <c r="E214" s="839"/>
      <c r="F214" s="839"/>
      <c r="G214" s="839"/>
      <c r="H214" s="706">
        <f>SUM(H4:H213)</f>
        <v>0</v>
      </c>
      <c r="I214" s="712">
        <f t="shared" ref="I214:R214" si="5">SUM(I4:I213)</f>
        <v>0</v>
      </c>
      <c r="J214" s="712">
        <f t="shared" si="5"/>
        <v>0</v>
      </c>
      <c r="K214" s="712">
        <f t="shared" si="5"/>
        <v>0</v>
      </c>
      <c r="L214" s="712">
        <f t="shared" si="5"/>
        <v>0</v>
      </c>
      <c r="M214" s="712">
        <f t="shared" si="5"/>
        <v>0</v>
      </c>
      <c r="N214" s="712">
        <f t="shared" si="5"/>
        <v>0</v>
      </c>
      <c r="O214" s="712">
        <f t="shared" si="5"/>
        <v>0</v>
      </c>
      <c r="P214" s="712">
        <f t="shared" si="5"/>
        <v>0</v>
      </c>
      <c r="Q214" s="712">
        <f t="shared" si="5"/>
        <v>0</v>
      </c>
      <c r="R214" s="712">
        <f t="shared" si="5"/>
        <v>0</v>
      </c>
    </row>
    <row r="215" spans="1:19">
      <c r="A215" s="138"/>
      <c r="B215" s="600"/>
      <c r="C215" s="600"/>
    </row>
    <row r="216" spans="1:19">
      <c r="A216" s="724" t="s">
        <v>1556</v>
      </c>
      <c r="B216" s="601"/>
      <c r="C216" s="601"/>
      <c r="L216" s="619"/>
    </row>
    <row r="217" spans="1:19">
      <c r="A217" s="61" t="s">
        <v>1299</v>
      </c>
      <c r="B217" s="439"/>
      <c r="C217" s="439"/>
    </row>
    <row r="218" spans="1:19">
      <c r="A218" s="61" t="s">
        <v>1300</v>
      </c>
      <c r="B218" s="439"/>
      <c r="C218" s="439"/>
    </row>
    <row r="219" spans="1:19" ht="10">
      <c r="A219" s="110" t="s">
        <v>1292</v>
      </c>
      <c r="B219" s="439"/>
      <c r="C219" s="439"/>
      <c r="D219" s="165"/>
      <c r="E219" s="165"/>
      <c r="F219" s="165"/>
      <c r="G219" s="713"/>
      <c r="H219" s="165"/>
    </row>
    <row r="220" spans="1:19" ht="10">
      <c r="A220" s="110" t="s">
        <v>1616</v>
      </c>
      <c r="B220" s="109"/>
      <c r="C220" s="109"/>
      <c r="D220" s="159"/>
      <c r="E220" s="159"/>
      <c r="F220" s="159"/>
      <c r="G220" s="700"/>
      <c r="H220" s="159"/>
    </row>
    <row r="221" spans="1:19" ht="10">
      <c r="A221" s="110" t="s">
        <v>1293</v>
      </c>
      <c r="B221" s="109"/>
      <c r="C221" s="109"/>
      <c r="D221" s="159"/>
      <c r="E221" s="159"/>
      <c r="F221" s="159"/>
      <c r="G221" s="700"/>
      <c r="H221" s="159"/>
    </row>
    <row r="222" spans="1:19" ht="10">
      <c r="A222" s="110" t="s">
        <v>1294</v>
      </c>
      <c r="B222" s="109"/>
      <c r="C222" s="109"/>
      <c r="D222" s="159"/>
      <c r="E222" s="159"/>
      <c r="F222" s="159"/>
      <c r="G222" s="700"/>
      <c r="H222" s="159"/>
    </row>
    <row r="223" spans="1:19">
      <c r="A223" s="110" t="s">
        <v>1016</v>
      </c>
      <c r="B223" s="109"/>
      <c r="C223" s="109"/>
      <c r="D223" s="159"/>
      <c r="E223" s="159"/>
      <c r="F223" s="159"/>
      <c r="G223" s="700"/>
      <c r="H223" s="159"/>
    </row>
    <row r="224" spans="1:19">
      <c r="A224" s="110" t="s">
        <v>1006</v>
      </c>
      <c r="B224" s="109"/>
      <c r="C224" s="109"/>
    </row>
    <row r="225" spans="1:3">
      <c r="A225" s="110" t="s">
        <v>1295</v>
      </c>
      <c r="B225" s="109"/>
      <c r="C225" s="109"/>
    </row>
    <row r="226" spans="1:3">
      <c r="A226" s="110" t="s">
        <v>1296</v>
      </c>
      <c r="B226" s="109"/>
      <c r="C226" s="109"/>
    </row>
    <row r="227" spans="1:3">
      <c r="A227" s="61" t="s">
        <v>966</v>
      </c>
      <c r="B227" s="109"/>
      <c r="C227" s="109"/>
    </row>
    <row r="228" spans="1:3">
      <c r="A228" s="724" t="s">
        <v>993</v>
      </c>
      <c r="B228" s="109"/>
      <c r="C228" s="109"/>
    </row>
    <row r="229" spans="1:3">
      <c r="A229" s="61" t="s">
        <v>1248</v>
      </c>
      <c r="B229" s="439"/>
      <c r="C229" s="439"/>
    </row>
    <row r="230" spans="1:3" hidden="1">
      <c r="A230" s="61" t="s">
        <v>1288</v>
      </c>
      <c r="B230" s="602"/>
      <c r="C230" s="602"/>
    </row>
    <row r="231" spans="1:3" hidden="1">
      <c r="A231" s="446" t="s">
        <v>1289</v>
      </c>
      <c r="B231" s="602"/>
      <c r="C231" s="602"/>
    </row>
    <row r="232" spans="1:3" hidden="1">
      <c r="A232" s="139"/>
      <c r="B232" s="602"/>
      <c r="C232" s="602"/>
    </row>
    <row r="233" spans="1:3" hidden="1">
      <c r="A233" s="673" t="s">
        <v>441</v>
      </c>
      <c r="B233" s="439"/>
      <c r="C233" s="439"/>
    </row>
    <row r="234" spans="1:3" hidden="1">
      <c r="A234" s="674" t="s">
        <v>354</v>
      </c>
      <c r="B234" s="602"/>
      <c r="C234" s="602"/>
    </row>
    <row r="235" spans="1:3" hidden="1">
      <c r="A235" s="674" t="s">
        <v>355</v>
      </c>
      <c r="B235" s="602"/>
      <c r="C235" s="602"/>
    </row>
    <row r="236" spans="1:3" hidden="1">
      <c r="A236" s="674" t="s">
        <v>356</v>
      </c>
      <c r="B236" s="602"/>
      <c r="C236" s="602"/>
    </row>
    <row r="237" spans="1:3" hidden="1">
      <c r="A237" s="674" t="s">
        <v>357</v>
      </c>
      <c r="B237" s="602"/>
      <c r="C237" s="602"/>
    </row>
    <row r="238" spans="1:3" hidden="1">
      <c r="A238" s="673" t="s">
        <v>560</v>
      </c>
      <c r="B238" s="603"/>
      <c r="C238" s="603"/>
    </row>
    <row r="239" spans="1:3" hidden="1">
      <c r="A239" s="674" t="s">
        <v>358</v>
      </c>
      <c r="B239" s="99"/>
      <c r="C239" s="99"/>
    </row>
    <row r="240" spans="1:3" hidden="1">
      <c r="A240" s="674" t="s">
        <v>359</v>
      </c>
      <c r="B240" s="99"/>
      <c r="C240" s="99"/>
    </row>
    <row r="241" spans="1:5" hidden="1">
      <c r="A241" s="674" t="s">
        <v>360</v>
      </c>
      <c r="B241" s="439"/>
      <c r="C241" s="439"/>
    </row>
    <row r="242" spans="1:5" hidden="1">
      <c r="A242" s="674" t="s">
        <v>361</v>
      </c>
      <c r="B242" s="603"/>
      <c r="C242" s="603"/>
    </row>
    <row r="243" spans="1:5">
      <c r="A243" s="734" t="s">
        <v>1552</v>
      </c>
      <c r="B243" s="603"/>
      <c r="C243" s="603"/>
    </row>
    <row r="244" spans="1:5">
      <c r="A244" s="140"/>
      <c r="B244" s="603"/>
      <c r="C244" s="603"/>
    </row>
    <row r="245" spans="1:5">
      <c r="A245" s="140"/>
      <c r="B245" s="603"/>
      <c r="C245" s="603"/>
    </row>
    <row r="246" spans="1:5">
      <c r="A246" s="140"/>
      <c r="B246" s="603"/>
      <c r="C246" s="603"/>
    </row>
    <row r="247" spans="1:5">
      <c r="A247" s="140"/>
      <c r="B247" s="603"/>
      <c r="C247" s="603"/>
    </row>
    <row r="248" spans="1:5">
      <c r="A248" s="140"/>
      <c r="B248" s="603"/>
      <c r="C248" s="603"/>
    </row>
    <row r="249" spans="1:5">
      <c r="A249" s="140"/>
      <c r="B249" s="603"/>
      <c r="C249" s="603"/>
    </row>
    <row r="250" spans="1:5">
      <c r="A250" s="140"/>
      <c r="B250" s="603"/>
      <c r="C250" s="603"/>
    </row>
    <row r="251" spans="1:5">
      <c r="A251" s="140"/>
      <c r="B251" s="603"/>
      <c r="C251" s="603"/>
    </row>
    <row r="252" spans="1:5">
      <c r="A252" s="141"/>
      <c r="B252" s="603"/>
      <c r="C252" s="603"/>
      <c r="D252" s="142"/>
      <c r="E252" s="142"/>
    </row>
    <row r="253" spans="1:5">
      <c r="A253" s="141"/>
      <c r="B253" s="603"/>
      <c r="C253" s="603"/>
      <c r="D253" s="142"/>
      <c r="E253" s="142"/>
    </row>
    <row r="254" spans="1:5">
      <c r="A254" s="141"/>
      <c r="B254" s="604"/>
      <c r="C254" s="604"/>
      <c r="D254" s="142"/>
      <c r="E254" s="142"/>
    </row>
    <row r="255" spans="1:5">
      <c r="A255" s="141"/>
      <c r="B255" s="604"/>
      <c r="C255" s="604"/>
      <c r="D255" s="142"/>
      <c r="E255" s="142"/>
    </row>
    <row r="256" spans="1:5">
      <c r="A256" s="141"/>
      <c r="B256" s="604"/>
      <c r="C256" s="604"/>
      <c r="D256" s="142"/>
      <c r="E256" s="142"/>
    </row>
    <row r="257" spans="1:5">
      <c r="A257" s="141"/>
      <c r="B257" s="604"/>
      <c r="C257" s="604"/>
      <c r="D257" s="142"/>
      <c r="E257" s="142"/>
    </row>
    <row r="258" spans="1:5">
      <c r="B258" s="604"/>
      <c r="C258" s="604"/>
    </row>
    <row r="259" spans="1:5">
      <c r="B259" s="604"/>
      <c r="C259" s="604"/>
    </row>
  </sheetData>
  <sheetProtection algorithmName="SHA-512" hashValue="AgybH1LNsZw0iiGva20MzCnJ+qWC44cbEAhB1SJZnsXhonH0OnfGHWGn69t+Z1SJqAL+LtNhjzd+q5LKKTFfFg==" saltValue="y2tabe/I8EbTRVwVGhXyZw==" spinCount="100000" sheet="1" objects="1" scenarios="1"/>
  <protectedRanges>
    <protectedRange sqref="F4:F213" name="Range1"/>
  </protectedRanges>
  <customSheetViews>
    <customSheetView guid="{4E720B7F-6A3C-4034-90A5-B2BF7A394FC0}" showPageBreaks="1" printArea="1">
      <pane xSplit="1" ySplit="2" topLeftCell="B156" activePane="bottomRight" state="frozen"/>
      <selection pane="bottomRight" activeCell="R164" sqref="R164"/>
      <pageMargins left="0.5" right="0.5" top="0.5" bottom="0.4" header="0.3" footer="0.2"/>
      <printOptions gridLines="1"/>
      <pageSetup scale="95" fitToHeight="4" orientation="landscape" r:id="rId1"/>
      <headerFooter alignWithMargins="0">
        <oddHeader>&amp;C&amp;"Arial,Bold"Commercial/Industrial Worksheet</oddHeader>
        <oddFooter>&amp;LDecember 2018&amp;R&amp;P of &amp;N</oddFooter>
      </headerFooter>
    </customSheetView>
    <customSheetView guid="{23DC26AF-9753-4BD2-80DE-415E6324C52C}">
      <pane xSplit="1" ySplit="2" topLeftCell="B167" activePane="bottomRight" state="frozen"/>
      <selection pane="bottomRight" activeCell="D128" sqref="D128"/>
      <pageMargins left="0.5" right="0.5" top="0.5" bottom="0.4" header="0.3" footer="0.2"/>
      <printOptions gridLines="1"/>
      <pageSetup scale="95" fitToHeight="4" orientation="landscape" r:id="rId2"/>
      <headerFooter alignWithMargins="0">
        <oddHeader>&amp;C&amp;"Arial,Bold"Commercial/Industrial Worksheet</oddHeader>
        <oddFooter>&amp;LDecember 2018&amp;R&amp;P of &amp;N</oddFooter>
      </headerFooter>
    </customSheetView>
  </customSheetViews>
  <mergeCells count="11">
    <mergeCell ref="S1:S2"/>
    <mergeCell ref="A214:G214"/>
    <mergeCell ref="I1:R1"/>
    <mergeCell ref="A1:A2"/>
    <mergeCell ref="B1:B2"/>
    <mergeCell ref="C1:C2"/>
    <mergeCell ref="D1:D2"/>
    <mergeCell ref="E1:E2"/>
    <mergeCell ref="F1:F2"/>
    <mergeCell ref="G1:G2"/>
    <mergeCell ref="H1:H2"/>
  </mergeCells>
  <printOptions gridLines="1"/>
  <pageMargins left="0.5" right="0.5" top="0.5" bottom="0.4" header="0.3" footer="0.2"/>
  <pageSetup scale="95" fitToHeight="4" orientation="landscape" r:id="rId3"/>
  <headerFooter alignWithMargins="0">
    <oddHeader>&amp;C&amp;"Arial,Bold"Commercial/Industrial Worksheet</oddHeader>
    <oddFooter>&amp;LApril 2026&amp;R&amp;P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AR45"/>
  <sheetViews>
    <sheetView topLeftCell="A13" workbookViewId="0">
      <selection activeCell="O38" sqref="O38"/>
    </sheetView>
  </sheetViews>
  <sheetFormatPr defaultColWidth="9.1796875" defaultRowHeight="10"/>
  <cols>
    <col min="1" max="1" width="28.453125" style="173" customWidth="1"/>
    <col min="2" max="2" width="9.54296875" style="173" customWidth="1"/>
    <col min="3" max="3" width="10.81640625" style="173" customWidth="1"/>
    <col min="4" max="4" width="10" style="173" customWidth="1"/>
    <col min="5" max="5" width="12.54296875" style="173" customWidth="1"/>
    <col min="6" max="6" width="9.453125" style="173" customWidth="1"/>
    <col min="7" max="7" width="12.54296875" style="173" customWidth="1"/>
    <col min="8" max="8" width="9.1796875" style="173"/>
    <col min="9" max="9" width="12.54296875" style="173" customWidth="1"/>
    <col min="10" max="10" width="9.1796875" style="173"/>
    <col min="11" max="11" width="12.54296875" style="173" customWidth="1"/>
    <col min="12" max="12" width="9.1796875" style="173"/>
    <col min="13" max="13" width="12.54296875" style="173" customWidth="1"/>
    <col min="14" max="14" width="9.1796875" style="173"/>
    <col min="15" max="15" width="12.54296875" style="173" customWidth="1"/>
    <col min="16" max="16" width="9.1796875" style="173"/>
    <col min="17" max="17" width="12.54296875" style="173" customWidth="1"/>
    <col min="18" max="18" width="9.1796875" style="173"/>
    <col min="19" max="19" width="12.54296875" style="173" customWidth="1"/>
    <col min="20" max="20" width="9.1796875" style="173"/>
    <col min="21" max="21" width="12.54296875" style="173" customWidth="1"/>
    <col min="22" max="22" width="9.1796875" style="173"/>
    <col min="23" max="23" width="12.54296875" style="173" customWidth="1"/>
    <col min="24" max="24" width="9.1796875" style="173"/>
    <col min="25" max="25" width="12.54296875" style="173" customWidth="1"/>
    <col min="26" max="26" width="9.1796875" style="173"/>
    <col min="27" max="27" width="12.54296875" style="173" customWidth="1"/>
    <col min="28" max="28" width="9.1796875" style="173"/>
    <col min="29" max="29" width="12.54296875" style="173" customWidth="1"/>
    <col min="30" max="30" width="9.1796875" style="173"/>
    <col min="31" max="31" width="12.54296875" style="173" customWidth="1"/>
    <col min="32" max="32" width="9.1796875" style="173"/>
    <col min="33" max="33" width="12.54296875" style="173" customWidth="1"/>
    <col min="34" max="34" width="9.1796875" style="173"/>
    <col min="35" max="35" width="12.54296875" style="173" customWidth="1"/>
    <col min="36" max="36" width="9.1796875" style="173"/>
    <col min="37" max="37" width="12.54296875" style="173" customWidth="1"/>
    <col min="38" max="38" width="9.1796875" style="173"/>
    <col min="39" max="39" width="12.54296875" style="173" customWidth="1"/>
    <col min="40" max="40" width="9.1796875" style="173"/>
    <col min="41" max="41" width="12.54296875" style="173" customWidth="1"/>
    <col min="42" max="42" width="9.1796875" style="173"/>
    <col min="43" max="43" width="12.54296875" style="173" customWidth="1"/>
    <col min="44" max="16384" width="9.1796875" style="173"/>
  </cols>
  <sheetData>
    <row r="1" spans="1:44" ht="11.25" customHeight="1">
      <c r="A1" s="864" t="s">
        <v>596</v>
      </c>
      <c r="B1" s="864" t="s">
        <v>204</v>
      </c>
      <c r="C1" s="867" t="s">
        <v>1713</v>
      </c>
      <c r="D1" s="864" t="s">
        <v>698</v>
      </c>
      <c r="E1" s="861" t="s">
        <v>909</v>
      </c>
      <c r="F1" s="858" t="s">
        <v>908</v>
      </c>
      <c r="G1" s="861" t="s">
        <v>909</v>
      </c>
      <c r="H1" s="858" t="s">
        <v>908</v>
      </c>
      <c r="I1" s="861" t="s">
        <v>909</v>
      </c>
      <c r="J1" s="858" t="s">
        <v>908</v>
      </c>
      <c r="K1" s="861" t="s">
        <v>909</v>
      </c>
      <c r="L1" s="858" t="s">
        <v>908</v>
      </c>
      <c r="M1" s="861" t="s">
        <v>909</v>
      </c>
      <c r="N1" s="858" t="s">
        <v>908</v>
      </c>
      <c r="O1" s="861" t="s">
        <v>909</v>
      </c>
      <c r="P1" s="858" t="s">
        <v>908</v>
      </c>
      <c r="Q1" s="861" t="s">
        <v>909</v>
      </c>
      <c r="R1" s="858" t="s">
        <v>908</v>
      </c>
      <c r="S1" s="861" t="s">
        <v>909</v>
      </c>
      <c r="T1" s="858" t="s">
        <v>908</v>
      </c>
      <c r="U1" s="861" t="s">
        <v>909</v>
      </c>
      <c r="V1" s="858" t="s">
        <v>908</v>
      </c>
      <c r="W1" s="861" t="s">
        <v>909</v>
      </c>
      <c r="X1" s="858" t="s">
        <v>908</v>
      </c>
      <c r="Y1" s="861" t="s">
        <v>909</v>
      </c>
      <c r="Z1" s="858" t="s">
        <v>908</v>
      </c>
      <c r="AA1" s="861" t="s">
        <v>909</v>
      </c>
      <c r="AB1" s="858" t="s">
        <v>908</v>
      </c>
      <c r="AC1" s="861" t="s">
        <v>909</v>
      </c>
      <c r="AD1" s="858" t="s">
        <v>908</v>
      </c>
      <c r="AE1" s="861" t="s">
        <v>909</v>
      </c>
      <c r="AF1" s="858" t="s">
        <v>908</v>
      </c>
      <c r="AG1" s="861" t="s">
        <v>909</v>
      </c>
      <c r="AH1" s="858" t="s">
        <v>908</v>
      </c>
      <c r="AI1" s="861" t="s">
        <v>909</v>
      </c>
      <c r="AJ1" s="858" t="s">
        <v>908</v>
      </c>
      <c r="AK1" s="861" t="s">
        <v>909</v>
      </c>
      <c r="AL1" s="858" t="s">
        <v>908</v>
      </c>
      <c r="AM1" s="861" t="s">
        <v>909</v>
      </c>
      <c r="AN1" s="858" t="s">
        <v>908</v>
      </c>
      <c r="AO1" s="861" t="s">
        <v>909</v>
      </c>
      <c r="AP1" s="858" t="s">
        <v>908</v>
      </c>
      <c r="AQ1" s="861" t="s">
        <v>909</v>
      </c>
      <c r="AR1" s="858" t="s">
        <v>908</v>
      </c>
    </row>
    <row r="2" spans="1:44" ht="11.25" customHeight="1">
      <c r="A2" s="865"/>
      <c r="B2" s="865"/>
      <c r="C2" s="868"/>
      <c r="D2" s="865"/>
      <c r="E2" s="849"/>
      <c r="F2" s="849"/>
      <c r="G2" s="849"/>
      <c r="H2" s="849"/>
      <c r="I2" s="849"/>
      <c r="J2" s="849"/>
      <c r="K2" s="849"/>
      <c r="L2" s="849"/>
      <c r="M2" s="849"/>
      <c r="N2" s="849"/>
      <c r="O2" s="849"/>
      <c r="P2" s="849"/>
      <c r="Q2" s="849"/>
      <c r="R2" s="849"/>
      <c r="S2" s="849"/>
      <c r="T2" s="849"/>
      <c r="U2" s="849"/>
      <c r="V2" s="849"/>
      <c r="W2" s="849"/>
      <c r="X2" s="849"/>
      <c r="Y2" s="849"/>
      <c r="Z2" s="849"/>
      <c r="AA2" s="849"/>
      <c r="AB2" s="849"/>
      <c r="AC2" s="849"/>
      <c r="AD2" s="849"/>
      <c r="AE2" s="849"/>
      <c r="AF2" s="849"/>
      <c r="AG2" s="849"/>
      <c r="AH2" s="849"/>
      <c r="AI2" s="849"/>
      <c r="AJ2" s="849"/>
      <c r="AK2" s="849"/>
      <c r="AL2" s="849"/>
      <c r="AM2" s="849"/>
      <c r="AN2" s="849"/>
      <c r="AO2" s="849"/>
      <c r="AP2" s="849"/>
      <c r="AQ2" s="849"/>
      <c r="AR2" s="849"/>
    </row>
    <row r="3" spans="1:44">
      <c r="A3" s="865"/>
      <c r="B3" s="865"/>
      <c r="C3" s="868"/>
      <c r="D3" s="865"/>
      <c r="E3" s="849"/>
      <c r="F3" s="849"/>
      <c r="G3" s="849"/>
      <c r="H3" s="849"/>
      <c r="I3" s="849"/>
      <c r="J3" s="849"/>
      <c r="K3" s="849"/>
      <c r="L3" s="849"/>
      <c r="M3" s="849"/>
      <c r="N3" s="849"/>
      <c r="O3" s="849"/>
      <c r="P3" s="849"/>
      <c r="Q3" s="849"/>
      <c r="R3" s="849"/>
      <c r="S3" s="849"/>
      <c r="T3" s="849"/>
      <c r="U3" s="849"/>
      <c r="V3" s="849"/>
      <c r="W3" s="849"/>
      <c r="X3" s="849"/>
      <c r="Y3" s="849"/>
      <c r="Z3" s="849"/>
      <c r="AA3" s="849"/>
      <c r="AB3" s="849"/>
      <c r="AC3" s="849"/>
      <c r="AD3" s="849"/>
      <c r="AE3" s="849"/>
      <c r="AF3" s="849"/>
      <c r="AG3" s="849"/>
      <c r="AH3" s="849"/>
      <c r="AI3" s="849"/>
      <c r="AJ3" s="849"/>
      <c r="AK3" s="849"/>
      <c r="AL3" s="849"/>
      <c r="AM3" s="849"/>
      <c r="AN3" s="849"/>
      <c r="AO3" s="849"/>
      <c r="AP3" s="849"/>
      <c r="AQ3" s="849"/>
      <c r="AR3" s="849"/>
    </row>
    <row r="4" spans="1:44" ht="27" customHeight="1">
      <c r="A4" s="865"/>
      <c r="B4" s="865"/>
      <c r="C4" s="868"/>
      <c r="D4" s="865"/>
      <c r="E4" s="849"/>
      <c r="F4" s="849"/>
      <c r="G4" s="849"/>
      <c r="H4" s="849"/>
      <c r="I4" s="849"/>
      <c r="J4" s="849"/>
      <c r="K4" s="849"/>
      <c r="L4" s="849"/>
      <c r="M4" s="849"/>
      <c r="N4" s="849"/>
      <c r="O4" s="849"/>
      <c r="P4" s="849"/>
      <c r="Q4" s="849"/>
      <c r="R4" s="849"/>
      <c r="S4" s="849"/>
      <c r="T4" s="849"/>
      <c r="U4" s="849"/>
      <c r="V4" s="849"/>
      <c r="W4" s="849"/>
      <c r="X4" s="849"/>
      <c r="Y4" s="849"/>
      <c r="Z4" s="849"/>
      <c r="AA4" s="849"/>
      <c r="AB4" s="849"/>
      <c r="AC4" s="849"/>
      <c r="AD4" s="849"/>
      <c r="AE4" s="849"/>
      <c r="AF4" s="849"/>
      <c r="AG4" s="849"/>
      <c r="AH4" s="849"/>
      <c r="AI4" s="849"/>
      <c r="AJ4" s="849"/>
      <c r="AK4" s="849"/>
      <c r="AL4" s="849"/>
      <c r="AM4" s="849"/>
      <c r="AN4" s="849"/>
      <c r="AO4" s="849"/>
      <c r="AP4" s="849"/>
      <c r="AQ4" s="849"/>
      <c r="AR4" s="849"/>
    </row>
    <row r="5" spans="1:44" ht="12.5">
      <c r="A5" s="866"/>
      <c r="B5" s="866"/>
      <c r="C5" s="869"/>
      <c r="D5" s="866"/>
      <c r="E5" s="859" t="s">
        <v>907</v>
      </c>
      <c r="F5" s="860"/>
      <c r="G5" s="859" t="s">
        <v>907</v>
      </c>
      <c r="H5" s="860"/>
      <c r="I5" s="859" t="s">
        <v>907</v>
      </c>
      <c r="J5" s="860"/>
      <c r="K5" s="859" t="s">
        <v>907</v>
      </c>
      <c r="L5" s="860"/>
      <c r="M5" s="859" t="s">
        <v>907</v>
      </c>
      <c r="N5" s="860"/>
      <c r="O5" s="859" t="s">
        <v>907</v>
      </c>
      <c r="P5" s="860"/>
      <c r="Q5" s="859" t="s">
        <v>907</v>
      </c>
      <c r="R5" s="860"/>
      <c r="S5" s="859" t="s">
        <v>907</v>
      </c>
      <c r="T5" s="860"/>
      <c r="U5" s="859" t="s">
        <v>907</v>
      </c>
      <c r="V5" s="860"/>
      <c r="W5" s="859" t="s">
        <v>907</v>
      </c>
      <c r="X5" s="860"/>
      <c r="Y5" s="859" t="s">
        <v>907</v>
      </c>
      <c r="Z5" s="860"/>
      <c r="AA5" s="859" t="s">
        <v>907</v>
      </c>
      <c r="AB5" s="860"/>
      <c r="AC5" s="859" t="s">
        <v>907</v>
      </c>
      <c r="AD5" s="860"/>
      <c r="AE5" s="859" t="s">
        <v>907</v>
      </c>
      <c r="AF5" s="860"/>
      <c r="AG5" s="859" t="s">
        <v>907</v>
      </c>
      <c r="AH5" s="860"/>
      <c r="AI5" s="859" t="s">
        <v>907</v>
      </c>
      <c r="AJ5" s="860"/>
      <c r="AK5" s="859" t="s">
        <v>907</v>
      </c>
      <c r="AL5" s="860"/>
      <c r="AM5" s="859" t="s">
        <v>907</v>
      </c>
      <c r="AN5" s="860"/>
      <c r="AO5" s="859" t="s">
        <v>907</v>
      </c>
      <c r="AP5" s="860"/>
      <c r="AQ5" s="859" t="s">
        <v>907</v>
      </c>
      <c r="AR5" s="860"/>
    </row>
    <row r="6" spans="1:44" ht="12" customHeight="1">
      <c r="A6" s="523" t="s">
        <v>879</v>
      </c>
      <c r="B6" s="176" t="s">
        <v>597</v>
      </c>
      <c r="C6" s="176"/>
      <c r="D6" s="176">
        <v>0.1</v>
      </c>
      <c r="E6" s="351"/>
      <c r="F6" s="177">
        <f t="shared" ref="F6:F30" si="0">E6*D6</f>
        <v>0</v>
      </c>
      <c r="G6" s="351"/>
      <c r="H6" s="177">
        <f>G6*D6</f>
        <v>0</v>
      </c>
      <c r="I6" s="351"/>
      <c r="J6" s="177">
        <f>I6*D6</f>
        <v>0</v>
      </c>
      <c r="K6" s="351"/>
      <c r="L6" s="177">
        <f>K6*D6</f>
        <v>0</v>
      </c>
      <c r="M6" s="351"/>
      <c r="N6" s="177">
        <f>M6*D6</f>
        <v>0</v>
      </c>
      <c r="O6" s="351"/>
      <c r="P6" s="177">
        <f>O6*D6</f>
        <v>0</v>
      </c>
      <c r="Q6" s="351"/>
      <c r="R6" s="177">
        <f>Q6*D6</f>
        <v>0</v>
      </c>
      <c r="S6" s="351"/>
      <c r="T6" s="177">
        <f>S6*D6</f>
        <v>0</v>
      </c>
      <c r="U6" s="351"/>
      <c r="V6" s="177">
        <f>U6*D6</f>
        <v>0</v>
      </c>
      <c r="W6" s="351"/>
      <c r="X6" s="177">
        <f>W6*D6</f>
        <v>0</v>
      </c>
      <c r="Y6" s="351"/>
      <c r="Z6" s="177">
        <f>Y6*D6</f>
        <v>0</v>
      </c>
      <c r="AA6" s="351"/>
      <c r="AB6" s="177">
        <f>AA6*D6</f>
        <v>0</v>
      </c>
      <c r="AC6" s="351"/>
      <c r="AD6" s="177">
        <f>AC6*D6</f>
        <v>0</v>
      </c>
      <c r="AE6" s="351"/>
      <c r="AF6" s="177">
        <f>AE6*D6</f>
        <v>0</v>
      </c>
      <c r="AG6" s="351"/>
      <c r="AH6" s="177">
        <f>AG6*D6</f>
        <v>0</v>
      </c>
      <c r="AI6" s="351"/>
      <c r="AJ6" s="177">
        <f>AI6*D6</f>
        <v>0</v>
      </c>
      <c r="AK6" s="351"/>
      <c r="AL6" s="177">
        <f>AK6*D6</f>
        <v>0</v>
      </c>
      <c r="AM6" s="351"/>
      <c r="AN6" s="177">
        <f>AM6*D6</f>
        <v>0</v>
      </c>
      <c r="AO6" s="351"/>
      <c r="AP6" s="177">
        <f>AO6*D6</f>
        <v>0</v>
      </c>
      <c r="AQ6" s="351"/>
      <c r="AR6" s="177">
        <f>AQ6*D6</f>
        <v>0</v>
      </c>
    </row>
    <row r="7" spans="1:44" ht="12" customHeight="1">
      <c r="A7" s="523" t="s">
        <v>885</v>
      </c>
      <c r="B7" s="176" t="s">
        <v>598</v>
      </c>
      <c r="C7" s="176"/>
      <c r="D7" s="176">
        <v>0.1</v>
      </c>
      <c r="E7" s="351"/>
      <c r="F7" s="177">
        <f t="shared" si="0"/>
        <v>0</v>
      </c>
      <c r="G7" s="351"/>
      <c r="H7" s="177">
        <f t="shared" ref="H7:H30" si="1">G7*D7</f>
        <v>0</v>
      </c>
      <c r="I7" s="351"/>
      <c r="J7" s="177">
        <f t="shared" ref="J7:J30" si="2">I7*D7</f>
        <v>0</v>
      </c>
      <c r="K7" s="351"/>
      <c r="L7" s="177">
        <f t="shared" ref="L7:L30" si="3">K7*D7</f>
        <v>0</v>
      </c>
      <c r="M7" s="351"/>
      <c r="N7" s="177">
        <f t="shared" ref="N7:N30" si="4">M7*D7</f>
        <v>0</v>
      </c>
      <c r="O7" s="351"/>
      <c r="P7" s="177">
        <f t="shared" ref="P7:P30" si="5">O7*D7</f>
        <v>0</v>
      </c>
      <c r="Q7" s="351"/>
      <c r="R7" s="177">
        <f t="shared" ref="R7:R30" si="6">Q7*D7</f>
        <v>0</v>
      </c>
      <c r="S7" s="351"/>
      <c r="T7" s="177">
        <f t="shared" ref="T7:T30" si="7">S7*D7</f>
        <v>0</v>
      </c>
      <c r="U7" s="351"/>
      <c r="V7" s="177">
        <f t="shared" ref="V7:V30" si="8">U7*D7</f>
        <v>0</v>
      </c>
      <c r="W7" s="351"/>
      <c r="X7" s="177">
        <f t="shared" ref="X7:X30" si="9">W7*D7</f>
        <v>0</v>
      </c>
      <c r="Y7" s="351"/>
      <c r="Z7" s="177">
        <f t="shared" ref="Z7:Z30" si="10">Y7*D7</f>
        <v>0</v>
      </c>
      <c r="AA7" s="351"/>
      <c r="AB7" s="177">
        <f t="shared" ref="AB7:AB30" si="11">AA7*D7</f>
        <v>0</v>
      </c>
      <c r="AC7" s="351"/>
      <c r="AD7" s="177">
        <f t="shared" ref="AD7:AD30" si="12">AC7*D7</f>
        <v>0</v>
      </c>
      <c r="AE7" s="351"/>
      <c r="AF7" s="177">
        <f t="shared" ref="AF7:AF30" si="13">AE7*D7</f>
        <v>0</v>
      </c>
      <c r="AG7" s="351"/>
      <c r="AH7" s="177">
        <f t="shared" ref="AH7:AH30" si="14">AG7*D7</f>
        <v>0</v>
      </c>
      <c r="AI7" s="351"/>
      <c r="AJ7" s="177">
        <f t="shared" ref="AJ7:AJ30" si="15">AI7*D7</f>
        <v>0</v>
      </c>
      <c r="AK7" s="351"/>
      <c r="AL7" s="177">
        <f t="shared" ref="AL7:AL30" si="16">AK7*D7</f>
        <v>0</v>
      </c>
      <c r="AM7" s="351"/>
      <c r="AN7" s="177">
        <f t="shared" ref="AN7:AN30" si="17">AM7*D7</f>
        <v>0</v>
      </c>
      <c r="AO7" s="351"/>
      <c r="AP7" s="177">
        <f t="shared" ref="AP7:AP30" si="18">AO7*D7</f>
        <v>0</v>
      </c>
      <c r="AQ7" s="351"/>
      <c r="AR7" s="177">
        <f t="shared" ref="AR7:AR30" si="19">AQ7*D7</f>
        <v>0</v>
      </c>
    </row>
    <row r="8" spans="1:44" ht="12" customHeight="1">
      <c r="A8" s="175" t="s">
        <v>599</v>
      </c>
      <c r="B8" s="176" t="s">
        <v>600</v>
      </c>
      <c r="C8" s="176"/>
      <c r="D8" s="176">
        <v>0.1</v>
      </c>
      <c r="E8" s="351"/>
      <c r="F8" s="177">
        <f t="shared" si="0"/>
        <v>0</v>
      </c>
      <c r="G8" s="351"/>
      <c r="H8" s="177">
        <f t="shared" si="1"/>
        <v>0</v>
      </c>
      <c r="I8" s="351"/>
      <c r="J8" s="177">
        <f t="shared" si="2"/>
        <v>0</v>
      </c>
      <c r="K8" s="351"/>
      <c r="L8" s="177">
        <f t="shared" si="3"/>
        <v>0</v>
      </c>
      <c r="M8" s="351"/>
      <c r="N8" s="177">
        <f t="shared" si="4"/>
        <v>0</v>
      </c>
      <c r="O8" s="351"/>
      <c r="P8" s="177">
        <f t="shared" si="5"/>
        <v>0</v>
      </c>
      <c r="Q8" s="351"/>
      <c r="R8" s="177">
        <f t="shared" si="6"/>
        <v>0</v>
      </c>
      <c r="S8" s="351"/>
      <c r="T8" s="177">
        <f t="shared" si="7"/>
        <v>0</v>
      </c>
      <c r="U8" s="351"/>
      <c r="V8" s="177">
        <f t="shared" si="8"/>
        <v>0</v>
      </c>
      <c r="W8" s="351"/>
      <c r="X8" s="177">
        <f t="shared" si="9"/>
        <v>0</v>
      </c>
      <c r="Y8" s="351"/>
      <c r="Z8" s="177">
        <f t="shared" si="10"/>
        <v>0</v>
      </c>
      <c r="AA8" s="351"/>
      <c r="AB8" s="177">
        <f t="shared" si="11"/>
        <v>0</v>
      </c>
      <c r="AC8" s="351"/>
      <c r="AD8" s="177">
        <f t="shared" si="12"/>
        <v>0</v>
      </c>
      <c r="AE8" s="351"/>
      <c r="AF8" s="177">
        <f t="shared" si="13"/>
        <v>0</v>
      </c>
      <c r="AG8" s="351"/>
      <c r="AH8" s="177">
        <f t="shared" si="14"/>
        <v>0</v>
      </c>
      <c r="AI8" s="351"/>
      <c r="AJ8" s="177">
        <f t="shared" si="15"/>
        <v>0</v>
      </c>
      <c r="AK8" s="351"/>
      <c r="AL8" s="177">
        <f t="shared" si="16"/>
        <v>0</v>
      </c>
      <c r="AM8" s="351"/>
      <c r="AN8" s="177">
        <f t="shared" si="17"/>
        <v>0</v>
      </c>
      <c r="AO8" s="351"/>
      <c r="AP8" s="177">
        <f t="shared" si="18"/>
        <v>0</v>
      </c>
      <c r="AQ8" s="351"/>
      <c r="AR8" s="177">
        <f t="shared" si="19"/>
        <v>0</v>
      </c>
    </row>
    <row r="9" spans="1:44" ht="12" customHeight="1">
      <c r="A9" s="523" t="s">
        <v>886</v>
      </c>
      <c r="B9" s="176" t="s">
        <v>601</v>
      </c>
      <c r="C9" s="176"/>
      <c r="D9" s="176">
        <v>0.1</v>
      </c>
      <c r="E9" s="351"/>
      <c r="F9" s="177">
        <f t="shared" si="0"/>
        <v>0</v>
      </c>
      <c r="G9" s="351"/>
      <c r="H9" s="177">
        <f t="shared" si="1"/>
        <v>0</v>
      </c>
      <c r="I9" s="351"/>
      <c r="J9" s="177">
        <f t="shared" si="2"/>
        <v>0</v>
      </c>
      <c r="K9" s="351"/>
      <c r="L9" s="177">
        <f t="shared" si="3"/>
        <v>0</v>
      </c>
      <c r="M9" s="351"/>
      <c r="N9" s="177">
        <f t="shared" si="4"/>
        <v>0</v>
      </c>
      <c r="O9" s="351"/>
      <c r="P9" s="177">
        <f t="shared" si="5"/>
        <v>0</v>
      </c>
      <c r="Q9" s="351"/>
      <c r="R9" s="177">
        <f t="shared" si="6"/>
        <v>0</v>
      </c>
      <c r="S9" s="351"/>
      <c r="T9" s="177">
        <f t="shared" si="7"/>
        <v>0</v>
      </c>
      <c r="U9" s="351"/>
      <c r="V9" s="177">
        <f t="shared" si="8"/>
        <v>0</v>
      </c>
      <c r="W9" s="351"/>
      <c r="X9" s="177">
        <f t="shared" si="9"/>
        <v>0</v>
      </c>
      <c r="Y9" s="351"/>
      <c r="Z9" s="177">
        <f t="shared" si="10"/>
        <v>0</v>
      </c>
      <c r="AA9" s="351"/>
      <c r="AB9" s="177">
        <f t="shared" si="11"/>
        <v>0</v>
      </c>
      <c r="AC9" s="351"/>
      <c r="AD9" s="177">
        <f t="shared" si="12"/>
        <v>0</v>
      </c>
      <c r="AE9" s="351"/>
      <c r="AF9" s="177">
        <f t="shared" si="13"/>
        <v>0</v>
      </c>
      <c r="AG9" s="351"/>
      <c r="AH9" s="177">
        <f t="shared" si="14"/>
        <v>0</v>
      </c>
      <c r="AI9" s="351"/>
      <c r="AJ9" s="177">
        <f t="shared" si="15"/>
        <v>0</v>
      </c>
      <c r="AK9" s="351"/>
      <c r="AL9" s="177">
        <f t="shared" si="16"/>
        <v>0</v>
      </c>
      <c r="AM9" s="351"/>
      <c r="AN9" s="177">
        <f t="shared" si="17"/>
        <v>0</v>
      </c>
      <c r="AO9" s="351"/>
      <c r="AP9" s="177">
        <f t="shared" si="18"/>
        <v>0</v>
      </c>
      <c r="AQ9" s="351"/>
      <c r="AR9" s="177">
        <f t="shared" si="19"/>
        <v>0</v>
      </c>
    </row>
    <row r="10" spans="1:44" s="180" customFormat="1" ht="12" customHeight="1">
      <c r="A10" s="523" t="s">
        <v>880</v>
      </c>
      <c r="B10" s="176" t="s">
        <v>99</v>
      </c>
      <c r="C10" s="573">
        <v>7.3</v>
      </c>
      <c r="D10" s="176">
        <v>1</v>
      </c>
      <c r="E10" s="351"/>
      <c r="F10" s="177">
        <f t="shared" si="0"/>
        <v>0</v>
      </c>
      <c r="G10" s="352"/>
      <c r="H10" s="177">
        <f t="shared" si="1"/>
        <v>0</v>
      </c>
      <c r="I10" s="352"/>
      <c r="J10" s="177">
        <f t="shared" si="2"/>
        <v>0</v>
      </c>
      <c r="K10" s="352"/>
      <c r="L10" s="177">
        <f t="shared" si="3"/>
        <v>0</v>
      </c>
      <c r="M10" s="352"/>
      <c r="N10" s="177">
        <f t="shared" si="4"/>
        <v>0</v>
      </c>
      <c r="O10" s="352"/>
      <c r="P10" s="177">
        <f t="shared" si="5"/>
        <v>0</v>
      </c>
      <c r="Q10" s="352"/>
      <c r="R10" s="177">
        <f t="shared" si="6"/>
        <v>0</v>
      </c>
      <c r="S10" s="352"/>
      <c r="T10" s="177">
        <f t="shared" si="7"/>
        <v>0</v>
      </c>
      <c r="U10" s="352"/>
      <c r="V10" s="177">
        <f t="shared" si="8"/>
        <v>0</v>
      </c>
      <c r="W10" s="352"/>
      <c r="X10" s="177">
        <f t="shared" si="9"/>
        <v>0</v>
      </c>
      <c r="Y10" s="352"/>
      <c r="Z10" s="177">
        <f t="shared" si="10"/>
        <v>0</v>
      </c>
      <c r="AA10" s="352"/>
      <c r="AB10" s="177">
        <f t="shared" si="11"/>
        <v>0</v>
      </c>
      <c r="AC10" s="352"/>
      <c r="AD10" s="177">
        <f t="shared" si="12"/>
        <v>0</v>
      </c>
      <c r="AE10" s="352"/>
      <c r="AF10" s="177">
        <f t="shared" si="13"/>
        <v>0</v>
      </c>
      <c r="AG10" s="352"/>
      <c r="AH10" s="177">
        <f t="shared" si="14"/>
        <v>0</v>
      </c>
      <c r="AI10" s="352"/>
      <c r="AJ10" s="177">
        <f t="shared" si="15"/>
        <v>0</v>
      </c>
      <c r="AK10" s="352"/>
      <c r="AL10" s="177">
        <f t="shared" si="16"/>
        <v>0</v>
      </c>
      <c r="AM10" s="352"/>
      <c r="AN10" s="177">
        <f t="shared" si="17"/>
        <v>0</v>
      </c>
      <c r="AO10" s="352"/>
      <c r="AP10" s="177">
        <f t="shared" si="18"/>
        <v>0</v>
      </c>
      <c r="AQ10" s="352"/>
      <c r="AR10" s="177">
        <f t="shared" si="19"/>
        <v>0</v>
      </c>
    </row>
    <row r="11" spans="1:44" ht="12" customHeight="1">
      <c r="A11" s="523" t="s">
        <v>887</v>
      </c>
      <c r="B11" s="176" t="s">
        <v>602</v>
      </c>
      <c r="C11" s="176"/>
      <c r="D11" s="176">
        <v>0.01</v>
      </c>
      <c r="E11" s="351"/>
      <c r="F11" s="177">
        <f t="shared" si="0"/>
        <v>0</v>
      </c>
      <c r="G11" s="351"/>
      <c r="H11" s="177">
        <f t="shared" si="1"/>
        <v>0</v>
      </c>
      <c r="I11" s="351"/>
      <c r="J11" s="177">
        <f t="shared" si="2"/>
        <v>0</v>
      </c>
      <c r="K11" s="351"/>
      <c r="L11" s="177">
        <f t="shared" si="3"/>
        <v>0</v>
      </c>
      <c r="M11" s="351"/>
      <c r="N11" s="177">
        <f t="shared" si="4"/>
        <v>0</v>
      </c>
      <c r="O11" s="351"/>
      <c r="P11" s="177">
        <f t="shared" si="5"/>
        <v>0</v>
      </c>
      <c r="Q11" s="351"/>
      <c r="R11" s="177">
        <f t="shared" si="6"/>
        <v>0</v>
      </c>
      <c r="S11" s="351"/>
      <c r="T11" s="177">
        <f t="shared" si="7"/>
        <v>0</v>
      </c>
      <c r="U11" s="351"/>
      <c r="V11" s="177">
        <f t="shared" si="8"/>
        <v>0</v>
      </c>
      <c r="W11" s="351"/>
      <c r="X11" s="177">
        <f t="shared" si="9"/>
        <v>0</v>
      </c>
      <c r="Y11" s="351"/>
      <c r="Z11" s="177">
        <f t="shared" si="10"/>
        <v>0</v>
      </c>
      <c r="AA11" s="351"/>
      <c r="AB11" s="177">
        <f t="shared" si="11"/>
        <v>0</v>
      </c>
      <c r="AC11" s="351"/>
      <c r="AD11" s="177">
        <f t="shared" si="12"/>
        <v>0</v>
      </c>
      <c r="AE11" s="351"/>
      <c r="AF11" s="177">
        <f t="shared" si="13"/>
        <v>0</v>
      </c>
      <c r="AG11" s="351"/>
      <c r="AH11" s="177">
        <f t="shared" si="14"/>
        <v>0</v>
      </c>
      <c r="AI11" s="351"/>
      <c r="AJ11" s="177">
        <f t="shared" si="15"/>
        <v>0</v>
      </c>
      <c r="AK11" s="351"/>
      <c r="AL11" s="177">
        <f t="shared" si="16"/>
        <v>0</v>
      </c>
      <c r="AM11" s="351"/>
      <c r="AN11" s="177">
        <f t="shared" si="17"/>
        <v>0</v>
      </c>
      <c r="AO11" s="351"/>
      <c r="AP11" s="177">
        <f t="shared" si="18"/>
        <v>0</v>
      </c>
      <c r="AQ11" s="351"/>
      <c r="AR11" s="177">
        <f t="shared" si="19"/>
        <v>0</v>
      </c>
    </row>
    <row r="12" spans="1:44" ht="12" customHeight="1">
      <c r="A12" s="175" t="s">
        <v>603</v>
      </c>
      <c r="B12" s="176" t="s">
        <v>604</v>
      </c>
      <c r="C12" s="176"/>
      <c r="D12" s="176">
        <v>0.1</v>
      </c>
      <c r="E12" s="351"/>
      <c r="F12" s="177">
        <f t="shared" si="0"/>
        <v>0</v>
      </c>
      <c r="G12" s="351"/>
      <c r="H12" s="177">
        <f t="shared" si="1"/>
        <v>0</v>
      </c>
      <c r="I12" s="351"/>
      <c r="J12" s="177">
        <f t="shared" si="2"/>
        <v>0</v>
      </c>
      <c r="K12" s="351"/>
      <c r="L12" s="177">
        <f t="shared" si="3"/>
        <v>0</v>
      </c>
      <c r="M12" s="351"/>
      <c r="N12" s="177">
        <f t="shared" si="4"/>
        <v>0</v>
      </c>
      <c r="O12" s="351"/>
      <c r="P12" s="177">
        <f t="shared" si="5"/>
        <v>0</v>
      </c>
      <c r="Q12" s="351"/>
      <c r="R12" s="177">
        <f t="shared" si="6"/>
        <v>0</v>
      </c>
      <c r="S12" s="351"/>
      <c r="T12" s="177">
        <f t="shared" si="7"/>
        <v>0</v>
      </c>
      <c r="U12" s="351"/>
      <c r="V12" s="177">
        <f t="shared" si="8"/>
        <v>0</v>
      </c>
      <c r="W12" s="351"/>
      <c r="X12" s="177">
        <f t="shared" si="9"/>
        <v>0</v>
      </c>
      <c r="Y12" s="351"/>
      <c r="Z12" s="177">
        <f t="shared" si="10"/>
        <v>0</v>
      </c>
      <c r="AA12" s="351"/>
      <c r="AB12" s="177">
        <f t="shared" si="11"/>
        <v>0</v>
      </c>
      <c r="AC12" s="351"/>
      <c r="AD12" s="177">
        <f t="shared" si="12"/>
        <v>0</v>
      </c>
      <c r="AE12" s="351"/>
      <c r="AF12" s="177">
        <f t="shared" si="13"/>
        <v>0</v>
      </c>
      <c r="AG12" s="351"/>
      <c r="AH12" s="177">
        <f t="shared" si="14"/>
        <v>0</v>
      </c>
      <c r="AI12" s="351"/>
      <c r="AJ12" s="177">
        <f t="shared" si="15"/>
        <v>0</v>
      </c>
      <c r="AK12" s="351"/>
      <c r="AL12" s="177">
        <f t="shared" si="16"/>
        <v>0</v>
      </c>
      <c r="AM12" s="351"/>
      <c r="AN12" s="177">
        <f t="shared" si="17"/>
        <v>0</v>
      </c>
      <c r="AO12" s="351"/>
      <c r="AP12" s="177">
        <f t="shared" si="18"/>
        <v>0</v>
      </c>
      <c r="AQ12" s="351"/>
      <c r="AR12" s="177">
        <f t="shared" si="19"/>
        <v>0</v>
      </c>
    </row>
    <row r="13" spans="1:44" ht="12" customHeight="1">
      <c r="A13" s="175" t="s">
        <v>605</v>
      </c>
      <c r="B13" s="176" t="s">
        <v>606</v>
      </c>
      <c r="C13" s="176"/>
      <c r="D13" s="176">
        <v>0.1</v>
      </c>
      <c r="E13" s="351"/>
      <c r="F13" s="177">
        <f t="shared" si="0"/>
        <v>0</v>
      </c>
      <c r="G13" s="351"/>
      <c r="H13" s="177">
        <f t="shared" si="1"/>
        <v>0</v>
      </c>
      <c r="I13" s="351"/>
      <c r="J13" s="177">
        <f t="shared" si="2"/>
        <v>0</v>
      </c>
      <c r="K13" s="351"/>
      <c r="L13" s="177">
        <f t="shared" si="3"/>
        <v>0</v>
      </c>
      <c r="M13" s="351"/>
      <c r="N13" s="177">
        <f t="shared" si="4"/>
        <v>0</v>
      </c>
      <c r="O13" s="351"/>
      <c r="P13" s="177">
        <f t="shared" si="5"/>
        <v>0</v>
      </c>
      <c r="Q13" s="351"/>
      <c r="R13" s="177">
        <f t="shared" si="6"/>
        <v>0</v>
      </c>
      <c r="S13" s="351"/>
      <c r="T13" s="177">
        <f t="shared" si="7"/>
        <v>0</v>
      </c>
      <c r="U13" s="351"/>
      <c r="V13" s="177">
        <f t="shared" si="8"/>
        <v>0</v>
      </c>
      <c r="W13" s="351"/>
      <c r="X13" s="177">
        <f t="shared" si="9"/>
        <v>0</v>
      </c>
      <c r="Y13" s="351"/>
      <c r="Z13" s="177">
        <f t="shared" si="10"/>
        <v>0</v>
      </c>
      <c r="AA13" s="351"/>
      <c r="AB13" s="177">
        <f t="shared" si="11"/>
        <v>0</v>
      </c>
      <c r="AC13" s="351"/>
      <c r="AD13" s="177">
        <f t="shared" si="12"/>
        <v>0</v>
      </c>
      <c r="AE13" s="351"/>
      <c r="AF13" s="177">
        <f t="shared" si="13"/>
        <v>0</v>
      </c>
      <c r="AG13" s="351"/>
      <c r="AH13" s="177">
        <f t="shared" si="14"/>
        <v>0</v>
      </c>
      <c r="AI13" s="351"/>
      <c r="AJ13" s="177">
        <f t="shared" si="15"/>
        <v>0</v>
      </c>
      <c r="AK13" s="351"/>
      <c r="AL13" s="177">
        <f t="shared" si="16"/>
        <v>0</v>
      </c>
      <c r="AM13" s="351"/>
      <c r="AN13" s="177">
        <f t="shared" si="17"/>
        <v>0</v>
      </c>
      <c r="AO13" s="351"/>
      <c r="AP13" s="177">
        <f t="shared" si="18"/>
        <v>0</v>
      </c>
      <c r="AQ13" s="351"/>
      <c r="AR13" s="177">
        <f t="shared" si="19"/>
        <v>0</v>
      </c>
    </row>
    <row r="14" spans="1:44" s="180" customFormat="1" ht="12" customHeight="1">
      <c r="A14" s="523" t="s">
        <v>881</v>
      </c>
      <c r="B14" s="176" t="s">
        <v>607</v>
      </c>
      <c r="C14" s="573">
        <v>4.0999999999999996</v>
      </c>
      <c r="D14" s="617">
        <f>C14/$C$10</f>
        <v>0.56164383561643827</v>
      </c>
      <c r="E14" s="351"/>
      <c r="F14" s="177">
        <f>E14*D14</f>
        <v>0</v>
      </c>
      <c r="G14" s="352"/>
      <c r="H14" s="177">
        <f t="shared" si="1"/>
        <v>0</v>
      </c>
      <c r="I14" s="352"/>
      <c r="J14" s="177">
        <f t="shared" si="2"/>
        <v>0</v>
      </c>
      <c r="K14" s="352"/>
      <c r="L14" s="177">
        <f t="shared" si="3"/>
        <v>0</v>
      </c>
      <c r="M14" s="352"/>
      <c r="N14" s="177">
        <f t="shared" si="4"/>
        <v>0</v>
      </c>
      <c r="O14" s="352"/>
      <c r="P14" s="177">
        <f t="shared" si="5"/>
        <v>0</v>
      </c>
      <c r="Q14" s="352"/>
      <c r="R14" s="177">
        <f t="shared" si="6"/>
        <v>0</v>
      </c>
      <c r="S14" s="352"/>
      <c r="T14" s="177">
        <f t="shared" si="7"/>
        <v>0</v>
      </c>
      <c r="U14" s="352"/>
      <c r="V14" s="177">
        <f t="shared" si="8"/>
        <v>0</v>
      </c>
      <c r="W14" s="352"/>
      <c r="X14" s="177">
        <f t="shared" si="9"/>
        <v>0</v>
      </c>
      <c r="Y14" s="352"/>
      <c r="Z14" s="177">
        <f t="shared" si="10"/>
        <v>0</v>
      </c>
      <c r="AA14" s="352"/>
      <c r="AB14" s="177">
        <f t="shared" si="11"/>
        <v>0</v>
      </c>
      <c r="AC14" s="352"/>
      <c r="AD14" s="177">
        <f t="shared" si="12"/>
        <v>0</v>
      </c>
      <c r="AE14" s="352"/>
      <c r="AF14" s="177">
        <f t="shared" si="13"/>
        <v>0</v>
      </c>
      <c r="AG14" s="352"/>
      <c r="AH14" s="177">
        <f t="shared" si="14"/>
        <v>0</v>
      </c>
      <c r="AI14" s="352"/>
      <c r="AJ14" s="177">
        <f t="shared" si="15"/>
        <v>0</v>
      </c>
      <c r="AK14" s="352"/>
      <c r="AL14" s="177">
        <f t="shared" si="16"/>
        <v>0</v>
      </c>
      <c r="AM14" s="352"/>
      <c r="AN14" s="177">
        <f t="shared" si="17"/>
        <v>0</v>
      </c>
      <c r="AO14" s="352"/>
      <c r="AP14" s="177">
        <f t="shared" si="18"/>
        <v>0</v>
      </c>
      <c r="AQ14" s="352"/>
      <c r="AR14" s="177">
        <f t="shared" si="19"/>
        <v>0</v>
      </c>
    </row>
    <row r="15" spans="1:44" ht="12" customHeight="1">
      <c r="A15" s="175" t="s">
        <v>608</v>
      </c>
      <c r="B15" s="176" t="s">
        <v>609</v>
      </c>
      <c r="C15" s="176"/>
      <c r="D15" s="176">
        <v>1</v>
      </c>
      <c r="E15" s="351"/>
      <c r="F15" s="177">
        <f t="shared" si="0"/>
        <v>0</v>
      </c>
      <c r="G15" s="351"/>
      <c r="H15" s="177">
        <f t="shared" si="1"/>
        <v>0</v>
      </c>
      <c r="I15" s="351"/>
      <c r="J15" s="177">
        <f t="shared" si="2"/>
        <v>0</v>
      </c>
      <c r="K15" s="351"/>
      <c r="L15" s="177">
        <f t="shared" si="3"/>
        <v>0</v>
      </c>
      <c r="M15" s="351"/>
      <c r="N15" s="177">
        <f t="shared" si="4"/>
        <v>0</v>
      </c>
      <c r="O15" s="351"/>
      <c r="P15" s="177">
        <f t="shared" si="5"/>
        <v>0</v>
      </c>
      <c r="Q15" s="351"/>
      <c r="R15" s="177">
        <f t="shared" si="6"/>
        <v>0</v>
      </c>
      <c r="S15" s="351"/>
      <c r="T15" s="177">
        <f t="shared" si="7"/>
        <v>0</v>
      </c>
      <c r="U15" s="351"/>
      <c r="V15" s="177">
        <f t="shared" si="8"/>
        <v>0</v>
      </c>
      <c r="W15" s="351"/>
      <c r="X15" s="177">
        <f t="shared" si="9"/>
        <v>0</v>
      </c>
      <c r="Y15" s="351"/>
      <c r="Z15" s="177">
        <f t="shared" si="10"/>
        <v>0</v>
      </c>
      <c r="AA15" s="351"/>
      <c r="AB15" s="177">
        <f t="shared" si="11"/>
        <v>0</v>
      </c>
      <c r="AC15" s="351"/>
      <c r="AD15" s="177">
        <f t="shared" si="12"/>
        <v>0</v>
      </c>
      <c r="AE15" s="351"/>
      <c r="AF15" s="177">
        <f t="shared" si="13"/>
        <v>0</v>
      </c>
      <c r="AG15" s="351"/>
      <c r="AH15" s="177">
        <f t="shared" si="14"/>
        <v>0</v>
      </c>
      <c r="AI15" s="351"/>
      <c r="AJ15" s="177">
        <f t="shared" si="15"/>
        <v>0</v>
      </c>
      <c r="AK15" s="351"/>
      <c r="AL15" s="177">
        <f t="shared" si="16"/>
        <v>0</v>
      </c>
      <c r="AM15" s="351"/>
      <c r="AN15" s="177">
        <f t="shared" si="17"/>
        <v>0</v>
      </c>
      <c r="AO15" s="351"/>
      <c r="AP15" s="177">
        <f t="shared" si="18"/>
        <v>0</v>
      </c>
      <c r="AQ15" s="351"/>
      <c r="AR15" s="177">
        <f t="shared" si="19"/>
        <v>0</v>
      </c>
    </row>
    <row r="16" spans="1:44" ht="12" customHeight="1">
      <c r="A16" s="175" t="s">
        <v>610</v>
      </c>
      <c r="B16" s="176" t="s">
        <v>611</v>
      </c>
      <c r="C16" s="176"/>
      <c r="D16" s="176">
        <v>1</v>
      </c>
      <c r="E16" s="351"/>
      <c r="F16" s="177">
        <f t="shared" si="0"/>
        <v>0</v>
      </c>
      <c r="G16" s="351"/>
      <c r="H16" s="177">
        <f t="shared" si="1"/>
        <v>0</v>
      </c>
      <c r="I16" s="351"/>
      <c r="J16" s="177">
        <f t="shared" si="2"/>
        <v>0</v>
      </c>
      <c r="K16" s="351"/>
      <c r="L16" s="177">
        <f t="shared" si="3"/>
        <v>0</v>
      </c>
      <c r="M16" s="351"/>
      <c r="N16" s="177">
        <f t="shared" si="4"/>
        <v>0</v>
      </c>
      <c r="O16" s="351"/>
      <c r="P16" s="177">
        <f t="shared" si="5"/>
        <v>0</v>
      </c>
      <c r="Q16" s="351"/>
      <c r="R16" s="177">
        <f t="shared" si="6"/>
        <v>0</v>
      </c>
      <c r="S16" s="351"/>
      <c r="T16" s="177">
        <f t="shared" si="7"/>
        <v>0</v>
      </c>
      <c r="U16" s="351"/>
      <c r="V16" s="177">
        <f t="shared" si="8"/>
        <v>0</v>
      </c>
      <c r="W16" s="351"/>
      <c r="X16" s="177">
        <f t="shared" si="9"/>
        <v>0</v>
      </c>
      <c r="Y16" s="351"/>
      <c r="Z16" s="177">
        <f t="shared" si="10"/>
        <v>0</v>
      </c>
      <c r="AA16" s="351"/>
      <c r="AB16" s="177">
        <f t="shared" si="11"/>
        <v>0</v>
      </c>
      <c r="AC16" s="351"/>
      <c r="AD16" s="177">
        <f t="shared" si="12"/>
        <v>0</v>
      </c>
      <c r="AE16" s="351"/>
      <c r="AF16" s="177">
        <f t="shared" si="13"/>
        <v>0</v>
      </c>
      <c r="AG16" s="351"/>
      <c r="AH16" s="177">
        <f t="shared" si="14"/>
        <v>0</v>
      </c>
      <c r="AI16" s="351"/>
      <c r="AJ16" s="177">
        <f t="shared" si="15"/>
        <v>0</v>
      </c>
      <c r="AK16" s="351"/>
      <c r="AL16" s="177">
        <f t="shared" si="16"/>
        <v>0</v>
      </c>
      <c r="AM16" s="351"/>
      <c r="AN16" s="177">
        <f t="shared" si="17"/>
        <v>0</v>
      </c>
      <c r="AO16" s="351"/>
      <c r="AP16" s="177">
        <f t="shared" si="18"/>
        <v>0</v>
      </c>
      <c r="AQ16" s="351"/>
      <c r="AR16" s="177">
        <f t="shared" si="19"/>
        <v>0</v>
      </c>
    </row>
    <row r="17" spans="1:44" ht="12" customHeight="1">
      <c r="A17" s="175" t="s">
        <v>612</v>
      </c>
      <c r="B17" s="176" t="s">
        <v>613</v>
      </c>
      <c r="C17" s="176"/>
      <c r="D17" s="176">
        <v>10</v>
      </c>
      <c r="E17" s="351"/>
      <c r="F17" s="177">
        <f t="shared" si="0"/>
        <v>0</v>
      </c>
      <c r="G17" s="351"/>
      <c r="H17" s="177">
        <f t="shared" si="1"/>
        <v>0</v>
      </c>
      <c r="I17" s="351"/>
      <c r="J17" s="177">
        <f t="shared" si="2"/>
        <v>0</v>
      </c>
      <c r="K17" s="351"/>
      <c r="L17" s="177">
        <f t="shared" si="3"/>
        <v>0</v>
      </c>
      <c r="M17" s="351"/>
      <c r="N17" s="177">
        <f t="shared" si="4"/>
        <v>0</v>
      </c>
      <c r="O17" s="351"/>
      <c r="P17" s="177">
        <f t="shared" si="5"/>
        <v>0</v>
      </c>
      <c r="Q17" s="351"/>
      <c r="R17" s="177">
        <f t="shared" si="6"/>
        <v>0</v>
      </c>
      <c r="S17" s="351"/>
      <c r="T17" s="177">
        <f t="shared" si="7"/>
        <v>0</v>
      </c>
      <c r="U17" s="351"/>
      <c r="V17" s="177">
        <f t="shared" si="8"/>
        <v>0</v>
      </c>
      <c r="W17" s="351"/>
      <c r="X17" s="177">
        <f t="shared" si="9"/>
        <v>0</v>
      </c>
      <c r="Y17" s="351"/>
      <c r="Z17" s="177">
        <f t="shared" si="10"/>
        <v>0</v>
      </c>
      <c r="AA17" s="351"/>
      <c r="AB17" s="177">
        <f t="shared" si="11"/>
        <v>0</v>
      </c>
      <c r="AC17" s="351"/>
      <c r="AD17" s="177">
        <f t="shared" si="12"/>
        <v>0</v>
      </c>
      <c r="AE17" s="351"/>
      <c r="AF17" s="177">
        <f t="shared" si="13"/>
        <v>0</v>
      </c>
      <c r="AG17" s="351"/>
      <c r="AH17" s="177">
        <f t="shared" si="14"/>
        <v>0</v>
      </c>
      <c r="AI17" s="351"/>
      <c r="AJ17" s="177">
        <f t="shared" si="15"/>
        <v>0</v>
      </c>
      <c r="AK17" s="351"/>
      <c r="AL17" s="177">
        <f t="shared" si="16"/>
        <v>0</v>
      </c>
      <c r="AM17" s="351"/>
      <c r="AN17" s="177">
        <f t="shared" si="17"/>
        <v>0</v>
      </c>
      <c r="AO17" s="351"/>
      <c r="AP17" s="177">
        <f t="shared" si="18"/>
        <v>0</v>
      </c>
      <c r="AQ17" s="351"/>
      <c r="AR17" s="177">
        <f t="shared" si="19"/>
        <v>0</v>
      </c>
    </row>
    <row r="18" spans="1:44" ht="12" customHeight="1">
      <c r="A18" s="175" t="s">
        <v>614</v>
      </c>
      <c r="B18" s="176" t="s">
        <v>615</v>
      </c>
      <c r="C18" s="176"/>
      <c r="D18" s="176">
        <v>10</v>
      </c>
      <c r="E18" s="351"/>
      <c r="F18" s="177">
        <f t="shared" si="0"/>
        <v>0</v>
      </c>
      <c r="G18" s="351"/>
      <c r="H18" s="177">
        <f t="shared" si="1"/>
        <v>0</v>
      </c>
      <c r="I18" s="351"/>
      <c r="J18" s="177">
        <f t="shared" si="2"/>
        <v>0</v>
      </c>
      <c r="K18" s="351"/>
      <c r="L18" s="177">
        <f t="shared" si="3"/>
        <v>0</v>
      </c>
      <c r="M18" s="351"/>
      <c r="N18" s="177">
        <f t="shared" si="4"/>
        <v>0</v>
      </c>
      <c r="O18" s="351"/>
      <c r="P18" s="177">
        <f t="shared" si="5"/>
        <v>0</v>
      </c>
      <c r="Q18" s="351"/>
      <c r="R18" s="177">
        <f t="shared" si="6"/>
        <v>0</v>
      </c>
      <c r="S18" s="351"/>
      <c r="T18" s="177">
        <f t="shared" si="7"/>
        <v>0</v>
      </c>
      <c r="U18" s="351"/>
      <c r="V18" s="177">
        <f t="shared" si="8"/>
        <v>0</v>
      </c>
      <c r="W18" s="351"/>
      <c r="X18" s="177">
        <f t="shared" si="9"/>
        <v>0</v>
      </c>
      <c r="Y18" s="351"/>
      <c r="Z18" s="177">
        <f t="shared" si="10"/>
        <v>0</v>
      </c>
      <c r="AA18" s="351"/>
      <c r="AB18" s="177">
        <f t="shared" si="11"/>
        <v>0</v>
      </c>
      <c r="AC18" s="351"/>
      <c r="AD18" s="177">
        <f t="shared" si="12"/>
        <v>0</v>
      </c>
      <c r="AE18" s="351"/>
      <c r="AF18" s="177">
        <f t="shared" si="13"/>
        <v>0</v>
      </c>
      <c r="AG18" s="351"/>
      <c r="AH18" s="177">
        <f t="shared" si="14"/>
        <v>0</v>
      </c>
      <c r="AI18" s="351"/>
      <c r="AJ18" s="177">
        <f t="shared" si="15"/>
        <v>0</v>
      </c>
      <c r="AK18" s="351"/>
      <c r="AL18" s="177">
        <f t="shared" si="16"/>
        <v>0</v>
      </c>
      <c r="AM18" s="351"/>
      <c r="AN18" s="177">
        <f t="shared" si="17"/>
        <v>0</v>
      </c>
      <c r="AO18" s="351"/>
      <c r="AP18" s="177">
        <f t="shared" si="18"/>
        <v>0</v>
      </c>
      <c r="AQ18" s="351"/>
      <c r="AR18" s="177">
        <f t="shared" si="19"/>
        <v>0</v>
      </c>
    </row>
    <row r="19" spans="1:44" ht="12" customHeight="1">
      <c r="A19" s="175" t="s">
        <v>616</v>
      </c>
      <c r="B19" s="176" t="s">
        <v>617</v>
      </c>
      <c r="C19" s="176"/>
      <c r="D19" s="176">
        <v>10</v>
      </c>
      <c r="E19" s="351"/>
      <c r="F19" s="177">
        <f t="shared" si="0"/>
        <v>0</v>
      </c>
      <c r="G19" s="351"/>
      <c r="H19" s="177">
        <f t="shared" si="1"/>
        <v>0</v>
      </c>
      <c r="I19" s="351"/>
      <c r="J19" s="177">
        <f t="shared" si="2"/>
        <v>0</v>
      </c>
      <c r="K19" s="351"/>
      <c r="L19" s="177">
        <f t="shared" si="3"/>
        <v>0</v>
      </c>
      <c r="M19" s="351"/>
      <c r="N19" s="177">
        <f t="shared" si="4"/>
        <v>0</v>
      </c>
      <c r="O19" s="351"/>
      <c r="P19" s="177">
        <f t="shared" si="5"/>
        <v>0</v>
      </c>
      <c r="Q19" s="351"/>
      <c r="R19" s="177">
        <f t="shared" si="6"/>
        <v>0</v>
      </c>
      <c r="S19" s="351"/>
      <c r="T19" s="177">
        <f t="shared" si="7"/>
        <v>0</v>
      </c>
      <c r="U19" s="351"/>
      <c r="V19" s="177">
        <f t="shared" si="8"/>
        <v>0</v>
      </c>
      <c r="W19" s="351"/>
      <c r="X19" s="177">
        <f t="shared" si="9"/>
        <v>0</v>
      </c>
      <c r="Y19" s="351"/>
      <c r="Z19" s="177">
        <f t="shared" si="10"/>
        <v>0</v>
      </c>
      <c r="AA19" s="351"/>
      <c r="AB19" s="177">
        <f t="shared" si="11"/>
        <v>0</v>
      </c>
      <c r="AC19" s="351"/>
      <c r="AD19" s="177">
        <f t="shared" si="12"/>
        <v>0</v>
      </c>
      <c r="AE19" s="351"/>
      <c r="AF19" s="177">
        <f t="shared" si="13"/>
        <v>0</v>
      </c>
      <c r="AG19" s="351"/>
      <c r="AH19" s="177">
        <f t="shared" si="14"/>
        <v>0</v>
      </c>
      <c r="AI19" s="351"/>
      <c r="AJ19" s="177">
        <f t="shared" si="15"/>
        <v>0</v>
      </c>
      <c r="AK19" s="351"/>
      <c r="AL19" s="177">
        <f t="shared" si="16"/>
        <v>0</v>
      </c>
      <c r="AM19" s="351"/>
      <c r="AN19" s="177">
        <f t="shared" si="17"/>
        <v>0</v>
      </c>
      <c r="AO19" s="351"/>
      <c r="AP19" s="177">
        <f t="shared" si="18"/>
        <v>0</v>
      </c>
      <c r="AQ19" s="351"/>
      <c r="AR19" s="177">
        <f t="shared" si="19"/>
        <v>0</v>
      </c>
    </row>
    <row r="20" spans="1:44" s="180" customFormat="1" ht="12" customHeight="1">
      <c r="A20" s="175" t="s">
        <v>882</v>
      </c>
      <c r="B20" s="176" t="s">
        <v>618</v>
      </c>
      <c r="C20" s="573">
        <v>250</v>
      </c>
      <c r="D20" s="618">
        <f>C20/$C$10</f>
        <v>34.246575342465754</v>
      </c>
      <c r="E20" s="351"/>
      <c r="F20" s="177">
        <f t="shared" si="0"/>
        <v>0</v>
      </c>
      <c r="G20" s="352"/>
      <c r="H20" s="177">
        <f t="shared" si="1"/>
        <v>0</v>
      </c>
      <c r="I20" s="352"/>
      <c r="J20" s="177">
        <f t="shared" si="2"/>
        <v>0</v>
      </c>
      <c r="K20" s="352"/>
      <c r="L20" s="177">
        <f t="shared" si="3"/>
        <v>0</v>
      </c>
      <c r="M20" s="352"/>
      <c r="N20" s="177">
        <f t="shared" si="4"/>
        <v>0</v>
      </c>
      <c r="O20" s="352"/>
      <c r="P20" s="177">
        <f t="shared" si="5"/>
        <v>0</v>
      </c>
      <c r="Q20" s="352"/>
      <c r="R20" s="177">
        <f t="shared" si="6"/>
        <v>0</v>
      </c>
      <c r="S20" s="352"/>
      <c r="T20" s="177">
        <f t="shared" si="7"/>
        <v>0</v>
      </c>
      <c r="U20" s="352"/>
      <c r="V20" s="177">
        <f t="shared" si="8"/>
        <v>0</v>
      </c>
      <c r="W20" s="352"/>
      <c r="X20" s="177">
        <f t="shared" si="9"/>
        <v>0</v>
      </c>
      <c r="Y20" s="352"/>
      <c r="Z20" s="177">
        <f t="shared" si="10"/>
        <v>0</v>
      </c>
      <c r="AA20" s="352"/>
      <c r="AB20" s="177">
        <f t="shared" si="11"/>
        <v>0</v>
      </c>
      <c r="AC20" s="352"/>
      <c r="AD20" s="177">
        <f t="shared" si="12"/>
        <v>0</v>
      </c>
      <c r="AE20" s="352"/>
      <c r="AF20" s="177">
        <f t="shared" si="13"/>
        <v>0</v>
      </c>
      <c r="AG20" s="352"/>
      <c r="AH20" s="177">
        <f t="shared" si="14"/>
        <v>0</v>
      </c>
      <c r="AI20" s="352"/>
      <c r="AJ20" s="177">
        <f t="shared" si="15"/>
        <v>0</v>
      </c>
      <c r="AK20" s="352"/>
      <c r="AL20" s="177">
        <f t="shared" si="16"/>
        <v>0</v>
      </c>
      <c r="AM20" s="352"/>
      <c r="AN20" s="177">
        <f t="shared" si="17"/>
        <v>0</v>
      </c>
      <c r="AO20" s="352"/>
      <c r="AP20" s="177">
        <f t="shared" si="18"/>
        <v>0</v>
      </c>
      <c r="AQ20" s="352"/>
      <c r="AR20" s="177">
        <f t="shared" si="19"/>
        <v>0</v>
      </c>
    </row>
    <row r="21" spans="1:44" ht="12" customHeight="1">
      <c r="A21" s="175" t="s">
        <v>619</v>
      </c>
      <c r="B21" s="176" t="s">
        <v>620</v>
      </c>
      <c r="C21" s="176"/>
      <c r="D21" s="176">
        <v>10</v>
      </c>
      <c r="E21" s="351"/>
      <c r="F21" s="177">
        <f t="shared" si="0"/>
        <v>0</v>
      </c>
      <c r="G21" s="351"/>
      <c r="H21" s="177">
        <f t="shared" si="1"/>
        <v>0</v>
      </c>
      <c r="I21" s="351"/>
      <c r="J21" s="177">
        <f t="shared" si="2"/>
        <v>0</v>
      </c>
      <c r="K21" s="351"/>
      <c r="L21" s="177">
        <f t="shared" si="3"/>
        <v>0</v>
      </c>
      <c r="M21" s="351"/>
      <c r="N21" s="177">
        <f t="shared" si="4"/>
        <v>0</v>
      </c>
      <c r="O21" s="351"/>
      <c r="P21" s="177">
        <f t="shared" si="5"/>
        <v>0</v>
      </c>
      <c r="Q21" s="351"/>
      <c r="R21" s="177">
        <f t="shared" si="6"/>
        <v>0</v>
      </c>
      <c r="S21" s="351"/>
      <c r="T21" s="177">
        <f t="shared" si="7"/>
        <v>0</v>
      </c>
      <c r="U21" s="351"/>
      <c r="V21" s="177">
        <f t="shared" si="8"/>
        <v>0</v>
      </c>
      <c r="W21" s="351"/>
      <c r="X21" s="177">
        <f t="shared" si="9"/>
        <v>0</v>
      </c>
      <c r="Y21" s="351"/>
      <c r="Z21" s="177">
        <f t="shared" si="10"/>
        <v>0</v>
      </c>
      <c r="AA21" s="351"/>
      <c r="AB21" s="177">
        <f t="shared" si="11"/>
        <v>0</v>
      </c>
      <c r="AC21" s="351"/>
      <c r="AD21" s="177">
        <f t="shared" si="12"/>
        <v>0</v>
      </c>
      <c r="AE21" s="351"/>
      <c r="AF21" s="177">
        <f t="shared" si="13"/>
        <v>0</v>
      </c>
      <c r="AG21" s="351"/>
      <c r="AH21" s="177">
        <f t="shared" si="14"/>
        <v>0</v>
      </c>
      <c r="AI21" s="351"/>
      <c r="AJ21" s="177">
        <f t="shared" si="15"/>
        <v>0</v>
      </c>
      <c r="AK21" s="351"/>
      <c r="AL21" s="177">
        <f t="shared" si="16"/>
        <v>0</v>
      </c>
      <c r="AM21" s="351"/>
      <c r="AN21" s="177">
        <f t="shared" si="17"/>
        <v>0</v>
      </c>
      <c r="AO21" s="351"/>
      <c r="AP21" s="177">
        <f t="shared" si="18"/>
        <v>0</v>
      </c>
      <c r="AQ21" s="351"/>
      <c r="AR21" s="177">
        <f t="shared" si="19"/>
        <v>0</v>
      </c>
    </row>
    <row r="22" spans="1:44" ht="12" customHeight="1">
      <c r="A22" s="175" t="s">
        <v>621</v>
      </c>
      <c r="B22" s="176" t="s">
        <v>622</v>
      </c>
      <c r="C22" s="176"/>
      <c r="D22" s="176">
        <v>1</v>
      </c>
      <c r="E22" s="351"/>
      <c r="F22" s="177">
        <f t="shared" si="0"/>
        <v>0</v>
      </c>
      <c r="G22" s="351"/>
      <c r="H22" s="177">
        <f t="shared" si="1"/>
        <v>0</v>
      </c>
      <c r="I22" s="351"/>
      <c r="J22" s="177">
        <f t="shared" si="2"/>
        <v>0</v>
      </c>
      <c r="K22" s="351"/>
      <c r="L22" s="177">
        <f t="shared" si="3"/>
        <v>0</v>
      </c>
      <c r="M22" s="351"/>
      <c r="N22" s="177">
        <f t="shared" si="4"/>
        <v>0</v>
      </c>
      <c r="O22" s="351"/>
      <c r="P22" s="177">
        <f t="shared" si="5"/>
        <v>0</v>
      </c>
      <c r="Q22" s="351"/>
      <c r="R22" s="177">
        <f t="shared" si="6"/>
        <v>0</v>
      </c>
      <c r="S22" s="351"/>
      <c r="T22" s="177">
        <f t="shared" si="7"/>
        <v>0</v>
      </c>
      <c r="U22" s="351"/>
      <c r="V22" s="177">
        <f t="shared" si="8"/>
        <v>0</v>
      </c>
      <c r="W22" s="351"/>
      <c r="X22" s="177">
        <f t="shared" si="9"/>
        <v>0</v>
      </c>
      <c r="Y22" s="351"/>
      <c r="Z22" s="177">
        <f t="shared" si="10"/>
        <v>0</v>
      </c>
      <c r="AA22" s="351"/>
      <c r="AB22" s="177">
        <f t="shared" si="11"/>
        <v>0</v>
      </c>
      <c r="AC22" s="351"/>
      <c r="AD22" s="177">
        <f t="shared" si="12"/>
        <v>0</v>
      </c>
      <c r="AE22" s="351"/>
      <c r="AF22" s="177">
        <f t="shared" si="13"/>
        <v>0</v>
      </c>
      <c r="AG22" s="351"/>
      <c r="AH22" s="177">
        <f t="shared" si="14"/>
        <v>0</v>
      </c>
      <c r="AI22" s="351"/>
      <c r="AJ22" s="177">
        <f t="shared" si="15"/>
        <v>0</v>
      </c>
      <c r="AK22" s="351"/>
      <c r="AL22" s="177">
        <f t="shared" si="16"/>
        <v>0</v>
      </c>
      <c r="AM22" s="351"/>
      <c r="AN22" s="177">
        <f t="shared" si="17"/>
        <v>0</v>
      </c>
      <c r="AO22" s="351"/>
      <c r="AP22" s="177">
        <f t="shared" si="18"/>
        <v>0</v>
      </c>
      <c r="AQ22" s="351"/>
      <c r="AR22" s="177">
        <f t="shared" si="19"/>
        <v>0</v>
      </c>
    </row>
    <row r="23" spans="1:44" ht="12" customHeight="1">
      <c r="A23" s="523" t="s">
        <v>888</v>
      </c>
      <c r="B23" s="176" t="s">
        <v>623</v>
      </c>
      <c r="C23" s="176"/>
      <c r="D23" s="176">
        <v>0.1</v>
      </c>
      <c r="E23" s="351"/>
      <c r="F23" s="177">
        <f>E23*D23</f>
        <v>0</v>
      </c>
      <c r="G23" s="351"/>
      <c r="H23" s="177">
        <f t="shared" si="1"/>
        <v>0</v>
      </c>
      <c r="I23" s="351"/>
      <c r="J23" s="177">
        <f t="shared" si="2"/>
        <v>0</v>
      </c>
      <c r="K23" s="351"/>
      <c r="L23" s="177">
        <f t="shared" si="3"/>
        <v>0</v>
      </c>
      <c r="M23" s="351"/>
      <c r="N23" s="177">
        <f t="shared" si="4"/>
        <v>0</v>
      </c>
      <c r="O23" s="351"/>
      <c r="P23" s="177">
        <f t="shared" si="5"/>
        <v>0</v>
      </c>
      <c r="Q23" s="351"/>
      <c r="R23" s="177">
        <f t="shared" si="6"/>
        <v>0</v>
      </c>
      <c r="S23" s="351"/>
      <c r="T23" s="177">
        <f t="shared" si="7"/>
        <v>0</v>
      </c>
      <c r="U23" s="351"/>
      <c r="V23" s="177">
        <f t="shared" si="8"/>
        <v>0</v>
      </c>
      <c r="W23" s="351"/>
      <c r="X23" s="177">
        <f t="shared" si="9"/>
        <v>0</v>
      </c>
      <c r="Y23" s="351"/>
      <c r="Z23" s="177">
        <f t="shared" si="10"/>
        <v>0</v>
      </c>
      <c r="AA23" s="351"/>
      <c r="AB23" s="177">
        <f t="shared" si="11"/>
        <v>0</v>
      </c>
      <c r="AC23" s="351"/>
      <c r="AD23" s="177">
        <f t="shared" si="12"/>
        <v>0</v>
      </c>
      <c r="AE23" s="351"/>
      <c r="AF23" s="177">
        <f t="shared" si="13"/>
        <v>0</v>
      </c>
      <c r="AG23" s="351"/>
      <c r="AH23" s="177">
        <f t="shared" si="14"/>
        <v>0</v>
      </c>
      <c r="AI23" s="351"/>
      <c r="AJ23" s="177">
        <f t="shared" si="15"/>
        <v>0</v>
      </c>
      <c r="AK23" s="351"/>
      <c r="AL23" s="177">
        <f t="shared" si="16"/>
        <v>0</v>
      </c>
      <c r="AM23" s="351"/>
      <c r="AN23" s="177">
        <f t="shared" si="17"/>
        <v>0</v>
      </c>
      <c r="AO23" s="351"/>
      <c r="AP23" s="177">
        <f t="shared" si="18"/>
        <v>0</v>
      </c>
      <c r="AQ23" s="351"/>
      <c r="AR23" s="177">
        <f t="shared" si="19"/>
        <v>0</v>
      </c>
    </row>
    <row r="24" spans="1:44" s="180" customFormat="1" ht="12" customHeight="1">
      <c r="A24" s="175" t="s">
        <v>883</v>
      </c>
      <c r="B24" s="176" t="s">
        <v>624</v>
      </c>
      <c r="C24" s="573">
        <v>22</v>
      </c>
      <c r="D24" s="618">
        <f>C24/$C$10</f>
        <v>3.0136986301369864</v>
      </c>
      <c r="E24" s="351"/>
      <c r="F24" s="177">
        <f t="shared" si="0"/>
        <v>0</v>
      </c>
      <c r="G24" s="352"/>
      <c r="H24" s="177">
        <f t="shared" si="1"/>
        <v>0</v>
      </c>
      <c r="I24" s="352"/>
      <c r="J24" s="177">
        <f t="shared" si="2"/>
        <v>0</v>
      </c>
      <c r="K24" s="352"/>
      <c r="L24" s="177">
        <f t="shared" si="3"/>
        <v>0</v>
      </c>
      <c r="M24" s="352"/>
      <c r="N24" s="177">
        <f t="shared" si="4"/>
        <v>0</v>
      </c>
      <c r="O24" s="352"/>
      <c r="P24" s="177">
        <f t="shared" si="5"/>
        <v>0</v>
      </c>
      <c r="Q24" s="352"/>
      <c r="R24" s="177">
        <f t="shared" si="6"/>
        <v>0</v>
      </c>
      <c r="S24" s="352"/>
      <c r="T24" s="177">
        <f t="shared" si="7"/>
        <v>0</v>
      </c>
      <c r="U24" s="352"/>
      <c r="V24" s="177">
        <f t="shared" si="8"/>
        <v>0</v>
      </c>
      <c r="W24" s="352"/>
      <c r="X24" s="177">
        <f t="shared" si="9"/>
        <v>0</v>
      </c>
      <c r="Y24" s="352"/>
      <c r="Z24" s="177">
        <f t="shared" si="10"/>
        <v>0</v>
      </c>
      <c r="AA24" s="352"/>
      <c r="AB24" s="177">
        <f t="shared" si="11"/>
        <v>0</v>
      </c>
      <c r="AC24" s="352"/>
      <c r="AD24" s="177">
        <f t="shared" si="12"/>
        <v>0</v>
      </c>
      <c r="AE24" s="352"/>
      <c r="AF24" s="177">
        <f t="shared" si="13"/>
        <v>0</v>
      </c>
      <c r="AG24" s="352"/>
      <c r="AH24" s="177">
        <f t="shared" si="14"/>
        <v>0</v>
      </c>
      <c r="AI24" s="352"/>
      <c r="AJ24" s="177">
        <f t="shared" si="15"/>
        <v>0</v>
      </c>
      <c r="AK24" s="352"/>
      <c r="AL24" s="177">
        <f t="shared" si="16"/>
        <v>0</v>
      </c>
      <c r="AM24" s="352"/>
      <c r="AN24" s="177">
        <f t="shared" si="17"/>
        <v>0</v>
      </c>
      <c r="AO24" s="352"/>
      <c r="AP24" s="177">
        <f t="shared" si="18"/>
        <v>0</v>
      </c>
      <c r="AQ24" s="352"/>
      <c r="AR24" s="177">
        <f t="shared" si="19"/>
        <v>0</v>
      </c>
    </row>
    <row r="25" spans="1:44" ht="12" customHeight="1">
      <c r="A25" s="175" t="s">
        <v>625</v>
      </c>
      <c r="B25" s="176" t="s">
        <v>626</v>
      </c>
      <c r="C25" s="738">
        <v>12</v>
      </c>
      <c r="D25" s="176">
        <v>1</v>
      </c>
      <c r="E25" s="351"/>
      <c r="F25" s="177">
        <f t="shared" si="0"/>
        <v>0</v>
      </c>
      <c r="G25" s="351"/>
      <c r="H25" s="177">
        <f t="shared" si="1"/>
        <v>0</v>
      </c>
      <c r="I25" s="351"/>
      <c r="J25" s="177">
        <f t="shared" si="2"/>
        <v>0</v>
      </c>
      <c r="K25" s="351"/>
      <c r="L25" s="177">
        <f t="shared" si="3"/>
        <v>0</v>
      </c>
      <c r="M25" s="351"/>
      <c r="N25" s="177">
        <f t="shared" si="4"/>
        <v>0</v>
      </c>
      <c r="O25" s="351"/>
      <c r="P25" s="177">
        <f t="shared" si="5"/>
        <v>0</v>
      </c>
      <c r="Q25" s="351"/>
      <c r="R25" s="177">
        <f t="shared" si="6"/>
        <v>0</v>
      </c>
      <c r="S25" s="351"/>
      <c r="T25" s="177">
        <f t="shared" si="7"/>
        <v>0</v>
      </c>
      <c r="U25" s="351"/>
      <c r="V25" s="177">
        <f t="shared" si="8"/>
        <v>0</v>
      </c>
      <c r="W25" s="351"/>
      <c r="X25" s="177">
        <f t="shared" si="9"/>
        <v>0</v>
      </c>
      <c r="Y25" s="351"/>
      <c r="Z25" s="177">
        <f t="shared" si="10"/>
        <v>0</v>
      </c>
      <c r="AA25" s="351"/>
      <c r="AB25" s="177">
        <f t="shared" si="11"/>
        <v>0</v>
      </c>
      <c r="AC25" s="351"/>
      <c r="AD25" s="177">
        <f t="shared" si="12"/>
        <v>0</v>
      </c>
      <c r="AE25" s="351"/>
      <c r="AF25" s="177">
        <f t="shared" si="13"/>
        <v>0</v>
      </c>
      <c r="AG25" s="351"/>
      <c r="AH25" s="177">
        <f t="shared" si="14"/>
        <v>0</v>
      </c>
      <c r="AI25" s="351"/>
      <c r="AJ25" s="177">
        <f t="shared" si="15"/>
        <v>0</v>
      </c>
      <c r="AK25" s="351"/>
      <c r="AL25" s="177">
        <f t="shared" si="16"/>
        <v>0</v>
      </c>
      <c r="AM25" s="351"/>
      <c r="AN25" s="177">
        <f t="shared" si="17"/>
        <v>0</v>
      </c>
      <c r="AO25" s="351"/>
      <c r="AP25" s="177">
        <f t="shared" si="18"/>
        <v>0</v>
      </c>
      <c r="AQ25" s="351"/>
      <c r="AR25" s="177">
        <f t="shared" si="19"/>
        <v>0</v>
      </c>
    </row>
    <row r="26" spans="1:44" s="180" customFormat="1" ht="12" customHeight="1">
      <c r="A26" s="175" t="s">
        <v>884</v>
      </c>
      <c r="B26" s="176" t="s">
        <v>627</v>
      </c>
      <c r="C26" s="573">
        <v>0.13</v>
      </c>
      <c r="D26" s="617">
        <f>C26/$C$10</f>
        <v>1.7808219178082191E-2</v>
      </c>
      <c r="E26" s="351"/>
      <c r="F26" s="177">
        <f t="shared" si="0"/>
        <v>0</v>
      </c>
      <c r="G26" s="352"/>
      <c r="H26" s="177">
        <f t="shared" si="1"/>
        <v>0</v>
      </c>
      <c r="I26" s="352"/>
      <c r="J26" s="177">
        <f t="shared" si="2"/>
        <v>0</v>
      </c>
      <c r="K26" s="352"/>
      <c r="L26" s="177">
        <f t="shared" si="3"/>
        <v>0</v>
      </c>
      <c r="M26" s="352"/>
      <c r="N26" s="177">
        <f t="shared" si="4"/>
        <v>0</v>
      </c>
      <c r="O26" s="352"/>
      <c r="P26" s="177">
        <f t="shared" si="5"/>
        <v>0</v>
      </c>
      <c r="Q26" s="352"/>
      <c r="R26" s="177">
        <f t="shared" si="6"/>
        <v>0</v>
      </c>
      <c r="S26" s="352"/>
      <c r="T26" s="177">
        <f t="shared" si="7"/>
        <v>0</v>
      </c>
      <c r="U26" s="352"/>
      <c r="V26" s="177">
        <f t="shared" si="8"/>
        <v>0</v>
      </c>
      <c r="W26" s="352"/>
      <c r="X26" s="177">
        <f t="shared" si="9"/>
        <v>0</v>
      </c>
      <c r="Y26" s="352"/>
      <c r="Z26" s="177">
        <f t="shared" si="10"/>
        <v>0</v>
      </c>
      <c r="AA26" s="352"/>
      <c r="AB26" s="177">
        <f t="shared" si="11"/>
        <v>0</v>
      </c>
      <c r="AC26" s="352"/>
      <c r="AD26" s="177">
        <f t="shared" si="12"/>
        <v>0</v>
      </c>
      <c r="AE26" s="352"/>
      <c r="AF26" s="177">
        <f t="shared" si="13"/>
        <v>0</v>
      </c>
      <c r="AG26" s="352"/>
      <c r="AH26" s="177">
        <f t="shared" si="14"/>
        <v>0</v>
      </c>
      <c r="AI26" s="352"/>
      <c r="AJ26" s="177">
        <f t="shared" si="15"/>
        <v>0</v>
      </c>
      <c r="AK26" s="352"/>
      <c r="AL26" s="177">
        <f t="shared" si="16"/>
        <v>0</v>
      </c>
      <c r="AM26" s="352"/>
      <c r="AN26" s="177">
        <f t="shared" si="17"/>
        <v>0</v>
      </c>
      <c r="AO26" s="352"/>
      <c r="AP26" s="177">
        <f t="shared" si="18"/>
        <v>0</v>
      </c>
      <c r="AQ26" s="352"/>
      <c r="AR26" s="177">
        <f t="shared" si="19"/>
        <v>0</v>
      </c>
    </row>
    <row r="27" spans="1:44" ht="12" customHeight="1">
      <c r="A27" s="175" t="s">
        <v>628</v>
      </c>
      <c r="B27" s="176" t="s">
        <v>629</v>
      </c>
      <c r="C27" s="176"/>
      <c r="D27" s="176">
        <v>0.1</v>
      </c>
      <c r="E27" s="351"/>
      <c r="F27" s="177">
        <f t="shared" si="0"/>
        <v>0</v>
      </c>
      <c r="G27" s="351"/>
      <c r="H27" s="177">
        <f t="shared" si="1"/>
        <v>0</v>
      </c>
      <c r="I27" s="351"/>
      <c r="J27" s="177">
        <f t="shared" si="2"/>
        <v>0</v>
      </c>
      <c r="K27" s="351"/>
      <c r="L27" s="177">
        <f t="shared" si="3"/>
        <v>0</v>
      </c>
      <c r="M27" s="351"/>
      <c r="N27" s="177">
        <f t="shared" si="4"/>
        <v>0</v>
      </c>
      <c r="O27" s="351"/>
      <c r="P27" s="177">
        <f t="shared" si="5"/>
        <v>0</v>
      </c>
      <c r="Q27" s="351"/>
      <c r="R27" s="177">
        <f t="shared" si="6"/>
        <v>0</v>
      </c>
      <c r="S27" s="351"/>
      <c r="T27" s="177">
        <f t="shared" si="7"/>
        <v>0</v>
      </c>
      <c r="U27" s="351"/>
      <c r="V27" s="177">
        <f t="shared" si="8"/>
        <v>0</v>
      </c>
      <c r="W27" s="351"/>
      <c r="X27" s="177">
        <f t="shared" si="9"/>
        <v>0</v>
      </c>
      <c r="Y27" s="351"/>
      <c r="Z27" s="177">
        <f t="shared" si="10"/>
        <v>0</v>
      </c>
      <c r="AA27" s="351"/>
      <c r="AB27" s="177">
        <f t="shared" si="11"/>
        <v>0</v>
      </c>
      <c r="AC27" s="351"/>
      <c r="AD27" s="177">
        <f t="shared" si="12"/>
        <v>0</v>
      </c>
      <c r="AE27" s="351"/>
      <c r="AF27" s="177">
        <f t="shared" si="13"/>
        <v>0</v>
      </c>
      <c r="AG27" s="351"/>
      <c r="AH27" s="177">
        <f t="shared" si="14"/>
        <v>0</v>
      </c>
      <c r="AI27" s="351"/>
      <c r="AJ27" s="177">
        <f t="shared" si="15"/>
        <v>0</v>
      </c>
      <c r="AK27" s="351"/>
      <c r="AL27" s="177">
        <f t="shared" si="16"/>
        <v>0</v>
      </c>
      <c r="AM27" s="351"/>
      <c r="AN27" s="177">
        <f t="shared" si="17"/>
        <v>0</v>
      </c>
      <c r="AO27" s="351"/>
      <c r="AP27" s="177">
        <f t="shared" si="18"/>
        <v>0</v>
      </c>
      <c r="AQ27" s="351"/>
      <c r="AR27" s="177">
        <f t="shared" si="19"/>
        <v>0</v>
      </c>
    </row>
    <row r="28" spans="1:44" ht="12" customHeight="1">
      <c r="A28" s="175" t="s">
        <v>630</v>
      </c>
      <c r="B28" s="176" t="s">
        <v>631</v>
      </c>
      <c r="C28" s="176"/>
      <c r="D28" s="176">
        <v>0.1</v>
      </c>
      <c r="E28" s="351"/>
      <c r="F28" s="177">
        <f t="shared" si="0"/>
        <v>0</v>
      </c>
      <c r="G28" s="351"/>
      <c r="H28" s="177">
        <f t="shared" si="1"/>
        <v>0</v>
      </c>
      <c r="I28" s="351"/>
      <c r="J28" s="177">
        <f t="shared" si="2"/>
        <v>0</v>
      </c>
      <c r="K28" s="351"/>
      <c r="L28" s="177">
        <f t="shared" si="3"/>
        <v>0</v>
      </c>
      <c r="M28" s="351"/>
      <c r="N28" s="177">
        <f t="shared" si="4"/>
        <v>0</v>
      </c>
      <c r="O28" s="351"/>
      <c r="P28" s="177">
        <f t="shared" si="5"/>
        <v>0</v>
      </c>
      <c r="Q28" s="351"/>
      <c r="R28" s="177">
        <f t="shared" si="6"/>
        <v>0</v>
      </c>
      <c r="S28" s="351"/>
      <c r="T28" s="177">
        <f t="shared" si="7"/>
        <v>0</v>
      </c>
      <c r="U28" s="351"/>
      <c r="V28" s="177">
        <f t="shared" si="8"/>
        <v>0</v>
      </c>
      <c r="W28" s="351"/>
      <c r="X28" s="177">
        <f t="shared" si="9"/>
        <v>0</v>
      </c>
      <c r="Y28" s="351"/>
      <c r="Z28" s="177">
        <f t="shared" si="10"/>
        <v>0</v>
      </c>
      <c r="AA28" s="351"/>
      <c r="AB28" s="177">
        <f t="shared" si="11"/>
        <v>0</v>
      </c>
      <c r="AC28" s="351"/>
      <c r="AD28" s="177">
        <f t="shared" si="12"/>
        <v>0</v>
      </c>
      <c r="AE28" s="351"/>
      <c r="AF28" s="177">
        <f t="shared" si="13"/>
        <v>0</v>
      </c>
      <c r="AG28" s="351"/>
      <c r="AH28" s="177">
        <f t="shared" si="14"/>
        <v>0</v>
      </c>
      <c r="AI28" s="351"/>
      <c r="AJ28" s="177">
        <f t="shared" si="15"/>
        <v>0</v>
      </c>
      <c r="AK28" s="351"/>
      <c r="AL28" s="177">
        <f t="shared" si="16"/>
        <v>0</v>
      </c>
      <c r="AM28" s="351"/>
      <c r="AN28" s="177">
        <f t="shared" si="17"/>
        <v>0</v>
      </c>
      <c r="AO28" s="351"/>
      <c r="AP28" s="177">
        <f t="shared" si="18"/>
        <v>0</v>
      </c>
      <c r="AQ28" s="351"/>
      <c r="AR28" s="177">
        <f t="shared" si="19"/>
        <v>0</v>
      </c>
    </row>
    <row r="29" spans="1:44" ht="12" customHeight="1">
      <c r="A29" s="175" t="s">
        <v>632</v>
      </c>
      <c r="B29" s="179" t="s">
        <v>633</v>
      </c>
      <c r="C29" s="739">
        <v>120</v>
      </c>
      <c r="D29" s="176">
        <v>10</v>
      </c>
      <c r="E29" s="351"/>
      <c r="F29" s="177">
        <f t="shared" si="0"/>
        <v>0</v>
      </c>
      <c r="G29" s="351"/>
      <c r="H29" s="177">
        <f t="shared" si="1"/>
        <v>0</v>
      </c>
      <c r="I29" s="351"/>
      <c r="J29" s="177">
        <f t="shared" si="2"/>
        <v>0</v>
      </c>
      <c r="K29" s="351"/>
      <c r="L29" s="177">
        <f t="shared" si="3"/>
        <v>0</v>
      </c>
      <c r="M29" s="351"/>
      <c r="N29" s="177">
        <f t="shared" si="4"/>
        <v>0</v>
      </c>
      <c r="O29" s="351"/>
      <c r="P29" s="177">
        <f t="shared" si="5"/>
        <v>0</v>
      </c>
      <c r="Q29" s="351"/>
      <c r="R29" s="177">
        <f t="shared" si="6"/>
        <v>0</v>
      </c>
      <c r="S29" s="351"/>
      <c r="T29" s="177">
        <f t="shared" si="7"/>
        <v>0</v>
      </c>
      <c r="U29" s="351"/>
      <c r="V29" s="177">
        <f t="shared" si="8"/>
        <v>0</v>
      </c>
      <c r="W29" s="351"/>
      <c r="X29" s="177">
        <f t="shared" si="9"/>
        <v>0</v>
      </c>
      <c r="Y29" s="351"/>
      <c r="Z29" s="177">
        <f t="shared" si="10"/>
        <v>0</v>
      </c>
      <c r="AA29" s="351"/>
      <c r="AB29" s="177">
        <f t="shared" si="11"/>
        <v>0</v>
      </c>
      <c r="AC29" s="351"/>
      <c r="AD29" s="177">
        <f t="shared" si="12"/>
        <v>0</v>
      </c>
      <c r="AE29" s="351"/>
      <c r="AF29" s="177">
        <f t="shared" si="13"/>
        <v>0</v>
      </c>
      <c r="AG29" s="351"/>
      <c r="AH29" s="177">
        <f t="shared" si="14"/>
        <v>0</v>
      </c>
      <c r="AI29" s="351"/>
      <c r="AJ29" s="177">
        <f t="shared" si="15"/>
        <v>0</v>
      </c>
      <c r="AK29" s="351"/>
      <c r="AL29" s="177">
        <f t="shared" si="16"/>
        <v>0</v>
      </c>
      <c r="AM29" s="351"/>
      <c r="AN29" s="177">
        <f t="shared" si="17"/>
        <v>0</v>
      </c>
      <c r="AO29" s="351"/>
      <c r="AP29" s="177">
        <f t="shared" si="18"/>
        <v>0</v>
      </c>
      <c r="AQ29" s="351"/>
      <c r="AR29" s="177">
        <f t="shared" si="19"/>
        <v>0</v>
      </c>
    </row>
    <row r="30" spans="1:44" ht="12" customHeight="1">
      <c r="A30" s="175" t="s">
        <v>634</v>
      </c>
      <c r="B30" s="176" t="s">
        <v>635</v>
      </c>
      <c r="C30" s="176"/>
      <c r="D30" s="176">
        <v>0.01</v>
      </c>
      <c r="E30" s="351"/>
      <c r="F30" s="177">
        <f t="shared" si="0"/>
        <v>0</v>
      </c>
      <c r="G30" s="351"/>
      <c r="H30" s="177">
        <f t="shared" si="1"/>
        <v>0</v>
      </c>
      <c r="I30" s="351"/>
      <c r="J30" s="177">
        <f t="shared" si="2"/>
        <v>0</v>
      </c>
      <c r="K30" s="351"/>
      <c r="L30" s="177">
        <f t="shared" si="3"/>
        <v>0</v>
      </c>
      <c r="M30" s="351"/>
      <c r="N30" s="177">
        <f t="shared" si="4"/>
        <v>0</v>
      </c>
      <c r="O30" s="351"/>
      <c r="P30" s="177">
        <f t="shared" si="5"/>
        <v>0</v>
      </c>
      <c r="Q30" s="351"/>
      <c r="R30" s="177">
        <f t="shared" si="6"/>
        <v>0</v>
      </c>
      <c r="S30" s="351"/>
      <c r="T30" s="177">
        <f t="shared" si="7"/>
        <v>0</v>
      </c>
      <c r="U30" s="351"/>
      <c r="V30" s="177">
        <f t="shared" si="8"/>
        <v>0</v>
      </c>
      <c r="W30" s="351"/>
      <c r="X30" s="177">
        <f t="shared" si="9"/>
        <v>0</v>
      </c>
      <c r="Y30" s="351"/>
      <c r="Z30" s="177">
        <f t="shared" si="10"/>
        <v>0</v>
      </c>
      <c r="AA30" s="351"/>
      <c r="AB30" s="177">
        <f t="shared" si="11"/>
        <v>0</v>
      </c>
      <c r="AC30" s="351"/>
      <c r="AD30" s="177">
        <f t="shared" si="12"/>
        <v>0</v>
      </c>
      <c r="AE30" s="351"/>
      <c r="AF30" s="177">
        <f t="shared" si="13"/>
        <v>0</v>
      </c>
      <c r="AG30" s="351"/>
      <c r="AH30" s="177">
        <f t="shared" si="14"/>
        <v>0</v>
      </c>
      <c r="AI30" s="351"/>
      <c r="AJ30" s="177">
        <f t="shared" si="15"/>
        <v>0</v>
      </c>
      <c r="AK30" s="351"/>
      <c r="AL30" s="177">
        <f t="shared" si="16"/>
        <v>0</v>
      </c>
      <c r="AM30" s="351"/>
      <c r="AN30" s="177">
        <f t="shared" si="17"/>
        <v>0</v>
      </c>
      <c r="AO30" s="351"/>
      <c r="AP30" s="177">
        <f t="shared" si="18"/>
        <v>0</v>
      </c>
      <c r="AQ30" s="351"/>
      <c r="AR30" s="177">
        <f t="shared" si="19"/>
        <v>0</v>
      </c>
    </row>
    <row r="31" spans="1:44" ht="12" customHeight="1">
      <c r="A31" s="181"/>
      <c r="B31" s="182"/>
      <c r="C31" s="626"/>
      <c r="D31" s="862" t="s">
        <v>915</v>
      </c>
      <c r="E31" s="863"/>
      <c r="F31" s="545">
        <f>SUM(F6:F30)</f>
        <v>0</v>
      </c>
      <c r="H31" s="178">
        <f>SUM(H6:H30)</f>
        <v>0</v>
      </c>
      <c r="J31" s="178">
        <f>SUM(J6:J30)</f>
        <v>0</v>
      </c>
      <c r="L31" s="178">
        <f>SUM(L6:L30)</f>
        <v>0</v>
      </c>
      <c r="N31" s="178">
        <f>SUM(N6:N30)</f>
        <v>0</v>
      </c>
      <c r="P31" s="178">
        <f>SUM(P6:P30)</f>
        <v>0</v>
      </c>
      <c r="R31" s="178">
        <f>SUM(R6:R30)</f>
        <v>0</v>
      </c>
      <c r="T31" s="178">
        <f>SUM(T6:T30)</f>
        <v>0</v>
      </c>
      <c r="V31" s="178">
        <f>SUM(V6:V30)</f>
        <v>0</v>
      </c>
      <c r="X31" s="178">
        <f>SUM(X6:X30)</f>
        <v>0</v>
      </c>
      <c r="Z31" s="178">
        <f>SUM(Z6:Z30)</f>
        <v>0</v>
      </c>
      <c r="AB31" s="178">
        <f>SUM(AB6:AB30)</f>
        <v>0</v>
      </c>
      <c r="AD31" s="178">
        <f>SUM(AD6:AD30)</f>
        <v>0</v>
      </c>
      <c r="AF31" s="178">
        <f>SUM(AF6:AF30)</f>
        <v>0</v>
      </c>
      <c r="AH31" s="178">
        <f>SUM(AH6:AH30)</f>
        <v>0</v>
      </c>
      <c r="AJ31" s="178">
        <f>SUM(AJ6:AJ30)</f>
        <v>0</v>
      </c>
      <c r="AL31" s="178">
        <f>SUM(AL6:AL30)</f>
        <v>0</v>
      </c>
      <c r="AN31" s="178">
        <f>SUM(AN6:AN30)</f>
        <v>0</v>
      </c>
      <c r="AP31" s="178">
        <f>SUM(AP6:AP30)</f>
        <v>0</v>
      </c>
      <c r="AR31" s="178">
        <f>SUM(AR6:AR30)</f>
        <v>0</v>
      </c>
    </row>
    <row r="32" spans="1:44" ht="12" customHeight="1">
      <c r="A32" s="543"/>
      <c r="B32" s="613"/>
      <c r="C32" s="613" t="s">
        <v>971</v>
      </c>
      <c r="D32" s="544"/>
      <c r="E32" s="546"/>
      <c r="F32" s="549"/>
      <c r="H32" s="549"/>
      <c r="J32" s="549"/>
      <c r="L32" s="549"/>
      <c r="N32" s="549"/>
      <c r="P32" s="549"/>
      <c r="R32" s="549"/>
      <c r="T32" s="549"/>
      <c r="V32" s="549"/>
      <c r="X32" s="549"/>
      <c r="Z32" s="549"/>
      <c r="AB32" s="549"/>
      <c r="AD32" s="549"/>
      <c r="AF32" s="549"/>
      <c r="AH32" s="549"/>
      <c r="AJ32" s="549"/>
      <c r="AL32" s="549"/>
      <c r="AN32" s="549"/>
      <c r="AP32" s="549"/>
      <c r="AR32" s="549"/>
    </row>
    <row r="33" spans="1:9" ht="12" customHeight="1">
      <c r="B33" s="174"/>
      <c r="C33" s="174"/>
      <c r="D33" s="173" t="s">
        <v>671</v>
      </c>
    </row>
    <row r="34" spans="1:9" ht="12" customHeight="1">
      <c r="B34" s="174"/>
      <c r="C34" s="174"/>
      <c r="I34" s="620"/>
    </row>
    <row r="35" spans="1:9" ht="12" customHeight="1">
      <c r="A35" s="173" t="s">
        <v>1004</v>
      </c>
      <c r="B35" s="174"/>
      <c r="C35" s="174"/>
    </row>
    <row r="36" spans="1:9" ht="12" customHeight="1">
      <c r="A36" s="173" t="s">
        <v>1008</v>
      </c>
      <c r="B36" s="174"/>
      <c r="C36" s="174"/>
    </row>
    <row r="37" spans="1:9" ht="12" customHeight="1">
      <c r="A37" s="735" t="s">
        <v>1353</v>
      </c>
      <c r="B37" s="174"/>
      <c r="C37" s="174"/>
      <c r="F37" s="620"/>
    </row>
    <row r="38" spans="1:9" ht="12" customHeight="1">
      <c r="A38" s="173" t="s">
        <v>889</v>
      </c>
      <c r="B38" s="174"/>
      <c r="C38" s="174"/>
    </row>
    <row r="39" spans="1:9" ht="12" customHeight="1">
      <c r="B39" s="174"/>
      <c r="C39" s="174"/>
    </row>
    <row r="40" spans="1:9" ht="12" customHeight="1">
      <c r="H40" s="620"/>
    </row>
    <row r="41" spans="1:9" ht="12" customHeight="1">
      <c r="A41" s="735" t="s">
        <v>1614</v>
      </c>
      <c r="E41" s="620"/>
      <c r="H41" s="616"/>
    </row>
    <row r="42" spans="1:9" ht="12" customHeight="1">
      <c r="A42" s="173" t="s">
        <v>1615</v>
      </c>
      <c r="E42" s="620"/>
      <c r="H42" s="616"/>
    </row>
    <row r="43" spans="1:9" ht="12" customHeight="1">
      <c r="A43" s="173" t="s">
        <v>1613</v>
      </c>
    </row>
    <row r="44" spans="1:9" ht="12" customHeight="1">
      <c r="A44" s="173" t="s">
        <v>1612</v>
      </c>
    </row>
    <row r="45" spans="1:9" ht="12" customHeight="1">
      <c r="A45" s="183" t="s">
        <v>672</v>
      </c>
    </row>
  </sheetData>
  <sheetProtection algorithmName="SHA-512" hashValue="lVSU14Fh61K3IYW5VOOlY2YGwy0VmqWqQmBDMU0a5IlDHyw5c58EkUdlcikSa5WSEHLEAV1/VL2w/XD8dTU8pQ==" saltValue="+IwpfcAVDWR/2gFLOjLnbw==" spinCount="100000" sheet="1" objects="1" scenarios="1"/>
  <protectedRanges>
    <protectedRange sqref="F32 H32 J32 L32 N32 P32 R32 T32 V32 X32 Z32 AB32 AD32 AF32 AH32 AJ32 AL32 AN32 AP32 AR32" name="Range24"/>
    <protectedRange sqref="AQ6:AQ30" name="Range23"/>
    <protectedRange sqref="AO6:AO30" name="Range22"/>
    <protectedRange sqref="AM6:AM30" name="Range21"/>
    <protectedRange sqref="AK6:AK30" name="Range20"/>
    <protectedRange sqref="AI6:AI30" name="Range19"/>
    <protectedRange sqref="AG6:AG30" name="Range18"/>
    <protectedRange sqref="AE6:AE30" name="Range16"/>
    <protectedRange sqref="AC6:AC30" name="Range15"/>
    <protectedRange sqref="AA6:AA30" name="Range14"/>
    <protectedRange sqref="Y6:Y30" name="Range13"/>
    <protectedRange sqref="W6:W30" name="Range12"/>
    <protectedRange sqref="U6:U30" name="Range10"/>
    <protectedRange sqref="S6:S30" name="Range9"/>
    <protectedRange sqref="Q6:Q30" name="Range8"/>
    <protectedRange sqref="O6:O30" name="Range7"/>
    <protectedRange sqref="M6:M30" name="Range6"/>
    <protectedRange sqref="K6:K30" name="Range5"/>
    <protectedRange sqref="I6:I30" name="Range4"/>
    <protectedRange sqref="G6:G30" name="Range3"/>
    <protectedRange sqref="E6:E30" name="Range2"/>
    <protectedRange sqref="E5:AR5" name="Range1"/>
  </protectedRanges>
  <customSheetViews>
    <customSheetView guid="{4E720B7F-6A3C-4034-90A5-B2BF7A394FC0}" scale="145" showPageBreaks="1" printArea="1">
      <selection sqref="A1:A5"/>
      <pageMargins left="0.75" right="0.75" top="1" bottom="0.75" header="0.5" footer="0.5"/>
      <printOptions gridLines="1"/>
      <pageSetup scale="80" orientation="landscape" horizontalDpi="4294967292" r:id="rId1"/>
      <headerFooter alignWithMargins="0">
        <oddHeader>&amp;C&amp;"Arial,Bold"Benzo[a]pyrene (BaP) Equivalents</oddHeader>
        <oddFooter>&amp;LDecember 2018&amp;R&amp;P of &amp;N</oddFooter>
      </headerFooter>
    </customSheetView>
    <customSheetView guid="{23DC26AF-9753-4BD2-80DE-415E6324C52C}">
      <selection activeCell="C14" sqref="C14"/>
      <pageMargins left="0.75" right="0.75" top="1" bottom="0.75" header="0.5" footer="0.5"/>
      <printOptions gridLines="1"/>
      <pageSetup scale="80" orientation="landscape" horizontalDpi="4294967292" r:id="rId2"/>
      <headerFooter alignWithMargins="0">
        <oddHeader>&amp;C&amp;"Arial,Bold"Benzo[a]pyrene (BaP) Equivalents</oddHeader>
        <oddFooter>&amp;LDecember 2018&amp;R&amp;P of &amp;N</oddFooter>
      </headerFooter>
    </customSheetView>
  </customSheetViews>
  <mergeCells count="65">
    <mergeCell ref="D31:E31"/>
    <mergeCell ref="E1:E4"/>
    <mergeCell ref="A1:A5"/>
    <mergeCell ref="B1:B5"/>
    <mergeCell ref="D1:D5"/>
    <mergeCell ref="C1:C5"/>
    <mergeCell ref="L1:L4"/>
    <mergeCell ref="E5:F5"/>
    <mergeCell ref="G5:H5"/>
    <mergeCell ref="I5:J5"/>
    <mergeCell ref="K5:L5"/>
    <mergeCell ref="G1:G4"/>
    <mergeCell ref="H1:H4"/>
    <mergeCell ref="I1:I4"/>
    <mergeCell ref="J1:J4"/>
    <mergeCell ref="K1:K4"/>
    <mergeCell ref="F1:F4"/>
    <mergeCell ref="N1:N4"/>
    <mergeCell ref="M5:N5"/>
    <mergeCell ref="O1:O4"/>
    <mergeCell ref="P1:P4"/>
    <mergeCell ref="O5:P5"/>
    <mergeCell ref="M1:M4"/>
    <mergeCell ref="R1:R4"/>
    <mergeCell ref="Q5:R5"/>
    <mergeCell ref="S1:S4"/>
    <mergeCell ref="T1:T4"/>
    <mergeCell ref="S5:T5"/>
    <mergeCell ref="Q1:Q4"/>
    <mergeCell ref="V1:V4"/>
    <mergeCell ref="U5:V5"/>
    <mergeCell ref="W1:W4"/>
    <mergeCell ref="X1:X4"/>
    <mergeCell ref="W5:X5"/>
    <mergeCell ref="U1:U4"/>
    <mergeCell ref="Z1:Z4"/>
    <mergeCell ref="Y5:Z5"/>
    <mergeCell ref="AA1:AA4"/>
    <mergeCell ref="AB1:AB4"/>
    <mergeCell ref="AA5:AB5"/>
    <mergeCell ref="Y1:Y4"/>
    <mergeCell ref="AD1:AD4"/>
    <mergeCell ref="AC5:AD5"/>
    <mergeCell ref="AE1:AE4"/>
    <mergeCell ref="AF1:AF4"/>
    <mergeCell ref="AE5:AF5"/>
    <mergeCell ref="AC1:AC4"/>
    <mergeCell ref="AH1:AH4"/>
    <mergeCell ref="AG5:AH5"/>
    <mergeCell ref="AI1:AI4"/>
    <mergeCell ref="AJ1:AJ4"/>
    <mergeCell ref="AI5:AJ5"/>
    <mergeCell ref="AG1:AG4"/>
    <mergeCell ref="AL1:AL4"/>
    <mergeCell ref="AK5:AL5"/>
    <mergeCell ref="AM1:AM4"/>
    <mergeCell ref="AN1:AN4"/>
    <mergeCell ref="AM5:AN5"/>
    <mergeCell ref="AK1:AK4"/>
    <mergeCell ref="AP1:AP4"/>
    <mergeCell ref="AO5:AP5"/>
    <mergeCell ref="AQ1:AQ4"/>
    <mergeCell ref="AR1:AR4"/>
    <mergeCell ref="AQ5:AR5"/>
    <mergeCell ref="AO1:AO4"/>
  </mergeCells>
  <hyperlinks>
    <hyperlink ref="A45" r:id="rId3" xr:uid="{00000000-0004-0000-0800-000000000000}"/>
  </hyperlinks>
  <printOptions gridLines="1" gridLinesSet="0"/>
  <pageMargins left="0.75" right="0.75" top="1" bottom="0.75" header="0.5" footer="0.5"/>
  <pageSetup scale="80" orientation="landscape" horizontalDpi="4294967292" r:id="rId4"/>
  <headerFooter alignWithMargins="0">
    <oddHeader>&amp;C&amp;"Arial,Bold"Benzo[a]pyrene (BaP) Equivalents</oddHeader>
    <oddFooter>&amp;LApril 2026&amp;R&amp;P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Overview</vt:lpstr>
      <vt:lpstr>Chemical Info</vt:lpstr>
      <vt:lpstr>Res-Rec Equations</vt:lpstr>
      <vt:lpstr>Res-Rec Calculations</vt:lpstr>
      <vt:lpstr>Res-Rec Worksheet</vt:lpstr>
      <vt:lpstr>Com-Ind Equations</vt:lpstr>
      <vt:lpstr>Com-Ind Calculations</vt:lpstr>
      <vt:lpstr>Com-Ind Worksheet</vt:lpstr>
      <vt:lpstr>BaP Equivalents</vt:lpstr>
      <vt:lpstr>TCDD Equivalents</vt:lpstr>
      <vt:lpstr>'BaP Equivalents'!Print_Area</vt:lpstr>
      <vt:lpstr>'Chemical Info'!Print_Area</vt:lpstr>
      <vt:lpstr>'Com-Ind Calculations'!Print_Area</vt:lpstr>
      <vt:lpstr>'Com-Ind Worksheet'!Print_Area</vt:lpstr>
      <vt:lpstr>Overview!Print_Area</vt:lpstr>
      <vt:lpstr>'Res-Rec Calculations'!Print_Area</vt:lpstr>
      <vt:lpstr>'Res-Rec Worksheet'!Print_Area</vt:lpstr>
      <vt:lpstr>'Chemical Info'!Print_Titles</vt:lpstr>
      <vt:lpstr>'Com-Ind Calculations'!Print_Titles</vt:lpstr>
      <vt:lpstr>'Com-Ind Worksheet'!Print_Titles</vt:lpstr>
      <vt:lpstr>'Res-Rec Calculations'!Print_Titles</vt:lpstr>
      <vt:lpstr>'Res-Rec Worksheet'!Print_Titles</vt:lpstr>
    </vt:vector>
  </TitlesOfParts>
  <Manager>Laura Lyle</Manager>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Soil Reference Value (SRV) Spreadsheet</dc:title>
  <dc:subject>Soil reference value (SRV) spreadsheet that calculates SRVs for residential/recreational and commercial/industrial land use categories.</dc:subject>
  <dc:creator>Minnesota Pollution Control Agency – Laura Lyle (EAO) -- J. Holstad (Excel for web only)</dc:creator>
  <cp:keywords>Minnesota Pollution Control Agency,MPCA,c-r1-06,Clean Up,Risk-based documents,Soil Reference Value, Soil Reference Values, SRV, SRVs, Soil, Human health soil values, soil values, SRV TSD, SRV technical support document, SRV spreadsheet, SRV site specific spreadsheet, Soil evaluation, soil pathway evaluation, human health</cp:keywords>
  <cp:lastModifiedBy>Holstad, Jennifer (MPCA)</cp:lastModifiedBy>
  <cp:lastPrinted>2021-04-27T12:58:09Z</cp:lastPrinted>
  <dcterms:created xsi:type="dcterms:W3CDTF">2007-08-10T14:22:41Z</dcterms:created>
  <dcterms:modified xsi:type="dcterms:W3CDTF">2026-05-20T14:24:27Z</dcterms:modified>
  <cp:category>Clean Up/Risk-based documents</cp:category>
</cp:coreProperties>
</file>