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mc:AlternateContent xmlns:mc="http://schemas.openxmlformats.org/markup-compatibility/2006">
    <mc:Choice Requires="x15">
      <x15ac:absPath xmlns:x15ac="http://schemas.microsoft.com/office/spreadsheetml/2010/11/ac" url="T:\Klucas_Christopher.CK\Gail's T Drive\FORMS\Air Quality\"/>
    </mc:Choice>
  </mc:AlternateContent>
  <xr:revisionPtr revIDLastSave="0" documentId="13_ncr:1_{4011C13B-19CD-42D6-88FA-43F40686F1DC}" xr6:coauthVersionLast="47" xr6:coauthVersionMax="47" xr10:uidLastSave="{00000000-0000-0000-0000-000000000000}"/>
  <bookViews>
    <workbookView xWindow="-120" yWindow="-120" windowWidth="29040" windowHeight="15840" tabRatio="742" xr2:uid="{00000000-000D-0000-FFFF-FFFF00000000}"/>
  </bookViews>
  <sheets>
    <sheet name="Tank and Material Properties" sheetId="1" r:id="rId1"/>
    <sheet name="Error Notification" sheetId="9" r:id="rId2"/>
    <sheet name="Summary" sheetId="11" r:id="rId3"/>
    <sheet name="Input Variables" sheetId="6" r:id="rId4"/>
    <sheet name="Emissions Calculation" sheetId="5" r:id="rId5"/>
    <sheet name="Reference Material Properties" sheetId="2" r:id="rId6"/>
    <sheet name="Reference Tables" sheetId="4" r:id="rId7"/>
    <sheet name="Chemical Properties" sheetId="8" r:id="rId8"/>
  </sheets>
  <definedNames>
    <definedName name="_xlnm.Print_Area" localSheetId="4">'Emissions Calculation'!$A$1:$U$164</definedName>
    <definedName name="_xlnm.Print_Area" localSheetId="5">'Reference Material Properties'!$A$1</definedName>
    <definedName name="_xlnm.Print_Area" localSheetId="6">'Reference Tables'!$A$1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7" i="1" l="1"/>
  <c r="B68" i="1"/>
  <c r="B69" i="1"/>
  <c r="B70" i="1"/>
  <c r="E7" i="11"/>
  <c r="B46" i="1"/>
  <c r="E26" i="11" l="1"/>
  <c r="K5" i="11" l="1"/>
  <c r="M29" i="1"/>
  <c r="V47" i="9" l="1"/>
  <c r="X47" i="9" s="1"/>
  <c r="V38" i="9"/>
  <c r="V39" i="9"/>
  <c r="V40" i="9"/>
  <c r="V41" i="9"/>
  <c r="V42" i="9"/>
  <c r="V43" i="9"/>
  <c r="V44" i="9"/>
  <c r="V45" i="9"/>
  <c r="V46" i="9"/>
  <c r="V37" i="9"/>
  <c r="V36" i="9"/>
  <c r="V25" i="9"/>
  <c r="B63" i="1"/>
  <c r="K4" i="11" l="1"/>
  <c r="X36" i="9" l="1"/>
  <c r="F12" i="6" l="1"/>
  <c r="J35" i="11" s="1"/>
  <c r="H4" i="11"/>
  <c r="H5" i="11"/>
  <c r="M37" i="1"/>
  <c r="H59" i="11" l="1"/>
  <c r="E59" i="11"/>
  <c r="M46" i="1" l="1"/>
  <c r="F46" i="1" l="1"/>
  <c r="F8" i="6"/>
  <c r="J31" i="11" s="1"/>
  <c r="V6" i="9" l="1"/>
  <c r="V5" i="9"/>
  <c r="W34" i="9"/>
  <c r="W33" i="9"/>
  <c r="W10" i="9"/>
  <c r="W9" i="9"/>
  <c r="P43" i="11" l="1"/>
  <c r="P41" i="11"/>
  <c r="P42" i="11"/>
  <c r="P39" i="11"/>
  <c r="P38" i="11"/>
  <c r="P37" i="11"/>
  <c r="P36" i="11"/>
  <c r="P35" i="11"/>
  <c r="P34" i="11"/>
  <c r="P33" i="11"/>
  <c r="P32" i="11"/>
  <c r="P30" i="11"/>
  <c r="P29" i="11"/>
  <c r="P31" i="11"/>
  <c r="M32" i="1"/>
  <c r="O77" i="1"/>
  <c r="B60" i="1"/>
  <c r="M60" i="1" s="1"/>
  <c r="M59" i="1"/>
  <c r="M44" i="1"/>
  <c r="M55" i="1"/>
  <c r="M45" i="1"/>
  <c r="M53" i="1"/>
  <c r="M52" i="1"/>
  <c r="M51" i="1"/>
  <c r="M50" i="1"/>
  <c r="M49" i="1"/>
  <c r="M48" i="1"/>
  <c r="M47" i="1"/>
  <c r="F60" i="1" l="1"/>
  <c r="Y47" i="9"/>
  <c r="X37" i="9"/>
  <c r="V35" i="9"/>
  <c r="X35" i="9" s="1"/>
  <c r="V33" i="9"/>
  <c r="X33" i="9" s="1"/>
  <c r="V34" i="9"/>
  <c r="X34" i="9" s="1"/>
  <c r="X38" i="9"/>
  <c r="X39" i="9"/>
  <c r="X40" i="9"/>
  <c r="X41" i="9"/>
  <c r="X42" i="9"/>
  <c r="X43" i="9"/>
  <c r="X44" i="9"/>
  <c r="X45" i="9"/>
  <c r="X46" i="9"/>
  <c r="V27" i="9"/>
  <c r="X27" i="9" s="1"/>
  <c r="V28" i="9"/>
  <c r="X28" i="9" s="1"/>
  <c r="V29" i="9"/>
  <c r="X29" i="9" s="1"/>
  <c r="V30" i="9"/>
  <c r="X30" i="9" s="1"/>
  <c r="V31" i="9"/>
  <c r="X31" i="9" s="1"/>
  <c r="V32" i="9"/>
  <c r="X32" i="9" s="1"/>
  <c r="V26" i="9"/>
  <c r="X26" i="9" s="1"/>
  <c r="V21" i="9"/>
  <c r="X21" i="9" s="1"/>
  <c r="V22" i="9"/>
  <c r="X22" i="9" s="1"/>
  <c r="V23" i="9"/>
  <c r="X23" i="9" s="1"/>
  <c r="V24" i="9"/>
  <c r="X24" i="9" s="1"/>
  <c r="X25" i="9"/>
  <c r="X5" i="9"/>
  <c r="X6" i="9"/>
  <c r="V7" i="9"/>
  <c r="X7" i="9" s="1"/>
  <c r="V8" i="9"/>
  <c r="X8" i="9" s="1"/>
  <c r="V9" i="9"/>
  <c r="X9" i="9" s="1"/>
  <c r="V10" i="9"/>
  <c r="V11" i="9"/>
  <c r="X11" i="9" s="1"/>
  <c r="V12" i="9"/>
  <c r="X12" i="9" s="1"/>
  <c r="V13" i="9"/>
  <c r="X13" i="9" s="1"/>
  <c r="V14" i="9"/>
  <c r="X14" i="9" s="1"/>
  <c r="V15" i="9"/>
  <c r="X15" i="9" s="1"/>
  <c r="V16" i="9"/>
  <c r="X16" i="9" s="1"/>
  <c r="V17" i="9"/>
  <c r="X17" i="9" s="1"/>
  <c r="V18" i="9"/>
  <c r="X18" i="9" s="1"/>
  <c r="V19" i="9"/>
  <c r="X19" i="9" s="1"/>
  <c r="V20" i="9"/>
  <c r="X20" i="9" s="1"/>
  <c r="V4" i="9"/>
  <c r="X4" i="9" s="1"/>
  <c r="M43" i="1"/>
  <c r="M42" i="1"/>
  <c r="M41" i="1"/>
  <c r="M40" i="1"/>
  <c r="M39" i="1"/>
  <c r="M38" i="1"/>
  <c r="M36" i="1"/>
  <c r="M35" i="1"/>
  <c r="M31" i="1"/>
  <c r="M30" i="1"/>
  <c r="M28" i="1"/>
  <c r="J65" i="5"/>
  <c r="X10" i="9" l="1"/>
  <c r="Y10" i="9" s="1"/>
  <c r="W4" i="9"/>
  <c r="Y34" i="9"/>
  <c r="Y33" i="9"/>
  <c r="Y9" i="9"/>
  <c r="W5" i="9" l="1"/>
  <c r="W6" i="9" s="1"/>
  <c r="W7" i="9" s="1"/>
  <c r="Y4" i="9"/>
  <c r="W8" i="9" l="1"/>
  <c r="Y6" i="9"/>
  <c r="Y7" i="9"/>
  <c r="Y5" i="9"/>
  <c r="Y8" i="9" l="1"/>
  <c r="W11" i="9"/>
  <c r="W12" i="9" l="1"/>
  <c r="Y11" i="9"/>
  <c r="W13" i="9" l="1"/>
  <c r="W14" i="9" s="1"/>
  <c r="W15" i="9" s="1"/>
  <c r="Y12" i="9"/>
  <c r="W16" i="9" l="1"/>
  <c r="W17" i="9" s="1"/>
  <c r="W18" i="9" s="1"/>
  <c r="W19" i="9" s="1"/>
  <c r="W20" i="9" s="1"/>
  <c r="W21" i="9" s="1"/>
  <c r="W22" i="9" s="1"/>
  <c r="W23" i="9" s="1"/>
  <c r="W24" i="9" s="1"/>
  <c r="W25" i="9" s="1"/>
  <c r="W26" i="9" s="1"/>
  <c r="W27" i="9" s="1"/>
  <c r="W28" i="9" s="1"/>
  <c r="W29" i="9" s="1"/>
  <c r="Y13" i="9"/>
  <c r="Y14" i="9" l="1"/>
  <c r="F29" i="6"/>
  <c r="J52" i="11" s="1"/>
  <c r="F26" i="6"/>
  <c r="J49" i="11" l="1"/>
  <c r="C138" i="5"/>
  <c r="D138" i="5"/>
  <c r="Y15" i="9"/>
  <c r="Y16" i="9"/>
  <c r="D139" i="5"/>
  <c r="H139" i="5"/>
  <c r="L139" i="5"/>
  <c r="J139" i="5"/>
  <c r="K139" i="5"/>
  <c r="E139" i="5"/>
  <c r="I139" i="5"/>
  <c r="M139" i="5"/>
  <c r="F139" i="5"/>
  <c r="N139" i="5"/>
  <c r="G139" i="5"/>
  <c r="C139" i="5"/>
  <c r="C26" i="5"/>
  <c r="C25" i="5"/>
  <c r="C24" i="5"/>
  <c r="C23" i="5"/>
  <c r="C22" i="5"/>
  <c r="D103" i="5"/>
  <c r="E103" i="5"/>
  <c r="F103" i="5"/>
  <c r="G103" i="5"/>
  <c r="H103" i="5"/>
  <c r="I103" i="5"/>
  <c r="J103" i="5"/>
  <c r="K103" i="5"/>
  <c r="L103" i="5"/>
  <c r="M103" i="5"/>
  <c r="N103" i="5"/>
  <c r="C103" i="5"/>
  <c r="B52" i="5" l="1"/>
  <c r="B53" i="5"/>
  <c r="B51" i="5"/>
  <c r="B50" i="5"/>
  <c r="B49" i="5"/>
  <c r="B48" i="5"/>
  <c r="Y19" i="9" l="1"/>
  <c r="Y17" i="9"/>
  <c r="E34" i="6"/>
  <c r="C36" i="5"/>
  <c r="D36" i="5"/>
  <c r="E36" i="5"/>
  <c r="F36" i="5"/>
  <c r="G36" i="5"/>
  <c r="H36" i="5"/>
  <c r="I36" i="5"/>
  <c r="J36" i="5"/>
  <c r="K36" i="5"/>
  <c r="L36" i="5"/>
  <c r="M36" i="5"/>
  <c r="N36" i="5"/>
  <c r="D33" i="5"/>
  <c r="E33" i="5"/>
  <c r="F33" i="5"/>
  <c r="G33" i="5"/>
  <c r="H33" i="5"/>
  <c r="I33" i="5"/>
  <c r="J33" i="5"/>
  <c r="K33" i="5"/>
  <c r="L33" i="5"/>
  <c r="M33" i="5"/>
  <c r="N33" i="5"/>
  <c r="C33" i="5"/>
  <c r="D32" i="5"/>
  <c r="E32" i="5"/>
  <c r="F32" i="5"/>
  <c r="G32" i="5"/>
  <c r="H32" i="5"/>
  <c r="I32" i="5"/>
  <c r="J32" i="5"/>
  <c r="K32" i="5"/>
  <c r="L32" i="5"/>
  <c r="M32" i="5"/>
  <c r="N32" i="5"/>
  <c r="C32" i="5"/>
  <c r="D34" i="5" l="1"/>
  <c r="C34" i="5"/>
  <c r="N34" i="5"/>
  <c r="F34" i="6"/>
  <c r="B54" i="1" s="1"/>
  <c r="M54" i="1" s="1"/>
  <c r="D35" i="5"/>
  <c r="C35" i="5"/>
  <c r="Y18" i="9"/>
  <c r="AI73" i="1"/>
  <c r="G61" i="5" s="1"/>
  <c r="AI74" i="1"/>
  <c r="G62" i="5" s="1"/>
  <c r="AI75" i="1"/>
  <c r="G63" i="5" s="1"/>
  <c r="AI76" i="1"/>
  <c r="G64" i="5" s="1"/>
  <c r="AI77" i="1"/>
  <c r="G65" i="5" s="1"/>
  <c r="X37" i="5" l="1"/>
  <c r="W30" i="9"/>
  <c r="W31" i="9" s="1"/>
  <c r="Y20" i="9"/>
  <c r="Y21" i="9"/>
  <c r="B157" i="5"/>
  <c r="C157" i="5" s="1"/>
  <c r="D157" i="5" s="1"/>
  <c r="E157" i="5" s="1"/>
  <c r="F157" i="5" s="1"/>
  <c r="G157" i="5" s="1"/>
  <c r="H157" i="5" s="1"/>
  <c r="I157" i="5" s="1"/>
  <c r="J157" i="5" s="1"/>
  <c r="K157" i="5" s="1"/>
  <c r="L157" i="5" s="1"/>
  <c r="M157" i="5" s="1"/>
  <c r="N157" i="5" s="1"/>
  <c r="C20" i="5"/>
  <c r="AH73" i="1"/>
  <c r="AH74" i="1"/>
  <c r="AH75" i="1"/>
  <c r="AH76" i="1"/>
  <c r="AH77" i="1"/>
  <c r="B20" i="5"/>
  <c r="Y22" i="9" l="1"/>
  <c r="N6" i="6"/>
  <c r="F24" i="6" s="1"/>
  <c r="N12" i="6"/>
  <c r="F25" i="6" s="1"/>
  <c r="V38" i="5" l="1"/>
  <c r="J47" i="11"/>
  <c r="J48" i="11"/>
  <c r="C37" i="5"/>
  <c r="N37" i="5"/>
  <c r="D37" i="5"/>
  <c r="Y23" i="9"/>
  <c r="Y25" i="9"/>
  <c r="W38" i="5"/>
  <c r="F27" i="6"/>
  <c r="J54" i="11" l="1"/>
  <c r="F31" i="6"/>
  <c r="F28" i="6"/>
  <c r="J51" i="11" s="1"/>
  <c r="J50" i="11"/>
  <c r="B56" i="1"/>
  <c r="M56" i="1" s="1"/>
  <c r="Y24" i="9"/>
  <c r="E54" i="1"/>
  <c r="P40" i="11" l="1"/>
  <c r="W32" i="9"/>
  <c r="W35" i="9" s="1"/>
  <c r="Y26" i="9"/>
  <c r="F18" i="6"/>
  <c r="J41" i="11" s="1"/>
  <c r="F17" i="6"/>
  <c r="J40" i="11" s="1"/>
  <c r="F11" i="6"/>
  <c r="J34" i="11" s="1"/>
  <c r="F9" i="6"/>
  <c r="J32" i="11" s="1"/>
  <c r="F7" i="6"/>
  <c r="J30" i="11" s="1"/>
  <c r="F6" i="6"/>
  <c r="F13" i="6" s="1"/>
  <c r="J36" i="11" s="1"/>
  <c r="J29" i="11" l="1"/>
  <c r="F16" i="6"/>
  <c r="J39" i="11" s="1"/>
  <c r="W36" i="9"/>
  <c r="Y35" i="9"/>
  <c r="Y27" i="9"/>
  <c r="F19" i="6"/>
  <c r="U38" i="5"/>
  <c r="F10" i="6"/>
  <c r="J33" i="11" s="1"/>
  <c r="T38" i="5"/>
  <c r="M34" i="5"/>
  <c r="M37" i="5" s="1"/>
  <c r="L34" i="5"/>
  <c r="L37" i="5" s="1"/>
  <c r="K34" i="5"/>
  <c r="K37" i="5" s="1"/>
  <c r="J34" i="5"/>
  <c r="J37" i="5" s="1"/>
  <c r="I34" i="5"/>
  <c r="I37" i="5" s="1"/>
  <c r="H34" i="5"/>
  <c r="H37" i="5" s="1"/>
  <c r="G34" i="5"/>
  <c r="G37" i="5" s="1"/>
  <c r="F34" i="5"/>
  <c r="F37" i="5" s="1"/>
  <c r="E34" i="5"/>
  <c r="E37" i="5" s="1"/>
  <c r="Y36" i="9" l="1"/>
  <c r="F20" i="6"/>
  <c r="J43" i="11" s="1"/>
  <c r="J42" i="11"/>
  <c r="C38" i="5"/>
  <c r="D46" i="5"/>
  <c r="Y28" i="9"/>
  <c r="C46" i="5"/>
  <c r="N45" i="5"/>
  <c r="C45" i="5"/>
  <c r="N38" i="5"/>
  <c r="E45" i="5"/>
  <c r="I45" i="5"/>
  <c r="M45" i="5"/>
  <c r="D38" i="5"/>
  <c r="H45" i="5"/>
  <c r="L38" i="5"/>
  <c r="F45" i="5"/>
  <c r="J45" i="5"/>
  <c r="G45" i="5"/>
  <c r="K45" i="5"/>
  <c r="F14" i="6"/>
  <c r="H35" i="5"/>
  <c r="H46" i="5" s="1"/>
  <c r="L35" i="5"/>
  <c r="L46" i="5" s="1"/>
  <c r="E35" i="5"/>
  <c r="E46" i="5" s="1"/>
  <c r="I35" i="5"/>
  <c r="I46" i="5" s="1"/>
  <c r="M35" i="5"/>
  <c r="M46" i="5" s="1"/>
  <c r="F35" i="5"/>
  <c r="F46" i="5" s="1"/>
  <c r="J35" i="5"/>
  <c r="J46" i="5" s="1"/>
  <c r="N35" i="5"/>
  <c r="N46" i="5" s="1"/>
  <c r="G35" i="5"/>
  <c r="G46" i="5" s="1"/>
  <c r="K35" i="5"/>
  <c r="K46" i="5" s="1"/>
  <c r="F21" i="6" l="1"/>
  <c r="F22" i="6" s="1"/>
  <c r="F15" i="6"/>
  <c r="J38" i="11" s="1"/>
  <c r="J37" i="11"/>
  <c r="C41" i="5"/>
  <c r="Y30" i="9"/>
  <c r="Y29" i="9"/>
  <c r="C39" i="5"/>
  <c r="C43" i="5"/>
  <c r="G38" i="5"/>
  <c r="G39" i="5" s="1"/>
  <c r="H38" i="5"/>
  <c r="H39" i="5" s="1"/>
  <c r="E38" i="5"/>
  <c r="E40" i="5" s="1"/>
  <c r="F38" i="5"/>
  <c r="F39" i="5" s="1"/>
  <c r="J38" i="5"/>
  <c r="J40" i="5" s="1"/>
  <c r="M38" i="5"/>
  <c r="M43" i="5" s="1"/>
  <c r="M44" i="5" s="1"/>
  <c r="K38" i="5"/>
  <c r="K40" i="5" s="1"/>
  <c r="L45" i="5"/>
  <c r="D45" i="5"/>
  <c r="I38" i="5"/>
  <c r="I41" i="5" s="1"/>
  <c r="D43" i="5"/>
  <c r="D44" i="5" s="1"/>
  <c r="N43" i="5"/>
  <c r="N44" i="5" s="1"/>
  <c r="L43" i="5"/>
  <c r="L44" i="5" s="1"/>
  <c r="D40" i="5"/>
  <c r="D41" i="5"/>
  <c r="C40" i="5"/>
  <c r="D39" i="5"/>
  <c r="N40" i="5"/>
  <c r="L39" i="5"/>
  <c r="N41" i="5"/>
  <c r="L40" i="5"/>
  <c r="L41" i="5"/>
  <c r="N39" i="5"/>
  <c r="J44" i="11" l="1"/>
  <c r="F23" i="6"/>
  <c r="J46" i="11" s="1"/>
  <c r="J45" i="11"/>
  <c r="C44" i="5"/>
  <c r="C42" i="5"/>
  <c r="J41" i="5"/>
  <c r="J42" i="5" s="1"/>
  <c r="G43" i="5"/>
  <c r="G44" i="5" s="1"/>
  <c r="G41" i="5"/>
  <c r="G42" i="5" s="1"/>
  <c r="H40" i="5"/>
  <c r="F41" i="5"/>
  <c r="F42" i="5" s="1"/>
  <c r="H41" i="5"/>
  <c r="H42" i="5" s="1"/>
  <c r="G40" i="5"/>
  <c r="F43" i="5"/>
  <c r="F44" i="5" s="1"/>
  <c r="F40" i="5"/>
  <c r="J39" i="5"/>
  <c r="J43" i="5"/>
  <c r="J44" i="5" s="1"/>
  <c r="I40" i="5"/>
  <c r="H43" i="5"/>
  <c r="H44" i="5" s="1"/>
  <c r="K41" i="5"/>
  <c r="K42" i="5" s="1"/>
  <c r="K39" i="5"/>
  <c r="K43" i="5"/>
  <c r="K44" i="5" s="1"/>
  <c r="I42" i="5"/>
  <c r="L42" i="5"/>
  <c r="D42" i="5"/>
  <c r="I39" i="5"/>
  <c r="I43" i="5"/>
  <c r="I44" i="5" s="1"/>
  <c r="N42" i="5"/>
  <c r="E43" i="5"/>
  <c r="E44" i="5" s="1"/>
  <c r="E41" i="5"/>
  <c r="E39" i="5"/>
  <c r="M40" i="5"/>
  <c r="M39" i="5"/>
  <c r="M41" i="5"/>
  <c r="Y31" i="9" l="1"/>
  <c r="M42" i="5"/>
  <c r="E42" i="5"/>
  <c r="Y32" i="9" l="1"/>
  <c r="F30" i="6"/>
  <c r="J53" i="11" s="1"/>
  <c r="C93" i="5" l="1"/>
  <c r="D93" i="5"/>
  <c r="E93" i="5"/>
  <c r="F93" i="5"/>
  <c r="G93" i="5"/>
  <c r="H93" i="5"/>
  <c r="I93" i="5"/>
  <c r="J93" i="5"/>
  <c r="K93" i="5"/>
  <c r="L93" i="5"/>
  <c r="M93" i="5"/>
  <c r="N93" i="5"/>
  <c r="E138" i="5"/>
  <c r="F138" i="5"/>
  <c r="G138" i="5"/>
  <c r="H138" i="5"/>
  <c r="I138" i="5"/>
  <c r="J138" i="5"/>
  <c r="K138" i="5"/>
  <c r="L138" i="5"/>
  <c r="M138" i="5"/>
  <c r="N138" i="5"/>
  <c r="O157" i="5" l="1"/>
  <c r="AH72" i="1" l="1"/>
  <c r="AI72" i="1"/>
  <c r="G60" i="5" s="1"/>
  <c r="C21" i="5" l="1"/>
  <c r="C52" i="5" s="1"/>
  <c r="C53" i="5" s="1"/>
  <c r="C48" i="5"/>
  <c r="N48" i="5"/>
  <c r="G48" i="5"/>
  <c r="I48" i="5"/>
  <c r="E48" i="5"/>
  <c r="L48" i="5"/>
  <c r="F48" i="5"/>
  <c r="D48" i="5"/>
  <c r="K48" i="5"/>
  <c r="M48" i="5"/>
  <c r="J48" i="5"/>
  <c r="H48" i="5"/>
  <c r="N52" i="5" l="1"/>
  <c r="N53" i="5" s="1"/>
  <c r="F52" i="5"/>
  <c r="F53" i="5" s="1"/>
  <c r="E52" i="5"/>
  <c r="E53" i="5" s="1"/>
  <c r="I52" i="5"/>
  <c r="I53" i="5" s="1"/>
  <c r="J52" i="5"/>
  <c r="J53" i="5" s="1"/>
  <c r="G52" i="5"/>
  <c r="G53" i="5" s="1"/>
  <c r="B109" i="5"/>
  <c r="H52" i="5"/>
  <c r="H53" i="5" s="1"/>
  <c r="B123" i="5"/>
  <c r="D52" i="5"/>
  <c r="D53" i="5" s="1"/>
  <c r="K52" i="5"/>
  <c r="K53" i="5" s="1"/>
  <c r="L52" i="5"/>
  <c r="L53" i="5" s="1"/>
  <c r="M52" i="5"/>
  <c r="M53" i="5" s="1"/>
  <c r="H49" i="5"/>
  <c r="H50" i="5"/>
  <c r="H51" i="5" s="1"/>
  <c r="D49" i="5"/>
  <c r="D50" i="5"/>
  <c r="D51" i="5" s="1"/>
  <c r="I49" i="5"/>
  <c r="I50" i="5"/>
  <c r="I51" i="5" s="1"/>
  <c r="J49" i="5"/>
  <c r="J50" i="5"/>
  <c r="J51" i="5" s="1"/>
  <c r="F49" i="5"/>
  <c r="F50" i="5"/>
  <c r="F51" i="5" s="1"/>
  <c r="G49" i="5"/>
  <c r="G50" i="5"/>
  <c r="G51" i="5" s="1"/>
  <c r="M49" i="5"/>
  <c r="M50" i="5"/>
  <c r="M51" i="5" s="1"/>
  <c r="L49" i="5"/>
  <c r="L50" i="5"/>
  <c r="L51" i="5" s="1"/>
  <c r="N49" i="5"/>
  <c r="N50" i="5"/>
  <c r="N51" i="5" s="1"/>
  <c r="K49" i="5"/>
  <c r="K50" i="5"/>
  <c r="K51" i="5" s="1"/>
  <c r="E49" i="5"/>
  <c r="E50" i="5"/>
  <c r="E51" i="5" s="1"/>
  <c r="C49" i="5"/>
  <c r="C50" i="5"/>
  <c r="C51" i="5" s="1"/>
  <c r="F71" i="11" l="1"/>
  <c r="B76" i="1"/>
  <c r="M76" i="1" l="1"/>
  <c r="O71" i="11" s="1"/>
  <c r="AG77" i="1"/>
  <c r="N76" i="1"/>
  <c r="Q71" i="11" s="1"/>
  <c r="B65" i="5"/>
  <c r="F76" i="1"/>
  <c r="AF77" i="1"/>
  <c r="I76" i="1"/>
  <c r="H76" i="1"/>
  <c r="A76" i="1"/>
  <c r="J76" i="1"/>
  <c r="E71" i="11"/>
  <c r="O76" i="1" l="1"/>
  <c r="D65" i="5"/>
  <c r="I71" i="11"/>
  <c r="J71" i="11"/>
  <c r="E65" i="5"/>
  <c r="K71" i="11"/>
  <c r="F65" i="5"/>
  <c r="G71" i="11"/>
  <c r="L71" i="11"/>
  <c r="H76" i="5"/>
  <c r="I76" i="5"/>
  <c r="K76" i="5"/>
  <c r="I65" i="5"/>
  <c r="K65" i="5"/>
  <c r="F76" i="5"/>
  <c r="M76" i="5"/>
  <c r="J76" i="5"/>
  <c r="G76" i="5"/>
  <c r="E76" i="5"/>
  <c r="C76" i="5"/>
  <c r="N76" i="5"/>
  <c r="L76" i="5"/>
  <c r="B87" i="5"/>
  <c r="B133" i="5"/>
  <c r="D76" i="5"/>
  <c r="B76" i="5"/>
  <c r="B98" i="5"/>
  <c r="B119" i="5"/>
  <c r="F119" i="5" l="1"/>
  <c r="M133" i="5"/>
  <c r="F133" i="5"/>
  <c r="E119" i="5"/>
  <c r="J119" i="5"/>
  <c r="C133" i="5"/>
  <c r="L119" i="5"/>
  <c r="G119" i="5"/>
  <c r="G133" i="5"/>
  <c r="E133" i="5"/>
  <c r="N119" i="5"/>
  <c r="D133" i="5"/>
  <c r="I133" i="5"/>
  <c r="K119" i="5"/>
  <c r="I119" i="5"/>
  <c r="H133" i="5"/>
  <c r="L133" i="5"/>
  <c r="J133" i="5"/>
  <c r="K133" i="5"/>
  <c r="D119" i="5"/>
  <c r="C119" i="5"/>
  <c r="N133" i="5"/>
  <c r="M119" i="5"/>
  <c r="H119" i="5"/>
  <c r="G98" i="5"/>
  <c r="M98" i="5"/>
  <c r="D98" i="5"/>
  <c r="K98" i="5"/>
  <c r="E98" i="5"/>
  <c r="N98" i="5"/>
  <c r="F98" i="5"/>
  <c r="H98" i="5"/>
  <c r="C98" i="5"/>
  <c r="J98" i="5"/>
  <c r="L98" i="5"/>
  <c r="I98" i="5"/>
  <c r="I87" i="5"/>
  <c r="E87" i="5"/>
  <c r="C87" i="5"/>
  <c r="F87" i="5"/>
  <c r="N87" i="5"/>
  <c r="G87" i="5"/>
  <c r="H87" i="5"/>
  <c r="K87" i="5"/>
  <c r="D87" i="5"/>
  <c r="M87" i="5"/>
  <c r="J87" i="5"/>
  <c r="L87" i="5"/>
  <c r="Y46" i="9"/>
  <c r="Z76" i="1"/>
  <c r="W46" i="9"/>
  <c r="F62" i="11"/>
  <c r="F64" i="11"/>
  <c r="F68" i="11"/>
  <c r="F65" i="11"/>
  <c r="F67" i="11"/>
  <c r="F66" i="11"/>
  <c r="F63" i="11"/>
  <c r="F70" i="11"/>
  <c r="F69" i="11"/>
  <c r="B72" i="1"/>
  <c r="AG70" i="1"/>
  <c r="B71" i="1"/>
  <c r="AG68" i="1"/>
  <c r="B73" i="1"/>
  <c r="B75" i="1"/>
  <c r="AG76" i="1" s="1"/>
  <c r="B74" i="1"/>
  <c r="AG75" i="1" s="1"/>
  <c r="F71" i="1" l="1"/>
  <c r="C60" i="5" s="1"/>
  <c r="B152" i="5" s="1"/>
  <c r="C152" i="5" s="1"/>
  <c r="AG72" i="1"/>
  <c r="F72" i="1"/>
  <c r="C61" i="5" s="1"/>
  <c r="AG73" i="1"/>
  <c r="F68" i="1"/>
  <c r="C57" i="5" s="1"/>
  <c r="AG69" i="1"/>
  <c r="E68" i="11"/>
  <c r="L68" i="11" s="1"/>
  <c r="AG74" i="1"/>
  <c r="F70" i="1"/>
  <c r="C59" i="5" s="1"/>
  <c r="J59" i="5" s="1"/>
  <c r="AG71" i="1"/>
  <c r="M67" i="1"/>
  <c r="B56" i="5"/>
  <c r="M68" i="1"/>
  <c r="B57" i="5"/>
  <c r="B59" i="5"/>
  <c r="F67" i="1"/>
  <c r="C56" i="5" s="1"/>
  <c r="J56" i="5" s="1"/>
  <c r="F74" i="1"/>
  <c r="C63" i="5" s="1"/>
  <c r="B155" i="5" s="1"/>
  <c r="C155" i="5" s="1"/>
  <c r="B63" i="5"/>
  <c r="N75" i="1"/>
  <c r="Q70" i="11" s="1"/>
  <c r="B64" i="5"/>
  <c r="B60" i="5"/>
  <c r="I73" i="1"/>
  <c r="J68" i="11" s="1"/>
  <c r="B62" i="5"/>
  <c r="B58" i="5"/>
  <c r="B61" i="5"/>
  <c r="J61" i="5"/>
  <c r="B153" i="5"/>
  <c r="C153" i="5" s="1"/>
  <c r="A69" i="1"/>
  <c r="H69" i="1"/>
  <c r="N69" i="1"/>
  <c r="Q64" i="11" s="1"/>
  <c r="M69" i="1"/>
  <c r="J69" i="1"/>
  <c r="J70" i="1"/>
  <c r="A70" i="1"/>
  <c r="H70" i="1"/>
  <c r="E65" i="11"/>
  <c r="M70" i="1"/>
  <c r="I70" i="1"/>
  <c r="A72" i="1"/>
  <c r="H72" i="1"/>
  <c r="I72" i="1"/>
  <c r="M72" i="1"/>
  <c r="O67" i="11" s="1"/>
  <c r="J72" i="1"/>
  <c r="E67" i="11"/>
  <c r="G68" i="11"/>
  <c r="E64" i="11"/>
  <c r="N70" i="1"/>
  <c r="Q65" i="11" s="1"/>
  <c r="J75" i="1"/>
  <c r="I75" i="1"/>
  <c r="A75" i="1"/>
  <c r="M75" i="1"/>
  <c r="O70" i="11" s="1"/>
  <c r="E70" i="11"/>
  <c r="K56" i="5"/>
  <c r="B110" i="5"/>
  <c r="B124" i="5"/>
  <c r="B67" i="5"/>
  <c r="B78" i="5" s="1"/>
  <c r="H71" i="1"/>
  <c r="I71" i="1"/>
  <c r="A71" i="1"/>
  <c r="M71" i="1"/>
  <c r="O66" i="11" s="1"/>
  <c r="J71" i="1"/>
  <c r="N71" i="1"/>
  <c r="Q66" i="11" s="1"/>
  <c r="E66" i="11"/>
  <c r="I68" i="1"/>
  <c r="A68" i="1"/>
  <c r="E63" i="11"/>
  <c r="H68" i="1"/>
  <c r="N68" i="1"/>
  <c r="Q63" i="11" s="1"/>
  <c r="J68" i="1"/>
  <c r="F73" i="1"/>
  <c r="C62" i="5" s="1"/>
  <c r="A67" i="1"/>
  <c r="I67" i="1"/>
  <c r="E62" i="11"/>
  <c r="J67" i="1"/>
  <c r="N67" i="1"/>
  <c r="Q62" i="11" s="1"/>
  <c r="N72" i="1"/>
  <c r="Q67" i="11" s="1"/>
  <c r="N73" i="1"/>
  <c r="Q68" i="11" s="1"/>
  <c r="A74" i="1"/>
  <c r="H74" i="1"/>
  <c r="J74" i="1"/>
  <c r="M74" i="1"/>
  <c r="O69" i="11" s="1"/>
  <c r="N74" i="1"/>
  <c r="Q69" i="11" s="1"/>
  <c r="I74" i="1"/>
  <c r="E69" i="11"/>
  <c r="F75" i="1"/>
  <c r="C64" i="5" s="1"/>
  <c r="A73" i="1"/>
  <c r="J73" i="1"/>
  <c r="H73" i="1"/>
  <c r="M73" i="1"/>
  <c r="O68" i="11" s="1"/>
  <c r="F69" i="1"/>
  <c r="C58" i="5" s="1"/>
  <c r="H75" i="1"/>
  <c r="H67" i="1"/>
  <c r="I69" i="1"/>
  <c r="O65" i="11" l="1"/>
  <c r="AH71" i="1"/>
  <c r="O62" i="11"/>
  <c r="AH68" i="1"/>
  <c r="B89" i="5"/>
  <c r="O63" i="11"/>
  <c r="AH69" i="1"/>
  <c r="O64" i="11"/>
  <c r="AH70" i="1"/>
  <c r="J60" i="5"/>
  <c r="J57" i="5"/>
  <c r="J58" i="5" s="1"/>
  <c r="J63" i="5"/>
  <c r="E62" i="5"/>
  <c r="O68" i="1"/>
  <c r="O72" i="1"/>
  <c r="Y42" i="9" s="1"/>
  <c r="O70" i="1"/>
  <c r="O67" i="1"/>
  <c r="O71" i="1"/>
  <c r="O73" i="1"/>
  <c r="O74" i="1"/>
  <c r="O75" i="1"/>
  <c r="O69" i="1"/>
  <c r="I56" i="5"/>
  <c r="J64" i="11"/>
  <c r="E58" i="5"/>
  <c r="J73" i="5"/>
  <c r="H73" i="5"/>
  <c r="E73" i="5"/>
  <c r="K73" i="5"/>
  <c r="B73" i="5"/>
  <c r="L73" i="5"/>
  <c r="M73" i="5"/>
  <c r="B84" i="5"/>
  <c r="G73" i="5"/>
  <c r="F73" i="5"/>
  <c r="D73" i="5"/>
  <c r="I73" i="5"/>
  <c r="K62" i="5"/>
  <c r="B95" i="5"/>
  <c r="N73" i="5"/>
  <c r="B116" i="5"/>
  <c r="C73" i="5"/>
  <c r="B130" i="5"/>
  <c r="I62" i="5"/>
  <c r="E63" i="5"/>
  <c r="J69" i="11"/>
  <c r="K69" i="11"/>
  <c r="F63" i="5"/>
  <c r="G62" i="11"/>
  <c r="L62" i="11"/>
  <c r="B154" i="5"/>
  <c r="C154" i="5" s="1"/>
  <c r="J62" i="5"/>
  <c r="D57" i="5"/>
  <c r="I63" i="11"/>
  <c r="J63" i="11"/>
  <c r="E57" i="5"/>
  <c r="F60" i="5"/>
  <c r="K66" i="11"/>
  <c r="I67" i="11"/>
  <c r="D61" i="5"/>
  <c r="K65" i="11"/>
  <c r="F59" i="5"/>
  <c r="F58" i="5"/>
  <c r="K64" i="11"/>
  <c r="D58" i="5"/>
  <c r="I64" i="11"/>
  <c r="D153" i="5"/>
  <c r="E153" i="5" s="1"/>
  <c r="F153" i="5" s="1"/>
  <c r="G153" i="5" s="1"/>
  <c r="H153" i="5" s="1"/>
  <c r="I153" i="5" s="1"/>
  <c r="J153" i="5" s="1"/>
  <c r="K153" i="5" s="1"/>
  <c r="L153" i="5" s="1"/>
  <c r="M153" i="5" s="1"/>
  <c r="N153" i="5" s="1"/>
  <c r="D155" i="5"/>
  <c r="E155" i="5" s="1"/>
  <c r="F155" i="5" s="1"/>
  <c r="G155" i="5" s="1"/>
  <c r="H155" i="5" s="1"/>
  <c r="I155" i="5" s="1"/>
  <c r="J155" i="5" s="1"/>
  <c r="K155" i="5" s="1"/>
  <c r="L155" i="5" s="1"/>
  <c r="M155" i="5" s="1"/>
  <c r="N155" i="5" s="1"/>
  <c r="B69" i="5"/>
  <c r="B80" i="5" s="1"/>
  <c r="B112" i="5"/>
  <c r="K58" i="5"/>
  <c r="B126" i="5"/>
  <c r="I58" i="5"/>
  <c r="J64" i="5"/>
  <c r="B156" i="5"/>
  <c r="C156" i="5" s="1"/>
  <c r="D63" i="5"/>
  <c r="I69" i="11"/>
  <c r="E56" i="5"/>
  <c r="J62" i="11"/>
  <c r="F57" i="5"/>
  <c r="K63" i="11"/>
  <c r="G63" i="11"/>
  <c r="L63" i="11"/>
  <c r="J66" i="11"/>
  <c r="E60" i="5"/>
  <c r="K70" i="11"/>
  <c r="F64" i="5"/>
  <c r="E59" i="5"/>
  <c r="J65" i="11"/>
  <c r="K59" i="5"/>
  <c r="B92" i="5"/>
  <c r="B81" i="5"/>
  <c r="B70" i="5"/>
  <c r="I59" i="5"/>
  <c r="B127" i="5"/>
  <c r="B113" i="5"/>
  <c r="D56" i="5"/>
  <c r="I62" i="11"/>
  <c r="L69" i="11"/>
  <c r="G69" i="11"/>
  <c r="B68" i="5"/>
  <c r="B90" i="5" s="1"/>
  <c r="K57" i="5"/>
  <c r="B111" i="5"/>
  <c r="I57" i="5"/>
  <c r="B125" i="5"/>
  <c r="G66" i="11"/>
  <c r="L66" i="11"/>
  <c r="D60" i="5"/>
  <c r="I66" i="11"/>
  <c r="G70" i="11"/>
  <c r="L70" i="11"/>
  <c r="N75" i="5"/>
  <c r="C75" i="5"/>
  <c r="E75" i="5"/>
  <c r="K75" i="5"/>
  <c r="H75" i="5"/>
  <c r="D75" i="5"/>
  <c r="J75" i="5"/>
  <c r="G75" i="5"/>
  <c r="I75" i="5"/>
  <c r="I64" i="5"/>
  <c r="B97" i="5"/>
  <c r="L75" i="5"/>
  <c r="K64" i="5"/>
  <c r="B132" i="5"/>
  <c r="B75" i="5"/>
  <c r="F75" i="5"/>
  <c r="B118" i="5"/>
  <c r="B86" i="5"/>
  <c r="M75" i="5"/>
  <c r="G67" i="11"/>
  <c r="L67" i="11"/>
  <c r="J67" i="11"/>
  <c r="E61" i="5"/>
  <c r="I65" i="11"/>
  <c r="D59" i="5"/>
  <c r="D152" i="5"/>
  <c r="E152" i="5" s="1"/>
  <c r="F152" i="5" s="1"/>
  <c r="G152" i="5" s="1"/>
  <c r="H152" i="5" s="1"/>
  <c r="I152" i="5" s="1"/>
  <c r="J152" i="5" s="1"/>
  <c r="K152" i="5" s="1"/>
  <c r="L152" i="5" s="1"/>
  <c r="M152" i="5" s="1"/>
  <c r="N152" i="5" s="1"/>
  <c r="D64" i="5"/>
  <c r="I70" i="11"/>
  <c r="I68" i="11"/>
  <c r="D62" i="5"/>
  <c r="F62" i="5"/>
  <c r="K68" i="11"/>
  <c r="F74" i="5"/>
  <c r="M74" i="5"/>
  <c r="K74" i="5"/>
  <c r="B85" i="5"/>
  <c r="I63" i="5"/>
  <c r="J74" i="5"/>
  <c r="K63" i="5"/>
  <c r="L74" i="5"/>
  <c r="E74" i="5"/>
  <c r="I74" i="5"/>
  <c r="B74" i="5"/>
  <c r="N74" i="5"/>
  <c r="G74" i="5"/>
  <c r="D74" i="5"/>
  <c r="H74" i="5"/>
  <c r="C74" i="5"/>
  <c r="B96" i="5"/>
  <c r="B131" i="5"/>
  <c r="B117" i="5"/>
  <c r="K62" i="11"/>
  <c r="F56" i="5"/>
  <c r="N71" i="5"/>
  <c r="J71" i="5"/>
  <c r="K71" i="5"/>
  <c r="M71" i="5"/>
  <c r="L71" i="5"/>
  <c r="G71" i="5"/>
  <c r="B82" i="5"/>
  <c r="I71" i="5"/>
  <c r="D71" i="5"/>
  <c r="F71" i="5"/>
  <c r="C71" i="5"/>
  <c r="K60" i="5"/>
  <c r="H71" i="5"/>
  <c r="B114" i="5"/>
  <c r="E71" i="5"/>
  <c r="B128" i="5"/>
  <c r="B71" i="5"/>
  <c r="I60" i="5"/>
  <c r="J70" i="11"/>
  <c r="E64" i="5"/>
  <c r="G64" i="11"/>
  <c r="L64" i="11"/>
  <c r="K67" i="11"/>
  <c r="F61" i="5"/>
  <c r="M72" i="5"/>
  <c r="I72" i="5"/>
  <c r="B83" i="5"/>
  <c r="L72" i="5"/>
  <c r="B72" i="5"/>
  <c r="K72" i="5"/>
  <c r="K61" i="5"/>
  <c r="N72" i="5"/>
  <c r="H72" i="5"/>
  <c r="C72" i="5"/>
  <c r="E72" i="5"/>
  <c r="F72" i="5"/>
  <c r="J72" i="5"/>
  <c r="G72" i="5"/>
  <c r="D72" i="5"/>
  <c r="B94" i="5"/>
  <c r="I61" i="5"/>
  <c r="B115" i="5"/>
  <c r="B129" i="5"/>
  <c r="G65" i="11"/>
  <c r="L65" i="11"/>
  <c r="B7" i="5" l="1"/>
  <c r="B79" i="5"/>
  <c r="AH78" i="1"/>
  <c r="AI70" i="1" s="1"/>
  <c r="G58" i="5" s="1"/>
  <c r="B91" i="5"/>
  <c r="Z72" i="1"/>
  <c r="Z70" i="1"/>
  <c r="W42" i="9"/>
  <c r="Y40" i="9"/>
  <c r="O153" i="5"/>
  <c r="O155" i="5"/>
  <c r="O152" i="5"/>
  <c r="Z75" i="1"/>
  <c r="W45" i="9"/>
  <c r="Y45" i="9"/>
  <c r="W44" i="9"/>
  <c r="Z74" i="1"/>
  <c r="Y44" i="9"/>
  <c r="G83" i="5"/>
  <c r="N83" i="5"/>
  <c r="D83" i="5"/>
  <c r="K83" i="5"/>
  <c r="F83" i="5"/>
  <c r="I83" i="5"/>
  <c r="C83" i="5"/>
  <c r="H83" i="5"/>
  <c r="M83" i="5"/>
  <c r="L83" i="5"/>
  <c r="J83" i="5"/>
  <c r="E83" i="5"/>
  <c r="L82" i="5"/>
  <c r="M82" i="5"/>
  <c r="E82" i="5"/>
  <c r="H82" i="5"/>
  <c r="J82" i="5"/>
  <c r="D82" i="5"/>
  <c r="C82" i="5"/>
  <c r="N82" i="5"/>
  <c r="G82" i="5"/>
  <c r="F82" i="5"/>
  <c r="K82" i="5"/>
  <c r="I82" i="5"/>
  <c r="Z71" i="1"/>
  <c r="W41" i="9"/>
  <c r="Y41" i="9"/>
  <c r="Y43" i="9"/>
  <c r="Z73" i="1"/>
  <c r="W43" i="9"/>
  <c r="D154" i="5"/>
  <c r="E154" i="5" s="1"/>
  <c r="F154" i="5" s="1"/>
  <c r="G154" i="5" s="1"/>
  <c r="H154" i="5" s="1"/>
  <c r="I154" i="5" s="1"/>
  <c r="J154" i="5" s="1"/>
  <c r="K154" i="5" s="1"/>
  <c r="L154" i="5" s="1"/>
  <c r="M154" i="5" s="1"/>
  <c r="N154" i="5" s="1"/>
  <c r="F94" i="5"/>
  <c r="D94" i="5"/>
  <c r="N94" i="5"/>
  <c r="M94" i="5"/>
  <c r="J94" i="5"/>
  <c r="I94" i="5"/>
  <c r="K94" i="5"/>
  <c r="C94" i="5"/>
  <c r="E94" i="5"/>
  <c r="H94" i="5"/>
  <c r="G94" i="5"/>
  <c r="L94" i="5"/>
  <c r="I96" i="5"/>
  <c r="L96" i="5"/>
  <c r="F96" i="5"/>
  <c r="G96" i="5"/>
  <c r="E96" i="5"/>
  <c r="K96" i="5"/>
  <c r="N96" i="5"/>
  <c r="J96" i="5"/>
  <c r="H96" i="5"/>
  <c r="M96" i="5"/>
  <c r="C96" i="5"/>
  <c r="D96" i="5"/>
  <c r="Y39" i="9"/>
  <c r="Z69" i="1"/>
  <c r="K86" i="5"/>
  <c r="E86" i="5"/>
  <c r="H86" i="5"/>
  <c r="I86" i="5"/>
  <c r="G86" i="5"/>
  <c r="M86" i="5"/>
  <c r="D86" i="5"/>
  <c r="F86" i="5"/>
  <c r="L86" i="5"/>
  <c r="J86" i="5"/>
  <c r="N86" i="5"/>
  <c r="C86" i="5"/>
  <c r="K97" i="5"/>
  <c r="F97" i="5"/>
  <c r="G97" i="5"/>
  <c r="J97" i="5"/>
  <c r="L97" i="5"/>
  <c r="M97" i="5"/>
  <c r="H97" i="5"/>
  <c r="D97" i="5"/>
  <c r="I97" i="5"/>
  <c r="C97" i="5"/>
  <c r="E97" i="5"/>
  <c r="N97" i="5"/>
  <c r="B8" i="5"/>
  <c r="K95" i="5"/>
  <c r="I95" i="5"/>
  <c r="H95" i="5"/>
  <c r="D95" i="5"/>
  <c r="J95" i="5"/>
  <c r="G95" i="5"/>
  <c r="C95" i="5"/>
  <c r="F95" i="5"/>
  <c r="L95" i="5"/>
  <c r="N95" i="5"/>
  <c r="M95" i="5"/>
  <c r="E95" i="5"/>
  <c r="E12" i="11"/>
  <c r="Y38" i="9"/>
  <c r="Z68" i="1"/>
  <c r="D156" i="5"/>
  <c r="E156" i="5" s="1"/>
  <c r="F156" i="5" s="1"/>
  <c r="G156" i="5" s="1"/>
  <c r="H156" i="5" s="1"/>
  <c r="I156" i="5" s="1"/>
  <c r="J156" i="5" s="1"/>
  <c r="K156" i="5" s="1"/>
  <c r="L156" i="5" s="1"/>
  <c r="M156" i="5" s="1"/>
  <c r="N156" i="5" s="1"/>
  <c r="N84" i="5"/>
  <c r="I84" i="5"/>
  <c r="D84" i="5"/>
  <c r="H84" i="5"/>
  <c r="G84" i="5"/>
  <c r="E84" i="5"/>
  <c r="F84" i="5"/>
  <c r="C84" i="5"/>
  <c r="M84" i="5"/>
  <c r="K84" i="5"/>
  <c r="L84" i="5"/>
  <c r="J84" i="5"/>
  <c r="L115" i="5"/>
  <c r="H129" i="5"/>
  <c r="F115" i="5"/>
  <c r="J129" i="5"/>
  <c r="G115" i="5"/>
  <c r="C115" i="5"/>
  <c r="N129" i="5"/>
  <c r="I129" i="5"/>
  <c r="H115" i="5"/>
  <c r="M115" i="5"/>
  <c r="E115" i="5"/>
  <c r="L129" i="5"/>
  <c r="D129" i="5"/>
  <c r="D115" i="5"/>
  <c r="F129" i="5"/>
  <c r="K115" i="5"/>
  <c r="G129" i="5"/>
  <c r="K129" i="5"/>
  <c r="E129" i="5"/>
  <c r="I115" i="5"/>
  <c r="N115" i="5"/>
  <c r="C129" i="5"/>
  <c r="J115" i="5"/>
  <c r="M129" i="5"/>
  <c r="K114" i="5"/>
  <c r="I114" i="5"/>
  <c r="H114" i="5"/>
  <c r="E114" i="5"/>
  <c r="K128" i="5"/>
  <c r="D114" i="5"/>
  <c r="L128" i="5"/>
  <c r="M114" i="5"/>
  <c r="I128" i="5"/>
  <c r="C114" i="5"/>
  <c r="N114" i="5"/>
  <c r="M128" i="5"/>
  <c r="N128" i="5"/>
  <c r="G128" i="5"/>
  <c r="E128" i="5"/>
  <c r="J128" i="5"/>
  <c r="F114" i="5"/>
  <c r="L114" i="5"/>
  <c r="D128" i="5"/>
  <c r="J114" i="5"/>
  <c r="G114" i="5"/>
  <c r="H128" i="5"/>
  <c r="C128" i="5"/>
  <c r="F128" i="5"/>
  <c r="K117" i="5"/>
  <c r="E117" i="5"/>
  <c r="H117" i="5"/>
  <c r="M117" i="5"/>
  <c r="J117" i="5"/>
  <c r="F131" i="5"/>
  <c r="C131" i="5"/>
  <c r="G131" i="5"/>
  <c r="N131" i="5"/>
  <c r="I131" i="5"/>
  <c r="L117" i="5"/>
  <c r="N117" i="5"/>
  <c r="D117" i="5"/>
  <c r="D131" i="5"/>
  <c r="C117" i="5"/>
  <c r="G117" i="5"/>
  <c r="E131" i="5"/>
  <c r="F117" i="5"/>
  <c r="H131" i="5"/>
  <c r="I117" i="5"/>
  <c r="K131" i="5"/>
  <c r="L131" i="5"/>
  <c r="J131" i="5"/>
  <c r="M131" i="5"/>
  <c r="K85" i="5"/>
  <c r="G85" i="5"/>
  <c r="N85" i="5"/>
  <c r="H85" i="5"/>
  <c r="E85" i="5"/>
  <c r="J85" i="5"/>
  <c r="L85" i="5"/>
  <c r="C85" i="5"/>
  <c r="F85" i="5"/>
  <c r="M85" i="5"/>
  <c r="D85" i="5"/>
  <c r="I85" i="5"/>
  <c r="K118" i="5"/>
  <c r="F118" i="5"/>
  <c r="M132" i="5"/>
  <c r="G118" i="5"/>
  <c r="N118" i="5"/>
  <c r="C132" i="5"/>
  <c r="G132" i="5"/>
  <c r="K132" i="5"/>
  <c r="F132" i="5"/>
  <c r="D118" i="5"/>
  <c r="D132" i="5"/>
  <c r="I118" i="5"/>
  <c r="I132" i="5"/>
  <c r="N132" i="5"/>
  <c r="L118" i="5"/>
  <c r="E118" i="5"/>
  <c r="J132" i="5"/>
  <c r="M118" i="5"/>
  <c r="H118" i="5"/>
  <c r="E132" i="5"/>
  <c r="J118" i="5"/>
  <c r="L132" i="5"/>
  <c r="H132" i="5"/>
  <c r="C118" i="5"/>
  <c r="Y37" i="9"/>
  <c r="Z67" i="1"/>
  <c r="W37" i="9"/>
  <c r="W38" i="9" s="1"/>
  <c r="M116" i="5"/>
  <c r="K116" i="5"/>
  <c r="C116" i="5"/>
  <c r="M130" i="5"/>
  <c r="G130" i="5"/>
  <c r="J130" i="5"/>
  <c r="D116" i="5"/>
  <c r="I116" i="5"/>
  <c r="N116" i="5"/>
  <c r="L116" i="5"/>
  <c r="F130" i="5"/>
  <c r="D130" i="5"/>
  <c r="L130" i="5"/>
  <c r="K130" i="5"/>
  <c r="N130" i="5"/>
  <c r="E116" i="5"/>
  <c r="E130" i="5"/>
  <c r="F116" i="5"/>
  <c r="J116" i="5"/>
  <c r="G116" i="5"/>
  <c r="I130" i="5"/>
  <c r="H130" i="5"/>
  <c r="H116" i="5"/>
  <c r="C130" i="5"/>
  <c r="B150" i="5" l="1"/>
  <c r="H69" i="5"/>
  <c r="G69" i="5"/>
  <c r="M69" i="5"/>
  <c r="F80" i="5"/>
  <c r="K80" i="5"/>
  <c r="E91" i="5"/>
  <c r="M91" i="5"/>
  <c r="H91" i="5"/>
  <c r="N91" i="5"/>
  <c r="K69" i="5"/>
  <c r="H80" i="5"/>
  <c r="C69" i="5"/>
  <c r="J69" i="5"/>
  <c r="I80" i="5"/>
  <c r="L91" i="5"/>
  <c r="K91" i="5"/>
  <c r="G91" i="5"/>
  <c r="E69" i="5"/>
  <c r="D69" i="5"/>
  <c r="J80" i="5"/>
  <c r="I69" i="5"/>
  <c r="C91" i="5"/>
  <c r="J91" i="5"/>
  <c r="N69" i="5"/>
  <c r="D80" i="5"/>
  <c r="D91" i="5"/>
  <c r="M80" i="5"/>
  <c r="L69" i="5"/>
  <c r="L80" i="5"/>
  <c r="E80" i="5"/>
  <c r="I91" i="5"/>
  <c r="N80" i="5"/>
  <c r="G80" i="5"/>
  <c r="C80" i="5"/>
  <c r="F91" i="5"/>
  <c r="F69" i="5"/>
  <c r="AI71" i="1"/>
  <c r="G59" i="5" s="1"/>
  <c r="AI69" i="1"/>
  <c r="G57" i="5" s="1"/>
  <c r="AI68" i="1"/>
  <c r="W39" i="9"/>
  <c r="W40" i="9" s="1"/>
  <c r="W47" i="9" s="1"/>
  <c r="C5" i="9"/>
  <c r="L109" i="5"/>
  <c r="C109" i="5"/>
  <c r="M109" i="5"/>
  <c r="K109" i="5"/>
  <c r="E109" i="5"/>
  <c r="H109" i="5"/>
  <c r="F109" i="5"/>
  <c r="G109" i="5"/>
  <c r="I109" i="5"/>
  <c r="J109" i="5"/>
  <c r="D109" i="5"/>
  <c r="N109" i="5"/>
  <c r="O154" i="5"/>
  <c r="E13" i="11"/>
  <c r="B4" i="9"/>
  <c r="B5" i="9"/>
  <c r="O156" i="5"/>
  <c r="G56" i="5" l="1"/>
  <c r="AI78" i="1"/>
  <c r="B149" i="5"/>
  <c r="N68" i="5"/>
  <c r="G68" i="5"/>
  <c r="M68" i="5"/>
  <c r="J68" i="5"/>
  <c r="I90" i="5"/>
  <c r="I68" i="5"/>
  <c r="G90" i="5"/>
  <c r="D79" i="5"/>
  <c r="M79" i="5"/>
  <c r="D68" i="5"/>
  <c r="M90" i="5"/>
  <c r="L79" i="5"/>
  <c r="F79" i="5"/>
  <c r="D90" i="5"/>
  <c r="K68" i="5"/>
  <c r="H68" i="5"/>
  <c r="N90" i="5"/>
  <c r="C90" i="5"/>
  <c r="C79" i="5"/>
  <c r="E79" i="5"/>
  <c r="L90" i="5"/>
  <c r="I79" i="5"/>
  <c r="E68" i="5"/>
  <c r="K90" i="5"/>
  <c r="H90" i="5"/>
  <c r="N79" i="5"/>
  <c r="J79" i="5"/>
  <c r="L68" i="5"/>
  <c r="F90" i="5"/>
  <c r="J90" i="5"/>
  <c r="G79" i="5"/>
  <c r="C68" i="5"/>
  <c r="E90" i="5"/>
  <c r="H79" i="5"/>
  <c r="F68" i="5"/>
  <c r="K79" i="5"/>
  <c r="B151" i="5"/>
  <c r="C151" i="5" s="1"/>
  <c r="G70" i="5"/>
  <c r="I70" i="5"/>
  <c r="G92" i="5"/>
  <c r="D92" i="5"/>
  <c r="J81" i="5"/>
  <c r="F70" i="5"/>
  <c r="E70" i="5"/>
  <c r="N92" i="5"/>
  <c r="H92" i="5"/>
  <c r="D81" i="5"/>
  <c r="E81" i="5"/>
  <c r="M70" i="5"/>
  <c r="F92" i="5"/>
  <c r="N81" i="5"/>
  <c r="E92" i="5"/>
  <c r="L81" i="5"/>
  <c r="J70" i="5"/>
  <c r="L92" i="5"/>
  <c r="M81" i="5"/>
  <c r="C81" i="5"/>
  <c r="D70" i="5"/>
  <c r="I92" i="5"/>
  <c r="K70" i="5"/>
  <c r="M92" i="5"/>
  <c r="F81" i="5"/>
  <c r="H81" i="5"/>
  <c r="C70" i="5"/>
  <c r="K81" i="5"/>
  <c r="N70" i="5"/>
  <c r="L70" i="5"/>
  <c r="H70" i="5"/>
  <c r="C92" i="5"/>
  <c r="K92" i="5"/>
  <c r="G81" i="5"/>
  <c r="I81" i="5"/>
  <c r="J92" i="5"/>
  <c r="B6" i="9"/>
  <c r="C6" i="9" s="1"/>
  <c r="B7" i="9"/>
  <c r="C7" i="9" s="1"/>
  <c r="B9" i="9"/>
  <c r="C9" i="9" s="1"/>
  <c r="B8" i="9"/>
  <c r="C8" i="9" s="1"/>
  <c r="B11" i="9"/>
  <c r="C11" i="9" s="1"/>
  <c r="B10" i="9"/>
  <c r="C10" i="9" s="1"/>
  <c r="B13" i="9"/>
  <c r="C13" i="9" s="1"/>
  <c r="B12" i="9"/>
  <c r="C12" i="9" s="1"/>
  <c r="B15" i="9"/>
  <c r="C15" i="9" s="1"/>
  <c r="B14" i="9"/>
  <c r="C14" i="9" s="1"/>
  <c r="B17" i="9"/>
  <c r="C17" i="9" s="1"/>
  <c r="B16" i="9"/>
  <c r="C16" i="9" s="1"/>
  <c r="B19" i="9"/>
  <c r="C19" i="9" s="1"/>
  <c r="B18" i="9"/>
  <c r="C18" i="9" s="1"/>
  <c r="B21" i="9"/>
  <c r="C21" i="9" s="1"/>
  <c r="B20" i="9"/>
  <c r="C20" i="9" s="1"/>
  <c r="B23" i="9"/>
  <c r="C23" i="9" s="1"/>
  <c r="B22" i="9"/>
  <c r="C22" i="9" s="1"/>
  <c r="B25" i="9"/>
  <c r="C25" i="9" s="1"/>
  <c r="B24" i="9"/>
  <c r="C24" i="9" s="1"/>
  <c r="B27" i="9"/>
  <c r="C27" i="9" s="1"/>
  <c r="B26" i="9"/>
  <c r="C26" i="9" s="1"/>
  <c r="B29" i="9"/>
  <c r="C29" i="9" s="1"/>
  <c r="B28" i="9"/>
  <c r="C28" i="9" s="1"/>
  <c r="B31" i="9"/>
  <c r="C31" i="9" s="1"/>
  <c r="B30" i="9"/>
  <c r="C30" i="9" s="1"/>
  <c r="J123" i="5"/>
  <c r="G123" i="5"/>
  <c r="H123" i="5"/>
  <c r="K123" i="5"/>
  <c r="C123" i="5"/>
  <c r="D123" i="5"/>
  <c r="E123" i="5"/>
  <c r="L123" i="5"/>
  <c r="B55" i="9"/>
  <c r="C55" i="9" s="1"/>
  <c r="B32" i="9"/>
  <c r="C32" i="9" s="1"/>
  <c r="B38" i="9"/>
  <c r="C38" i="9" s="1"/>
  <c r="B43" i="9"/>
  <c r="C43" i="9" s="1"/>
  <c r="C2" i="9"/>
  <c r="B40" i="9"/>
  <c r="C40" i="9" s="1"/>
  <c r="B44" i="9"/>
  <c r="C44" i="9" s="1"/>
  <c r="B39" i="9"/>
  <c r="C39" i="9" s="1"/>
  <c r="B35" i="9"/>
  <c r="C35" i="9" s="1"/>
  <c r="B46" i="9"/>
  <c r="C46" i="9" s="1"/>
  <c r="B41" i="9"/>
  <c r="C41" i="9" s="1"/>
  <c r="B33" i="9"/>
  <c r="C33" i="9" s="1"/>
  <c r="B47" i="9"/>
  <c r="C47" i="9" s="1"/>
  <c r="B48" i="9"/>
  <c r="C48" i="9" s="1"/>
  <c r="B58" i="9"/>
  <c r="B45" i="9"/>
  <c r="C45" i="9" s="1"/>
  <c r="B56" i="9"/>
  <c r="C56" i="9" s="1"/>
  <c r="B51" i="9"/>
  <c r="C51" i="9" s="1"/>
  <c r="B42" i="9"/>
  <c r="C42" i="9" s="1"/>
  <c r="B50" i="9"/>
  <c r="C50" i="9" s="1"/>
  <c r="B53" i="9"/>
  <c r="C53" i="9" s="1"/>
  <c r="B34" i="9"/>
  <c r="C34" i="9" s="1"/>
  <c r="B36" i="9"/>
  <c r="C36" i="9" s="1"/>
  <c r="B54" i="9"/>
  <c r="C54" i="9" s="1"/>
  <c r="B57" i="9"/>
  <c r="B37" i="9"/>
  <c r="C37" i="9" s="1"/>
  <c r="B52" i="9"/>
  <c r="C52" i="9" s="1"/>
  <c r="B148" i="5" l="1"/>
  <c r="D67" i="5"/>
  <c r="H67" i="5"/>
  <c r="C78" i="5"/>
  <c r="C106" i="5" s="1"/>
  <c r="C89" i="5"/>
  <c r="C107" i="5" s="1"/>
  <c r="K67" i="5"/>
  <c r="K89" i="5"/>
  <c r="K107" i="5" s="1"/>
  <c r="J67" i="5"/>
  <c r="H78" i="5"/>
  <c r="H106" i="5" s="1"/>
  <c r="G89" i="5"/>
  <c r="G107" i="5" s="1"/>
  <c r="M89" i="5"/>
  <c r="M107" i="5" s="1"/>
  <c r="M78" i="5"/>
  <c r="M106" i="5" s="1"/>
  <c r="M105" i="5" s="1"/>
  <c r="I67" i="5"/>
  <c r="F78" i="5"/>
  <c r="F106" i="5" s="1"/>
  <c r="K78" i="5"/>
  <c r="K106" i="5" s="1"/>
  <c r="M67" i="5"/>
  <c r="F67" i="5"/>
  <c r="G67" i="5"/>
  <c r="N67" i="5"/>
  <c r="E78" i="5"/>
  <c r="E106" i="5" s="1"/>
  <c r="J78" i="5"/>
  <c r="J106" i="5" s="1"/>
  <c r="D78" i="5"/>
  <c r="D106" i="5" s="1"/>
  <c r="N89" i="5"/>
  <c r="N107" i="5" s="1"/>
  <c r="J89" i="5"/>
  <c r="J107" i="5" s="1"/>
  <c r="D89" i="5"/>
  <c r="D107" i="5" s="1"/>
  <c r="C67" i="5"/>
  <c r="I78" i="5"/>
  <c r="I106" i="5" s="1"/>
  <c r="G78" i="5"/>
  <c r="G106" i="5" s="1"/>
  <c r="E89" i="5"/>
  <c r="E107" i="5" s="1"/>
  <c r="L89" i="5"/>
  <c r="L107" i="5" s="1"/>
  <c r="L67" i="5"/>
  <c r="L78" i="5"/>
  <c r="L106" i="5" s="1"/>
  <c r="E67" i="5"/>
  <c r="E100" i="5" s="1"/>
  <c r="H89" i="5"/>
  <c r="H107" i="5" s="1"/>
  <c r="I89" i="5"/>
  <c r="I107" i="5" s="1"/>
  <c r="F89" i="5"/>
  <c r="F107" i="5" s="1"/>
  <c r="N78" i="5"/>
  <c r="N106" i="5" s="1"/>
  <c r="D151" i="5"/>
  <c r="E151" i="5" s="1"/>
  <c r="F151" i="5" s="1"/>
  <c r="G151" i="5" s="1"/>
  <c r="H151" i="5" s="1"/>
  <c r="I151" i="5" s="1"/>
  <c r="J151" i="5" s="1"/>
  <c r="K151" i="5" s="1"/>
  <c r="L151" i="5" s="1"/>
  <c r="M151" i="5" s="1"/>
  <c r="N151" i="5" s="1"/>
  <c r="F123" i="5"/>
  <c r="I123" i="5"/>
  <c r="M123" i="5"/>
  <c r="N123" i="5"/>
  <c r="E105" i="5" l="1"/>
  <c r="I105" i="5"/>
  <c r="K105" i="5"/>
  <c r="H105" i="5"/>
  <c r="F105" i="5"/>
  <c r="N105" i="5"/>
  <c r="D105" i="5"/>
  <c r="E101" i="5"/>
  <c r="E135" i="5" s="1"/>
  <c r="E112" i="5"/>
  <c r="E113" i="5"/>
  <c r="E111" i="5"/>
  <c r="I100" i="5"/>
  <c r="I110" i="5" s="1"/>
  <c r="C105" i="5"/>
  <c r="N100" i="5"/>
  <c r="N110" i="5"/>
  <c r="C100" i="5"/>
  <c r="C110" i="5"/>
  <c r="G100" i="5"/>
  <c r="G110" i="5" s="1"/>
  <c r="G105" i="5"/>
  <c r="D100" i="5"/>
  <c r="D110" i="5" s="1"/>
  <c r="E110" i="5"/>
  <c r="F100" i="5"/>
  <c r="F110" i="5"/>
  <c r="J105" i="5"/>
  <c r="M100" i="5"/>
  <c r="M110" i="5"/>
  <c r="B9" i="5"/>
  <c r="B14" i="5"/>
  <c r="J100" i="5"/>
  <c r="J110" i="5" s="1"/>
  <c r="B13" i="5"/>
  <c r="B15" i="5"/>
  <c r="B11" i="5"/>
  <c r="B12" i="5"/>
  <c r="B16" i="5"/>
  <c r="B10" i="5"/>
  <c r="O151" i="5"/>
  <c r="L100" i="5"/>
  <c r="L110" i="5"/>
  <c r="L105" i="5"/>
  <c r="K100" i="5"/>
  <c r="K110" i="5" s="1"/>
  <c r="H100" i="5"/>
  <c r="H110" i="5" s="1"/>
  <c r="E120" i="5" l="1"/>
  <c r="E124" i="5"/>
  <c r="E17" i="11"/>
  <c r="R17" i="11" s="1"/>
  <c r="O12" i="5"/>
  <c r="I101" i="5"/>
  <c r="I112" i="5"/>
  <c r="I111" i="5"/>
  <c r="I113" i="5"/>
  <c r="K112" i="5"/>
  <c r="K101" i="5"/>
  <c r="K113" i="5"/>
  <c r="K111" i="5"/>
  <c r="M112" i="5"/>
  <c r="M101" i="5"/>
  <c r="M111" i="5"/>
  <c r="M113" i="5"/>
  <c r="N113" i="5"/>
  <c r="N101" i="5"/>
  <c r="N112" i="5"/>
  <c r="N111" i="5"/>
  <c r="D113" i="5"/>
  <c r="D101" i="5"/>
  <c r="D112" i="5"/>
  <c r="D111" i="5"/>
  <c r="E125" i="5"/>
  <c r="O16" i="5"/>
  <c r="E21" i="11"/>
  <c r="R21" i="11" s="1"/>
  <c r="L113" i="5"/>
  <c r="L101" i="5"/>
  <c r="L135" i="5" s="1"/>
  <c r="L111" i="5"/>
  <c r="L112" i="5"/>
  <c r="G101" i="5"/>
  <c r="G112" i="5"/>
  <c r="G113" i="5"/>
  <c r="G111" i="5"/>
  <c r="E14" i="11"/>
  <c r="O11" i="5"/>
  <c r="E16" i="11"/>
  <c r="R16" i="11" s="1"/>
  <c r="E18" i="11"/>
  <c r="R18" i="11" s="1"/>
  <c r="O13" i="5"/>
  <c r="J112" i="5"/>
  <c r="J101" i="5"/>
  <c r="J113" i="5"/>
  <c r="J111" i="5"/>
  <c r="F101" i="5"/>
  <c r="F112" i="5"/>
  <c r="F113" i="5"/>
  <c r="F111" i="5"/>
  <c r="E126" i="5"/>
  <c r="E20" i="11"/>
  <c r="R20" i="11" s="1"/>
  <c r="O15" i="5"/>
  <c r="H112" i="5"/>
  <c r="H101" i="5"/>
  <c r="H111" i="5"/>
  <c r="H113" i="5"/>
  <c r="E15" i="11"/>
  <c r="R15" i="11" s="1"/>
  <c r="O10" i="5"/>
  <c r="O14" i="5"/>
  <c r="E19" i="11"/>
  <c r="R19" i="11" s="1"/>
  <c r="C101" i="5"/>
  <c r="C112" i="5"/>
  <c r="C113" i="5"/>
  <c r="C111" i="5"/>
  <c r="E136" i="5"/>
  <c r="E104" i="5"/>
  <c r="D120" i="5" l="1"/>
  <c r="C120" i="5"/>
  <c r="C124" i="5" s="1"/>
  <c r="F120" i="5"/>
  <c r="F127" i="5" s="1"/>
  <c r="M120" i="5"/>
  <c r="M124" i="5" s="1"/>
  <c r="H120" i="5"/>
  <c r="H125" i="5" s="1"/>
  <c r="D127" i="5"/>
  <c r="D137" i="5"/>
  <c r="D124" i="5"/>
  <c r="F124" i="5"/>
  <c r="C127" i="5"/>
  <c r="C137" i="5"/>
  <c r="G136" i="5"/>
  <c r="G104" i="5"/>
  <c r="D136" i="5"/>
  <c r="D104" i="5"/>
  <c r="D135" i="5"/>
  <c r="J104" i="5"/>
  <c r="J136" i="5"/>
  <c r="T18" i="11"/>
  <c r="S18" i="11"/>
  <c r="U18" i="11"/>
  <c r="M136" i="5"/>
  <c r="M104" i="5"/>
  <c r="M135" i="5"/>
  <c r="J120" i="5"/>
  <c r="I136" i="5"/>
  <c r="I104" i="5"/>
  <c r="I135" i="5"/>
  <c r="C136" i="5"/>
  <c r="C104" i="5"/>
  <c r="T20" i="11"/>
  <c r="S20" i="11"/>
  <c r="U20" i="11"/>
  <c r="F125" i="5"/>
  <c r="U17" i="11"/>
  <c r="S17" i="11"/>
  <c r="T17" i="11"/>
  <c r="C126" i="5"/>
  <c r="U21" i="11"/>
  <c r="T21" i="11"/>
  <c r="S21" i="11"/>
  <c r="N104" i="5"/>
  <c r="N136" i="5"/>
  <c r="N135" i="5"/>
  <c r="K120" i="5"/>
  <c r="K125" i="5" s="1"/>
  <c r="L136" i="5"/>
  <c r="L104" i="5"/>
  <c r="J135" i="5"/>
  <c r="K136" i="5"/>
  <c r="K104" i="5"/>
  <c r="K135" i="5"/>
  <c r="E127" i="5"/>
  <c r="E137" i="5"/>
  <c r="H104" i="5"/>
  <c r="H136" i="5"/>
  <c r="H135" i="5"/>
  <c r="F104" i="5"/>
  <c r="F136" i="5"/>
  <c r="F135" i="5"/>
  <c r="U16" i="11"/>
  <c r="S16" i="11"/>
  <c r="T16" i="11"/>
  <c r="D125" i="5"/>
  <c r="G135" i="5"/>
  <c r="N120" i="5"/>
  <c r="N125" i="5" s="1"/>
  <c r="C125" i="5"/>
  <c r="U15" i="11"/>
  <c r="S15" i="11"/>
  <c r="T15" i="11"/>
  <c r="F126" i="5"/>
  <c r="C135" i="5"/>
  <c r="T19" i="11"/>
  <c r="S19" i="11"/>
  <c r="U19" i="11"/>
  <c r="G120" i="5"/>
  <c r="G126" i="5" s="1"/>
  <c r="L120" i="5"/>
  <c r="L126" i="5" s="1"/>
  <c r="D126" i="5"/>
  <c r="I120" i="5"/>
  <c r="I125" i="5" s="1"/>
  <c r="F137" i="5" l="1"/>
  <c r="M125" i="5"/>
  <c r="H126" i="5"/>
  <c r="H124" i="5"/>
  <c r="M127" i="5"/>
  <c r="H127" i="5"/>
  <c r="M137" i="5"/>
  <c r="M142" i="5" s="1"/>
  <c r="K126" i="5"/>
  <c r="M126" i="5"/>
  <c r="H137" i="5"/>
  <c r="H142" i="5" s="1"/>
  <c r="I127" i="5"/>
  <c r="K127" i="5"/>
  <c r="L125" i="5"/>
  <c r="J125" i="5"/>
  <c r="J137" i="5"/>
  <c r="J124" i="5"/>
  <c r="F142" i="5"/>
  <c r="F143" i="5"/>
  <c r="E142" i="5"/>
  <c r="E143" i="5"/>
  <c r="N126" i="5"/>
  <c r="D142" i="5"/>
  <c r="D143" i="5"/>
  <c r="L137" i="5"/>
  <c r="L124" i="5"/>
  <c r="L127" i="5"/>
  <c r="J126" i="5"/>
  <c r="C142" i="5"/>
  <c r="C143" i="5"/>
  <c r="N137" i="5"/>
  <c r="N124" i="5"/>
  <c r="I126" i="5"/>
  <c r="I137" i="5"/>
  <c r="I124" i="5"/>
  <c r="G125" i="5"/>
  <c r="G137" i="5"/>
  <c r="G124" i="5"/>
  <c r="G127" i="5"/>
  <c r="N127" i="5"/>
  <c r="K137" i="5"/>
  <c r="K124" i="5"/>
  <c r="J127" i="5"/>
  <c r="H143" i="5" l="1"/>
  <c r="M143" i="5"/>
  <c r="E144" i="5"/>
  <c r="E5" i="5" s="1"/>
  <c r="H10" i="11" s="1"/>
  <c r="M144" i="5"/>
  <c r="M5" i="5" s="1"/>
  <c r="P10" i="11" s="1"/>
  <c r="H144" i="5"/>
  <c r="H5" i="5" s="1"/>
  <c r="K10" i="11" s="1"/>
  <c r="D144" i="5"/>
  <c r="D5" i="5" s="1"/>
  <c r="G10" i="11" s="1"/>
  <c r="F144" i="5"/>
  <c r="F5" i="5" s="1"/>
  <c r="I10" i="11" s="1"/>
  <c r="N142" i="5"/>
  <c r="N143" i="5"/>
  <c r="L142" i="5"/>
  <c r="L143" i="5"/>
  <c r="C144" i="5"/>
  <c r="J142" i="5"/>
  <c r="J143" i="5"/>
  <c r="G142" i="5"/>
  <c r="G143" i="5"/>
  <c r="I142" i="5"/>
  <c r="I143" i="5"/>
  <c r="K142" i="5"/>
  <c r="K143" i="5"/>
  <c r="K144" i="5" l="1"/>
  <c r="K5" i="5" s="1"/>
  <c r="N10" i="11" s="1"/>
  <c r="J144" i="5"/>
  <c r="J5" i="5" s="1"/>
  <c r="M10" i="11" s="1"/>
  <c r="C149" i="5"/>
  <c r="D149" i="5" s="1"/>
  <c r="E149" i="5" s="1"/>
  <c r="F149" i="5" s="1"/>
  <c r="C148" i="5"/>
  <c r="C5" i="5"/>
  <c r="F10" i="11" s="1"/>
  <c r="C150" i="5"/>
  <c r="N144" i="5"/>
  <c r="N5" i="5" s="1"/>
  <c r="Q10" i="11" s="1"/>
  <c r="G144" i="5"/>
  <c r="G5" i="5" s="1"/>
  <c r="J10" i="11" s="1"/>
  <c r="O143" i="5"/>
  <c r="I144" i="5"/>
  <c r="I5" i="5" s="1"/>
  <c r="L10" i="11" s="1"/>
  <c r="O142" i="5"/>
  <c r="L144" i="5"/>
  <c r="L5" i="5" s="1"/>
  <c r="O10" i="11" s="1"/>
  <c r="D148" i="5" l="1"/>
  <c r="E148" i="5" s="1"/>
  <c r="C10" i="5"/>
  <c r="F15" i="11" s="1"/>
  <c r="C15" i="5"/>
  <c r="F20" i="11" s="1"/>
  <c r="C16" i="5"/>
  <c r="F21" i="11" s="1"/>
  <c r="C13" i="5"/>
  <c r="F18" i="11" s="1"/>
  <c r="C12" i="5"/>
  <c r="F17" i="11" s="1"/>
  <c r="C14" i="5"/>
  <c r="F19" i="11" s="1"/>
  <c r="C11" i="5"/>
  <c r="F16" i="11" s="1"/>
  <c r="C8" i="5"/>
  <c r="F13" i="11" s="1"/>
  <c r="C9" i="5"/>
  <c r="G149" i="5"/>
  <c r="D150" i="5"/>
  <c r="C7" i="5"/>
  <c r="C158" i="5"/>
  <c r="R10" i="11"/>
  <c r="U10" i="11" s="1"/>
  <c r="T10" i="11"/>
  <c r="O5" i="5"/>
  <c r="O144" i="5"/>
  <c r="D11" i="5" l="1"/>
  <c r="G16" i="11" s="1"/>
  <c r="F148" i="5"/>
  <c r="E12" i="5"/>
  <c r="H17" i="11" s="1"/>
  <c r="E14" i="5"/>
  <c r="H19" i="11" s="1"/>
  <c r="E10" i="5"/>
  <c r="H15" i="11" s="1"/>
  <c r="E15" i="5"/>
  <c r="H20" i="11" s="1"/>
  <c r="E13" i="5"/>
  <c r="H18" i="11" s="1"/>
  <c r="E16" i="5"/>
  <c r="H21" i="11" s="1"/>
  <c r="E11" i="5"/>
  <c r="H16" i="11" s="1"/>
  <c r="D10" i="5"/>
  <c r="G15" i="11" s="1"/>
  <c r="D14" i="5"/>
  <c r="G19" i="11" s="1"/>
  <c r="D15" i="5"/>
  <c r="G20" i="11" s="1"/>
  <c r="D16" i="5"/>
  <c r="G21" i="11" s="1"/>
  <c r="D13" i="5"/>
  <c r="G18" i="11" s="1"/>
  <c r="D12" i="5"/>
  <c r="G17" i="11" s="1"/>
  <c r="D8" i="5"/>
  <c r="G13" i="11" s="1"/>
  <c r="D9" i="5"/>
  <c r="G14" i="11" s="1"/>
  <c r="F14" i="11"/>
  <c r="H149" i="5"/>
  <c r="I149" i="5" s="1"/>
  <c r="J149" i="5" s="1"/>
  <c r="K149" i="5" s="1"/>
  <c r="L149" i="5" s="1"/>
  <c r="M149" i="5" s="1"/>
  <c r="N149" i="5" s="1"/>
  <c r="F12" i="11"/>
  <c r="C17" i="5"/>
  <c r="E150" i="5"/>
  <c r="D7" i="5"/>
  <c r="D158" i="5"/>
  <c r="G148" i="5" l="1"/>
  <c r="F13" i="5"/>
  <c r="I18" i="11" s="1"/>
  <c r="F10" i="5"/>
  <c r="I15" i="11" s="1"/>
  <c r="F16" i="5"/>
  <c r="I21" i="11" s="1"/>
  <c r="F12" i="5"/>
  <c r="I17" i="11" s="1"/>
  <c r="F11" i="5"/>
  <c r="I16" i="11" s="1"/>
  <c r="F15" i="5"/>
  <c r="I20" i="11" s="1"/>
  <c r="F14" i="5"/>
  <c r="I19" i="11" s="1"/>
  <c r="O149" i="5"/>
  <c r="E8" i="5"/>
  <c r="H13" i="11" s="1"/>
  <c r="E9" i="5"/>
  <c r="D17" i="5"/>
  <c r="G12" i="11"/>
  <c r="G22" i="11" s="1"/>
  <c r="F150" i="5"/>
  <c r="E7" i="5"/>
  <c r="E158" i="5"/>
  <c r="F22" i="11"/>
  <c r="H148" i="5" l="1"/>
  <c r="G16" i="5"/>
  <c r="J21" i="11" s="1"/>
  <c r="G15" i="5"/>
  <c r="J20" i="11" s="1"/>
  <c r="G12" i="5"/>
  <c r="J17" i="11" s="1"/>
  <c r="G13" i="5"/>
  <c r="J18" i="11" s="1"/>
  <c r="G14" i="5"/>
  <c r="J19" i="11" s="1"/>
  <c r="G11" i="5"/>
  <c r="J16" i="11" s="1"/>
  <c r="G10" i="5"/>
  <c r="J15" i="11" s="1"/>
  <c r="F8" i="5"/>
  <c r="I13" i="11" s="1"/>
  <c r="F9" i="5"/>
  <c r="I14" i="11" s="1"/>
  <c r="H14" i="11"/>
  <c r="H12" i="11"/>
  <c r="E17" i="5"/>
  <c r="G150" i="5"/>
  <c r="F158" i="5"/>
  <c r="F7" i="5"/>
  <c r="H14" i="5" l="1"/>
  <c r="K19" i="11" s="1"/>
  <c r="H15" i="5"/>
  <c r="K20" i="11" s="1"/>
  <c r="H12" i="5"/>
  <c r="K17" i="11" s="1"/>
  <c r="H11" i="5"/>
  <c r="K16" i="11" s="1"/>
  <c r="H10" i="5"/>
  <c r="K15" i="11" s="1"/>
  <c r="H16" i="5"/>
  <c r="K21" i="11" s="1"/>
  <c r="H13" i="5"/>
  <c r="K18" i="11" s="1"/>
  <c r="I148" i="5"/>
  <c r="G8" i="5"/>
  <c r="J13" i="11" s="1"/>
  <c r="G9" i="5"/>
  <c r="F17" i="5"/>
  <c r="I12" i="11"/>
  <c r="I22" i="11" s="1"/>
  <c r="H150" i="5"/>
  <c r="G7" i="5"/>
  <c r="G158" i="5"/>
  <c r="H22" i="11"/>
  <c r="I16" i="5" l="1"/>
  <c r="L21" i="11" s="1"/>
  <c r="I15" i="5"/>
  <c r="L20" i="11" s="1"/>
  <c r="I10" i="5"/>
  <c r="L15" i="11" s="1"/>
  <c r="J148" i="5"/>
  <c r="I14" i="5"/>
  <c r="L19" i="11" s="1"/>
  <c r="I11" i="5"/>
  <c r="L16" i="11" s="1"/>
  <c r="I13" i="5"/>
  <c r="L18" i="11" s="1"/>
  <c r="I12" i="5"/>
  <c r="L17" i="11" s="1"/>
  <c r="J14" i="11"/>
  <c r="H8" i="5"/>
  <c r="K13" i="11" s="1"/>
  <c r="H9" i="5"/>
  <c r="K14" i="11" s="1"/>
  <c r="J12" i="11"/>
  <c r="G17" i="5"/>
  <c r="I150" i="5"/>
  <c r="H7" i="5"/>
  <c r="H158" i="5"/>
  <c r="J15" i="5" l="1"/>
  <c r="M20" i="11" s="1"/>
  <c r="J16" i="5"/>
  <c r="M21" i="11" s="1"/>
  <c r="J12" i="5"/>
  <c r="M17" i="11" s="1"/>
  <c r="K148" i="5"/>
  <c r="J13" i="5"/>
  <c r="M18" i="11" s="1"/>
  <c r="J11" i="5"/>
  <c r="M16" i="11" s="1"/>
  <c r="J10" i="5"/>
  <c r="M15" i="11" s="1"/>
  <c r="J14" i="5"/>
  <c r="M19" i="11" s="1"/>
  <c r="I8" i="5"/>
  <c r="L13" i="11" s="1"/>
  <c r="I9" i="5"/>
  <c r="L14" i="11" s="1"/>
  <c r="K12" i="11"/>
  <c r="K22" i="11" s="1"/>
  <c r="H17" i="5"/>
  <c r="J150" i="5"/>
  <c r="I158" i="5"/>
  <c r="I7" i="5"/>
  <c r="J22" i="11"/>
  <c r="K15" i="5" l="1"/>
  <c r="N20" i="11" s="1"/>
  <c r="K10" i="5"/>
  <c r="N15" i="11" s="1"/>
  <c r="K12" i="5"/>
  <c r="N17" i="11" s="1"/>
  <c r="K16" i="5"/>
  <c r="N21" i="11" s="1"/>
  <c r="K14" i="5"/>
  <c r="N19" i="11" s="1"/>
  <c r="K13" i="5"/>
  <c r="N18" i="11" s="1"/>
  <c r="K11" i="5"/>
  <c r="N16" i="11" s="1"/>
  <c r="L148" i="5"/>
  <c r="J8" i="5"/>
  <c r="M13" i="11" s="1"/>
  <c r="J9" i="5"/>
  <c r="M14" i="11" s="1"/>
  <c r="K150" i="5"/>
  <c r="J7" i="5"/>
  <c r="J158" i="5"/>
  <c r="L12" i="11"/>
  <c r="I17" i="5"/>
  <c r="L10" i="5" l="1"/>
  <c r="O15" i="11" s="1"/>
  <c r="L16" i="5"/>
  <c r="O21" i="11" s="1"/>
  <c r="L14" i="5"/>
  <c r="O19" i="11" s="1"/>
  <c r="L11" i="5"/>
  <c r="O16" i="11" s="1"/>
  <c r="M148" i="5"/>
  <c r="L12" i="5"/>
  <c r="O17" i="11" s="1"/>
  <c r="L15" i="5"/>
  <c r="O20" i="11" s="1"/>
  <c r="L13" i="5"/>
  <c r="O18" i="11" s="1"/>
  <c r="K8" i="5"/>
  <c r="N13" i="11" s="1"/>
  <c r="K9" i="5"/>
  <c r="N14" i="11" s="1"/>
  <c r="L22" i="11"/>
  <c r="J17" i="5"/>
  <c r="M12" i="11"/>
  <c r="M22" i="11" s="1"/>
  <c r="L150" i="5"/>
  <c r="K158" i="5"/>
  <c r="K7" i="5"/>
  <c r="M14" i="5" l="1"/>
  <c r="P19" i="11" s="1"/>
  <c r="M15" i="5"/>
  <c r="P20" i="11" s="1"/>
  <c r="M10" i="5"/>
  <c r="P15" i="11" s="1"/>
  <c r="M13" i="5"/>
  <c r="P18" i="11" s="1"/>
  <c r="N148" i="5"/>
  <c r="M12" i="5"/>
  <c r="P17" i="11" s="1"/>
  <c r="M11" i="5"/>
  <c r="P16" i="11" s="1"/>
  <c r="M16" i="5"/>
  <c r="P21" i="11" s="1"/>
  <c r="L8" i="5"/>
  <c r="O13" i="11" s="1"/>
  <c r="L9" i="5"/>
  <c r="O14" i="11" s="1"/>
  <c r="M150" i="5"/>
  <c r="L158" i="5"/>
  <c r="L7" i="5"/>
  <c r="N12" i="11"/>
  <c r="N22" i="11" s="1"/>
  <c r="K17" i="5"/>
  <c r="N14" i="5" l="1"/>
  <c r="Q19" i="11" s="1"/>
  <c r="N15" i="5"/>
  <c r="Q20" i="11" s="1"/>
  <c r="N12" i="5"/>
  <c r="Q17" i="11" s="1"/>
  <c r="N16" i="5"/>
  <c r="Q21" i="11" s="1"/>
  <c r="N10" i="5"/>
  <c r="Q15" i="11" s="1"/>
  <c r="N11" i="5"/>
  <c r="Q16" i="11" s="1"/>
  <c r="N13" i="5"/>
  <c r="Q18" i="11" s="1"/>
  <c r="O148" i="5"/>
  <c r="M8" i="5"/>
  <c r="P13" i="11" s="1"/>
  <c r="M9" i="5"/>
  <c r="P14" i="11" s="1"/>
  <c r="L17" i="5"/>
  <c r="O12" i="11"/>
  <c r="O22" i="11" s="1"/>
  <c r="N150" i="5"/>
  <c r="M7" i="5"/>
  <c r="M158" i="5"/>
  <c r="N8" i="5" l="1"/>
  <c r="Q13" i="11" s="1"/>
  <c r="R13" i="11" s="1"/>
  <c r="N9" i="5"/>
  <c r="O8" i="5"/>
  <c r="M17" i="5"/>
  <c r="P12" i="11"/>
  <c r="P22" i="11" s="1"/>
  <c r="N158" i="5"/>
  <c r="N7" i="5"/>
  <c r="O150" i="5"/>
  <c r="O158" i="5" s="1"/>
  <c r="Q14" i="11" l="1"/>
  <c r="R14" i="11" s="1"/>
  <c r="O9" i="5"/>
  <c r="T13" i="11"/>
  <c r="S13" i="11"/>
  <c r="U13" i="11"/>
  <c r="O7" i="5"/>
  <c r="Q12" i="11"/>
  <c r="N17" i="5"/>
  <c r="O17" i="5" l="1"/>
  <c r="U14" i="11"/>
  <c r="T14" i="11"/>
  <c r="S14" i="11"/>
  <c r="Q22" i="11"/>
  <c r="R12" i="11"/>
  <c r="T12" i="11" l="1"/>
  <c r="R22" i="11"/>
  <c r="S12" i="11"/>
  <c r="U12" i="11"/>
  <c r="T22" i="11" l="1"/>
  <c r="U22" i="11"/>
  <c r="S22" i="11"/>
</calcChain>
</file>

<file path=xl/sharedStrings.xml><?xml version="1.0" encoding="utf-8"?>
<sst xmlns="http://schemas.openxmlformats.org/spreadsheetml/2006/main" count="1697" uniqueCount="854">
  <si>
    <t>00106-42-3</t>
  </si>
  <si>
    <t>Xylene (p) {1,4-dimethyl benzene}</t>
  </si>
  <si>
    <t>00095-47-6</t>
  </si>
  <si>
    <t>Xylene (o) {1,2-dimethyl benzene}</t>
  </si>
  <si>
    <t>00108-38-3</t>
  </si>
  <si>
    <t>Xylene (m) {1,3-dimethyl benzene}</t>
  </si>
  <si>
    <t>00075-35-4</t>
  </si>
  <si>
    <t>Vinylidene chloride {1,1-dichloro ethene}</t>
  </si>
  <si>
    <t>00108-05-4</t>
  </si>
  <si>
    <t>Vinyl acetate {acetic acid ethenyl ester}</t>
  </si>
  <si>
    <t>01120-21-4</t>
  </si>
  <si>
    <t>Undecane (n)</t>
  </si>
  <si>
    <t>00565-75-3</t>
  </si>
  <si>
    <t>Trimethylpentane (2,3,4)</t>
  </si>
  <si>
    <t>00560-21-4</t>
  </si>
  <si>
    <t>Trimethylpentane (2,3,3)</t>
  </si>
  <si>
    <t>00564-02-3</t>
  </si>
  <si>
    <t>Trimethylpentane (2,2,3)</t>
  </si>
  <si>
    <t>00075-77-4</t>
  </si>
  <si>
    <t>Trimethylchlorosilane {chlorotrimethylsilane}</t>
  </si>
  <si>
    <t>00095-63-6</t>
  </si>
  <si>
    <t>Trimethylbenzene (1,2,4)</t>
  </si>
  <si>
    <t>00076-13-1</t>
  </si>
  <si>
    <t>Trifluoroethane (1,1,2-trichloro-1,2,2)</t>
  </si>
  <si>
    <t>00629-50-5</t>
  </si>
  <si>
    <t>Tridecane (n)</t>
  </si>
  <si>
    <t>00096-18-4</t>
  </si>
  <si>
    <t>Trichloropropane (1,2,3)</t>
  </si>
  <si>
    <t>00079-01-6</t>
  </si>
  <si>
    <t>Trichloroethylene</t>
  </si>
  <si>
    <t>00079-00-5</t>
  </si>
  <si>
    <t>Trichloroethane (1,1,2)</t>
  </si>
  <si>
    <t>00071-55-6</t>
  </si>
  <si>
    <t>Trichloroethane (1,1,1)</t>
  </si>
  <si>
    <t>00108-88-3</t>
  </si>
  <si>
    <t>Toluene</t>
  </si>
  <si>
    <t>00109-99-9</t>
  </si>
  <si>
    <t>Tetrahydrofuran</t>
  </si>
  <si>
    <t>00127-18-4</t>
  </si>
  <si>
    <t>Tetrachloroethylene</t>
  </si>
  <si>
    <t>00079-34-5</t>
  </si>
  <si>
    <t>Tetrachloroethane (1,1,2,2)</t>
  </si>
  <si>
    <t>00630-20-6</t>
  </si>
  <si>
    <t>Tetrachloroethane (1,1,1,2)</t>
  </si>
  <si>
    <t>00100-42-5</t>
  </si>
  <si>
    <t>Styrene</t>
  </si>
  <si>
    <t>00108-46-3</t>
  </si>
  <si>
    <t>Resorcinol</t>
  </si>
  <si>
    <t>00110-86-1</t>
  </si>
  <si>
    <t>Pyridine</t>
  </si>
  <si>
    <t>00075-56-9</t>
  </si>
  <si>
    <t>Propylene oxide</t>
  </si>
  <si>
    <t>00057-55-6</t>
  </si>
  <si>
    <t>Propylene glycol (1,2) {1,2 propanediol}</t>
  </si>
  <si>
    <t>00115-07-1</t>
  </si>
  <si>
    <t>Propylene {propene}</t>
  </si>
  <si>
    <t>00107-10-8</t>
  </si>
  <si>
    <t>Propylamine (n) {1-propanamine}</t>
  </si>
  <si>
    <t>00627-13-4</t>
  </si>
  <si>
    <t>Propyl nitrate (n) {propyl ester nitric acid}</t>
  </si>
  <si>
    <t>00071-23-8</t>
  </si>
  <si>
    <t>Propyl alcohol (n) {propanol (1)}</t>
  </si>
  <si>
    <t>00075-33-2</t>
  </si>
  <si>
    <t>Propanethiol (2)</t>
  </si>
  <si>
    <t>00107-03-9</t>
  </si>
  <si>
    <t>Propanethiol (1)</t>
  </si>
  <si>
    <t>00074-98-6</t>
  </si>
  <si>
    <t>Propane</t>
  </si>
  <si>
    <t>00108-99-6</t>
  </si>
  <si>
    <t>Picoline (3) {3-methyl pyridine}</t>
  </si>
  <si>
    <t>00075-44-5</t>
  </si>
  <si>
    <t>Phosgene</t>
  </si>
  <si>
    <t>00108-95-2</t>
  </si>
  <si>
    <t>Phenol</t>
  </si>
  <si>
    <t>00085-01-8</t>
  </si>
  <si>
    <t>Phenanthrene</t>
  </si>
  <si>
    <t>00627-19-0</t>
  </si>
  <si>
    <t>Pentyne (1)</t>
  </si>
  <si>
    <t>00109-67-1</t>
  </si>
  <si>
    <t>Pentene (1)</t>
  </si>
  <si>
    <t>00109-66-0</t>
  </si>
  <si>
    <t>Pentane (n)</t>
  </si>
  <si>
    <t>00591-96-8</t>
  </si>
  <si>
    <t>Pentadiene (2,3)</t>
  </si>
  <si>
    <t>00591-93-5</t>
  </si>
  <si>
    <t>Pentadiene (1,4)</t>
  </si>
  <si>
    <t>00591-95-7</t>
  </si>
  <si>
    <t>Pentadiene (1,2)</t>
  </si>
  <si>
    <t>00076-01-7</t>
  </si>
  <si>
    <t>Pentachloroethane</t>
  </si>
  <si>
    <t>00111-66-0</t>
  </si>
  <si>
    <t>Octene (1)</t>
  </si>
  <si>
    <t>00111-87-5</t>
  </si>
  <si>
    <t>Octanol (1)</t>
  </si>
  <si>
    <t>00111-65-9</t>
  </si>
  <si>
    <t>Octane (n)</t>
  </si>
  <si>
    <t>00593-45-3</t>
  </si>
  <si>
    <t>Octadecane (n)</t>
  </si>
  <si>
    <t>00111-84-2</t>
  </si>
  <si>
    <t>Nonane (n)</t>
  </si>
  <si>
    <t>00629-92-5</t>
  </si>
  <si>
    <t>Nonadecane (n)</t>
  </si>
  <si>
    <t>00075-52-5</t>
  </si>
  <si>
    <t>Nitromethane</t>
  </si>
  <si>
    <t>00098-95-3</t>
  </si>
  <si>
    <t>Nitrobenzene</t>
  </si>
  <si>
    <t>00091-20-3</t>
  </si>
  <si>
    <t>Naphthalene</t>
  </si>
  <si>
    <t>00110-91-8</t>
  </si>
  <si>
    <t>Morpholine</t>
  </si>
  <si>
    <t>01634-04-4</t>
  </si>
  <si>
    <t>Methyl-tert-butyl ether {MTBE}</t>
  </si>
  <si>
    <t>00107-83-5</t>
  </si>
  <si>
    <t>Methylpentane (2)</t>
  </si>
  <si>
    <t>00589-34-4</t>
  </si>
  <si>
    <t>Methylhexane (3)</t>
  </si>
  <si>
    <t>00591-76-4</t>
  </si>
  <si>
    <t>Methylhexane (2)</t>
  </si>
  <si>
    <t>00075-09-2</t>
  </si>
  <si>
    <t>Methylene chloride</t>
  </si>
  <si>
    <t>20156-50-7</t>
  </si>
  <si>
    <t>Methyldichlorosilane</t>
  </si>
  <si>
    <t>00096-37-7</t>
  </si>
  <si>
    <t>Methylcyclopentane</t>
  </si>
  <si>
    <t>00108-87-2</t>
  </si>
  <si>
    <t>Methylcyclohexane</t>
  </si>
  <si>
    <t>00098-83-9</t>
  </si>
  <si>
    <t>Methyl styrene (alpha)</t>
  </si>
  <si>
    <t>00557-17-5</t>
  </si>
  <si>
    <t>Methyl propyl ether</t>
  </si>
  <si>
    <t>00080-62-6</t>
  </si>
  <si>
    <t>Methyl methacrylate</t>
  </si>
  <si>
    <t>00108-10-1</t>
  </si>
  <si>
    <t>Methyl isobutyl ketone</t>
  </si>
  <si>
    <t>00078-93-3</t>
  </si>
  <si>
    <t>Methyl ethyl ketone {2-butanone}</t>
  </si>
  <si>
    <t>00067-56-1</t>
  </si>
  <si>
    <t>Methyl alcohol {methanol}</t>
  </si>
  <si>
    <t>00096-33-3</t>
  </si>
  <si>
    <t>Methyl acrylate {methyl ester 2-propenoic acid}</t>
  </si>
  <si>
    <t>00079-20-9</t>
  </si>
  <si>
    <t>Methyl acetate {methyl ester acetic acid}</t>
  </si>
  <si>
    <t>00074-82-8</t>
  </si>
  <si>
    <t>Methane</t>
  </si>
  <si>
    <t>00126-98-7</t>
  </si>
  <si>
    <t>Methacrylonitrile {2-methyl 2-propenenitrile}</t>
  </si>
  <si>
    <t>00527-84-4</t>
  </si>
  <si>
    <t>Isopropylbenzene (1-methyl-2)</t>
  </si>
  <si>
    <t>00098-82-8</t>
  </si>
  <si>
    <t>Isopropyl benzene {cumene}</t>
  </si>
  <si>
    <t>00067-63-0</t>
  </si>
  <si>
    <t>Isopropyl alcohol {isopropanol}</t>
  </si>
  <si>
    <t>00078-79-5</t>
  </si>
  <si>
    <t>Isoprene {2-methyl 1,3-butadiene}</t>
  </si>
  <si>
    <t>00513-35-9</t>
  </si>
  <si>
    <t>Isopentene {2-methyl 2-butene}</t>
  </si>
  <si>
    <t>00078-78-4</t>
  </si>
  <si>
    <t>Isopentane {2-methyl butane}</t>
  </si>
  <si>
    <t>00540-84-1</t>
  </si>
  <si>
    <t>Isooctane {2,2,4-trimethylpentane}</t>
  </si>
  <si>
    <t>00078-83-1</t>
  </si>
  <si>
    <t>Isobutyl alcohol {2-methyl 1-propanol}</t>
  </si>
  <si>
    <t>00115-11-7</t>
  </si>
  <si>
    <t>Isobutene {methylpropene (2)}</t>
  </si>
  <si>
    <t>00075-28-5</t>
  </si>
  <si>
    <t>Isobutane {methylpropane (2)}</t>
  </si>
  <si>
    <t>00074-90-8</t>
  </si>
  <si>
    <t>Hydrogen cyanide {hydrocyanic acid}</t>
  </si>
  <si>
    <t>00592-41-6</t>
  </si>
  <si>
    <t>Hexene (1)</t>
  </si>
  <si>
    <t>00111-27-3</t>
  </si>
  <si>
    <t>Hexanol (1)</t>
  </si>
  <si>
    <t>00110-54-3</t>
  </si>
  <si>
    <t>Hexane (n)</t>
  </si>
  <si>
    <t>00592-42-7</t>
  </si>
  <si>
    <t>Hexadiene (1,5)</t>
  </si>
  <si>
    <t>00592-76-7</t>
  </si>
  <si>
    <t>Heptene (1)</t>
  </si>
  <si>
    <t>00142-82-5</t>
  </si>
  <si>
    <t>Heptane (n)</t>
  </si>
  <si>
    <t>00629-94-7</t>
  </si>
  <si>
    <t>Heneicosane (n)</t>
  </si>
  <si>
    <t>00098-01-1</t>
  </si>
  <si>
    <t>Furfural {2-furancarboxaldehyde}</t>
  </si>
  <si>
    <t>00110-00-9</t>
  </si>
  <si>
    <t>Furan</t>
  </si>
  <si>
    <t>00075-69-4</t>
  </si>
  <si>
    <t>Freon 11 {trichlorofluoromethane}</t>
  </si>
  <si>
    <t>00064-18-6</t>
  </si>
  <si>
    <t>Formic acid</t>
  </si>
  <si>
    <t>00462-06-6</t>
  </si>
  <si>
    <t>Fluorobenzene</t>
  </si>
  <si>
    <t>00206-44-0</t>
  </si>
  <si>
    <t>Fluoranthene</t>
  </si>
  <si>
    <t>00617-78-7</t>
  </si>
  <si>
    <t>Ethylpentane (3)</t>
  </si>
  <si>
    <t>00075-21-8</t>
  </si>
  <si>
    <t>Ethyleneoxide</t>
  </si>
  <si>
    <t>00074-85-1</t>
  </si>
  <si>
    <t>Ethylene {ethene}</t>
  </si>
  <si>
    <t>01640-89-7</t>
  </si>
  <si>
    <t>Ethylcyclopentane</t>
  </si>
  <si>
    <t>00100-41-4</t>
  </si>
  <si>
    <t>Ethylbenzene</t>
  </si>
  <si>
    <t>00075-04-7</t>
  </si>
  <si>
    <t>Ethylamine</t>
  </si>
  <si>
    <t>00060-29-7</t>
  </si>
  <si>
    <t>Ethyl ether {diethyl ether}</t>
  </si>
  <si>
    <t>00075-00-3</t>
  </si>
  <si>
    <t>Ethyl chloride</t>
  </si>
  <si>
    <t>00064-17-5</t>
  </si>
  <si>
    <t>Ethyl alcohol {ethanol}</t>
  </si>
  <si>
    <t>00140-88-5</t>
  </si>
  <si>
    <t>Ethyl acrylate {ethyl ester 2-propenoic acid}</t>
  </si>
  <si>
    <t>00141-78-6</t>
  </si>
  <si>
    <t>Ethyl acetate</t>
  </si>
  <si>
    <t>00141-43-5</t>
  </si>
  <si>
    <t>Ethanolamine (mono)</t>
  </si>
  <si>
    <t>00074-84-0</t>
  </si>
  <si>
    <t>Ethane</t>
  </si>
  <si>
    <t>00106-89-8</t>
  </si>
  <si>
    <t>Epichlorohydrin {chloromethyl oxirane}</t>
  </si>
  <si>
    <t>00112-40-3</t>
  </si>
  <si>
    <t>Dodecane (n)</t>
  </si>
  <si>
    <t>00111-43-3</t>
  </si>
  <si>
    <t>Dipropyl ether {di-n-propyl ether}</t>
  </si>
  <si>
    <t>00123-91-1</t>
  </si>
  <si>
    <t>Dioxane (1,4)</t>
  </si>
  <si>
    <t>00562-49-2</t>
  </si>
  <si>
    <t>Dimethylpentane (3,3)</t>
  </si>
  <si>
    <t>00108-08-7</t>
  </si>
  <si>
    <t>Dimethylpentane (2,4)</t>
  </si>
  <si>
    <t>00565-59-3</t>
  </si>
  <si>
    <t>Dimethylpentane (2,3)</t>
  </si>
  <si>
    <t>00590-35-2</t>
  </si>
  <si>
    <t>Dimethylpentane (2,2)</t>
  </si>
  <si>
    <t>01638-26-2</t>
  </si>
  <si>
    <t>Dimethylcyclopentane (1,1)</t>
  </si>
  <si>
    <t>00079-29-8</t>
  </si>
  <si>
    <t>Dimethylbutane (2,3)</t>
  </si>
  <si>
    <t>00131-11-3</t>
  </si>
  <si>
    <t>Dimethyl phthalate</t>
  </si>
  <si>
    <t>00057-14-7</t>
  </si>
  <si>
    <t>Dimethyl hydrazine (1,1)</t>
  </si>
  <si>
    <t>00068-12-2</t>
  </si>
  <si>
    <t>Dimethyl formamide (n,n)</t>
  </si>
  <si>
    <t>00110-71-4</t>
  </si>
  <si>
    <t>Dimethoxyethane (1,2)</t>
  </si>
  <si>
    <t>00108-20-3</t>
  </si>
  <si>
    <t>Di-isopropyl ether</t>
  </si>
  <si>
    <t>00105-05-5</t>
  </si>
  <si>
    <t>Diethylbenzene (1,4)</t>
  </si>
  <si>
    <t>00141-93-5</t>
  </si>
  <si>
    <t>Diethylbenzene (1,3)</t>
  </si>
  <si>
    <t>00135-01-3</t>
  </si>
  <si>
    <t>Diethylbenzene (1,2)</t>
  </si>
  <si>
    <t>00109-89-7</t>
  </si>
  <si>
    <t>Diethylamine {N-ethyl ethanamine}</t>
  </si>
  <si>
    <t>00352-93-2</t>
  </si>
  <si>
    <t>Diethyl sulfide</t>
  </si>
  <si>
    <t>00096-22-0</t>
  </si>
  <si>
    <t>Diethyl ketone {3-pentanone}</t>
  </si>
  <si>
    <t>00091-66-7</t>
  </si>
  <si>
    <t>Diethyl (n,n) aniline {N,N-diethylbenzenamine}</t>
  </si>
  <si>
    <t>00462-95-3</t>
  </si>
  <si>
    <t>Diethoxymethane</t>
  </si>
  <si>
    <t>00105-57-7</t>
  </si>
  <si>
    <t>Diethoxyethane (1,1)</t>
  </si>
  <si>
    <t>00095-75-0</t>
  </si>
  <si>
    <t>Dichlorotoluene (3,4)</t>
  </si>
  <si>
    <t>00156-60-5</t>
  </si>
  <si>
    <t>Dichloroethylene (trans-1,2)</t>
  </si>
  <si>
    <t>00540-59-0</t>
  </si>
  <si>
    <t>Dichloroethylene (1,2) {1,2 dichloroethene}</t>
  </si>
  <si>
    <t>00107-06-2</t>
  </si>
  <si>
    <t>Dichloroethane (1,2)</t>
  </si>
  <si>
    <t>00075-34-3</t>
  </si>
  <si>
    <t>Dichloroethane (1,1)</t>
  </si>
  <si>
    <t>00109-64-8</t>
  </si>
  <si>
    <t>Dibromopropane (1,3)</t>
  </si>
  <si>
    <t>00078-75-1</t>
  </si>
  <si>
    <t>Dibromopropane (1,2)</t>
  </si>
  <si>
    <t>00124-18-5</t>
  </si>
  <si>
    <t>Decane (-n)</t>
  </si>
  <si>
    <t>00142-29-0</t>
  </si>
  <si>
    <t>Cyclopentene</t>
  </si>
  <si>
    <t>00120-92-3</t>
  </si>
  <si>
    <t>Cyclopentanone</t>
  </si>
  <si>
    <t>00287-92-3</t>
  </si>
  <si>
    <t>Cyclopentane</t>
  </si>
  <si>
    <t>00110-83-8</t>
  </si>
  <si>
    <t>Cyclohexene</t>
  </si>
  <si>
    <t>00108-94-1</t>
  </si>
  <si>
    <t>Cyclohexanone</t>
  </si>
  <si>
    <t>00108-93-0</t>
  </si>
  <si>
    <t>Cyclohexanol</t>
  </si>
  <si>
    <t>00110-82-7</t>
  </si>
  <si>
    <t>Cyclohexane</t>
  </si>
  <si>
    <t>00106-44-5</t>
  </si>
  <si>
    <t>Cresol (p) {4-methyl-phenol}</t>
  </si>
  <si>
    <t>00095-48-7</t>
  </si>
  <si>
    <t>Cresol (o) {2-methyl-phenol}</t>
  </si>
  <si>
    <t>00108-39-4</t>
  </si>
  <si>
    <t>Cresol (m) {3-methyl-phenol}</t>
  </si>
  <si>
    <t>00218-01-9</t>
  </si>
  <si>
    <t>Chrysene {benzo[a]phenanthrene}</t>
  </si>
  <si>
    <t>00095-49-8</t>
  </si>
  <si>
    <t>Chlorotoluene (o) {1-chloro-2methylbenzene}</t>
  </si>
  <si>
    <t>00126-99-8</t>
  </si>
  <si>
    <t>Chloroprene {2-chloro-1,3-butadiene}</t>
  </si>
  <si>
    <t>00067-66-3</t>
  </si>
  <si>
    <t>Chloroform</t>
  </si>
  <si>
    <t>00078-86-4</t>
  </si>
  <si>
    <t>Chlorobutane (2)</t>
  </si>
  <si>
    <t>00108-90-7</t>
  </si>
  <si>
    <t>Chlorobenzene</t>
  </si>
  <si>
    <t>00056-23-5</t>
  </si>
  <si>
    <t>Carbon tetrachloride</t>
  </si>
  <si>
    <t>00075-15-0</t>
  </si>
  <si>
    <t>Carbon disulfide</t>
  </si>
  <si>
    <t>06163-66-2</t>
  </si>
  <si>
    <t>Butyl ether (di-tert)</t>
  </si>
  <si>
    <t>00109-69-3</t>
  </si>
  <si>
    <t>Butyl chloride (-n) {1-chloro-butane}</t>
  </si>
  <si>
    <t>00075-65-0</t>
  </si>
  <si>
    <t>Butyl alcohol (tert) {1,1-dimethyl ethanol}</t>
  </si>
  <si>
    <t>00071-36-3</t>
  </si>
  <si>
    <t>Butyl alcohol (n) {butanol (1)}</t>
  </si>
  <si>
    <t>00624-64-6</t>
  </si>
  <si>
    <t>Butene (trans-2)</t>
  </si>
  <si>
    <t>00563-46-2</t>
  </si>
  <si>
    <t>Butene (2-methyl-1)</t>
  </si>
  <si>
    <t>00590-18-1</t>
  </si>
  <si>
    <t>Butene (cis-2)</t>
  </si>
  <si>
    <t>00106-98-9</t>
  </si>
  <si>
    <t>Butene (1)</t>
  </si>
  <si>
    <t>00106-97-8</t>
  </si>
  <si>
    <t>Butane (n)</t>
  </si>
  <si>
    <t>00106-99-0</t>
  </si>
  <si>
    <t>Butadiene (1,3) {divinyl}</t>
  </si>
  <si>
    <t>00092-52-4</t>
  </si>
  <si>
    <t>Biphenyl</t>
  </si>
  <si>
    <t>00191-24-2</t>
  </si>
  <si>
    <t>Benzo[ghi]perylene</t>
  </si>
  <si>
    <t>00050-32-8</t>
  </si>
  <si>
    <t>Benzo[a]pyrene</t>
  </si>
  <si>
    <t>00056-55-3</t>
  </si>
  <si>
    <t>Benz[a]anthracene</t>
  </si>
  <si>
    <t>00071-43-2</t>
  </si>
  <si>
    <t>Benzene</t>
  </si>
  <si>
    <t>00062-53-3</t>
  </si>
  <si>
    <t>Aniline</t>
  </si>
  <si>
    <t>00107-05-1</t>
  </si>
  <si>
    <t>Allyl chloride {3-chloro-1-propene}</t>
  </si>
  <si>
    <t>00107-18-6</t>
  </si>
  <si>
    <t>Allyl alcohol</t>
  </si>
  <si>
    <t>00107-13-1</t>
  </si>
  <si>
    <t>Acrylonitrile {2-propenenitrile}</t>
  </si>
  <si>
    <t>00079-10-7</t>
  </si>
  <si>
    <t>Acrylic acid {2-propenoic acid}</t>
  </si>
  <si>
    <t>00079-06-1</t>
  </si>
  <si>
    <t>Acrylamide</t>
  </si>
  <si>
    <t>00075-05-8</t>
  </si>
  <si>
    <t>Acetonitrile</t>
  </si>
  <si>
    <t>00067-64-1</t>
  </si>
  <si>
    <t>Acetone</t>
  </si>
  <si>
    <t>00108-24-7</t>
  </si>
  <si>
    <t>Acetic anhydride {acetic acid anhydride}</t>
  </si>
  <si>
    <t>00064-19-7</t>
  </si>
  <si>
    <t>Acetic acid</t>
  </si>
  <si>
    <t>00075-07-0</t>
  </si>
  <si>
    <t>Acetaldehyde</t>
  </si>
  <si>
    <t>Maximum (°F)</t>
  </si>
  <si>
    <t>Minimum (°F)</t>
  </si>
  <si>
    <t>C (°C)</t>
  </si>
  <si>
    <t>B (°C)</t>
  </si>
  <si>
    <t>A dimensionless</t>
  </si>
  <si>
    <t>Constants</t>
  </si>
  <si>
    <t>Normal Boiling Point (°F)</t>
  </si>
  <si>
    <t>True Vapor Pressure at 60 °F (psia)</t>
  </si>
  <si>
    <t>Molecular Weight</t>
  </si>
  <si>
    <t>CAS Registry No.</t>
  </si>
  <si>
    <t>Chemical Name</t>
  </si>
  <si>
    <t xml:space="preserve">          for crude oil, see Figure 7.1-16 of AP-42 Section 7.1;</t>
  </si>
  <si>
    <t>g</t>
  </si>
  <si>
    <t>f</t>
  </si>
  <si>
    <t>e</t>
  </si>
  <si>
    <t>psia</t>
  </si>
  <si>
    <t>(dimensionless)</t>
  </si>
  <si>
    <t>lb/gal</t>
  </si>
  <si>
    <t>lb/lb-mole</t>
  </si>
  <si>
    <t>B</t>
  </si>
  <si>
    <t>A</t>
  </si>
  <si>
    <t>Petroleum Liquid Mixture</t>
  </si>
  <si>
    <t>AP-42 Section 7.1 Material Properties Reference Tables</t>
  </si>
  <si>
    <t>lb</t>
  </si>
  <si>
    <t>Total Hazardous Air Pollutant Emissions, lb</t>
  </si>
  <si>
    <t>Total</t>
  </si>
  <si>
    <t>December</t>
  </si>
  <si>
    <t>November</t>
  </si>
  <si>
    <t>October</t>
  </si>
  <si>
    <t>September</t>
  </si>
  <si>
    <t>August</t>
  </si>
  <si>
    <t>July</t>
  </si>
  <si>
    <t>June</t>
  </si>
  <si>
    <t>May</t>
  </si>
  <si>
    <t>April</t>
  </si>
  <si>
    <t>March</t>
  </si>
  <si>
    <t>February</t>
  </si>
  <si>
    <t>January</t>
  </si>
  <si>
    <t>Total Losses</t>
  </si>
  <si>
    <t>P* = vapor pressure function, dimensionless</t>
  </si>
  <si>
    <t>°F      (from Table 7.1-7)</t>
  </si>
  <si>
    <t>Summary</t>
  </si>
  <si>
    <t>I = daily total solar insolation factor</t>
  </si>
  <si>
    <t>v = average wind speed</t>
  </si>
  <si>
    <t>Units</t>
  </si>
  <si>
    <t>Symbol</t>
  </si>
  <si>
    <t>Dec.</t>
  </si>
  <si>
    <t>Nov.</t>
  </si>
  <si>
    <t>Oct.</t>
  </si>
  <si>
    <t>Sept.</t>
  </si>
  <si>
    <t>Aug.</t>
  </si>
  <si>
    <t>Apr.</t>
  </si>
  <si>
    <t>Mar.</t>
  </si>
  <si>
    <t>Feb.</t>
  </si>
  <si>
    <t>Jan.</t>
  </si>
  <si>
    <t>Property</t>
  </si>
  <si>
    <t>Location</t>
  </si>
  <si>
    <t>Annual Average</t>
  </si>
  <si>
    <t>Monthly Averages</t>
  </si>
  <si>
    <t>La Crosse, WI</t>
  </si>
  <si>
    <t>I. La Crosse, WI</t>
  </si>
  <si>
    <t>Souix Falls, SD</t>
  </si>
  <si>
    <t>H. Souix Falls, SD</t>
  </si>
  <si>
    <t>Fargo, ND</t>
  </si>
  <si>
    <t>G. Fargo, ND</t>
  </si>
  <si>
    <t>Mason City, IA</t>
  </si>
  <si>
    <t>F. Mason City, IA</t>
  </si>
  <si>
    <t>St. Cloud, MN</t>
  </si>
  <si>
    <t>E. St. Cloud, MN</t>
  </si>
  <si>
    <t>Rochester, MN</t>
  </si>
  <si>
    <t>D. Rochester, MN</t>
  </si>
  <si>
    <t>Minneapolis-St. Paul, MN</t>
  </si>
  <si>
    <t>C. Minneapolis-St. Paul, MN</t>
  </si>
  <si>
    <t>International Falls, MN</t>
  </si>
  <si>
    <t>B. International Falls, MN</t>
  </si>
  <si>
    <t>Duluth, MN</t>
  </si>
  <si>
    <t>A. Duluth, MN</t>
  </si>
  <si>
    <t>I</t>
  </si>
  <si>
    <t>mph</t>
  </si>
  <si>
    <t>v</t>
  </si>
  <si>
    <t>Note 2 - This refers to aluminum as the base metal, rather than aluminum-colored paint.</t>
  </si>
  <si>
    <t>Aged: For paint, paint is noticeably faded and dull; for mill-finish aluminum, surface is dull.This was previously labeled “Poor.”</t>
  </si>
  <si>
    <t>Note 1 - Reflective condition definitions:</t>
  </si>
  <si>
    <t>Notes:</t>
  </si>
  <si>
    <t>(see Note 2)</t>
  </si>
  <si>
    <t>M. Aluminum- mill finish, unpainted</t>
  </si>
  <si>
    <t>L. Tan</t>
  </si>
  <si>
    <t>K. Rust- red iron oxide</t>
  </si>
  <si>
    <t>J. Red- primer</t>
  </si>
  <si>
    <t>I. Green- dark</t>
  </si>
  <si>
    <t>H. Gray- medium</t>
  </si>
  <si>
    <t>G. Gray- light</t>
  </si>
  <si>
    <t>F. Brown</t>
  </si>
  <si>
    <t>E. Black</t>
  </si>
  <si>
    <t>D. Beige/Cream</t>
  </si>
  <si>
    <t>C. Aluminum -diffuse</t>
  </si>
  <si>
    <t>B. Aluminum- specular</t>
  </si>
  <si>
    <t>A. White</t>
  </si>
  <si>
    <t>Aged</t>
  </si>
  <si>
    <t>Average</t>
  </si>
  <si>
    <t>New</t>
  </si>
  <si>
    <t>Reflective Condition (see Note 1)</t>
  </si>
  <si>
    <t>Paint Color</t>
  </si>
  <si>
    <t>AP-42 Section 7.1 Reference Tables</t>
  </si>
  <si>
    <t>Total Losses per year</t>
  </si>
  <si>
    <t xml:space="preserve">ΔTv= average daily vapor Temperature range, °R </t>
  </si>
  <si>
    <t>ΔPv=average daily vapor pressure range, psi</t>
  </si>
  <si>
    <t>Yes</t>
  </si>
  <si>
    <t>No</t>
  </si>
  <si>
    <t>HAP(Y/N)</t>
  </si>
  <si>
    <t xml:space="preserve">Variable </t>
  </si>
  <si>
    <t>D</t>
  </si>
  <si>
    <t>tank diameter (ft)</t>
  </si>
  <si>
    <t>Hs</t>
  </si>
  <si>
    <t>tank shell height (ft)</t>
  </si>
  <si>
    <t>liquid height (ft)</t>
  </si>
  <si>
    <t>minimum liquid height (ft)</t>
  </si>
  <si>
    <t>working loss product factor (dimensionless)</t>
  </si>
  <si>
    <t>Q</t>
  </si>
  <si>
    <t>annual net throughput (bbl/yr)</t>
  </si>
  <si>
    <t>annual sum of the increase in liquid level (ft/yr)</t>
  </si>
  <si>
    <t>N</t>
  </si>
  <si>
    <t>number of turnovers per year (dimensionless)</t>
  </si>
  <si>
    <t>working loss turnover</t>
  </si>
  <si>
    <t>Rs</t>
  </si>
  <si>
    <t>tank shell radius (ft)</t>
  </si>
  <si>
    <t>tank cone roof slope (ft/ft)</t>
  </si>
  <si>
    <t>tank dome radius (ft)</t>
  </si>
  <si>
    <t>tank roof height (ft)</t>
  </si>
  <si>
    <t>roof outage (ft)</t>
  </si>
  <si>
    <t>vapor space outage (ft)</t>
  </si>
  <si>
    <t>tank roof surface solar absorbance (dimensionless)</t>
  </si>
  <si>
    <t>tank shell surface solar absorbance (dimensionless)</t>
  </si>
  <si>
    <t>breather vent pressure setting (psig)</t>
  </si>
  <si>
    <t>breather vent vacuum setting, (psig)</t>
  </si>
  <si>
    <t>breather vent pressure setting range (psig)</t>
  </si>
  <si>
    <t>(determines column in Table 7.1-6)</t>
  </si>
  <si>
    <t>A. New</t>
  </si>
  <si>
    <t>B. Average</t>
  </si>
  <si>
    <t>C. Aged</t>
  </si>
  <si>
    <t>Steps</t>
  </si>
  <si>
    <t>Notes</t>
  </si>
  <si>
    <t>Input</t>
  </si>
  <si>
    <t>Unknown</t>
  </si>
  <si>
    <t>maximum liquid height (ft)</t>
  </si>
  <si>
    <t>Tank designation (e.g. TK001)</t>
  </si>
  <si>
    <t>Tank capacity, gal</t>
  </si>
  <si>
    <t>Product(s) stored</t>
  </si>
  <si>
    <t>Closest nearby city</t>
  </si>
  <si>
    <t>1.</t>
  </si>
  <si>
    <t>2.</t>
  </si>
  <si>
    <t>3.</t>
  </si>
  <si>
    <t>4.</t>
  </si>
  <si>
    <t>6.</t>
  </si>
  <si>
    <t>7.</t>
  </si>
  <si>
    <t>8.</t>
  </si>
  <si>
    <t>9.</t>
  </si>
  <si>
    <t>10.</t>
  </si>
  <si>
    <t>11.</t>
  </si>
  <si>
    <t>12.</t>
  </si>
  <si>
    <t>13.</t>
  </si>
  <si>
    <t>14.</t>
  </si>
  <si>
    <t>15.</t>
  </si>
  <si>
    <t>16.</t>
  </si>
  <si>
    <t>17.</t>
  </si>
  <si>
    <t>18.</t>
  </si>
  <si>
    <t>Roof Color</t>
  </si>
  <si>
    <t>19.</t>
  </si>
  <si>
    <t>20.</t>
  </si>
  <si>
    <t>21.</t>
  </si>
  <si>
    <t>22.</t>
  </si>
  <si>
    <t>23.</t>
  </si>
  <si>
    <t>24.</t>
  </si>
  <si>
    <t>25.</t>
  </si>
  <si>
    <t>pressure of the vapor space at normal operating conditions (psig)</t>
  </si>
  <si>
    <t xml:space="preserve">If sum is unknown, it can be estimated from the pump utilization records. Over the course of a year, the sum of increases in liquid level and the sum of the decrease in liquid level will be approximately the same. </t>
  </si>
  <si>
    <t>26.</t>
  </si>
  <si>
    <t>Is the tank vapor balanced and/or does flashing occur?</t>
  </si>
  <si>
    <t>None</t>
  </si>
  <si>
    <t>Vapor Pressure Equation Constant, A (dimensionless)</t>
  </si>
  <si>
    <t>Vapor Pressure Equation Constant, B (°R)</t>
  </si>
  <si>
    <t>Motor Gasoline RVP 13</t>
  </si>
  <si>
    <t>Motor Gasoline RVP 10</t>
  </si>
  <si>
    <t>Motor Gasoline RVP 7</t>
  </si>
  <si>
    <t>Jet Naphtha (JP-4)</t>
  </si>
  <si>
    <t>Jet Kerosene (Jet A)</t>
  </si>
  <si>
    <t>No. 2 Fuel Oil (Diesel)</t>
  </si>
  <si>
    <t>No. 6 Fuel Oil</t>
  </si>
  <si>
    <t>Vacuum Residual Oil</t>
  </si>
  <si>
    <t>27.</t>
  </si>
  <si>
    <t>A (dimensionless)</t>
  </si>
  <si>
    <t>Molecular Weight, (lb/lb-mole)</t>
  </si>
  <si>
    <t>lb-mol/100 lb of mixture</t>
  </si>
  <si>
    <t>Which option best describes the tank:</t>
  </si>
  <si>
    <t>Insulation type:</t>
  </si>
  <si>
    <t>Descriptions</t>
  </si>
  <si>
    <t>Variables from "Input Variables"</t>
  </si>
  <si>
    <t>Insulation type</t>
  </si>
  <si>
    <t>psia to mmHg conversion</t>
  </si>
  <si>
    <t>°R to °F conversion</t>
  </si>
  <si>
    <t>°R to °C conversion</t>
  </si>
  <si>
    <t>Organic Liquids</t>
  </si>
  <si>
    <t>Hazardous Air Pollutant?</t>
  </si>
  <si>
    <t>Liquid Mole Fraction, lb-mol/lb-mol</t>
  </si>
  <si>
    <t>mmHg to psia conversion</t>
  </si>
  <si>
    <t>HAP Count</t>
  </si>
  <si>
    <t>Hazardous Air Pollutant (HAP) Emissions, lb*</t>
  </si>
  <si>
    <t>Manually type in answer.</t>
  </si>
  <si>
    <t>5.</t>
  </si>
  <si>
    <t>Error Finding</t>
  </si>
  <si>
    <t>Line</t>
  </si>
  <si>
    <t xml:space="preserve">            where:</t>
  </si>
  <si>
    <t xml:space="preserve">            C = constant in vapor pressure equation, °C</t>
  </si>
  <si>
    <t xml:space="preserve">3. Property autfill uses values in the Chemical Propeties tab which is copied from Table 7.1-3 in AP 42 </t>
  </si>
  <si>
    <t>4. Include references for chemical properties if not using values from Table 7.1-3 in AP 42</t>
  </si>
  <si>
    <t>#</t>
  </si>
  <si>
    <t>Error message</t>
  </si>
  <si>
    <t>This will likely be a negative number.</t>
  </si>
  <si>
    <t>Fugitive losses from high-pressure tanks are estimated as equipment leaks and are not addressed.</t>
  </si>
  <si>
    <t>Sep.</t>
  </si>
  <si>
    <t>number of turnovers per year</t>
  </si>
  <si>
    <t>atmospheric pressure (psia)</t>
  </si>
  <si>
    <t>Closest City</t>
  </si>
  <si>
    <t>Variable</t>
  </si>
  <si>
    <t>Description</t>
  </si>
  <si>
    <t>EQUI #</t>
  </si>
  <si>
    <t>Capacity (gal)</t>
  </si>
  <si>
    <t>Contents</t>
  </si>
  <si>
    <t>Roof Type</t>
  </si>
  <si>
    <t>Roof Condition</t>
  </si>
  <si>
    <t>Shell Color</t>
  </si>
  <si>
    <t>Shell Condition</t>
  </si>
  <si>
    <t>Insulation Type</t>
  </si>
  <si>
    <t>Select Petroleum Product</t>
  </si>
  <si>
    <t>Crude Oil Contents?</t>
  </si>
  <si>
    <t>Vapor Balanced or Flashing?</t>
  </si>
  <si>
    <t>HAP (Yes/No)</t>
  </si>
  <si>
    <t>Ant. Coef. "A"</t>
  </si>
  <si>
    <t xml:space="preserve"> "B"</t>
  </si>
  <si>
    <t>"C"</t>
  </si>
  <si>
    <t>`</t>
  </si>
  <si>
    <t>For use:</t>
  </si>
  <si>
    <t>Link:</t>
  </si>
  <si>
    <t>AP 42 Chapter 7: Liquid Storage Tanks</t>
  </si>
  <si>
    <t>00106-94-5</t>
  </si>
  <si>
    <t xml:space="preserve">            A = constant in vapor pressure equation,</t>
  </si>
  <si>
    <t xml:space="preserve">            B = constant in vapor pressure equation</t>
  </si>
  <si>
    <t>https://www.federalregister.gov/documents/2020/06/18/2020-13145/granting-petitions-to-add-1-bromopropane-also-known-as-1-bp-to-the-list-of-hazardous-air-pollutants</t>
  </si>
  <si>
    <r>
      <rPr>
        <b/>
        <i/>
        <sz val="10"/>
        <color rgb="FF000000"/>
        <rFont val="Arial"/>
        <family val="2"/>
      </rPr>
      <t>Instructions</t>
    </r>
    <r>
      <rPr>
        <i/>
        <sz val="10"/>
        <color rgb="FF000000"/>
        <rFont val="Arial"/>
        <family val="2"/>
        <charset val="1"/>
      </rPr>
      <t>: Type requested information in each step's corresponding blue cell. Make sure to use the proper units if applicable. For certain entries (dark blue cells), if the requested information is unknown or limited in response type, use the dropdown list in the darker blue cell to indicate response, otherwise, type known value in same darker blue cell.</t>
    </r>
  </si>
  <si>
    <t>https://www.epa.gov/haps/initial-list-hazardous-air-pollutants-modifications</t>
  </si>
  <si>
    <t>2. The Antoine's equation constants are for use in the following form of the equation:</t>
  </si>
  <si>
    <t>5. The EPA gave notification that bromopropane (n-propyl bromide) will be added to the HAP list (see link below). This edition does not indicate that the chemical is on the HAP list. Table 7.1-3 in AP 42 does not contain this molecule, however it was added to this spreadsheet for anticipated use. Chemical properties for bromopropane were taken from webbook.nist.gov and chemspider.com</t>
  </si>
  <si>
    <t>°R, Eq. 1-6, Eq. 1-8, or ΔTv = 0 for fully insulated tank</t>
  </si>
  <si>
    <t xml:space="preserve">psia, from Table 7.1-7, psia  </t>
  </si>
  <si>
    <t>Individual HAPs</t>
  </si>
  <si>
    <t>Excerpt from AP 42 Fifth Edition, Chapter 7, Volume 1, Liquid Storage Tanks (June 2020) from which this spreadhseet is based on:</t>
  </si>
  <si>
    <t>First, use drop-down if applicable, otherwise manually type answer. For some cells, an error notification will alert users that only dropdown selections are allowed.</t>
  </si>
  <si>
    <t xml:space="preserve">If value is known, type response. If value is unknown, select the darker blue cell and select "Unknown" from drop-down. </t>
  </si>
  <si>
    <t xml:space="preserve">Use drop-down list for input. </t>
  </si>
  <si>
    <t>If the tank holds one of these listed petroleum products, use drop-down to select, otherwise select "None":</t>
  </si>
  <si>
    <t>Normal Vapor Space Pressure (psig)</t>
  </si>
  <si>
    <t>Constant Liquid Bulk Temp. (°R)</t>
  </si>
  <si>
    <t>working loss turnover (saturation) factor (dimensionless)</t>
  </si>
  <si>
    <t>Eq. 1-37</t>
  </si>
  <si>
    <t>Eq. 1-36</t>
  </si>
  <si>
    <t>Eq. 1-38</t>
  </si>
  <si>
    <t>Dome: Eq. 1-20, Cone: Eq 1-19</t>
  </si>
  <si>
    <t>Dome: Eq. 1-19, Cone: Eq 1-17</t>
  </si>
  <si>
    <t>Eq. 1-16</t>
  </si>
  <si>
    <t>Eq. 1-3</t>
  </si>
  <si>
    <t>Table 7.1-6</t>
  </si>
  <si>
    <t>Table 7.1-7</t>
  </si>
  <si>
    <t>e.g. Default provided in Eq. 1-10</t>
  </si>
  <si>
    <t>e.g. Default provided in Eq. 1-11</t>
  </si>
  <si>
    <t>Eq. 1-10</t>
  </si>
  <si>
    <t>constant liquid bulk temperature (°R)</t>
  </si>
  <si>
    <t>*When select petroleum product dropdown list is used, HAP emissions must be calculated using Eq. 40-2 for each known HAP compound.</t>
  </si>
  <si>
    <t>Error Indication</t>
  </si>
  <si>
    <t>Estimating air emissions from vertical fixed roof storage tanks</t>
  </si>
  <si>
    <t>Air quality</t>
  </si>
  <si>
    <t>Doc. type: Permit Calculations</t>
  </si>
  <si>
    <t>The following section presents the emission estimation procedures for vertical fixed roof storage tanks. These procedures are valid for all volatile organic liquids and chemical mixtures. It is important to note that in all the emission estimation procedures, the physical properties of the vapor do not include the noncondensibles in the atmosphere, but only refer to the volatile components of the stored liquid. For example, the vapor-phase molecular weight is determined from the weighted average of the evaporated components of the stored liquid and does not include the contribution of atmospheric gases such as nitrogen and oxygen. To aid in the emission estimation procedures, a list of variables with their corresponding definitions was developed and is presented in Table 7.1-1. The molecules of water and alcohols are polar, meaning that the individual molecules of these substances have an attraction for one another, resulting in behavior that deviates significantly from ideal assumptions.</t>
  </si>
  <si>
    <r>
      <t xml:space="preserve">1. Follow instruction in this </t>
    </r>
    <r>
      <rPr>
        <i/>
        <sz val="9"/>
        <color theme="1"/>
        <rFont val="Arial"/>
        <family val="2"/>
      </rPr>
      <t>Tank and Material Properties</t>
    </r>
    <r>
      <rPr>
        <sz val="9"/>
        <color theme="1"/>
        <rFont val="Arial"/>
        <family val="2"/>
      </rPr>
      <t xml:space="preserve"> tab</t>
    </r>
  </si>
  <si>
    <r>
      <t xml:space="preserve">2. Check for errors in the </t>
    </r>
    <r>
      <rPr>
        <i/>
        <sz val="9"/>
        <color theme="1"/>
        <rFont val="Arial"/>
        <family val="2"/>
      </rPr>
      <t>Error Notification</t>
    </r>
    <r>
      <rPr>
        <sz val="9"/>
        <color theme="1"/>
        <rFont val="Arial"/>
        <family val="2"/>
      </rPr>
      <t xml:space="preserve"> tab</t>
    </r>
  </si>
  <si>
    <r>
      <t xml:space="preserve">3. Find summary findings in the </t>
    </r>
    <r>
      <rPr>
        <i/>
        <sz val="9"/>
        <color theme="1"/>
        <rFont val="Arial"/>
        <family val="2"/>
      </rPr>
      <t>Summary</t>
    </r>
    <r>
      <rPr>
        <sz val="9"/>
        <color theme="1"/>
        <rFont val="Arial"/>
        <family val="2"/>
      </rPr>
      <t xml:space="preserve"> tab</t>
    </r>
  </si>
  <si>
    <r>
      <t xml:space="preserve">This spreadsheet is only to be used for estimating VOC and HAP emissions from routine operational losses from vertical fixed roof organic liquid storage tanks </t>
    </r>
    <r>
      <rPr>
        <b/>
        <i/>
        <sz val="9"/>
        <color rgb="FF000000"/>
        <rFont val="Arial"/>
        <family val="2"/>
      </rPr>
      <t>that contain little to no water</t>
    </r>
    <r>
      <rPr>
        <i/>
        <sz val="9"/>
        <color rgb="FF000000"/>
        <rFont val="Arial"/>
        <family val="2"/>
      </rPr>
      <t xml:space="preserve">. Fill in all light blue boxes and dark blue boxes below unless otherwise instructed. </t>
    </r>
  </si>
  <si>
    <t xml:space="preserve">                                                                                Facility name:</t>
  </si>
  <si>
    <t>Agency Interest ID:</t>
  </si>
  <si>
    <t xml:space="preserve">                                                               Date:</t>
  </si>
  <si>
    <r>
      <t xml:space="preserve">Example: </t>
    </r>
    <r>
      <rPr>
        <i/>
        <sz val="9"/>
        <rFont val="Arial"/>
        <family val="2"/>
      </rPr>
      <t>methanol, isopropanol.   Tanks containing aqueous mixtures in which phase separation has occurred, resulting in a free layer of oil or other volatile materials floating on top of the water, should have emissions estimated on the basis of the properties of the free top layer.</t>
    </r>
  </si>
  <si>
    <r>
      <t xml:space="preserve">For purposes of estimated emissions, a storage tank should be deemed insulated </t>
    </r>
    <r>
      <rPr>
        <u/>
        <sz val="9"/>
        <color theme="1"/>
        <rFont val="Arial"/>
        <family val="2"/>
      </rPr>
      <t>only</t>
    </r>
    <r>
      <rPr>
        <sz val="9"/>
        <color theme="1"/>
        <rFont val="Arial"/>
        <family val="2"/>
      </rPr>
      <t xml:space="preserve"> if the roof and shell are both sufficiently insulated so as to minimize heat exchange with ambient air.</t>
    </r>
  </si>
  <si>
    <r>
      <t xml:space="preserve">Is the tank of bolted or riveted construction in which the roof or shell plates are </t>
    </r>
    <r>
      <rPr>
        <b/>
        <u/>
        <sz val="9"/>
        <color theme="1"/>
        <rFont val="Arial"/>
        <family val="2"/>
      </rPr>
      <t>not</t>
    </r>
    <r>
      <rPr>
        <sz val="9"/>
        <color theme="1"/>
        <rFont val="Arial"/>
        <family val="2"/>
      </rPr>
      <t xml:space="preserve"> vapor tight?</t>
    </r>
  </si>
  <si>
    <r>
      <t>Hazardous Air Pollutant? (Yes/No)</t>
    </r>
    <r>
      <rPr>
        <b/>
        <vertAlign val="superscript"/>
        <sz val="10"/>
        <color theme="1"/>
        <rFont val="Arial"/>
        <family val="2"/>
      </rPr>
      <t>1</t>
    </r>
  </si>
  <si>
    <r>
      <t>Antoine's Equation Constants</t>
    </r>
    <r>
      <rPr>
        <b/>
        <vertAlign val="superscript"/>
        <sz val="10"/>
        <rFont val="Arial"/>
        <family val="2"/>
      </rPr>
      <t>2,4</t>
    </r>
  </si>
  <si>
    <r>
      <t xml:space="preserve">           T</t>
    </r>
    <r>
      <rPr>
        <vertAlign val="subscript"/>
        <sz val="9"/>
        <color theme="1"/>
        <rFont val="Arial"/>
        <family val="2"/>
      </rPr>
      <t>LA</t>
    </r>
    <r>
      <rPr>
        <sz val="9"/>
        <color theme="1"/>
        <rFont val="Arial"/>
        <family val="2"/>
      </rPr>
      <t xml:space="preserve"> = average daily liquid surface temperature, °C</t>
    </r>
  </si>
  <si>
    <r>
      <t xml:space="preserve">           P</t>
    </r>
    <r>
      <rPr>
        <vertAlign val="subscript"/>
        <sz val="9"/>
        <color theme="1"/>
        <rFont val="Arial"/>
        <family val="2"/>
      </rPr>
      <t>VA</t>
    </r>
    <r>
      <rPr>
        <sz val="9"/>
        <color theme="1"/>
        <rFont val="Arial"/>
        <family val="2"/>
      </rPr>
      <t xml:space="preserve"> = vapor pressure at average liquid surface temperature, mm Hg</t>
    </r>
  </si>
  <si>
    <t>HL</t>
  </si>
  <si>
    <t>HLN</t>
  </si>
  <si>
    <t>HLX</t>
  </si>
  <si>
    <t>KP</t>
  </si>
  <si>
    <t>SHQI</t>
  </si>
  <si>
    <t>KN</t>
  </si>
  <si>
    <t>VQ</t>
  </si>
  <si>
    <r>
      <t>net working loss throughput (ft</t>
    </r>
    <r>
      <rPr>
        <vertAlign val="superscript"/>
        <sz val="9"/>
        <color theme="1"/>
        <rFont val="Arial"/>
        <family val="2"/>
      </rPr>
      <t>3</t>
    </r>
    <r>
      <rPr>
        <sz val="9"/>
        <color theme="1"/>
        <rFont val="Arial"/>
        <family val="2"/>
      </rPr>
      <t>/yr)</t>
    </r>
  </si>
  <si>
    <r>
      <t>Tank</t>
    </r>
    <r>
      <rPr>
        <b/>
        <sz val="9"/>
        <color theme="1"/>
        <rFont val="Arial"/>
        <family val="2"/>
      </rPr>
      <t xml:space="preserve"> Not</t>
    </r>
    <r>
      <rPr>
        <sz val="9"/>
        <color theme="1"/>
        <rFont val="Arial"/>
        <family val="2"/>
      </rPr>
      <t xml:space="preserve"> Vapor tight:</t>
    </r>
  </si>
  <si>
    <t>SR</t>
  </si>
  <si>
    <t>RR</t>
  </si>
  <si>
    <t>HR</t>
  </si>
  <si>
    <t>HRO</t>
  </si>
  <si>
    <t>HVO</t>
  </si>
  <si>
    <t>VV</t>
  </si>
  <si>
    <r>
      <t>vapor space volume (ft</t>
    </r>
    <r>
      <rPr>
        <vertAlign val="superscript"/>
        <sz val="9"/>
        <color theme="1"/>
        <rFont val="Arial"/>
        <family val="2"/>
      </rPr>
      <t>3</t>
    </r>
    <r>
      <rPr>
        <sz val="9"/>
        <color theme="1"/>
        <rFont val="Arial"/>
        <family val="2"/>
      </rPr>
      <t>)</t>
    </r>
  </si>
  <si>
    <t>αR</t>
  </si>
  <si>
    <t>αS</t>
  </si>
  <si>
    <t>PBP</t>
  </si>
  <si>
    <t>PBV</t>
  </si>
  <si>
    <t>ΔPB</t>
  </si>
  <si>
    <r>
      <t>P</t>
    </r>
    <r>
      <rPr>
        <vertAlign val="subscript"/>
        <sz val="9"/>
        <color theme="1"/>
        <rFont val="Arial"/>
        <family val="2"/>
      </rPr>
      <t>I</t>
    </r>
  </si>
  <si>
    <r>
      <t>P</t>
    </r>
    <r>
      <rPr>
        <vertAlign val="subscript"/>
        <sz val="9"/>
        <color theme="1"/>
        <rFont val="Arial"/>
        <family val="2"/>
      </rPr>
      <t>A</t>
    </r>
  </si>
  <si>
    <r>
      <t>T</t>
    </r>
    <r>
      <rPr>
        <vertAlign val="subscript"/>
        <sz val="9"/>
        <color theme="1"/>
        <rFont val="Arial"/>
        <family val="2"/>
      </rPr>
      <t>B</t>
    </r>
  </si>
  <si>
    <t>Enter general information</t>
  </si>
  <si>
    <t>Legend</t>
  </si>
  <si>
    <t>Error notification</t>
  </si>
  <si>
    <t>Enter vertical fixed roof 
tank dimensions and design parameters</t>
  </si>
  <si>
    <t>Tank subject Item ID (e.g. EQUI 1)</t>
  </si>
  <si>
    <r>
      <t>K</t>
    </r>
    <r>
      <rPr>
        <vertAlign val="subscript"/>
        <sz val="9"/>
        <color theme="1"/>
        <rFont val="Arial"/>
        <family val="2"/>
      </rPr>
      <t>P</t>
    </r>
    <r>
      <rPr>
        <sz val="9"/>
        <color theme="1"/>
        <rFont val="Arial"/>
        <family val="2"/>
      </rPr>
      <t xml:space="preserve"> defined in Eq 1-37</t>
    </r>
  </si>
  <si>
    <r>
      <t>K</t>
    </r>
    <r>
      <rPr>
        <vertAlign val="subscript"/>
        <sz val="9"/>
        <color theme="1"/>
        <rFont val="Arial"/>
        <family val="2"/>
      </rPr>
      <t xml:space="preserve">N </t>
    </r>
    <r>
      <rPr>
        <sz val="9"/>
        <color theme="1"/>
        <rFont val="Arial"/>
        <family val="2"/>
      </rPr>
      <t>defined in Eq. 1-35</t>
    </r>
  </si>
  <si>
    <r>
      <t>e.g. S</t>
    </r>
    <r>
      <rPr>
        <vertAlign val="subscript"/>
        <sz val="9"/>
        <color theme="1"/>
        <rFont val="Arial"/>
        <family val="2"/>
      </rPr>
      <t>R</t>
    </r>
    <r>
      <rPr>
        <sz val="9"/>
        <color theme="1"/>
        <rFont val="Arial"/>
        <family val="2"/>
      </rPr>
      <t xml:space="preserve"> approximated using standard value</t>
    </r>
  </si>
  <si>
    <r>
      <t>e.g. R</t>
    </r>
    <r>
      <rPr>
        <vertAlign val="subscript"/>
        <sz val="9"/>
        <color theme="1"/>
        <rFont val="Arial"/>
        <family val="2"/>
      </rPr>
      <t>R</t>
    </r>
    <r>
      <rPr>
        <sz val="9"/>
        <color theme="1"/>
        <rFont val="Arial"/>
        <family val="2"/>
      </rPr>
      <t xml:space="preserve"> approximated equivalent to D</t>
    </r>
  </si>
  <si>
    <r>
      <t>x</t>
    </r>
    <r>
      <rPr>
        <vertAlign val="subscript"/>
        <sz val="9"/>
        <color theme="1"/>
        <rFont val="Arial"/>
        <family val="2"/>
      </rPr>
      <t>i</t>
    </r>
    <r>
      <rPr>
        <sz val="9"/>
        <color theme="1"/>
        <rFont val="Arial"/>
        <family val="2"/>
      </rPr>
      <t xml:space="preserve"> = Liquid Mole Fraction, lb-mol/lb-mol</t>
    </r>
  </si>
  <si>
    <r>
      <t>M</t>
    </r>
    <r>
      <rPr>
        <vertAlign val="subscript"/>
        <sz val="9"/>
        <color theme="1"/>
        <rFont val="Arial"/>
        <family val="2"/>
      </rPr>
      <t>V</t>
    </r>
    <r>
      <rPr>
        <sz val="9"/>
        <color theme="1"/>
        <rFont val="Arial"/>
        <family val="2"/>
      </rPr>
      <t xml:space="preserve"> = Vapor Molecular Weight</t>
    </r>
  </si>
  <si>
    <r>
      <t>M</t>
    </r>
    <r>
      <rPr>
        <vertAlign val="subscript"/>
        <sz val="9"/>
        <color theme="1"/>
        <rFont val="Arial"/>
        <family val="2"/>
      </rPr>
      <t>L</t>
    </r>
    <r>
      <rPr>
        <sz val="9"/>
        <color theme="1"/>
        <rFont val="Arial"/>
        <family val="2"/>
      </rPr>
      <t xml:space="preserve"> = Liquid Molecular Weight, lb/lb-mol</t>
    </r>
  </si>
  <si>
    <r>
      <t>W</t>
    </r>
    <r>
      <rPr>
        <vertAlign val="subscript"/>
        <sz val="9"/>
        <color theme="1"/>
        <rFont val="Arial"/>
        <family val="2"/>
      </rPr>
      <t>L</t>
    </r>
    <r>
      <rPr>
        <sz val="9"/>
        <color theme="1"/>
        <rFont val="Arial"/>
        <family val="2"/>
      </rPr>
      <t xml:space="preserve"> = Liquid Density, lb/gal</t>
    </r>
  </si>
  <si>
    <r>
      <t>T</t>
    </r>
    <r>
      <rPr>
        <vertAlign val="subscript"/>
        <sz val="9"/>
        <color theme="1"/>
        <rFont val="Arial"/>
        <family val="2"/>
      </rPr>
      <t>AN</t>
    </r>
    <r>
      <rPr>
        <sz val="9"/>
        <color theme="1"/>
        <rFont val="Arial"/>
        <family val="2"/>
      </rPr>
      <t xml:space="preserve"> = estimated daily minimum ambient temperature, °F</t>
    </r>
  </si>
  <si>
    <r>
      <t>T</t>
    </r>
    <r>
      <rPr>
        <vertAlign val="subscript"/>
        <sz val="9"/>
        <color theme="1"/>
        <rFont val="Arial"/>
        <family val="2"/>
      </rPr>
      <t>AX</t>
    </r>
    <r>
      <rPr>
        <sz val="9"/>
        <color theme="1"/>
        <rFont val="Arial"/>
        <family val="2"/>
      </rPr>
      <t xml:space="preserve"> = estimated daily maximum ambient temperature, °F</t>
    </r>
  </si>
  <si>
    <r>
      <t>T</t>
    </r>
    <r>
      <rPr>
        <vertAlign val="subscript"/>
        <sz val="9"/>
        <color theme="1"/>
        <rFont val="Arial"/>
        <family val="2"/>
      </rPr>
      <t>AA</t>
    </r>
    <r>
      <rPr>
        <sz val="9"/>
        <color theme="1"/>
        <rFont val="Arial"/>
        <family val="2"/>
      </rPr>
      <t xml:space="preserve"> = average daily ambient temperature, °R</t>
    </r>
  </si>
  <si>
    <r>
      <t>°R, T</t>
    </r>
    <r>
      <rPr>
        <vertAlign val="subscript"/>
        <sz val="9"/>
        <color theme="1"/>
        <rFont val="Arial"/>
        <family val="2"/>
      </rPr>
      <t>AA</t>
    </r>
    <r>
      <rPr>
        <sz val="9"/>
        <color theme="1"/>
        <rFont val="Arial"/>
        <family val="2"/>
      </rPr>
      <t>= ((T</t>
    </r>
    <r>
      <rPr>
        <vertAlign val="subscript"/>
        <sz val="9"/>
        <color theme="1"/>
        <rFont val="Arial"/>
        <family val="2"/>
      </rPr>
      <t>AX</t>
    </r>
    <r>
      <rPr>
        <sz val="9"/>
        <color theme="1"/>
        <rFont val="Arial"/>
        <family val="2"/>
      </rPr>
      <t>+459.7)+(T</t>
    </r>
    <r>
      <rPr>
        <vertAlign val="subscript"/>
        <sz val="9"/>
        <color theme="1"/>
        <rFont val="Arial"/>
        <family val="2"/>
      </rPr>
      <t>AN</t>
    </r>
    <r>
      <rPr>
        <sz val="9"/>
        <color theme="1"/>
        <rFont val="Arial"/>
        <family val="2"/>
      </rPr>
      <t>+459.7))/2 (Eq. 1-30)</t>
    </r>
  </si>
  <si>
    <t>ΔTA=average daily ambient temperature range, °R</t>
  </si>
  <si>
    <r>
      <t>°R, ΔT</t>
    </r>
    <r>
      <rPr>
        <vertAlign val="subscript"/>
        <sz val="9"/>
        <color theme="1"/>
        <rFont val="Arial"/>
        <family val="2"/>
      </rPr>
      <t>A</t>
    </r>
    <r>
      <rPr>
        <sz val="9"/>
        <color theme="1"/>
        <rFont val="Arial"/>
        <family val="2"/>
      </rPr>
      <t>=(T</t>
    </r>
    <r>
      <rPr>
        <vertAlign val="subscript"/>
        <sz val="9"/>
        <color theme="1"/>
        <rFont val="Arial"/>
        <family val="2"/>
      </rPr>
      <t>AX</t>
    </r>
    <r>
      <rPr>
        <sz val="9"/>
        <color theme="1"/>
        <rFont val="Arial"/>
        <family val="2"/>
      </rPr>
      <t>+459.7)-(T</t>
    </r>
    <r>
      <rPr>
        <vertAlign val="subscript"/>
        <sz val="9"/>
        <color theme="1"/>
        <rFont val="Arial"/>
        <family val="2"/>
      </rPr>
      <t>AN</t>
    </r>
    <r>
      <rPr>
        <sz val="9"/>
        <color theme="1"/>
        <rFont val="Arial"/>
        <family val="2"/>
      </rPr>
      <t>+459.7) (Eq. 1-11)</t>
    </r>
  </si>
  <si>
    <r>
      <t>I = average daily total insolation factor, Btu/(ft</t>
    </r>
    <r>
      <rPr>
        <vertAlign val="superscript"/>
        <sz val="9"/>
        <color theme="1"/>
        <rFont val="Arial"/>
        <family val="2"/>
      </rPr>
      <t>2</t>
    </r>
    <r>
      <rPr>
        <sz val="9"/>
        <color theme="1"/>
        <rFont val="Arial"/>
        <family val="2"/>
      </rPr>
      <t>*day)</t>
    </r>
  </si>
  <si>
    <r>
      <t>Btu/(ft</t>
    </r>
    <r>
      <rPr>
        <vertAlign val="superscript"/>
        <sz val="9"/>
        <color theme="1"/>
        <rFont val="Arial"/>
        <family val="2"/>
      </rPr>
      <t>2</t>
    </r>
    <r>
      <rPr>
        <sz val="9"/>
        <color theme="1"/>
        <rFont val="Arial"/>
        <family val="2"/>
      </rPr>
      <t>*day)      (from Table 7.1-7)</t>
    </r>
  </si>
  <si>
    <r>
      <t>T</t>
    </r>
    <r>
      <rPr>
        <vertAlign val="subscript"/>
        <sz val="9"/>
        <color theme="1"/>
        <rFont val="Arial"/>
        <family val="2"/>
      </rPr>
      <t>B</t>
    </r>
    <r>
      <rPr>
        <sz val="9"/>
        <color theme="1"/>
        <rFont val="Arial"/>
        <family val="2"/>
      </rPr>
      <t xml:space="preserve"> = liquid bulk temperature, °R </t>
    </r>
  </si>
  <si>
    <r>
      <t>°R, T</t>
    </r>
    <r>
      <rPr>
        <vertAlign val="subscript"/>
        <sz val="9"/>
        <color theme="1"/>
        <rFont val="Arial"/>
        <family val="2"/>
      </rPr>
      <t>B</t>
    </r>
    <r>
      <rPr>
        <sz val="9"/>
        <color theme="1"/>
        <rFont val="Arial"/>
        <family val="2"/>
      </rPr>
      <t xml:space="preserve"> = T</t>
    </r>
    <r>
      <rPr>
        <vertAlign val="subscript"/>
        <sz val="9"/>
        <color theme="1"/>
        <rFont val="Arial"/>
        <family val="2"/>
      </rPr>
      <t>AA</t>
    </r>
    <r>
      <rPr>
        <sz val="9"/>
        <color theme="1"/>
        <rFont val="Arial"/>
        <family val="2"/>
      </rPr>
      <t xml:space="preserve"> + 0.003α</t>
    </r>
    <r>
      <rPr>
        <vertAlign val="subscript"/>
        <sz val="9"/>
        <color theme="1"/>
        <rFont val="Arial"/>
        <family val="2"/>
      </rPr>
      <t>s</t>
    </r>
    <r>
      <rPr>
        <sz val="9"/>
        <color theme="1"/>
        <rFont val="Arial"/>
        <family val="2"/>
      </rPr>
      <t>I      (Eq. 1-31)</t>
    </r>
  </si>
  <si>
    <r>
      <t>T</t>
    </r>
    <r>
      <rPr>
        <vertAlign val="subscript"/>
        <sz val="9"/>
        <color theme="1"/>
        <rFont val="Arial"/>
        <family val="2"/>
      </rPr>
      <t>LA</t>
    </r>
    <r>
      <rPr>
        <sz val="9"/>
        <color theme="1"/>
        <rFont val="Arial"/>
        <family val="2"/>
      </rPr>
      <t xml:space="preserve"> = estimated average daily liquid surface temperature, °R </t>
    </r>
  </si>
  <si>
    <r>
      <t>°R, Eq. 1-27,1-29, or T</t>
    </r>
    <r>
      <rPr>
        <vertAlign val="subscript"/>
        <sz val="9"/>
        <color theme="1"/>
        <rFont val="Arial"/>
        <family val="2"/>
      </rPr>
      <t>LA</t>
    </r>
    <r>
      <rPr>
        <sz val="9"/>
        <color theme="1"/>
        <rFont val="Arial"/>
        <family val="2"/>
      </rPr>
      <t>=T</t>
    </r>
    <r>
      <rPr>
        <vertAlign val="subscript"/>
        <sz val="9"/>
        <color theme="1"/>
        <rFont val="Arial"/>
        <family val="2"/>
      </rPr>
      <t>B</t>
    </r>
    <r>
      <rPr>
        <sz val="9"/>
        <color theme="1"/>
        <rFont val="Arial"/>
        <family val="2"/>
      </rPr>
      <t xml:space="preserve"> for for fully insulated</t>
    </r>
  </si>
  <si>
    <r>
      <t>T</t>
    </r>
    <r>
      <rPr>
        <vertAlign val="subscript"/>
        <sz val="9"/>
        <color theme="1"/>
        <rFont val="Arial"/>
        <family val="2"/>
      </rPr>
      <t>LA</t>
    </r>
    <r>
      <rPr>
        <sz val="9"/>
        <color theme="1"/>
        <rFont val="Arial"/>
        <family val="2"/>
      </rPr>
      <t>, °F</t>
    </r>
  </si>
  <si>
    <r>
      <t>T</t>
    </r>
    <r>
      <rPr>
        <vertAlign val="subscript"/>
        <sz val="9"/>
        <color theme="1"/>
        <rFont val="Arial"/>
        <family val="2"/>
      </rPr>
      <t>LA</t>
    </r>
    <r>
      <rPr>
        <sz val="9"/>
        <color theme="1"/>
        <rFont val="Arial"/>
        <family val="2"/>
      </rPr>
      <t>, °C</t>
    </r>
  </si>
  <si>
    <r>
      <t>T</t>
    </r>
    <r>
      <rPr>
        <vertAlign val="subscript"/>
        <sz val="9"/>
        <color theme="1"/>
        <rFont val="Arial"/>
        <family val="2"/>
      </rPr>
      <t>LX</t>
    </r>
    <r>
      <rPr>
        <sz val="9"/>
        <color theme="1"/>
        <rFont val="Arial"/>
        <family val="2"/>
      </rPr>
      <t>, °R</t>
    </r>
  </si>
  <si>
    <r>
      <t xml:space="preserve"> °R, T</t>
    </r>
    <r>
      <rPr>
        <vertAlign val="subscript"/>
        <sz val="9"/>
        <color theme="1"/>
        <rFont val="Arial"/>
        <family val="2"/>
      </rPr>
      <t>LX</t>
    </r>
    <r>
      <rPr>
        <sz val="9"/>
        <color theme="1"/>
        <rFont val="Arial"/>
        <family val="2"/>
      </rPr>
      <t>= T</t>
    </r>
    <r>
      <rPr>
        <vertAlign val="subscript"/>
        <sz val="9"/>
        <color theme="1"/>
        <rFont val="Arial"/>
        <family val="2"/>
      </rPr>
      <t xml:space="preserve">LA </t>
    </r>
    <r>
      <rPr>
        <sz val="9"/>
        <color theme="1"/>
        <rFont val="Arial"/>
        <family val="2"/>
      </rPr>
      <t>+ 0.25*ΔTv</t>
    </r>
  </si>
  <si>
    <r>
      <t>T</t>
    </r>
    <r>
      <rPr>
        <vertAlign val="subscript"/>
        <sz val="9"/>
        <color theme="1"/>
        <rFont val="Arial"/>
        <family val="2"/>
      </rPr>
      <t>LX</t>
    </r>
    <r>
      <rPr>
        <sz val="9"/>
        <color theme="1"/>
        <rFont val="Arial"/>
        <family val="2"/>
      </rPr>
      <t>, °C</t>
    </r>
  </si>
  <si>
    <r>
      <t>T</t>
    </r>
    <r>
      <rPr>
        <vertAlign val="subscript"/>
        <sz val="9"/>
        <color theme="1"/>
        <rFont val="Arial"/>
        <family val="2"/>
      </rPr>
      <t>LN</t>
    </r>
    <r>
      <rPr>
        <sz val="9"/>
        <color theme="1"/>
        <rFont val="Arial"/>
        <family val="2"/>
      </rPr>
      <t>, °R</t>
    </r>
  </si>
  <si>
    <r>
      <t>°R, T</t>
    </r>
    <r>
      <rPr>
        <vertAlign val="subscript"/>
        <sz val="9"/>
        <color theme="1"/>
        <rFont val="Arial"/>
        <family val="2"/>
      </rPr>
      <t>LN</t>
    </r>
    <r>
      <rPr>
        <sz val="9"/>
        <color theme="1"/>
        <rFont val="Arial"/>
        <family val="2"/>
      </rPr>
      <t>= T</t>
    </r>
    <r>
      <rPr>
        <vertAlign val="subscript"/>
        <sz val="9"/>
        <color theme="1"/>
        <rFont val="Arial"/>
        <family val="2"/>
      </rPr>
      <t xml:space="preserve">LA </t>
    </r>
    <r>
      <rPr>
        <sz val="9"/>
        <color theme="1"/>
        <rFont val="Arial"/>
        <family val="2"/>
      </rPr>
      <t>- 0.25*ΔTv</t>
    </r>
  </si>
  <si>
    <r>
      <t>T</t>
    </r>
    <r>
      <rPr>
        <vertAlign val="subscript"/>
        <sz val="9"/>
        <color theme="1"/>
        <rFont val="Arial"/>
        <family val="2"/>
      </rPr>
      <t>LN</t>
    </r>
    <r>
      <rPr>
        <sz val="9"/>
        <color theme="1"/>
        <rFont val="Arial"/>
        <family val="2"/>
      </rPr>
      <t>, °C</t>
    </r>
  </si>
  <si>
    <r>
      <t>T</t>
    </r>
    <r>
      <rPr>
        <vertAlign val="subscript"/>
        <sz val="9"/>
        <color theme="1"/>
        <rFont val="Arial"/>
        <family val="2"/>
      </rPr>
      <t>V</t>
    </r>
    <r>
      <rPr>
        <sz val="9"/>
        <color theme="1"/>
        <rFont val="Arial"/>
        <family val="2"/>
      </rPr>
      <t xml:space="preserve"> = average vapor temperature, °R </t>
    </r>
  </si>
  <si>
    <r>
      <t>°R, Eq. 1-32, 1-34, or T</t>
    </r>
    <r>
      <rPr>
        <vertAlign val="subscript"/>
        <sz val="9"/>
        <color theme="1"/>
        <rFont val="Arial"/>
        <family val="2"/>
      </rPr>
      <t>V</t>
    </r>
    <r>
      <rPr>
        <sz val="9"/>
        <color theme="1"/>
        <rFont val="Arial"/>
        <family val="2"/>
      </rPr>
      <t xml:space="preserve"> = T</t>
    </r>
    <r>
      <rPr>
        <vertAlign val="subscript"/>
        <sz val="9"/>
        <color theme="1"/>
        <rFont val="Arial"/>
        <family val="2"/>
      </rPr>
      <t>B</t>
    </r>
    <r>
      <rPr>
        <sz val="9"/>
        <color theme="1"/>
        <rFont val="Arial"/>
        <family val="2"/>
      </rPr>
      <t xml:space="preserve"> for fully insulated</t>
    </r>
  </si>
  <si>
    <r>
      <t>psia, Partial Pressure at T</t>
    </r>
    <r>
      <rPr>
        <vertAlign val="subscript"/>
        <sz val="9"/>
        <color theme="1"/>
        <rFont val="Arial"/>
        <family val="2"/>
      </rPr>
      <t>LA</t>
    </r>
    <r>
      <rPr>
        <sz val="9"/>
        <color theme="1"/>
        <rFont val="Arial"/>
        <family val="2"/>
      </rPr>
      <t xml:space="preserve"> = exp(A - (B/T</t>
    </r>
    <r>
      <rPr>
        <vertAlign val="subscript"/>
        <sz val="9"/>
        <color theme="1"/>
        <rFont val="Arial"/>
        <family val="2"/>
      </rPr>
      <t>LA</t>
    </r>
    <r>
      <rPr>
        <sz val="9"/>
        <color theme="1"/>
        <rFont val="Arial"/>
        <family val="2"/>
      </rPr>
      <t>, °R)) * x</t>
    </r>
    <r>
      <rPr>
        <vertAlign val="subscript"/>
        <sz val="9"/>
        <color theme="1"/>
        <rFont val="Arial"/>
        <family val="2"/>
      </rPr>
      <t>i</t>
    </r>
    <r>
      <rPr>
        <sz val="9"/>
        <color theme="1"/>
        <rFont val="Arial"/>
        <family val="2"/>
      </rPr>
      <t xml:space="preserve">      (Eqs. 1-25 and 40-3)</t>
    </r>
  </si>
  <si>
    <r>
      <t>psia, Partial Pressure at T</t>
    </r>
    <r>
      <rPr>
        <vertAlign val="subscript"/>
        <sz val="9"/>
        <color theme="1"/>
        <rFont val="Arial"/>
        <family val="2"/>
      </rPr>
      <t>LN</t>
    </r>
    <r>
      <rPr>
        <sz val="9"/>
        <color theme="1"/>
        <rFont val="Arial"/>
        <family val="2"/>
      </rPr>
      <t>= exp(A - (B/T</t>
    </r>
    <r>
      <rPr>
        <vertAlign val="subscript"/>
        <sz val="9"/>
        <color theme="1"/>
        <rFont val="Arial"/>
        <family val="2"/>
      </rPr>
      <t>LN</t>
    </r>
    <r>
      <rPr>
        <sz val="9"/>
        <color theme="1"/>
        <rFont val="Arial"/>
        <family val="2"/>
      </rPr>
      <t xml:space="preserve">, °R)) * xi </t>
    </r>
  </si>
  <si>
    <r>
      <t>psia, Partial Pressure at T</t>
    </r>
    <r>
      <rPr>
        <vertAlign val="subscript"/>
        <sz val="9"/>
        <color theme="1"/>
        <rFont val="Arial"/>
        <family val="2"/>
      </rPr>
      <t>LX</t>
    </r>
    <r>
      <rPr>
        <sz val="9"/>
        <color theme="1"/>
        <rFont val="Arial"/>
        <family val="2"/>
      </rPr>
      <t xml:space="preserve"> to mmHg conversion = exp(A - (B/T</t>
    </r>
    <r>
      <rPr>
        <vertAlign val="subscript"/>
        <sz val="9"/>
        <color theme="1"/>
        <rFont val="Arial"/>
        <family val="2"/>
      </rPr>
      <t>LX</t>
    </r>
    <r>
      <rPr>
        <sz val="9"/>
        <color theme="1"/>
        <rFont val="Arial"/>
        <family val="2"/>
      </rPr>
      <t xml:space="preserve">, °R)) * xi </t>
    </r>
  </si>
  <si>
    <r>
      <t>10^(A - (B/((T</t>
    </r>
    <r>
      <rPr>
        <vertAlign val="subscript"/>
        <sz val="9"/>
        <color theme="1"/>
        <rFont val="Arial"/>
        <family val="2"/>
      </rPr>
      <t>LA</t>
    </r>
    <r>
      <rPr>
        <sz val="9"/>
        <color theme="1"/>
        <rFont val="Arial"/>
        <family val="2"/>
      </rPr>
      <t>, °C) + C))) * x</t>
    </r>
    <r>
      <rPr>
        <vertAlign val="subscript"/>
        <sz val="9"/>
        <color theme="1"/>
        <rFont val="Arial"/>
        <family val="2"/>
      </rPr>
      <t>i</t>
    </r>
    <r>
      <rPr>
        <sz val="9"/>
        <color theme="1"/>
        <rFont val="Arial"/>
        <family val="2"/>
      </rPr>
      <t xml:space="preserve">     (Eqs. 1-26 and 40-3)</t>
    </r>
  </si>
  <si>
    <r>
      <t>10^(A - (B/((T</t>
    </r>
    <r>
      <rPr>
        <vertAlign val="subscript"/>
        <sz val="9"/>
        <color theme="1"/>
        <rFont val="Arial"/>
        <family val="2"/>
      </rPr>
      <t>LN</t>
    </r>
    <r>
      <rPr>
        <sz val="9"/>
        <color theme="1"/>
        <rFont val="Arial"/>
        <family val="2"/>
      </rPr>
      <t xml:space="preserve">, °C) + C))) * xi   </t>
    </r>
  </si>
  <si>
    <r>
      <t>10^(A - (B/((T</t>
    </r>
    <r>
      <rPr>
        <vertAlign val="subscript"/>
        <sz val="9"/>
        <color theme="1"/>
        <rFont val="Arial"/>
        <family val="2"/>
      </rPr>
      <t>LX</t>
    </r>
    <r>
      <rPr>
        <sz val="9"/>
        <color theme="1"/>
        <rFont val="Arial"/>
        <family val="2"/>
      </rPr>
      <t xml:space="preserve">, °C) + C))) * xi   </t>
    </r>
  </si>
  <si>
    <r>
      <t>True vapor pressure, mmHg, P</t>
    </r>
    <r>
      <rPr>
        <vertAlign val="subscript"/>
        <sz val="9"/>
        <color theme="1"/>
        <rFont val="Arial"/>
        <family val="2"/>
      </rPr>
      <t>VA</t>
    </r>
  </si>
  <si>
    <r>
      <t>P</t>
    </r>
    <r>
      <rPr>
        <vertAlign val="subscript"/>
        <sz val="9"/>
        <color theme="1"/>
        <rFont val="Arial"/>
        <family val="2"/>
      </rPr>
      <t>VA</t>
    </r>
    <r>
      <rPr>
        <sz val="9"/>
        <color theme="1"/>
        <rFont val="Arial"/>
        <family val="2"/>
      </rPr>
      <t xml:space="preserve"> = SUM(Px</t>
    </r>
    <r>
      <rPr>
        <vertAlign val="subscript"/>
        <sz val="9"/>
        <color theme="1"/>
        <rFont val="Arial"/>
        <family val="2"/>
      </rPr>
      <t>i</t>
    </r>
    <r>
      <rPr>
        <sz val="9"/>
        <color theme="1"/>
        <rFont val="Arial"/>
        <family val="2"/>
      </rPr>
      <t>)      (Eq. 1-24)</t>
    </r>
  </si>
  <si>
    <r>
      <t>True vapor pressure, psia, P</t>
    </r>
    <r>
      <rPr>
        <vertAlign val="subscript"/>
        <sz val="9"/>
        <color theme="1"/>
        <rFont val="Arial"/>
        <family val="2"/>
      </rPr>
      <t>VA</t>
    </r>
  </si>
  <si>
    <r>
      <t>P</t>
    </r>
    <r>
      <rPr>
        <vertAlign val="subscript"/>
        <sz val="9"/>
        <color theme="1"/>
        <rFont val="Arial"/>
        <family val="2"/>
      </rPr>
      <t>A</t>
    </r>
    <r>
      <rPr>
        <sz val="9"/>
        <color theme="1"/>
        <rFont val="Arial"/>
        <family val="2"/>
      </rPr>
      <t xml:space="preserve"> = Average atmospheric pressure, psia</t>
    </r>
  </si>
  <si>
    <r>
      <t>p*= '(P</t>
    </r>
    <r>
      <rPr>
        <vertAlign val="subscript"/>
        <sz val="9"/>
        <color theme="1"/>
        <rFont val="Arial"/>
        <family val="2"/>
      </rPr>
      <t>VA</t>
    </r>
    <r>
      <rPr>
        <sz val="9"/>
        <color theme="1"/>
        <rFont val="Arial"/>
        <family val="2"/>
      </rPr>
      <t xml:space="preserve"> / P</t>
    </r>
    <r>
      <rPr>
        <vertAlign val="subscript"/>
        <sz val="9"/>
        <color theme="1"/>
        <rFont val="Arial"/>
        <family val="2"/>
      </rPr>
      <t>A</t>
    </r>
    <r>
      <rPr>
        <sz val="9"/>
        <color theme="1"/>
        <rFont val="Arial"/>
        <family val="2"/>
      </rPr>
      <t>) / (1 + (1 - (P</t>
    </r>
    <r>
      <rPr>
        <vertAlign val="subscript"/>
        <sz val="9"/>
        <color theme="1"/>
        <rFont val="Arial"/>
        <family val="2"/>
      </rPr>
      <t>VA</t>
    </r>
    <r>
      <rPr>
        <sz val="9"/>
        <color theme="1"/>
        <rFont val="Arial"/>
        <family val="2"/>
      </rPr>
      <t xml:space="preserve"> / P</t>
    </r>
    <r>
      <rPr>
        <vertAlign val="subscript"/>
        <sz val="9"/>
        <color theme="1"/>
        <rFont val="Arial"/>
        <family val="2"/>
      </rPr>
      <t>A</t>
    </r>
    <r>
      <rPr>
        <sz val="9"/>
        <color theme="1"/>
        <rFont val="Arial"/>
        <family val="2"/>
      </rPr>
      <t>))</t>
    </r>
    <r>
      <rPr>
        <vertAlign val="superscript"/>
        <sz val="9"/>
        <color theme="1"/>
        <rFont val="Arial"/>
        <family val="2"/>
      </rPr>
      <t>0.5</t>
    </r>
    <r>
      <rPr>
        <sz val="9"/>
        <color theme="1"/>
        <rFont val="Arial"/>
        <family val="2"/>
      </rPr>
      <t>)</t>
    </r>
    <r>
      <rPr>
        <vertAlign val="superscript"/>
        <sz val="9"/>
        <color theme="1"/>
        <rFont val="Arial"/>
        <family val="2"/>
      </rPr>
      <t>2</t>
    </r>
    <r>
      <rPr>
        <sz val="9"/>
        <color theme="1"/>
        <rFont val="Arial"/>
        <family val="2"/>
      </rPr>
      <t xml:space="preserve">      (Eq. 2-4)</t>
    </r>
  </si>
  <si>
    <r>
      <t>psia, ΔP</t>
    </r>
    <r>
      <rPr>
        <vertAlign val="subscript"/>
        <sz val="9"/>
        <color theme="1"/>
        <rFont val="Arial"/>
        <family val="2"/>
      </rPr>
      <t>v</t>
    </r>
    <r>
      <rPr>
        <sz val="9"/>
        <color theme="1"/>
        <rFont val="Arial"/>
        <family val="2"/>
      </rPr>
      <t>=P</t>
    </r>
    <r>
      <rPr>
        <vertAlign val="subscript"/>
        <sz val="9"/>
        <color theme="1"/>
        <rFont val="Arial"/>
        <family val="2"/>
      </rPr>
      <t>VX</t>
    </r>
    <r>
      <rPr>
        <sz val="9"/>
        <color theme="1"/>
        <rFont val="Arial"/>
        <family val="2"/>
      </rPr>
      <t>-P</t>
    </r>
    <r>
      <rPr>
        <vertAlign val="subscript"/>
        <sz val="9"/>
        <color theme="1"/>
        <rFont val="Arial"/>
        <family val="2"/>
      </rPr>
      <t xml:space="preserve">VN </t>
    </r>
    <r>
      <rPr>
        <sz val="9"/>
        <color theme="1"/>
        <rFont val="Arial"/>
        <family val="2"/>
      </rPr>
      <t>(Eq. 1-9)</t>
    </r>
  </si>
  <si>
    <r>
      <t>P</t>
    </r>
    <r>
      <rPr>
        <vertAlign val="subscript"/>
        <sz val="9"/>
        <color theme="1"/>
        <rFont val="Arial"/>
        <family val="2"/>
      </rPr>
      <t>VN</t>
    </r>
    <r>
      <rPr>
        <sz val="9"/>
        <color theme="1"/>
        <rFont val="Arial"/>
        <family val="2"/>
      </rPr>
      <t>=vapor pressure at the average daily min. liquid surface temperature, psia</t>
    </r>
  </si>
  <si>
    <r>
      <t>P</t>
    </r>
    <r>
      <rPr>
        <vertAlign val="subscript"/>
        <sz val="9"/>
        <color theme="1"/>
        <rFont val="Arial"/>
        <family val="2"/>
      </rPr>
      <t xml:space="preserve">VN </t>
    </r>
    <r>
      <rPr>
        <sz val="9"/>
        <color theme="1"/>
        <rFont val="Arial"/>
        <family val="2"/>
      </rPr>
      <t>= vapor pressure at the average daily minimum liquid surface temperature</t>
    </r>
  </si>
  <si>
    <r>
      <t>P</t>
    </r>
    <r>
      <rPr>
        <vertAlign val="subscript"/>
        <sz val="9"/>
        <color theme="1"/>
        <rFont val="Arial"/>
        <family val="2"/>
      </rPr>
      <t>VX</t>
    </r>
    <r>
      <rPr>
        <sz val="9"/>
        <color theme="1"/>
        <rFont val="Arial"/>
        <family val="2"/>
      </rPr>
      <t>=vapor pressure at the average daily max. liquid surface temperature, psia</t>
    </r>
  </si>
  <si>
    <r>
      <t>P</t>
    </r>
    <r>
      <rPr>
        <vertAlign val="subscript"/>
        <sz val="9"/>
        <color theme="1"/>
        <rFont val="Arial"/>
        <family val="2"/>
      </rPr>
      <t>VX</t>
    </r>
    <r>
      <rPr>
        <sz val="9"/>
        <color theme="1"/>
        <rFont val="Arial"/>
        <family val="2"/>
      </rPr>
      <t xml:space="preserve"> = vapor pressure at the average daily maximum liquid surface temperature</t>
    </r>
  </si>
  <si>
    <r>
      <t>lb-mol/lb-mol, y</t>
    </r>
    <r>
      <rPr>
        <vertAlign val="subscript"/>
        <sz val="9"/>
        <color theme="1"/>
        <rFont val="Arial"/>
        <family val="2"/>
      </rPr>
      <t>i</t>
    </r>
    <r>
      <rPr>
        <sz val="9"/>
        <color theme="1"/>
        <rFont val="Arial"/>
        <family val="2"/>
      </rPr>
      <t xml:space="preserve"> = P</t>
    </r>
    <r>
      <rPr>
        <vertAlign val="subscript"/>
        <sz val="9"/>
        <color theme="1"/>
        <rFont val="Arial"/>
        <family val="2"/>
      </rPr>
      <t>i</t>
    </r>
    <r>
      <rPr>
        <sz val="9"/>
        <color theme="1"/>
        <rFont val="Arial"/>
        <family val="2"/>
      </rPr>
      <t xml:space="preserve"> / P</t>
    </r>
    <r>
      <rPr>
        <vertAlign val="subscript"/>
        <sz val="9"/>
        <color theme="1"/>
        <rFont val="Arial"/>
        <family val="2"/>
      </rPr>
      <t>VA</t>
    </r>
    <r>
      <rPr>
        <sz val="9"/>
        <color theme="1"/>
        <rFont val="Arial"/>
        <family val="2"/>
      </rPr>
      <t xml:space="preserve">      (Eq. 40-5)</t>
    </r>
  </si>
  <si>
    <r>
      <t>M</t>
    </r>
    <r>
      <rPr>
        <vertAlign val="subscript"/>
        <sz val="9"/>
        <color theme="1"/>
        <rFont val="Arial"/>
        <family val="2"/>
      </rPr>
      <t>V</t>
    </r>
    <r>
      <rPr>
        <sz val="9"/>
        <color theme="1"/>
        <rFont val="Arial"/>
        <family val="2"/>
      </rPr>
      <t xml:space="preserve"> = Vapor Molecular Weight of the Mixture, lb/lb-mol</t>
    </r>
  </si>
  <si>
    <r>
      <t>lb/lb-mol, M</t>
    </r>
    <r>
      <rPr>
        <vertAlign val="subscript"/>
        <sz val="9"/>
        <color theme="1"/>
        <rFont val="Arial"/>
        <family val="2"/>
      </rPr>
      <t>v</t>
    </r>
    <r>
      <rPr>
        <sz val="9"/>
        <color theme="1"/>
        <rFont val="Arial"/>
        <family val="2"/>
      </rPr>
      <t xml:space="preserve"> = SUM(M</t>
    </r>
    <r>
      <rPr>
        <vertAlign val="subscript"/>
        <sz val="9"/>
        <color theme="1"/>
        <rFont val="Arial"/>
        <family val="2"/>
      </rPr>
      <t>i</t>
    </r>
    <r>
      <rPr>
        <sz val="9"/>
        <color theme="1"/>
        <rFont val="Arial"/>
        <family val="2"/>
      </rPr>
      <t>y</t>
    </r>
    <r>
      <rPr>
        <vertAlign val="subscript"/>
        <sz val="9"/>
        <color theme="1"/>
        <rFont val="Arial"/>
        <family val="2"/>
      </rPr>
      <t>i</t>
    </r>
    <r>
      <rPr>
        <sz val="9"/>
        <color theme="1"/>
        <rFont val="Arial"/>
        <family val="2"/>
      </rPr>
      <t>)      (Eq. 1-23)</t>
    </r>
  </si>
  <si>
    <r>
      <t>M</t>
    </r>
    <r>
      <rPr>
        <vertAlign val="subscript"/>
        <sz val="9"/>
        <color theme="1"/>
        <rFont val="Arial"/>
        <family val="2"/>
      </rPr>
      <t xml:space="preserve">Vi </t>
    </r>
    <r>
      <rPr>
        <sz val="9"/>
        <color theme="1"/>
        <rFont val="Arial"/>
        <family val="2"/>
      </rPr>
      <t>= Vapor Molecular Weight of component, lb/lb-mol</t>
    </r>
  </si>
  <si>
    <r>
      <t>lb/lb, Z</t>
    </r>
    <r>
      <rPr>
        <vertAlign val="subscript"/>
        <sz val="9"/>
        <color theme="1"/>
        <rFont val="Arial"/>
        <family val="2"/>
      </rPr>
      <t>vi</t>
    </r>
    <r>
      <rPr>
        <sz val="9"/>
        <color theme="1"/>
        <rFont val="Arial"/>
        <family val="2"/>
      </rPr>
      <t xml:space="preserve"> = (y</t>
    </r>
    <r>
      <rPr>
        <vertAlign val="subscript"/>
        <sz val="9"/>
        <color theme="1"/>
        <rFont val="Arial"/>
        <family val="2"/>
      </rPr>
      <t>i</t>
    </r>
    <r>
      <rPr>
        <sz val="9"/>
        <color theme="1"/>
        <rFont val="Arial"/>
        <family val="2"/>
      </rPr>
      <t xml:space="preserve"> * M</t>
    </r>
    <r>
      <rPr>
        <vertAlign val="subscript"/>
        <sz val="9"/>
        <color theme="1"/>
        <rFont val="Arial"/>
        <family val="2"/>
      </rPr>
      <t>i</t>
    </r>
    <r>
      <rPr>
        <sz val="9"/>
        <color theme="1"/>
        <rFont val="Arial"/>
        <family val="2"/>
      </rPr>
      <t>) / M</t>
    </r>
    <r>
      <rPr>
        <vertAlign val="subscript"/>
        <sz val="9"/>
        <color theme="1"/>
        <rFont val="Arial"/>
        <family val="2"/>
      </rPr>
      <t>V</t>
    </r>
    <r>
      <rPr>
        <sz val="9"/>
        <color theme="1"/>
        <rFont val="Arial"/>
        <family val="2"/>
      </rPr>
      <t xml:space="preserve">  (Eq. 40-6)</t>
    </r>
  </si>
  <si>
    <r>
      <t>K</t>
    </r>
    <r>
      <rPr>
        <vertAlign val="subscript"/>
        <sz val="9"/>
        <color theme="1"/>
        <rFont val="Arial"/>
        <family val="2"/>
      </rPr>
      <t xml:space="preserve">E </t>
    </r>
    <r>
      <rPr>
        <sz val="9"/>
        <color theme="1"/>
        <rFont val="Arial"/>
        <family val="2"/>
      </rPr>
      <t>= vapor space expansion factor, per day</t>
    </r>
  </si>
  <si>
    <r>
      <t>K</t>
    </r>
    <r>
      <rPr>
        <vertAlign val="subscript"/>
        <sz val="9"/>
        <color theme="1"/>
        <rFont val="Arial"/>
        <family val="2"/>
      </rPr>
      <t>E</t>
    </r>
    <r>
      <rPr>
        <sz val="9"/>
        <color theme="1"/>
        <rFont val="Arial"/>
        <family val="2"/>
      </rPr>
      <t>= (ΔT</t>
    </r>
    <r>
      <rPr>
        <vertAlign val="subscript"/>
        <sz val="9"/>
        <color theme="1"/>
        <rFont val="Arial"/>
        <family val="2"/>
      </rPr>
      <t>v</t>
    </r>
    <r>
      <rPr>
        <sz val="9"/>
        <color theme="1"/>
        <rFont val="Arial"/>
        <family val="2"/>
      </rPr>
      <t>/T</t>
    </r>
    <r>
      <rPr>
        <vertAlign val="subscript"/>
        <sz val="9"/>
        <color theme="1"/>
        <rFont val="Arial"/>
        <family val="2"/>
      </rPr>
      <t>LA</t>
    </r>
    <r>
      <rPr>
        <sz val="9"/>
        <color theme="1"/>
        <rFont val="Arial"/>
        <family val="2"/>
      </rPr>
      <t>)+((ΔP</t>
    </r>
    <r>
      <rPr>
        <vertAlign val="subscript"/>
        <sz val="9"/>
        <color theme="1"/>
        <rFont val="Arial"/>
        <family val="2"/>
      </rPr>
      <t>v</t>
    </r>
    <r>
      <rPr>
        <sz val="9"/>
        <color theme="1"/>
        <rFont val="Arial"/>
        <family val="2"/>
      </rPr>
      <t>-ΔP</t>
    </r>
    <r>
      <rPr>
        <vertAlign val="subscript"/>
        <sz val="9"/>
        <color theme="1"/>
        <rFont val="Arial"/>
        <family val="2"/>
      </rPr>
      <t>B</t>
    </r>
    <r>
      <rPr>
        <sz val="9"/>
        <color theme="1"/>
        <rFont val="Arial"/>
        <family val="2"/>
      </rPr>
      <t>)/(P</t>
    </r>
    <r>
      <rPr>
        <vertAlign val="subscript"/>
        <sz val="9"/>
        <color theme="1"/>
        <rFont val="Arial"/>
        <family val="2"/>
      </rPr>
      <t>A</t>
    </r>
    <r>
      <rPr>
        <sz val="9"/>
        <color theme="1"/>
        <rFont val="Arial"/>
        <family val="2"/>
      </rPr>
      <t>-P</t>
    </r>
    <r>
      <rPr>
        <vertAlign val="subscript"/>
        <sz val="9"/>
        <color theme="1"/>
        <rFont val="Arial"/>
        <family val="2"/>
      </rPr>
      <t>VA</t>
    </r>
    <r>
      <rPr>
        <sz val="9"/>
        <color theme="1"/>
        <rFont val="Arial"/>
        <family val="2"/>
      </rPr>
      <t>)) (Eq. 1-5)</t>
    </r>
  </si>
  <si>
    <r>
      <t>K</t>
    </r>
    <r>
      <rPr>
        <vertAlign val="subscript"/>
        <sz val="9"/>
        <color theme="1"/>
        <rFont val="Arial"/>
        <family val="2"/>
      </rPr>
      <t>S</t>
    </r>
    <r>
      <rPr>
        <sz val="9"/>
        <color theme="1"/>
        <rFont val="Arial"/>
        <family val="2"/>
      </rPr>
      <t xml:space="preserve"> = vented vapor saturation factor, dimensionless</t>
    </r>
  </si>
  <si>
    <r>
      <t>K</t>
    </r>
    <r>
      <rPr>
        <vertAlign val="subscript"/>
        <sz val="9"/>
        <color theme="1"/>
        <rFont val="Arial"/>
        <family val="2"/>
      </rPr>
      <t>S</t>
    </r>
    <r>
      <rPr>
        <sz val="9"/>
        <color theme="1"/>
        <rFont val="Arial"/>
        <family val="2"/>
      </rPr>
      <t xml:space="preserve"> = 1/(1+0.053*P</t>
    </r>
    <r>
      <rPr>
        <vertAlign val="subscript"/>
        <sz val="9"/>
        <color theme="1"/>
        <rFont val="Arial"/>
        <family val="2"/>
      </rPr>
      <t>VA</t>
    </r>
    <r>
      <rPr>
        <sz val="9"/>
        <color theme="1"/>
        <rFont val="Arial"/>
        <family val="2"/>
      </rPr>
      <t>*H</t>
    </r>
    <r>
      <rPr>
        <vertAlign val="subscript"/>
        <sz val="9"/>
        <color theme="1"/>
        <rFont val="Arial"/>
        <family val="2"/>
      </rPr>
      <t>VO</t>
    </r>
    <r>
      <rPr>
        <sz val="9"/>
        <color theme="1"/>
        <rFont val="Arial"/>
        <family val="2"/>
      </rPr>
      <t>) (Eq. 1-21)</t>
    </r>
  </si>
  <si>
    <r>
      <t>W</t>
    </r>
    <r>
      <rPr>
        <vertAlign val="subscript"/>
        <sz val="9"/>
        <color theme="1"/>
        <rFont val="Arial"/>
        <family val="2"/>
      </rPr>
      <t>V</t>
    </r>
    <r>
      <rPr>
        <sz val="9"/>
        <color theme="1"/>
        <rFont val="Arial"/>
        <family val="2"/>
      </rPr>
      <t xml:space="preserve"> = vapor density, lb/ft</t>
    </r>
    <r>
      <rPr>
        <vertAlign val="superscript"/>
        <sz val="9"/>
        <color theme="1"/>
        <rFont val="Arial"/>
        <family val="2"/>
      </rPr>
      <t>3</t>
    </r>
  </si>
  <si>
    <r>
      <t>W</t>
    </r>
    <r>
      <rPr>
        <vertAlign val="subscript"/>
        <sz val="9"/>
        <color theme="1"/>
        <rFont val="Arial"/>
        <family val="2"/>
      </rPr>
      <t>V</t>
    </r>
    <r>
      <rPr>
        <sz val="9"/>
        <color theme="1"/>
        <rFont val="Arial"/>
        <family val="2"/>
      </rPr>
      <t>= (M</t>
    </r>
    <r>
      <rPr>
        <vertAlign val="subscript"/>
        <sz val="9"/>
        <color theme="1"/>
        <rFont val="Arial"/>
        <family val="2"/>
      </rPr>
      <t>V</t>
    </r>
    <r>
      <rPr>
        <sz val="9"/>
        <color theme="1"/>
        <rFont val="Arial"/>
        <family val="2"/>
      </rPr>
      <t>*P</t>
    </r>
    <r>
      <rPr>
        <vertAlign val="subscript"/>
        <sz val="9"/>
        <color theme="1"/>
        <rFont val="Arial"/>
        <family val="2"/>
      </rPr>
      <t>VA</t>
    </r>
    <r>
      <rPr>
        <sz val="9"/>
        <color theme="1"/>
        <rFont val="Arial"/>
        <family val="2"/>
      </rPr>
      <t>)/(10.731*T</t>
    </r>
    <r>
      <rPr>
        <vertAlign val="subscript"/>
        <sz val="9"/>
        <color theme="1"/>
        <rFont val="Arial"/>
        <family val="2"/>
      </rPr>
      <t>V</t>
    </r>
    <r>
      <rPr>
        <sz val="9"/>
        <color theme="1"/>
        <rFont val="Arial"/>
        <family val="2"/>
      </rPr>
      <t>) (Eq. 1-21)</t>
    </r>
  </si>
  <si>
    <r>
      <t>K</t>
    </r>
    <r>
      <rPr>
        <vertAlign val="subscript"/>
        <sz val="9"/>
        <color theme="1"/>
        <rFont val="Arial"/>
        <family val="2"/>
      </rPr>
      <t>B</t>
    </r>
    <r>
      <rPr>
        <sz val="9"/>
        <color theme="1"/>
        <rFont val="Arial"/>
        <family val="2"/>
      </rPr>
      <t xml:space="preserve"> = vent setting correction factor, dimensionless</t>
    </r>
  </si>
  <si>
    <r>
      <t>K</t>
    </r>
    <r>
      <rPr>
        <vertAlign val="subscript"/>
        <sz val="9"/>
        <color theme="1"/>
        <rFont val="Arial"/>
        <family val="2"/>
      </rPr>
      <t>B</t>
    </r>
    <r>
      <rPr>
        <sz val="9"/>
        <color theme="1"/>
        <rFont val="Arial"/>
        <family val="2"/>
      </rPr>
      <t xml:space="preserve"> =1 or K</t>
    </r>
    <r>
      <rPr>
        <vertAlign val="subscript"/>
        <sz val="9"/>
        <color theme="1"/>
        <rFont val="Arial"/>
        <family val="2"/>
      </rPr>
      <t>B</t>
    </r>
    <r>
      <rPr>
        <sz val="9"/>
        <color theme="1"/>
        <rFont val="Arial"/>
        <family val="2"/>
      </rPr>
      <t xml:space="preserve"> = (((P</t>
    </r>
    <r>
      <rPr>
        <vertAlign val="subscript"/>
        <sz val="9"/>
        <color theme="1"/>
        <rFont val="Arial"/>
        <family val="2"/>
      </rPr>
      <t>I</t>
    </r>
    <r>
      <rPr>
        <sz val="9"/>
        <color theme="1"/>
        <rFont val="Arial"/>
        <family val="2"/>
      </rPr>
      <t>+P</t>
    </r>
    <r>
      <rPr>
        <vertAlign val="subscript"/>
        <sz val="9"/>
        <color theme="1"/>
        <rFont val="Arial"/>
        <family val="2"/>
      </rPr>
      <t>A</t>
    </r>
    <r>
      <rPr>
        <sz val="9"/>
        <color theme="1"/>
        <rFont val="Arial"/>
        <family val="2"/>
      </rPr>
      <t>)/K</t>
    </r>
    <r>
      <rPr>
        <vertAlign val="subscript"/>
        <sz val="9"/>
        <color theme="1"/>
        <rFont val="Arial"/>
        <family val="2"/>
      </rPr>
      <t>N</t>
    </r>
    <r>
      <rPr>
        <sz val="9"/>
        <color theme="1"/>
        <rFont val="Arial"/>
        <family val="2"/>
      </rPr>
      <t>)-P</t>
    </r>
    <r>
      <rPr>
        <vertAlign val="subscript"/>
        <sz val="9"/>
        <color theme="1"/>
        <rFont val="Arial"/>
        <family val="2"/>
      </rPr>
      <t>VA</t>
    </r>
    <r>
      <rPr>
        <sz val="9"/>
        <color theme="1"/>
        <rFont val="Arial"/>
        <family val="2"/>
      </rPr>
      <t>)/(P</t>
    </r>
    <r>
      <rPr>
        <vertAlign val="subscript"/>
        <sz val="9"/>
        <color theme="1"/>
        <rFont val="Arial"/>
        <family val="2"/>
      </rPr>
      <t>BP</t>
    </r>
    <r>
      <rPr>
        <sz val="9"/>
        <color theme="1"/>
        <rFont val="Arial"/>
        <family val="2"/>
      </rPr>
      <t>+P</t>
    </r>
    <r>
      <rPr>
        <vertAlign val="subscript"/>
        <sz val="9"/>
        <color theme="1"/>
        <rFont val="Arial"/>
        <family val="2"/>
      </rPr>
      <t>A</t>
    </r>
    <r>
      <rPr>
        <sz val="9"/>
        <color theme="1"/>
        <rFont val="Arial"/>
        <family val="2"/>
      </rPr>
      <t>-P</t>
    </r>
    <r>
      <rPr>
        <vertAlign val="subscript"/>
        <sz val="9"/>
        <color theme="1"/>
        <rFont val="Arial"/>
        <family val="2"/>
      </rPr>
      <t>VA</t>
    </r>
    <r>
      <rPr>
        <sz val="9"/>
        <color theme="1"/>
        <rFont val="Arial"/>
        <family val="2"/>
      </rPr>
      <t>) (Eq. 1-41)</t>
    </r>
  </si>
  <si>
    <r>
      <t>check on Eq. 1-40, = K</t>
    </r>
    <r>
      <rPr>
        <vertAlign val="subscript"/>
        <sz val="9"/>
        <color theme="1"/>
        <rFont val="Arial"/>
        <family val="2"/>
      </rPr>
      <t>N</t>
    </r>
    <r>
      <rPr>
        <sz val="9"/>
        <color theme="1"/>
        <rFont val="Arial"/>
        <family val="2"/>
      </rPr>
      <t>*((P</t>
    </r>
    <r>
      <rPr>
        <vertAlign val="subscript"/>
        <sz val="9"/>
        <color theme="1"/>
        <rFont val="Arial"/>
        <family val="2"/>
      </rPr>
      <t>BP</t>
    </r>
    <r>
      <rPr>
        <sz val="9"/>
        <color theme="1"/>
        <rFont val="Arial"/>
        <family val="2"/>
      </rPr>
      <t>+P</t>
    </r>
    <r>
      <rPr>
        <vertAlign val="subscript"/>
        <sz val="9"/>
        <color theme="1"/>
        <rFont val="Arial"/>
        <family val="2"/>
      </rPr>
      <t>A</t>
    </r>
    <r>
      <rPr>
        <sz val="9"/>
        <color theme="1"/>
        <rFont val="Arial"/>
        <family val="2"/>
      </rPr>
      <t>)/(P</t>
    </r>
    <r>
      <rPr>
        <vertAlign val="subscript"/>
        <sz val="9"/>
        <color theme="1"/>
        <rFont val="Arial"/>
        <family val="2"/>
      </rPr>
      <t>I</t>
    </r>
    <r>
      <rPr>
        <sz val="9"/>
        <color theme="1"/>
        <rFont val="Arial"/>
        <family val="2"/>
      </rPr>
      <t>+P</t>
    </r>
    <r>
      <rPr>
        <vertAlign val="subscript"/>
        <sz val="9"/>
        <color theme="1"/>
        <rFont val="Arial"/>
        <family val="2"/>
      </rPr>
      <t>A</t>
    </r>
    <r>
      <rPr>
        <sz val="9"/>
        <color theme="1"/>
        <rFont val="Arial"/>
        <family val="2"/>
      </rPr>
      <t>))</t>
    </r>
  </si>
  <si>
    <r>
      <rPr>
        <b/>
        <sz val="9"/>
        <color theme="1"/>
        <rFont val="Arial"/>
        <family val="2"/>
      </rPr>
      <t>L</t>
    </r>
    <r>
      <rPr>
        <b/>
        <vertAlign val="subscript"/>
        <sz val="9"/>
        <color theme="1"/>
        <rFont val="Arial"/>
        <family val="2"/>
      </rPr>
      <t>W</t>
    </r>
    <r>
      <rPr>
        <b/>
        <sz val="9"/>
        <color theme="1"/>
        <rFont val="Arial"/>
        <family val="2"/>
      </rPr>
      <t xml:space="preserve"> = working loss</t>
    </r>
    <r>
      <rPr>
        <sz val="9"/>
        <color theme="1"/>
        <rFont val="Arial"/>
        <family val="2"/>
      </rPr>
      <t xml:space="preserve"> = V</t>
    </r>
    <r>
      <rPr>
        <vertAlign val="subscript"/>
        <sz val="9"/>
        <color theme="1"/>
        <rFont val="Arial"/>
        <family val="2"/>
      </rPr>
      <t>Q</t>
    </r>
    <r>
      <rPr>
        <sz val="9"/>
        <color theme="1"/>
        <rFont val="Arial"/>
        <family val="2"/>
      </rPr>
      <t>*K</t>
    </r>
    <r>
      <rPr>
        <vertAlign val="subscript"/>
        <sz val="9"/>
        <color theme="1"/>
        <rFont val="Arial"/>
        <family val="2"/>
      </rPr>
      <t>N</t>
    </r>
    <r>
      <rPr>
        <sz val="9"/>
        <color theme="1"/>
        <rFont val="Arial"/>
        <family val="2"/>
      </rPr>
      <t>*K</t>
    </r>
    <r>
      <rPr>
        <vertAlign val="subscript"/>
        <sz val="9"/>
        <color theme="1"/>
        <rFont val="Arial"/>
        <family val="2"/>
      </rPr>
      <t>P</t>
    </r>
    <r>
      <rPr>
        <sz val="9"/>
        <color theme="1"/>
        <rFont val="Arial"/>
        <family val="2"/>
      </rPr>
      <t>*W</t>
    </r>
    <r>
      <rPr>
        <vertAlign val="subscript"/>
        <sz val="9"/>
        <color theme="1"/>
        <rFont val="Arial"/>
        <family val="2"/>
      </rPr>
      <t>V</t>
    </r>
    <r>
      <rPr>
        <sz val="9"/>
        <color theme="1"/>
        <rFont val="Arial"/>
        <family val="2"/>
      </rPr>
      <t>*K</t>
    </r>
    <r>
      <rPr>
        <vertAlign val="subscript"/>
        <sz val="9"/>
        <color theme="1"/>
        <rFont val="Arial"/>
        <family val="2"/>
      </rPr>
      <t>B</t>
    </r>
    <r>
      <rPr>
        <sz val="9"/>
        <color theme="1"/>
        <rFont val="Arial"/>
        <family val="2"/>
      </rPr>
      <t>, lb/month      (Eq. 1-35)</t>
    </r>
  </si>
  <si>
    <r>
      <rPr>
        <b/>
        <sz val="9"/>
        <color theme="1"/>
        <rFont val="Arial"/>
        <family val="2"/>
      </rPr>
      <t>L</t>
    </r>
    <r>
      <rPr>
        <b/>
        <vertAlign val="subscript"/>
        <sz val="9"/>
        <color theme="1"/>
        <rFont val="Arial"/>
        <family val="2"/>
      </rPr>
      <t>S</t>
    </r>
    <r>
      <rPr>
        <b/>
        <sz val="9"/>
        <color theme="1"/>
        <rFont val="Arial"/>
        <family val="2"/>
      </rPr>
      <t xml:space="preserve"> = standing loss</t>
    </r>
    <r>
      <rPr>
        <sz val="9"/>
        <color theme="1"/>
        <rFont val="Arial"/>
        <family val="2"/>
      </rPr>
      <t xml:space="preserve"> = (1/12)*(365)*V</t>
    </r>
    <r>
      <rPr>
        <vertAlign val="subscript"/>
        <sz val="9"/>
        <color theme="1"/>
        <rFont val="Arial"/>
        <family val="2"/>
      </rPr>
      <t>V</t>
    </r>
    <r>
      <rPr>
        <sz val="9"/>
        <color theme="1"/>
        <rFont val="Arial"/>
        <family val="2"/>
      </rPr>
      <t>*W</t>
    </r>
    <r>
      <rPr>
        <vertAlign val="subscript"/>
        <sz val="9"/>
        <color theme="1"/>
        <rFont val="Arial"/>
        <family val="2"/>
      </rPr>
      <t>V</t>
    </r>
    <r>
      <rPr>
        <sz val="9"/>
        <color theme="1"/>
        <rFont val="Arial"/>
        <family val="2"/>
      </rPr>
      <t>*K</t>
    </r>
    <r>
      <rPr>
        <vertAlign val="subscript"/>
        <sz val="9"/>
        <color theme="1"/>
        <rFont val="Arial"/>
        <family val="2"/>
      </rPr>
      <t>E</t>
    </r>
    <r>
      <rPr>
        <sz val="9"/>
        <color theme="1"/>
        <rFont val="Arial"/>
        <family val="2"/>
      </rPr>
      <t>*K</t>
    </r>
    <r>
      <rPr>
        <vertAlign val="subscript"/>
        <sz val="9"/>
        <color theme="1"/>
        <rFont val="Arial"/>
        <family val="2"/>
      </rPr>
      <t>S</t>
    </r>
    <r>
      <rPr>
        <sz val="9"/>
        <color theme="1"/>
        <rFont val="Arial"/>
        <family val="2"/>
      </rPr>
      <t xml:space="preserve"> lb/month,  (Eq. 1-2)</t>
    </r>
  </si>
  <si>
    <r>
      <t>L</t>
    </r>
    <r>
      <rPr>
        <b/>
        <vertAlign val="subscript"/>
        <sz val="9"/>
        <color theme="1"/>
        <rFont val="Arial"/>
        <family val="2"/>
      </rPr>
      <t>T</t>
    </r>
    <r>
      <rPr>
        <b/>
        <sz val="9"/>
        <color theme="1"/>
        <rFont val="Arial"/>
        <family val="2"/>
      </rPr>
      <t xml:space="preserve"> = total routine loss, lb/month</t>
    </r>
    <r>
      <rPr>
        <sz val="9"/>
        <color theme="1"/>
        <rFont val="Arial"/>
        <family val="2"/>
      </rPr>
      <t xml:space="preserve"> = L</t>
    </r>
    <r>
      <rPr>
        <vertAlign val="subscript"/>
        <sz val="9"/>
        <color theme="1"/>
        <rFont val="Arial"/>
        <family val="2"/>
      </rPr>
      <t>S</t>
    </r>
    <r>
      <rPr>
        <sz val="9"/>
        <color theme="1"/>
        <rFont val="Arial"/>
        <family val="2"/>
      </rPr>
      <t xml:space="preserve"> + L</t>
    </r>
    <r>
      <rPr>
        <vertAlign val="subscript"/>
        <sz val="9"/>
        <color theme="1"/>
        <rFont val="Arial"/>
        <family val="2"/>
      </rPr>
      <t>W</t>
    </r>
    <r>
      <rPr>
        <sz val="9"/>
        <color theme="1"/>
        <rFont val="Arial"/>
        <family val="2"/>
      </rPr>
      <t xml:space="preserve">      (Eq. 1-1)</t>
    </r>
  </si>
  <si>
    <r>
      <t>lb, L</t>
    </r>
    <r>
      <rPr>
        <vertAlign val="subscript"/>
        <sz val="9"/>
        <color theme="1"/>
        <rFont val="Arial"/>
        <family val="2"/>
      </rPr>
      <t>Ti</t>
    </r>
    <r>
      <rPr>
        <sz val="9"/>
        <color theme="1"/>
        <rFont val="Arial"/>
        <family val="2"/>
      </rPr>
      <t xml:space="preserve"> = (Z</t>
    </r>
    <r>
      <rPr>
        <vertAlign val="subscript"/>
        <sz val="9"/>
        <color theme="1"/>
        <rFont val="Arial"/>
        <family val="2"/>
      </rPr>
      <t>Vi</t>
    </r>
    <r>
      <rPr>
        <sz val="9"/>
        <color theme="1"/>
        <rFont val="Arial"/>
        <family val="2"/>
      </rPr>
      <t>)(L</t>
    </r>
    <r>
      <rPr>
        <vertAlign val="subscript"/>
        <sz val="9"/>
        <color theme="1"/>
        <rFont val="Arial"/>
        <family val="2"/>
      </rPr>
      <t>T</t>
    </r>
    <r>
      <rPr>
        <sz val="9"/>
        <color theme="1"/>
        <rFont val="Arial"/>
        <family val="2"/>
      </rPr>
      <t>)      (Eq. 40-1)</t>
    </r>
  </si>
  <si>
    <t>°R</t>
  </si>
  <si>
    <r>
      <t xml:space="preserve">Vapor Molecular Weight </t>
    </r>
    <r>
      <rPr>
        <b/>
        <vertAlign val="superscript"/>
        <sz val="9"/>
        <color theme="1"/>
        <rFont val="Arial"/>
        <family val="2"/>
      </rPr>
      <t>a</t>
    </r>
  </si>
  <si>
    <r>
      <t xml:space="preserve">Liquid Molecular Weight </t>
    </r>
    <r>
      <rPr>
        <b/>
        <vertAlign val="superscript"/>
        <sz val="9"/>
        <color theme="1"/>
        <rFont val="Arial"/>
        <family val="2"/>
      </rPr>
      <t>b</t>
    </r>
  </si>
  <si>
    <r>
      <t xml:space="preserve">Liquid Density </t>
    </r>
    <r>
      <rPr>
        <b/>
        <vertAlign val="superscript"/>
        <sz val="9"/>
        <color theme="1"/>
        <rFont val="Arial"/>
        <family val="2"/>
      </rPr>
      <t>a</t>
    </r>
  </si>
  <si>
    <r>
      <t xml:space="preserve">Vapor Pressure Equation Constant </t>
    </r>
    <r>
      <rPr>
        <b/>
        <vertAlign val="superscript"/>
        <sz val="9"/>
        <color theme="1"/>
        <rFont val="Arial"/>
        <family val="2"/>
      </rPr>
      <t>d</t>
    </r>
  </si>
  <si>
    <r>
      <t>M</t>
    </r>
    <r>
      <rPr>
        <b/>
        <vertAlign val="subscript"/>
        <sz val="9"/>
        <color theme="1"/>
        <rFont val="Arial"/>
        <family val="2"/>
      </rPr>
      <t>V</t>
    </r>
    <r>
      <rPr>
        <b/>
        <sz val="9"/>
        <color theme="1"/>
        <rFont val="Arial"/>
        <family val="2"/>
      </rPr>
      <t xml:space="preserve"> </t>
    </r>
  </si>
  <si>
    <r>
      <t>M</t>
    </r>
    <r>
      <rPr>
        <b/>
        <vertAlign val="subscript"/>
        <sz val="9"/>
        <color theme="1"/>
        <rFont val="Arial"/>
        <family val="2"/>
      </rPr>
      <t>L</t>
    </r>
  </si>
  <si>
    <r>
      <t>W</t>
    </r>
    <r>
      <rPr>
        <b/>
        <vertAlign val="subscript"/>
        <sz val="9"/>
        <color theme="1"/>
        <rFont val="Arial"/>
        <family val="2"/>
      </rPr>
      <t>L</t>
    </r>
  </si>
  <si>
    <r>
      <t>P</t>
    </r>
    <r>
      <rPr>
        <b/>
        <vertAlign val="subscript"/>
        <sz val="9"/>
        <color theme="1"/>
        <rFont val="Arial"/>
        <family val="2"/>
      </rPr>
      <t>VA</t>
    </r>
  </si>
  <si>
    <r>
      <rPr>
        <vertAlign val="superscript"/>
        <sz val="9"/>
        <color theme="1"/>
        <rFont val="Arial"/>
        <family val="2"/>
      </rPr>
      <t>a</t>
    </r>
    <r>
      <rPr>
        <sz val="9"/>
        <color theme="1"/>
        <rFont val="Arial"/>
        <family val="2"/>
      </rPr>
      <t xml:space="preserve"> References 10 and 11 to AP-42 Section 7.1.</t>
    </r>
  </si>
  <si>
    <r>
      <rPr>
        <vertAlign val="superscript"/>
        <sz val="9"/>
        <color theme="1"/>
        <rFont val="Arial"/>
        <family val="2"/>
      </rPr>
      <t>b</t>
    </r>
    <r>
      <rPr>
        <sz val="9"/>
        <color theme="1"/>
        <rFont val="Arial"/>
        <family val="2"/>
      </rPr>
      <t xml:space="preserve"> Liquid molecular weights from “Memorandum from Patrick B. Murphy, Radian/RTP to James F. Durham, EPA/CPB Concerning Petroleum Refinery Liquid HAP and Properties Data, August 10, 1993,” as adopted in versions 3.1 and 4.0 of EPA’s TANKS software</t>
    </r>
  </si>
  <si>
    <r>
      <rPr>
        <vertAlign val="superscript"/>
        <sz val="9"/>
        <color theme="1"/>
        <rFont val="Arial"/>
        <family val="2"/>
      </rPr>
      <t>c</t>
    </r>
    <r>
      <rPr>
        <sz val="9"/>
        <color theme="1"/>
        <rFont val="Arial"/>
        <family val="2"/>
      </rPr>
      <t xml:space="preserve"> Reference 4  to AP-42 Section 7.1.</t>
    </r>
  </si>
  <si>
    <r>
      <rPr>
        <vertAlign val="superscript"/>
        <sz val="9"/>
        <color theme="1"/>
        <rFont val="Arial"/>
        <family val="2"/>
      </rPr>
      <t>d</t>
    </r>
    <r>
      <rPr>
        <sz val="9"/>
        <color theme="1"/>
        <rFont val="Arial"/>
        <family val="2"/>
      </rPr>
      <t xml:space="preserve"> For motor gasolines, see Figure 7.1-15 of AP-42 Section 7.1;</t>
    </r>
  </si>
  <si>
    <r>
      <t xml:space="preserve">          for Jet Naphtha, Jet Kerosene, and No. 2 Fuel Oil, see Barnett and Hibbard </t>
    </r>
    <r>
      <rPr>
        <vertAlign val="superscript"/>
        <sz val="9"/>
        <color theme="1"/>
        <rFont val="Arial"/>
        <family val="2"/>
      </rPr>
      <t>10</t>
    </r>
    <r>
      <rPr>
        <sz val="9"/>
        <color theme="1"/>
        <rFont val="Arial"/>
        <family val="2"/>
      </rPr>
      <t>;</t>
    </r>
  </si>
  <si>
    <r>
      <t xml:space="preserve">          for No. 6 Fuel Oil. </t>
    </r>
    <r>
      <rPr>
        <vertAlign val="superscript"/>
        <sz val="9"/>
        <color theme="1"/>
        <rFont val="Arial"/>
        <family val="2"/>
      </rPr>
      <t>22</t>
    </r>
  </si>
  <si>
    <r>
      <rPr>
        <vertAlign val="superscript"/>
        <sz val="9"/>
        <color theme="1"/>
        <rFont val="Arial"/>
        <family val="2"/>
      </rPr>
      <t>e</t>
    </r>
    <r>
      <rPr>
        <sz val="9"/>
        <color theme="1"/>
        <rFont val="Arial"/>
        <family val="2"/>
      </rPr>
      <t xml:space="preserve"> Alternatively, in the absence of measured data, a value of 66 lb/lb-mole may be assumed for all gasolines, in that the variability shown as a function of RVP is speculative.</t>
    </r>
  </si>
  <si>
    <r>
      <rPr>
        <vertAlign val="superscript"/>
        <sz val="9"/>
        <color theme="1"/>
        <rFont val="Arial"/>
        <family val="2"/>
      </rPr>
      <t>f</t>
    </r>
    <r>
      <rPr>
        <sz val="9"/>
        <color theme="1"/>
        <rFont val="Arial"/>
        <family val="2"/>
      </rPr>
      <t xml:space="preserve"> This is for a blend of Vacuum Residual Oil with a light distillate cutter stock, or similar mixture. Vapor pressure constants given will result in higher vapor pressure values than shown previously in AP-42 for Residual Oil No. 6.</t>
    </r>
  </si>
  <si>
    <r>
      <rPr>
        <vertAlign val="superscript"/>
        <sz val="9"/>
        <color theme="1"/>
        <rFont val="Arial"/>
        <family val="2"/>
      </rPr>
      <t>g</t>
    </r>
    <r>
      <rPr>
        <sz val="9"/>
        <color theme="1"/>
        <rFont val="Arial"/>
        <family val="2"/>
      </rPr>
      <t xml:space="preserve"> This is the straight residue from the bottom of the vacuum distillation column, prior to any further processing or blending.  Properties given for Vacuum Residual Oil are those given for Residual Oil No. 6 previously in AP-42.</t>
    </r>
  </si>
  <si>
    <r>
      <t xml:space="preserve">Vapor Pressure Equation 
Constant </t>
    </r>
    <r>
      <rPr>
        <b/>
        <vertAlign val="superscript"/>
        <sz val="9"/>
        <color theme="1"/>
        <rFont val="Arial"/>
        <family val="2"/>
      </rPr>
      <t>d</t>
    </r>
  </si>
  <si>
    <t>True Vapor Pressure 
(at 60 °F)</t>
  </si>
  <si>
    <t>Paint Factors (α)</t>
  </si>
  <si>
    <t>°F</t>
  </si>
  <si>
    <r>
      <rPr>
        <u/>
        <sz val="9"/>
        <color theme="1"/>
        <rFont val="Arial"/>
        <family val="2"/>
      </rPr>
      <t>New:</t>
    </r>
    <r>
      <rPr>
        <sz val="9"/>
        <color theme="1"/>
        <rFont val="Arial"/>
        <family val="2"/>
      </rPr>
      <t xml:space="preserve">  For paint, paint still retains the fresh shine of having been recently applied; for mill-finish aluminum, surface is shiny. This was previously labeled “Good.”</t>
    </r>
  </si>
  <si>
    <r>
      <rPr>
        <u/>
        <sz val="9"/>
        <color theme="1"/>
        <rFont val="Arial"/>
        <family val="2"/>
      </rPr>
      <t>Average:</t>
    </r>
    <r>
      <rPr>
        <sz val="9"/>
        <color theme="1"/>
        <rFont val="Arial"/>
        <family val="2"/>
      </rPr>
      <t xml:space="preserve">  For paint, paint is in good condition, but theinitial shine has faded; for mill-finish aluminum, surface is oxidized but still bright. The value given in each case is the average of the New and the Aged values for that case, and does not represent new data.</t>
    </r>
  </si>
  <si>
    <r>
      <rPr>
        <vertAlign val="superscript"/>
        <sz val="9"/>
        <color theme="1"/>
        <rFont val="Arial"/>
        <family val="2"/>
      </rPr>
      <t>a</t>
    </r>
    <r>
      <rPr>
        <sz val="9"/>
        <color theme="1"/>
        <rFont val="Arial"/>
        <family val="2"/>
      </rPr>
      <t xml:space="preserve"> Reference 8 to AP-42 Section 7.1. If specific information is not available, a white shell and roof, with the paint in good condition, can be assumed to represent the most common or typical tank surface in use. If the tank roof and shell are painted a different color, α is determined from α = (α</t>
    </r>
    <r>
      <rPr>
        <vertAlign val="subscript"/>
        <sz val="9"/>
        <color theme="1"/>
        <rFont val="Arial"/>
        <family val="2"/>
      </rPr>
      <t>R</t>
    </r>
    <r>
      <rPr>
        <sz val="9"/>
        <color theme="1"/>
        <rFont val="Arial"/>
        <family val="2"/>
      </rPr>
      <t xml:space="preserve"> + α</t>
    </r>
    <r>
      <rPr>
        <vertAlign val="subscript"/>
        <sz val="9"/>
        <color theme="1"/>
        <rFont val="Arial"/>
        <family val="2"/>
      </rPr>
      <t>S</t>
    </r>
    <r>
      <rPr>
        <sz val="9"/>
        <color theme="1"/>
        <rFont val="Arial"/>
        <family val="2"/>
      </rPr>
      <t>)/2; where α</t>
    </r>
    <r>
      <rPr>
        <vertAlign val="subscript"/>
        <sz val="9"/>
        <color theme="1"/>
        <rFont val="Arial"/>
        <family val="2"/>
      </rPr>
      <t>R</t>
    </r>
    <r>
      <rPr>
        <sz val="9"/>
        <color theme="1"/>
        <rFont val="Arial"/>
        <family val="2"/>
      </rPr>
      <t xml:space="preserve"> is the tank roof paint solar absorptance and α</t>
    </r>
    <r>
      <rPr>
        <vertAlign val="subscript"/>
        <sz val="9"/>
        <color theme="1"/>
        <rFont val="Arial"/>
        <family val="2"/>
      </rPr>
      <t>S</t>
    </r>
    <r>
      <rPr>
        <sz val="9"/>
        <color theme="1"/>
        <rFont val="Arial"/>
        <family val="2"/>
      </rPr>
      <t xml:space="preserve"> is the tank shell paint solar absorptance.</t>
    </r>
  </si>
  <si>
    <r>
      <t>T</t>
    </r>
    <r>
      <rPr>
        <vertAlign val="subscript"/>
        <sz val="9"/>
        <color theme="1"/>
        <rFont val="Arial"/>
        <family val="2"/>
      </rPr>
      <t>AN</t>
    </r>
  </si>
  <si>
    <r>
      <t>T</t>
    </r>
    <r>
      <rPr>
        <vertAlign val="subscript"/>
        <sz val="9"/>
        <color theme="1"/>
        <rFont val="Arial"/>
        <family val="2"/>
      </rPr>
      <t>AX</t>
    </r>
  </si>
  <si>
    <r>
      <t>Btu/ft</t>
    </r>
    <r>
      <rPr>
        <vertAlign val="superscript"/>
        <sz val="9"/>
        <color theme="1"/>
        <rFont val="Arial"/>
        <family val="2"/>
      </rPr>
      <t>2</t>
    </r>
    <r>
      <rPr>
        <sz val="9"/>
        <color theme="1"/>
        <rFont val="Arial"/>
        <family val="2"/>
      </rPr>
      <t>*d</t>
    </r>
  </si>
  <si>
    <r>
      <rPr>
        <vertAlign val="superscript"/>
        <sz val="9"/>
        <color theme="1"/>
        <rFont val="Arial"/>
        <family val="2"/>
      </rPr>
      <t>a</t>
    </r>
    <r>
      <rPr>
        <sz val="9"/>
        <color theme="1"/>
        <rFont val="Arial"/>
        <family val="2"/>
      </rPr>
      <t xml:space="preserve"> Reference 14 to AP-42 Section 7.1. Data for this table are 20-year averages for the years 1991 through 2010, prepared by the National Renewable Energy Laboratory and compiled in the National Solar Radiation Database. Only Class I sites are summarized in this table, but similar meteorological data for several hundred Class II sites may be obtained from this reference. Similar historical averages of meteorological data from nearby National Weather Servicesites or site-specific data may also be used.</t>
    </r>
  </si>
  <si>
    <r>
      <t>T</t>
    </r>
    <r>
      <rPr>
        <vertAlign val="subscript"/>
        <sz val="9"/>
        <color theme="1"/>
        <rFont val="Arial"/>
        <family val="2"/>
      </rPr>
      <t>AX</t>
    </r>
    <r>
      <rPr>
        <sz val="9"/>
        <color theme="1"/>
        <rFont val="Arial"/>
        <family val="2"/>
      </rPr>
      <t xml:space="preserve"> = daily maximum ambient temperature</t>
    </r>
  </si>
  <si>
    <r>
      <t>T</t>
    </r>
    <r>
      <rPr>
        <vertAlign val="subscript"/>
        <sz val="9"/>
        <color theme="1"/>
        <rFont val="Arial"/>
        <family val="2"/>
      </rPr>
      <t>AN</t>
    </r>
    <r>
      <rPr>
        <sz val="9"/>
        <color theme="1"/>
        <rFont val="Arial"/>
        <family val="2"/>
      </rPr>
      <t xml:space="preserve"> = daily minimum ambient temperature</t>
    </r>
  </si>
  <si>
    <r>
      <t>P</t>
    </r>
    <r>
      <rPr>
        <vertAlign val="subscript"/>
        <sz val="9"/>
        <color theme="1"/>
        <rFont val="Arial"/>
        <family val="2"/>
      </rPr>
      <t>A</t>
    </r>
    <r>
      <rPr>
        <sz val="9"/>
        <color theme="1"/>
        <rFont val="Arial"/>
        <family val="2"/>
      </rPr>
      <t xml:space="preserve"> = average atmospheric pressure</t>
    </r>
  </si>
  <si>
    <r>
      <t>Table 7.1-6. PAINT SOLAR ABSORPTANCE FOR FIXED ROOF TANKS</t>
    </r>
    <r>
      <rPr>
        <b/>
        <vertAlign val="superscript"/>
        <sz val="10"/>
        <color theme="1"/>
        <rFont val="Arial"/>
        <family val="2"/>
      </rPr>
      <t>a</t>
    </r>
  </si>
  <si>
    <r>
      <t>Table 7.1-7. METEOROLOGICAL DATA (T</t>
    </r>
    <r>
      <rPr>
        <b/>
        <vertAlign val="subscript"/>
        <sz val="10"/>
        <color theme="1"/>
        <rFont val="Arial"/>
        <family val="2"/>
      </rPr>
      <t>AX</t>
    </r>
    <r>
      <rPr>
        <b/>
        <sz val="10"/>
        <color theme="1"/>
        <rFont val="Arial"/>
        <family val="2"/>
      </rPr>
      <t>, T</t>
    </r>
    <r>
      <rPr>
        <b/>
        <vertAlign val="subscript"/>
        <sz val="10"/>
        <color theme="1"/>
        <rFont val="Arial"/>
        <family val="2"/>
      </rPr>
      <t>AN</t>
    </r>
    <r>
      <rPr>
        <b/>
        <sz val="10"/>
        <color theme="1"/>
        <rFont val="Arial"/>
        <family val="2"/>
      </rPr>
      <t>, v, I, P</t>
    </r>
    <r>
      <rPr>
        <b/>
        <vertAlign val="subscript"/>
        <sz val="10"/>
        <color theme="1"/>
        <rFont val="Arial"/>
        <family val="2"/>
      </rPr>
      <t>A</t>
    </r>
    <r>
      <rPr>
        <b/>
        <sz val="10"/>
        <color theme="1"/>
        <rFont val="Arial"/>
        <family val="2"/>
      </rPr>
      <t>) FOR SELECTED U.S. LOCATIONS</t>
    </r>
    <r>
      <rPr>
        <b/>
        <vertAlign val="superscript"/>
        <sz val="10"/>
        <color theme="1"/>
        <rFont val="Arial"/>
        <family val="2"/>
      </rPr>
      <t>a</t>
    </r>
  </si>
  <si>
    <r>
      <t>Liquid Density</t>
    </r>
    <r>
      <rPr>
        <b/>
        <vertAlign val="superscript"/>
        <sz val="9"/>
        <color theme="1"/>
        <rFont val="Arial"/>
        <family val="2"/>
      </rPr>
      <t>d</t>
    </r>
    <r>
      <rPr>
        <b/>
        <sz val="9"/>
        <color theme="1"/>
        <rFont val="Arial"/>
        <family val="2"/>
      </rPr>
      <t xml:space="preserve"> (lb/gal)</t>
    </r>
  </si>
  <si>
    <r>
      <t>Antoine's Equation</t>
    </r>
    <r>
      <rPr>
        <b/>
        <vertAlign val="superscript"/>
        <sz val="9"/>
        <color theme="1"/>
        <rFont val="Arial"/>
        <family val="2"/>
      </rPr>
      <t>b</t>
    </r>
  </si>
  <si>
    <r>
      <t xml:space="preserve">Temperature Range </t>
    </r>
    <r>
      <rPr>
        <b/>
        <vertAlign val="superscript"/>
        <sz val="9"/>
        <color theme="1"/>
        <rFont val="Arial"/>
        <family val="2"/>
      </rPr>
      <t>c</t>
    </r>
  </si>
  <si>
    <r>
      <t>Bromopropane (</t>
    </r>
    <r>
      <rPr>
        <i/>
        <sz val="9"/>
        <color theme="1"/>
        <rFont val="Arial"/>
        <family val="2"/>
      </rPr>
      <t>n</t>
    </r>
    <r>
      <rPr>
        <sz val="9"/>
        <color theme="1"/>
        <rFont val="Arial"/>
        <family val="2"/>
      </rPr>
      <t>-propyl bromide)</t>
    </r>
  </si>
  <si>
    <r>
      <t>Bromopropane (</t>
    </r>
    <r>
      <rPr>
        <i/>
        <sz val="9"/>
        <color theme="1"/>
        <rFont val="Arial"/>
        <family val="2"/>
      </rPr>
      <t>n</t>
    </r>
    <r>
      <rPr>
        <sz val="9"/>
        <color theme="1"/>
        <rFont val="Arial"/>
        <family val="2"/>
      </rPr>
      <t>-propyl bromide)</t>
    </r>
    <r>
      <rPr>
        <vertAlign val="superscript"/>
        <sz val="9"/>
        <color theme="1"/>
        <rFont val="Arial"/>
        <family val="2"/>
      </rPr>
      <t>e</t>
    </r>
  </si>
  <si>
    <r>
      <rPr>
        <vertAlign val="superscript"/>
        <sz val="9"/>
        <color theme="1"/>
        <rFont val="Arial"/>
        <family val="2"/>
      </rPr>
      <t>b</t>
    </r>
    <r>
      <rPr>
        <sz val="9"/>
        <color theme="1"/>
        <rFont val="Arial"/>
        <family val="2"/>
      </rPr>
      <t xml:space="preserve"> (use the equation provided in footnote b to Table 7.1-3 to calculate vapor pressure in psia)</t>
    </r>
  </si>
  <si>
    <r>
      <rPr>
        <vertAlign val="superscript"/>
        <sz val="9"/>
        <color theme="1"/>
        <rFont val="Arial"/>
        <family val="2"/>
      </rPr>
      <t>c</t>
    </r>
    <r>
      <rPr>
        <sz val="9"/>
        <color theme="1"/>
        <rFont val="Arial"/>
        <family val="2"/>
      </rPr>
      <t xml:space="preserve"> Use of this equation for temperature outside the indicated temperature range may result in loss of accuracy</t>
    </r>
  </si>
  <si>
    <r>
      <rPr>
        <vertAlign val="superscript"/>
        <sz val="9"/>
        <color theme="1"/>
        <rFont val="Arial"/>
        <family val="2"/>
      </rPr>
      <t>d</t>
    </r>
    <r>
      <rPr>
        <sz val="9"/>
        <color theme="1"/>
        <rFont val="Arial"/>
        <family val="2"/>
      </rPr>
      <t xml:space="preserve"> The superscript denotes temperature in °F; if no superscript is given the density is for 68 °F</t>
    </r>
  </si>
  <si>
    <r>
      <t xml:space="preserve">Table 7.1-3 PHYSICAL PROPERTIES OF SELECTED PETROCHEMICALS </t>
    </r>
    <r>
      <rPr>
        <b/>
        <vertAlign val="superscript"/>
        <sz val="14"/>
        <color theme="1"/>
        <rFont val="Calibri"/>
        <family val="2"/>
        <scheme val="minor"/>
      </rPr>
      <t>a</t>
    </r>
  </si>
  <si>
    <t>Tank diameter, ft</t>
  </si>
  <si>
    <t>Tank shell height, ft</t>
  </si>
  <si>
    <t>Maintained liquid height, ft</t>
  </si>
  <si>
    <t>Minimum liquid height, ft</t>
  </si>
  <si>
    <t>Maximum liquid height, ft</t>
  </si>
  <si>
    <t>Are any contents of the tank crude oils?</t>
  </si>
  <si>
    <t>Annual sum of the increase in liquid level, ft/yr</t>
  </si>
  <si>
    <t>Tank shell radius, ft</t>
  </si>
  <si>
    <t>Tank roof type</t>
  </si>
  <si>
    <t>Roof color</t>
  </si>
  <si>
    <t>Roof reflective condition</t>
  </si>
  <si>
    <t>Tank shell color</t>
  </si>
  <si>
    <t>Tank shell condition</t>
  </si>
  <si>
    <t>Breather vent pressure setting , psig</t>
  </si>
  <si>
    <t>Breather vent vacuum setting, psig</t>
  </si>
  <si>
    <t>Select petroleum products</t>
  </si>
  <si>
    <t>Organic liquid component table</t>
  </si>
  <si>
    <t>Liquid weight fraction, (lb/lb)</t>
  </si>
  <si>
    <r>
      <t>Organic liquid component CAS # 
(xxxxx-xx-x, include initial zeros, if applicable. 
This will auto fill properties for certain components).</t>
    </r>
    <r>
      <rPr>
        <b/>
        <vertAlign val="superscript"/>
        <sz val="10"/>
        <color theme="1"/>
        <rFont val="Arial"/>
        <family val="2"/>
      </rPr>
      <t>3</t>
    </r>
  </si>
  <si>
    <t>Molecular weight, (lb/lb-mole)</t>
  </si>
  <si>
    <r>
      <t>Liquid density, (lb/gal)</t>
    </r>
    <r>
      <rPr>
        <b/>
        <vertAlign val="superscript"/>
        <sz val="10"/>
        <color theme="1"/>
        <rFont val="Arial"/>
        <family val="2"/>
      </rPr>
      <t>4</t>
    </r>
  </si>
  <si>
    <t>Table notes:</t>
  </si>
  <si>
    <t xml:space="preserve">1. A list of Hazardous Air Pollutants (HAP) is available here: </t>
  </si>
  <si>
    <t>Errors found:</t>
  </si>
  <si>
    <t>Variable description</t>
  </si>
  <si>
    <t>Input value</t>
  </si>
  <si>
    <t>Select petroleum product</t>
  </si>
  <si>
    <t>Liquid weight fraction</t>
  </si>
  <si>
    <t>Organic liquid</t>
  </si>
  <si>
    <t>CAS#</t>
  </si>
  <si>
    <t>Liquid weight fraction (lb/lb)</t>
  </si>
  <si>
    <t>Mol. weight (lb/lb-mole)</t>
  </si>
  <si>
    <t>Liquid density (lb/gal)</t>
  </si>
  <si>
    <t>Stored value</t>
  </si>
  <si>
    <t>Roof reflectivity matrix</t>
  </si>
  <si>
    <t>Shell reflectivity matrix</t>
  </si>
  <si>
    <t>Unknown drop-down</t>
  </si>
  <si>
    <t>Total losses per year</t>
  </si>
  <si>
    <t>Total Hazardous Air Pollutant emissions, lb</t>
  </si>
  <si>
    <t>Organic liquids</t>
  </si>
  <si>
    <t>Total Organic liquid losses, lb</t>
  </si>
  <si>
    <t>Organic liquid losses</t>
  </si>
  <si>
    <t>Annual net throughput, gal/yr</t>
  </si>
  <si>
    <r>
      <t>Organic liquid component, e.g., hexanol
(up to 10 components).</t>
    </r>
    <r>
      <rPr>
        <b/>
        <vertAlign val="superscript"/>
        <sz val="10"/>
        <color theme="1"/>
        <rFont val="Arial"/>
        <family val="2"/>
      </rPr>
      <t>3</t>
    </r>
  </si>
  <si>
    <r>
      <rPr>
        <vertAlign val="superscript"/>
        <sz val="9"/>
        <color theme="1"/>
        <rFont val="Arial"/>
        <family val="2"/>
      </rPr>
      <t>a</t>
    </r>
    <r>
      <rPr>
        <sz val="9"/>
        <color theme="1"/>
        <rFont val="Arial"/>
        <family val="2"/>
      </rPr>
      <t xml:space="preserve"> Reference 22 of AP-42 Section 7.1., Bromopropane was added to this list and is not in the original table. Make sure to confirm HAP chemicals with current regulations.</t>
    </r>
  </si>
  <si>
    <r>
      <rPr>
        <vertAlign val="superscript"/>
        <sz val="9"/>
        <color theme="1"/>
        <rFont val="Arial"/>
        <family val="2"/>
      </rPr>
      <t>e</t>
    </r>
    <r>
      <rPr>
        <sz val="9"/>
        <color theme="1"/>
        <rFont val="Arial"/>
        <family val="2"/>
      </rPr>
      <t xml:space="preserve"> bromopropane is not listed in Table 7.1-3, however it was added here since n-propyl bromide was added to the list of HAPS. Properties for n-propyl bromide were gathered from NIST chemistry webook and chemspider.com</t>
    </r>
  </si>
  <si>
    <t>lb/hr emissions      (based on highest emitting month)</t>
  </si>
  <si>
    <t>lb/hr emissions (based on annual emissions)</t>
  </si>
  <si>
    <r>
      <t>Table 7.1-2 PROPERTIES (M</t>
    </r>
    <r>
      <rPr>
        <b/>
        <vertAlign val="subscript"/>
        <sz val="10"/>
        <color theme="1"/>
        <rFont val="Arial"/>
        <family val="2"/>
      </rPr>
      <t>V</t>
    </r>
    <r>
      <rPr>
        <b/>
        <sz val="10"/>
        <color theme="1"/>
        <rFont val="Arial"/>
        <family val="2"/>
      </rPr>
      <t>, M</t>
    </r>
    <r>
      <rPr>
        <b/>
        <vertAlign val="subscript"/>
        <sz val="10"/>
        <color theme="1"/>
        <rFont val="Arial"/>
        <family val="2"/>
      </rPr>
      <t>L</t>
    </r>
    <r>
      <rPr>
        <b/>
        <sz val="10"/>
        <color theme="1"/>
        <rFont val="Arial"/>
        <family val="2"/>
      </rPr>
      <t>, P</t>
    </r>
    <r>
      <rPr>
        <b/>
        <vertAlign val="subscript"/>
        <sz val="10"/>
        <color theme="1"/>
        <rFont val="Arial"/>
        <family val="2"/>
      </rPr>
      <t>VA</t>
    </r>
    <r>
      <rPr>
        <b/>
        <sz val="10"/>
        <color theme="1"/>
        <rFont val="Arial"/>
        <family val="2"/>
      </rPr>
      <t>, W</t>
    </r>
    <r>
      <rPr>
        <b/>
        <vertAlign val="subscript"/>
        <sz val="10"/>
        <color theme="1"/>
        <rFont val="Arial"/>
        <family val="2"/>
      </rPr>
      <t>L</t>
    </r>
    <r>
      <rPr>
        <b/>
        <sz val="10"/>
        <color theme="1"/>
        <rFont val="Arial"/>
        <family val="2"/>
      </rPr>
      <t xml:space="preserve">) of SELECTED PETROLEUM LIQUIDS </t>
    </r>
    <r>
      <rPr>
        <b/>
        <vertAlign val="superscript"/>
        <sz val="10"/>
        <color theme="1"/>
        <rFont val="Arial"/>
        <family val="2"/>
      </rPr>
      <t>a, e</t>
    </r>
  </si>
  <si>
    <r>
      <t xml:space="preserve">aq6-15 </t>
    </r>
    <r>
      <rPr>
        <sz val="8"/>
        <color theme="1"/>
        <rFont val="Arial"/>
        <family val="2"/>
      </rPr>
      <t>•</t>
    </r>
    <r>
      <rPr>
        <i/>
        <sz val="8"/>
        <color theme="1"/>
        <rFont val="Arial"/>
        <family val="2"/>
      </rPr>
      <t xml:space="preserve"> 5/26/23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</si>
</sst>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
    <numFmt numFmtId="168" formatCode="0.00000"/>
    <numFmt numFmtId="169" formatCode="m/d/yy;@"/>
    <numFmt numFmtId="170" formatCode="0.000E+00"/>
  </numFmts>
  <fonts count="54" x14ac:knownFonts="1">
    <font>
      <sz val="11"/>
      <color theme="1"/>
      <name val="Calibri"/>
      <family val="2"/>
      <scheme val="minor"/>
    </font>
    <font>
      <b/>
      <sz val="11"/>
      <color theme="1"/>
      <name val="Calibri"/>
      <family val="2"/>
      <scheme val="minor"/>
    </font>
    <font>
      <b/>
      <sz val="22"/>
      <color rgb="FF000000"/>
      <name val="Arial"/>
      <family val="2"/>
      <charset val="1"/>
    </font>
    <font>
      <sz val="20"/>
      <color rgb="FF000000"/>
      <name val="Arial"/>
      <family val="2"/>
      <charset val="1"/>
    </font>
    <font>
      <i/>
      <sz val="10"/>
      <color rgb="FF000000"/>
      <name val="Arial"/>
      <family val="2"/>
      <charset val="1"/>
    </font>
    <font>
      <b/>
      <sz val="10"/>
      <name val="Arial"/>
      <family val="2"/>
      <charset val="1"/>
    </font>
    <font>
      <sz val="10"/>
      <color rgb="FF000000"/>
      <name val="Arial"/>
      <family val="2"/>
      <charset val="1"/>
    </font>
    <font>
      <u/>
      <sz val="11"/>
      <color theme="10"/>
      <name val="Calibri"/>
      <family val="2"/>
      <scheme val="minor"/>
    </font>
    <font>
      <b/>
      <i/>
      <sz val="10"/>
      <color rgb="FF000000"/>
      <name val="Arial"/>
      <family val="2"/>
    </font>
    <font>
      <i/>
      <sz val="10"/>
      <color rgb="FF000000"/>
      <name val="Arial"/>
      <family val="2"/>
    </font>
    <font>
      <b/>
      <sz val="14"/>
      <color theme="1"/>
      <name val="Calibri"/>
      <family val="2"/>
      <scheme val="minor"/>
    </font>
    <font>
      <b/>
      <i/>
      <sz val="14"/>
      <color theme="1"/>
      <name val="Calibri"/>
      <family val="2"/>
      <scheme val="minor"/>
    </font>
    <font>
      <sz val="11"/>
      <color rgb="FFFF0000"/>
      <name val="Calibri"/>
      <family val="2"/>
      <scheme val="minor"/>
    </font>
    <font>
      <sz val="14"/>
      <color theme="1"/>
      <name val="Calibri"/>
      <family val="2"/>
      <scheme val="minor"/>
    </font>
    <font>
      <b/>
      <i/>
      <sz val="14"/>
      <color rgb="FFFF0000"/>
      <name val="Calibri"/>
      <family val="2"/>
      <scheme val="minor"/>
    </font>
    <font>
      <sz val="10"/>
      <color theme="1"/>
      <name val="Calibri"/>
      <family val="2"/>
      <scheme val="minor"/>
    </font>
    <font>
      <sz val="20"/>
      <color theme="1"/>
      <name val="Calibri"/>
      <family val="2"/>
      <scheme val="minor"/>
    </font>
    <font>
      <b/>
      <sz val="20"/>
      <color theme="1"/>
      <name val="Calibri"/>
      <family val="2"/>
      <scheme val="minor"/>
    </font>
    <font>
      <u/>
      <sz val="20"/>
      <color theme="1"/>
      <name val="Calibri"/>
      <family val="2"/>
      <scheme val="minor"/>
    </font>
    <font>
      <i/>
      <sz val="11"/>
      <color rgb="FF000000"/>
      <name val="Calibri"/>
      <family val="2"/>
      <scheme val="minor"/>
    </font>
    <font>
      <sz val="11"/>
      <color theme="1"/>
      <name val="Arial Black"/>
      <family val="2"/>
    </font>
    <font>
      <sz val="20"/>
      <color rgb="FF000000"/>
      <name val="Calibri"/>
      <family val="2"/>
      <scheme val="minor"/>
    </font>
    <font>
      <sz val="8"/>
      <color theme="1"/>
      <name val="Arial"/>
      <family val="2"/>
    </font>
    <font>
      <i/>
      <sz val="8"/>
      <color theme="1"/>
      <name val="Arial"/>
      <family val="2"/>
    </font>
    <font>
      <b/>
      <sz val="9"/>
      <color theme="1"/>
      <name val="Arial"/>
      <family val="2"/>
    </font>
    <font>
      <sz val="9"/>
      <color theme="1"/>
      <name val="Arial"/>
      <family val="2"/>
    </font>
    <font>
      <i/>
      <sz val="9"/>
      <color rgb="FF000000"/>
      <name val="Arial"/>
      <family val="2"/>
    </font>
    <font>
      <i/>
      <sz val="9"/>
      <color theme="1"/>
      <name val="Arial"/>
      <family val="2"/>
    </font>
    <font>
      <u/>
      <sz val="9"/>
      <color theme="10"/>
      <name val="Arial"/>
      <family val="2"/>
    </font>
    <font>
      <b/>
      <u/>
      <sz val="9"/>
      <name val="Arial"/>
      <family val="2"/>
    </font>
    <font>
      <b/>
      <i/>
      <sz val="9"/>
      <color rgb="FF000000"/>
      <name val="Arial"/>
      <family val="2"/>
    </font>
    <font>
      <i/>
      <sz val="14"/>
      <color theme="1"/>
      <name val="Calibri"/>
      <family val="2"/>
      <scheme val="minor"/>
    </font>
    <font>
      <b/>
      <sz val="10"/>
      <name val="Arial"/>
      <family val="2"/>
    </font>
    <font>
      <sz val="9"/>
      <name val="Arial"/>
      <family val="2"/>
    </font>
    <font>
      <b/>
      <sz val="9"/>
      <name val="Arial"/>
      <family val="2"/>
    </font>
    <font>
      <b/>
      <i/>
      <sz val="9"/>
      <color rgb="FFFF0000"/>
      <name val="Arial"/>
      <family val="2"/>
    </font>
    <font>
      <sz val="9"/>
      <color rgb="FFFF0000"/>
      <name val="Arial"/>
      <family val="2"/>
    </font>
    <font>
      <i/>
      <sz val="9"/>
      <name val="Arial"/>
      <family val="2"/>
    </font>
    <font>
      <u/>
      <sz val="9"/>
      <color theme="1"/>
      <name val="Arial"/>
      <family val="2"/>
    </font>
    <font>
      <b/>
      <u/>
      <sz val="9"/>
      <color theme="1"/>
      <name val="Arial"/>
      <family val="2"/>
    </font>
    <font>
      <b/>
      <vertAlign val="superscript"/>
      <sz val="10"/>
      <color theme="1"/>
      <name val="Arial"/>
      <family val="2"/>
    </font>
    <font>
      <sz val="10"/>
      <color theme="1"/>
      <name val="Arial"/>
      <family val="2"/>
    </font>
    <font>
      <b/>
      <sz val="10"/>
      <color theme="1"/>
      <name val="Arial"/>
      <family val="2"/>
    </font>
    <font>
      <b/>
      <i/>
      <sz val="9"/>
      <color theme="1"/>
      <name val="Arial"/>
      <family val="2"/>
    </font>
    <font>
      <b/>
      <vertAlign val="superscript"/>
      <sz val="10"/>
      <name val="Arial"/>
      <family val="2"/>
    </font>
    <font>
      <vertAlign val="subscript"/>
      <sz val="9"/>
      <color theme="1"/>
      <name val="Arial"/>
      <family val="2"/>
    </font>
    <font>
      <vertAlign val="superscript"/>
      <sz val="9"/>
      <color theme="1"/>
      <name val="Arial"/>
      <family val="2"/>
    </font>
    <font>
      <sz val="9"/>
      <color rgb="FF333333"/>
      <name val="Arial"/>
      <family val="2"/>
    </font>
    <font>
      <b/>
      <vertAlign val="subscript"/>
      <sz val="9"/>
      <color theme="1"/>
      <name val="Arial"/>
      <family val="2"/>
    </font>
    <font>
      <b/>
      <i/>
      <sz val="9"/>
      <name val="Arial"/>
      <family val="2"/>
    </font>
    <font>
      <b/>
      <vertAlign val="superscript"/>
      <sz val="9"/>
      <color theme="1"/>
      <name val="Arial"/>
      <family val="2"/>
    </font>
    <font>
      <b/>
      <vertAlign val="subscript"/>
      <sz val="10"/>
      <color theme="1"/>
      <name val="Arial"/>
      <family val="2"/>
    </font>
    <font>
      <b/>
      <vertAlign val="superscript"/>
      <sz val="14"/>
      <color theme="1"/>
      <name val="Calibri"/>
      <family val="2"/>
      <scheme val="minor"/>
    </font>
    <font>
      <b/>
      <sz val="14"/>
      <color theme="1"/>
      <name val="Calibri"/>
      <family val="2"/>
    </font>
  </fonts>
  <fills count="12">
    <fill>
      <patternFill patternType="none"/>
    </fill>
    <fill>
      <patternFill patternType="gray125"/>
    </fill>
    <fill>
      <patternFill patternType="solid">
        <fgColor rgb="FFD1EAFF"/>
        <bgColor rgb="FFCCFFFF"/>
      </patternFill>
    </fill>
    <fill>
      <patternFill patternType="solid">
        <fgColor theme="0" tint="-0.14999847407452621"/>
        <bgColor indexed="64"/>
      </patternFill>
    </fill>
    <fill>
      <patternFill patternType="solid">
        <fgColor theme="0"/>
        <bgColor indexed="64"/>
      </patternFill>
    </fill>
    <fill>
      <patternFill patternType="solid">
        <fgColor rgb="FFD1EAFF"/>
        <bgColor indexed="64"/>
      </patternFill>
    </fill>
    <fill>
      <patternFill patternType="solid">
        <fgColor theme="4" tint="0.39997558519241921"/>
        <bgColor indexed="64"/>
      </patternFill>
    </fill>
    <fill>
      <patternFill patternType="solid">
        <fgColor rgb="FFA3C7E7"/>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1" tint="4.9989318521683403E-2"/>
        <bgColor indexed="64"/>
      </patternFill>
    </fill>
    <fill>
      <patternFill patternType="solid">
        <fgColor rgb="FFFFD13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2" fillId="0" borderId="0" applyBorder="0" applyProtection="0">
      <alignment horizontal="right" vertical="center"/>
    </xf>
    <xf numFmtId="0" fontId="6" fillId="0" borderId="0" applyBorder="0" applyProtection="0">
      <alignment vertical="center"/>
    </xf>
    <xf numFmtId="0" fontId="7" fillId="0" borderId="0" applyNumberFormat="0" applyFill="0" applyBorder="0" applyAlignment="0" applyProtection="0"/>
  </cellStyleXfs>
  <cellXfs count="491">
    <xf numFmtId="0" fontId="0" fillId="0" borderId="0" xfId="0"/>
    <xf numFmtId="0" fontId="0" fillId="0" borderId="0" xfId="0" applyAlignment="1">
      <alignment wrapText="1"/>
    </xf>
    <xf numFmtId="0" fontId="0" fillId="0" borderId="0" xfId="0" applyAlignment="1"/>
    <xf numFmtId="0" fontId="0" fillId="0" borderId="0" xfId="0" applyAlignment="1">
      <alignment horizontal="left"/>
    </xf>
    <xf numFmtId="0" fontId="0" fillId="0" borderId="0" xfId="0" applyBorder="1"/>
    <xf numFmtId="0" fontId="0" fillId="0" borderId="0" xfId="0" applyAlignment="1">
      <alignment horizontal="center"/>
    </xf>
    <xf numFmtId="0" fontId="10" fillId="0" borderId="0" xfId="0" applyFont="1" applyAlignment="1">
      <alignment vertical="top" wrapText="1"/>
    </xf>
    <xf numFmtId="0" fontId="3" fillId="0" borderId="0" xfId="1" applyFont="1" applyBorder="1" applyAlignment="1" applyProtection="1">
      <alignment horizontal="center" vertical="center"/>
    </xf>
    <xf numFmtId="0" fontId="10" fillId="0" borderId="0" xfId="0" applyFont="1" applyAlignment="1">
      <alignment horizontal="center" vertical="center" wrapText="1"/>
    </xf>
    <xf numFmtId="0" fontId="9" fillId="0" borderId="0" xfId="0" applyFont="1" applyBorder="1" applyAlignment="1" applyProtection="1">
      <alignment vertical="center" wrapText="1"/>
    </xf>
    <xf numFmtId="0" fontId="4" fillId="0" borderId="0" xfId="0" applyFont="1" applyBorder="1" applyAlignment="1" applyProtection="1">
      <alignment vertical="center" wrapText="1"/>
    </xf>
    <xf numFmtId="0" fontId="10" fillId="9" borderId="0" xfId="0" applyFont="1" applyFill="1" applyAlignment="1">
      <alignment horizontal="center" vertical="center" wrapText="1"/>
    </xf>
    <xf numFmtId="0" fontId="10" fillId="9" borderId="0" xfId="0" applyFont="1" applyFill="1"/>
    <xf numFmtId="0" fontId="11" fillId="9" borderId="0" xfId="0" applyFont="1" applyFill="1" applyAlignment="1"/>
    <xf numFmtId="165" fontId="0" fillId="3" borderId="1" xfId="0" applyNumberFormat="1" applyFill="1" applyBorder="1"/>
    <xf numFmtId="0" fontId="0" fillId="0" borderId="0" xfId="0" applyBorder="1" applyAlignment="1">
      <alignment wrapText="1"/>
    </xf>
    <xf numFmtId="0" fontId="11" fillId="9" borderId="0" xfId="0" applyFont="1" applyFill="1" applyAlignment="1">
      <alignment horizontal="center"/>
    </xf>
    <xf numFmtId="49" fontId="0" fillId="0" borderId="0" xfId="0" applyNumberFormat="1" applyBorder="1" applyAlignment="1">
      <alignment horizontal="center"/>
    </xf>
    <xf numFmtId="0" fontId="12" fillId="0" borderId="0" xfId="0" applyFont="1"/>
    <xf numFmtId="165" fontId="12" fillId="0" borderId="0" xfId="0" applyNumberFormat="1" applyFont="1"/>
    <xf numFmtId="0" fontId="11" fillId="9" borderId="0" xfId="0" applyFont="1" applyFill="1" applyAlignment="1">
      <alignment vertical="center"/>
    </xf>
    <xf numFmtId="0" fontId="10" fillId="0" borderId="0" xfId="0" applyFont="1"/>
    <xf numFmtId="0" fontId="13" fillId="0" borderId="0" xfId="0" applyFont="1"/>
    <xf numFmtId="0" fontId="16" fillId="0" borderId="0" xfId="0" applyFont="1" applyBorder="1" applyAlignment="1">
      <alignment horizontal="center"/>
    </xf>
    <xf numFmtId="49" fontId="0" fillId="0" borderId="0" xfId="0" applyNumberFormat="1"/>
    <xf numFmtId="49" fontId="15" fillId="0" borderId="0" xfId="0" applyNumberFormat="1" applyFont="1"/>
    <xf numFmtId="49" fontId="0" fillId="0" borderId="0" xfId="0" applyNumberFormat="1" applyBorder="1"/>
    <xf numFmtId="2" fontId="15" fillId="0" borderId="0" xfId="0" applyNumberFormat="1" applyFont="1"/>
    <xf numFmtId="2" fontId="0" fillId="0" borderId="0" xfId="0" applyNumberFormat="1"/>
    <xf numFmtId="0" fontId="0" fillId="0" borderId="0" xfId="0" applyBorder="1" applyAlignment="1">
      <alignment vertical="top" wrapText="1"/>
    </xf>
    <xf numFmtId="0" fontId="10" fillId="0" borderId="0" xfId="0" applyFont="1" applyBorder="1" applyAlignment="1"/>
    <xf numFmtId="0" fontId="0" fillId="0" borderId="0" xfId="0" applyBorder="1" applyAlignment="1"/>
    <xf numFmtId="0" fontId="17" fillId="0" borderId="0" xfId="0" applyFont="1" applyBorder="1" applyAlignment="1">
      <alignment horizontal="center"/>
    </xf>
    <xf numFmtId="0" fontId="5" fillId="0" borderId="0" xfId="0" applyFont="1" applyAlignment="1" applyProtection="1">
      <alignment horizontal="right" vertical="top" wrapText="1"/>
    </xf>
    <xf numFmtId="0" fontId="6" fillId="2" borderId="1" xfId="2" applyFont="1" applyFill="1" applyBorder="1" applyAlignment="1" applyProtection="1">
      <alignment horizontal="center" vertical="center"/>
      <protection locked="0"/>
    </xf>
    <xf numFmtId="14" fontId="6" fillId="2" borderId="1" xfId="2" applyNumberFormat="1" applyFont="1" applyFill="1" applyBorder="1" applyAlignment="1" applyProtection="1">
      <alignment horizontal="center" vertical="center"/>
      <protection locked="0"/>
    </xf>
    <xf numFmtId="0" fontId="1" fillId="0" borderId="0" xfId="0" applyFont="1" applyFill="1" applyBorder="1" applyAlignment="1">
      <alignment vertical="center" wrapText="1"/>
    </xf>
    <xf numFmtId="0" fontId="12" fillId="0" borderId="0" xfId="0" applyFont="1" applyAlignment="1">
      <alignment horizontal="left"/>
    </xf>
    <xf numFmtId="0" fontId="1" fillId="0" borderId="0" xfId="0" applyFont="1" applyFill="1" applyBorder="1" applyAlignment="1">
      <alignment horizontal="center" vertical="center" wrapText="1"/>
    </xf>
    <xf numFmtId="0" fontId="18" fillId="0" borderId="0" xfId="0" applyFont="1" applyBorder="1" applyAlignment="1">
      <alignment horizontal="center"/>
    </xf>
    <xf numFmtId="49" fontId="0" fillId="0" borderId="0" xfId="0" applyNumberFormat="1" applyAlignment="1">
      <alignment horizontal="center"/>
    </xf>
    <xf numFmtId="0" fontId="13" fillId="0" borderId="0" xfId="0" applyFont="1" applyBorder="1" applyAlignment="1">
      <alignment horizontal="center"/>
    </xf>
    <xf numFmtId="0" fontId="19" fillId="0" borderId="0" xfId="0" applyFont="1" applyBorder="1" applyAlignment="1" applyProtection="1">
      <alignment horizontal="left" vertical="center" wrapText="1"/>
    </xf>
    <xf numFmtId="49" fontId="0" fillId="0" borderId="0" xfId="0" applyNumberFormat="1" applyAlignment="1">
      <alignment horizontal="center"/>
    </xf>
    <xf numFmtId="0" fontId="20" fillId="0" borderId="0" xfId="0" applyFont="1" applyAlignment="1">
      <alignment horizontal="right"/>
    </xf>
    <xf numFmtId="0" fontId="21" fillId="0" borderId="0" xfId="1" applyFont="1" applyBorder="1" applyAlignment="1" applyProtection="1">
      <alignment horizontal="right" vertical="top"/>
    </xf>
    <xf numFmtId="0" fontId="23" fillId="0" borderId="0" xfId="0" applyFont="1" applyAlignment="1">
      <alignment horizontal="right"/>
    </xf>
    <xf numFmtId="0" fontId="24" fillId="0" borderId="0" xfId="0" applyFont="1"/>
    <xf numFmtId="0" fontId="25" fillId="0" borderId="0" xfId="0" applyFont="1"/>
    <xf numFmtId="0" fontId="26" fillId="0" borderId="0" xfId="0" applyFont="1" applyBorder="1" applyAlignment="1" applyProtection="1">
      <alignment horizontal="left" vertical="center" wrapText="1"/>
    </xf>
    <xf numFmtId="0" fontId="28" fillId="0" borderId="0" xfId="3" applyFont="1"/>
    <xf numFmtId="0" fontId="29" fillId="0" borderId="0" xfId="3" applyFont="1"/>
    <xf numFmtId="0" fontId="13" fillId="0" borderId="0" xfId="0" applyFont="1" applyAlignment="1">
      <alignment horizontal="center"/>
    </xf>
    <xf numFmtId="0" fontId="31" fillId="0" borderId="0" xfId="0" applyFont="1"/>
    <xf numFmtId="49" fontId="25" fillId="0" borderId="7" xfId="0" applyNumberFormat="1" applyFont="1" applyBorder="1" applyAlignment="1">
      <alignment horizontal="center"/>
    </xf>
    <xf numFmtId="0" fontId="25" fillId="0" borderId="7" xfId="0" applyFont="1" applyFill="1" applyBorder="1" applyProtection="1"/>
    <xf numFmtId="0" fontId="25" fillId="0" borderId="5" xfId="0" applyFont="1" applyBorder="1"/>
    <xf numFmtId="0" fontId="33" fillId="5" borderId="2" xfId="3" applyFont="1" applyFill="1" applyBorder="1" applyAlignment="1" applyProtection="1">
      <alignment horizontal="center" vertical="center"/>
      <protection locked="0"/>
    </xf>
    <xf numFmtId="0" fontId="34" fillId="0" borderId="0" xfId="0" applyFont="1" applyAlignment="1" applyProtection="1">
      <alignment vertical="top" wrapText="1"/>
    </xf>
    <xf numFmtId="0" fontId="35" fillId="0" borderId="0" xfId="0" applyFont="1" applyFill="1" applyAlignment="1" applyProtection="1">
      <alignment horizontal="left"/>
    </xf>
    <xf numFmtId="0" fontId="33" fillId="0" borderId="0" xfId="0" applyFont="1" applyAlignment="1" applyProtection="1">
      <alignment horizontal="left" wrapText="1" indent="5"/>
    </xf>
    <xf numFmtId="0" fontId="25" fillId="0" borderId="0" xfId="0" applyFont="1" applyAlignment="1">
      <alignment horizontal="left"/>
    </xf>
    <xf numFmtId="49" fontId="25" fillId="0" borderId="4" xfId="0" applyNumberFormat="1" applyFont="1" applyBorder="1" applyAlignment="1">
      <alignment horizontal="center"/>
    </xf>
    <xf numFmtId="0" fontId="25" fillId="0" borderId="4" xfId="0" applyFont="1" applyFill="1" applyBorder="1" applyProtection="1"/>
    <xf numFmtId="0" fontId="25" fillId="0" borderId="2" xfId="0" applyFont="1" applyBorder="1"/>
    <xf numFmtId="0" fontId="33" fillId="7" borderId="1" xfId="3" applyFont="1" applyFill="1" applyBorder="1" applyAlignment="1" applyProtection="1">
      <alignment horizontal="center" vertical="center"/>
      <protection locked="0"/>
    </xf>
    <xf numFmtId="0" fontId="33" fillId="0" borderId="0" xfId="0" applyFont="1" applyFill="1" applyAlignment="1" applyProtection="1">
      <alignment horizontal="left" wrapText="1" indent="5"/>
    </xf>
    <xf numFmtId="3" fontId="33" fillId="5" borderId="1" xfId="3" applyNumberFormat="1" applyFont="1" applyFill="1" applyBorder="1" applyAlignment="1" applyProtection="1">
      <alignment horizontal="center" vertical="center"/>
      <protection locked="0"/>
    </xf>
    <xf numFmtId="0" fontId="33" fillId="0" borderId="0" xfId="0" applyFont="1" applyFill="1" applyAlignment="1" applyProtection="1">
      <alignment vertical="top" wrapText="1"/>
    </xf>
    <xf numFmtId="0" fontId="33" fillId="5" borderId="1" xfId="3" applyFont="1" applyFill="1" applyBorder="1" applyAlignment="1" applyProtection="1">
      <alignment horizontal="center" vertical="center" wrapText="1"/>
      <protection locked="0"/>
    </xf>
    <xf numFmtId="0" fontId="25" fillId="0" borderId="3" xfId="0" applyFont="1" applyBorder="1"/>
    <xf numFmtId="0" fontId="33" fillId="0" borderId="0" xfId="0" applyFont="1" applyFill="1" applyBorder="1" applyAlignment="1" applyProtection="1">
      <alignment horizontal="left" vertical="center" wrapText="1"/>
    </xf>
    <xf numFmtId="49" fontId="27" fillId="0" borderId="4" xfId="0" applyNumberFormat="1" applyFont="1" applyBorder="1" applyAlignment="1">
      <alignment horizontal="center"/>
    </xf>
    <xf numFmtId="0" fontId="35" fillId="0" borderId="0" xfId="0" applyFont="1" applyFill="1" applyBorder="1" applyAlignment="1" applyProtection="1">
      <alignment horizontal="left"/>
    </xf>
    <xf numFmtId="0" fontId="33" fillId="0" borderId="0" xfId="0" applyFont="1" applyFill="1" applyBorder="1" applyAlignment="1" applyProtection="1">
      <alignment horizontal="left" wrapText="1" indent="5"/>
    </xf>
    <xf numFmtId="0" fontId="25" fillId="0" borderId="0" xfId="0" applyFont="1" applyBorder="1"/>
    <xf numFmtId="49" fontId="25" fillId="0" borderId="0" xfId="0" applyNumberFormat="1" applyFont="1" applyAlignment="1">
      <alignment horizontal="center"/>
    </xf>
    <xf numFmtId="0" fontId="25" fillId="0" borderId="0" xfId="0" applyFont="1" applyAlignment="1">
      <alignment horizontal="center" vertical="center"/>
    </xf>
    <xf numFmtId="0" fontId="36" fillId="0" borderId="0" xfId="0" applyFont="1" applyAlignment="1">
      <alignment horizontal="left"/>
    </xf>
    <xf numFmtId="0" fontId="25" fillId="0" borderId="7" xfId="0" applyFont="1" applyBorder="1"/>
    <xf numFmtId="0" fontId="33" fillId="5" borderId="1" xfId="3" applyFont="1" applyFill="1" applyBorder="1" applyAlignment="1" applyProtection="1">
      <alignment horizontal="center" vertical="center"/>
      <protection locked="0"/>
    </xf>
    <xf numFmtId="0" fontId="25" fillId="0" borderId="4" xfId="0" applyFont="1" applyBorder="1"/>
    <xf numFmtId="0" fontId="25" fillId="0" borderId="4" xfId="0" applyFont="1" applyBorder="1" applyAlignment="1">
      <alignment horizontal="left"/>
    </xf>
    <xf numFmtId="0" fontId="25" fillId="0" borderId="0" xfId="0" applyFont="1" applyBorder="1" applyAlignment="1">
      <alignment horizontal="left" vertical="top" wrapText="1"/>
    </xf>
    <xf numFmtId="0" fontId="25" fillId="7" borderId="1" xfId="0" applyFont="1" applyFill="1" applyBorder="1" applyAlignment="1" applyProtection="1">
      <alignment horizontal="center" vertical="center"/>
      <protection locked="0"/>
    </xf>
    <xf numFmtId="0" fontId="36" fillId="0" borderId="0" xfId="0" applyFont="1" applyAlignment="1"/>
    <xf numFmtId="0" fontId="25" fillId="0" borderId="0" xfId="0" applyFont="1" applyBorder="1" applyAlignment="1">
      <alignment horizontal="left" vertical="center" wrapText="1"/>
    </xf>
    <xf numFmtId="0" fontId="25" fillId="6" borderId="1" xfId="0" applyFont="1" applyFill="1" applyBorder="1" applyAlignment="1" applyProtection="1">
      <alignment horizontal="center" vertical="center"/>
      <protection locked="0"/>
    </xf>
    <xf numFmtId="0" fontId="25" fillId="7" borderId="1" xfId="0" applyFont="1" applyFill="1" applyBorder="1" applyAlignment="1" applyProtection="1">
      <alignment horizontal="center" vertical="center" wrapText="1"/>
      <protection locked="0"/>
    </xf>
    <xf numFmtId="0" fontId="25" fillId="0" borderId="0" xfId="0" applyFont="1" applyBorder="1" applyAlignment="1">
      <alignment horizontal="left" wrapText="1"/>
    </xf>
    <xf numFmtId="49" fontId="25" fillId="0" borderId="12" xfId="0" applyNumberFormat="1" applyFont="1" applyBorder="1" applyAlignment="1">
      <alignment horizontal="center"/>
    </xf>
    <xf numFmtId="0" fontId="25" fillId="0" borderId="4" xfId="0" applyFont="1" applyBorder="1" applyAlignment="1">
      <alignment horizontal="left" wrapText="1"/>
    </xf>
    <xf numFmtId="0" fontId="25" fillId="0" borderId="4" xfId="0" applyFont="1" applyBorder="1" applyAlignment="1">
      <alignment horizontal="center"/>
    </xf>
    <xf numFmtId="0" fontId="25" fillId="0" borderId="4" xfId="0" applyFont="1" applyBorder="1" applyAlignment="1">
      <alignment wrapText="1"/>
    </xf>
    <xf numFmtId="0" fontId="33" fillId="6" borderId="1" xfId="3" applyFont="1" applyFill="1" applyBorder="1" applyAlignment="1" applyProtection="1">
      <alignment horizontal="center" vertical="center" wrapText="1"/>
      <protection locked="0"/>
    </xf>
    <xf numFmtId="0" fontId="25" fillId="0" borderId="0" xfId="0" applyFont="1" applyAlignment="1">
      <alignment horizontal="center"/>
    </xf>
    <xf numFmtId="0" fontId="25" fillId="0" borderId="0" xfId="0" applyFont="1" applyAlignment="1">
      <alignment wrapText="1"/>
    </xf>
    <xf numFmtId="0" fontId="25" fillId="0" borderId="7" xfId="0" applyFont="1" applyBorder="1" applyAlignment="1">
      <alignment wrapText="1"/>
    </xf>
    <xf numFmtId="0" fontId="25" fillId="0" borderId="4" xfId="0" applyFont="1" applyBorder="1" applyAlignment="1">
      <alignment horizontal="left" vertical="center" wrapText="1"/>
    </xf>
    <xf numFmtId="0" fontId="36" fillId="0" borderId="0" xfId="0" applyFont="1"/>
    <xf numFmtId="0" fontId="25" fillId="0" borderId="5" xfId="0" applyFont="1" applyBorder="1" applyAlignment="1">
      <alignment wrapText="1"/>
    </xf>
    <xf numFmtId="165" fontId="36" fillId="0" borderId="0" xfId="0" applyNumberFormat="1" applyFont="1"/>
    <xf numFmtId="49" fontId="25" fillId="0" borderId="7" xfId="0" applyNumberFormat="1" applyFont="1" applyBorder="1" applyAlignment="1">
      <alignment horizontal="center" vertical="top"/>
    </xf>
    <xf numFmtId="0" fontId="43" fillId="3" borderId="1" xfId="0" applyFont="1" applyFill="1" applyBorder="1" applyAlignment="1" applyProtection="1">
      <alignment horizontal="center" vertical="center" wrapText="1"/>
    </xf>
    <xf numFmtId="0" fontId="25" fillId="0" borderId="0" xfId="0" applyFont="1" applyAlignment="1">
      <alignment horizontal="center" wrapText="1"/>
    </xf>
    <xf numFmtId="0" fontId="25" fillId="6" borderId="13" xfId="0" applyFont="1" applyFill="1" applyBorder="1" applyProtection="1">
      <protection locked="0"/>
    </xf>
    <xf numFmtId="165" fontId="25" fillId="5" borderId="15" xfId="0" applyNumberFormat="1" applyFont="1" applyFill="1" applyBorder="1" applyProtection="1">
      <protection locked="0"/>
    </xf>
    <xf numFmtId="167" fontId="25" fillId="5" borderId="15" xfId="0" applyNumberFormat="1" applyFont="1" applyFill="1" applyBorder="1" applyProtection="1">
      <protection locked="0"/>
    </xf>
    <xf numFmtId="2" fontId="25" fillId="5" borderId="1" xfId="0" applyNumberFormat="1" applyFont="1" applyFill="1" applyBorder="1" applyProtection="1">
      <protection locked="0"/>
    </xf>
    <xf numFmtId="0" fontId="36" fillId="0" borderId="0" xfId="0" applyFont="1" applyBorder="1" applyAlignment="1">
      <alignment vertical="center" wrapText="1"/>
    </xf>
    <xf numFmtId="165" fontId="27" fillId="3" borderId="2" xfId="0" applyNumberFormat="1" applyFont="1" applyFill="1" applyBorder="1" applyAlignment="1" applyProtection="1">
      <alignment horizontal="center"/>
    </xf>
    <xf numFmtId="165" fontId="27" fillId="3" borderId="1" xfId="0" applyNumberFormat="1" applyFont="1" applyFill="1" applyBorder="1" applyAlignment="1" applyProtection="1">
      <alignment horizontal="center"/>
    </xf>
    <xf numFmtId="166" fontId="27" fillId="3" borderId="1" xfId="0" applyNumberFormat="1" applyFont="1" applyFill="1" applyBorder="1" applyAlignment="1" applyProtection="1">
      <alignment horizontal="center"/>
    </xf>
    <xf numFmtId="0" fontId="25" fillId="6" borderId="1" xfId="0" applyFont="1" applyFill="1" applyBorder="1" applyProtection="1">
      <protection locked="0"/>
    </xf>
    <xf numFmtId="165" fontId="25" fillId="5" borderId="1" xfId="0" applyNumberFormat="1" applyFont="1" applyFill="1" applyBorder="1" applyProtection="1">
      <protection locked="0"/>
    </xf>
    <xf numFmtId="167" fontId="25" fillId="5" borderId="1" xfId="0" applyNumberFormat="1" applyFont="1" applyFill="1" applyBorder="1" applyProtection="1">
      <protection locked="0"/>
    </xf>
    <xf numFmtId="0" fontId="25" fillId="3" borderId="1" xfId="0" applyFont="1" applyFill="1" applyBorder="1" applyAlignment="1"/>
    <xf numFmtId="0" fontId="25" fillId="0" borderId="0" xfId="0" applyFont="1" applyFill="1" applyBorder="1" applyAlignment="1"/>
    <xf numFmtId="0" fontId="42" fillId="9" borderId="1" xfId="0" applyFont="1" applyFill="1" applyBorder="1" applyAlignment="1" applyProtection="1">
      <alignment horizontal="center" vertical="center" wrapText="1"/>
    </xf>
    <xf numFmtId="0" fontId="42" fillId="9" borderId="2" xfId="0" applyFont="1" applyFill="1" applyBorder="1" applyAlignment="1" applyProtection="1">
      <alignment horizontal="center" vertical="center" wrapText="1"/>
    </xf>
    <xf numFmtId="0" fontId="10" fillId="9" borderId="0" xfId="0" applyFont="1" applyFill="1" applyAlignment="1">
      <alignment vertical="center"/>
    </xf>
    <xf numFmtId="0" fontId="25" fillId="0" borderId="0" xfId="0" applyFont="1" applyBorder="1" applyProtection="1"/>
    <xf numFmtId="0" fontId="25" fillId="0" borderId="0" xfId="0" applyFont="1" applyFill="1" applyBorder="1" applyProtection="1"/>
    <xf numFmtId="0" fontId="25" fillId="0" borderId="0" xfId="0" applyFont="1" applyFill="1" applyBorder="1"/>
    <xf numFmtId="165" fontId="25" fillId="0" borderId="0" xfId="0" applyNumberFormat="1" applyFont="1" applyFill="1" applyBorder="1"/>
    <xf numFmtId="167" fontId="25" fillId="0" borderId="0" xfId="0" applyNumberFormat="1" applyFont="1" applyFill="1" applyBorder="1"/>
    <xf numFmtId="2" fontId="25" fillId="0" borderId="0" xfId="0" applyNumberFormat="1" applyFont="1" applyFill="1" applyBorder="1"/>
    <xf numFmtId="0" fontId="25" fillId="0" borderId="1" xfId="0" applyFont="1" applyBorder="1" applyAlignment="1">
      <alignment horizontal="center"/>
    </xf>
    <xf numFmtId="0" fontId="41" fillId="0" borderId="0" xfId="0" applyFont="1"/>
    <xf numFmtId="0" fontId="42" fillId="0" borderId="0" xfId="0" applyFont="1"/>
    <xf numFmtId="0" fontId="42" fillId="8" borderId="6" xfId="0" applyFont="1" applyFill="1" applyBorder="1" applyAlignment="1">
      <alignment horizontal="center" vertical="center" wrapText="1"/>
    </xf>
    <xf numFmtId="0" fontId="24" fillId="0" borderId="0" xfId="0" applyFont="1" applyAlignment="1">
      <alignment horizontal="center"/>
    </xf>
    <xf numFmtId="0" fontId="25" fillId="3" borderId="1" xfId="0" applyFont="1" applyFill="1" applyBorder="1" applyAlignment="1">
      <alignment horizontal="center" vertical="center"/>
    </xf>
    <xf numFmtId="167" fontId="25" fillId="0" borderId="1" xfId="0" applyNumberFormat="1" applyFont="1" applyBorder="1" applyAlignment="1">
      <alignment horizontal="center" vertical="center"/>
    </xf>
    <xf numFmtId="0" fontId="25" fillId="10" borderId="0" xfId="0" applyFont="1" applyFill="1"/>
    <xf numFmtId="0" fontId="25" fillId="3" borderId="1" xfId="0" applyFont="1" applyFill="1" applyBorder="1" applyAlignment="1">
      <alignment horizontal="center" vertical="center" wrapText="1"/>
    </xf>
    <xf numFmtId="2" fontId="25" fillId="0" borderId="1" xfId="0" applyNumberFormat="1" applyFont="1" applyBorder="1" applyAlignment="1">
      <alignment horizontal="center" vertical="center"/>
    </xf>
    <xf numFmtId="3" fontId="25" fillId="0" borderId="1" xfId="0" applyNumberFormat="1" applyFont="1" applyBorder="1" applyAlignment="1">
      <alignment horizontal="center" vertical="center"/>
    </xf>
    <xf numFmtId="1" fontId="25" fillId="0" borderId="1" xfId="0" applyNumberFormat="1" applyFont="1" applyBorder="1" applyAlignment="1">
      <alignment horizontal="center" vertical="center"/>
    </xf>
    <xf numFmtId="0" fontId="25" fillId="3" borderId="1" xfId="0" applyFont="1" applyFill="1" applyBorder="1" applyAlignment="1">
      <alignment horizontal="center"/>
    </xf>
    <xf numFmtId="0" fontId="25" fillId="0" borderId="0" xfId="0" applyFont="1" applyProtection="1"/>
    <xf numFmtId="0" fontId="25" fillId="0" borderId="14" xfId="0" applyFont="1" applyFill="1" applyBorder="1" applyProtection="1"/>
    <xf numFmtId="11" fontId="43" fillId="3" borderId="1" xfId="0" applyNumberFormat="1" applyFont="1" applyFill="1" applyBorder="1" applyAlignment="1" applyProtection="1">
      <alignment horizontal="left"/>
    </xf>
    <xf numFmtId="11" fontId="25" fillId="0" borderId="0" xfId="0" applyNumberFormat="1" applyFont="1" applyAlignment="1" applyProtection="1"/>
    <xf numFmtId="0" fontId="25" fillId="0" borderId="4" xfId="0" applyFont="1" applyBorder="1" applyProtection="1"/>
    <xf numFmtId="11" fontId="27" fillId="3" borderId="1" xfId="0" applyNumberFormat="1" applyFont="1" applyFill="1" applyBorder="1" applyAlignment="1" applyProtection="1">
      <alignment horizontal="left"/>
    </xf>
    <xf numFmtId="0" fontId="38" fillId="0" borderId="0" xfId="0" applyFont="1"/>
    <xf numFmtId="0" fontId="24" fillId="3" borderId="1" xfId="0" applyFont="1" applyFill="1" applyBorder="1" applyAlignment="1">
      <alignment horizontal="left"/>
    </xf>
    <xf numFmtId="0" fontId="24" fillId="3" borderId="1" xfId="0" applyFont="1" applyFill="1" applyBorder="1"/>
    <xf numFmtId="0" fontId="24" fillId="3" borderId="1" xfId="0" applyFont="1" applyFill="1" applyBorder="1" applyAlignment="1">
      <alignment horizontal="center"/>
    </xf>
    <xf numFmtId="49" fontId="25" fillId="0" borderId="0" xfId="0" applyNumberFormat="1" applyFont="1" applyAlignment="1">
      <alignment wrapText="1"/>
    </xf>
    <xf numFmtId="2" fontId="25" fillId="0" borderId="0" xfId="0" applyNumberFormat="1" applyFont="1"/>
    <xf numFmtId="0" fontId="24" fillId="0" borderId="1" xfId="0" applyFont="1" applyBorder="1" applyAlignment="1">
      <alignment horizontal="center" vertical="center"/>
    </xf>
    <xf numFmtId="0" fontId="24" fillId="0" borderId="1" xfId="0" applyFont="1" applyBorder="1" applyAlignment="1">
      <alignment horizontal="center"/>
    </xf>
    <xf numFmtId="0" fontId="25" fillId="0" borderId="1" xfId="0" applyFont="1" applyBorder="1" applyAlignment="1">
      <alignment horizontal="center" vertical="center"/>
    </xf>
    <xf numFmtId="0" fontId="25" fillId="0" borderId="1" xfId="0" applyFont="1" applyBorder="1"/>
    <xf numFmtId="167" fontId="25" fillId="0" borderId="1" xfId="0" applyNumberFormat="1" applyFont="1" applyBorder="1" applyAlignment="1">
      <alignment horizontal="right"/>
    </xf>
    <xf numFmtId="0" fontId="25" fillId="4" borderId="1" xfId="0" applyFont="1" applyFill="1" applyBorder="1" applyProtection="1"/>
    <xf numFmtId="0" fontId="25" fillId="4" borderId="1" xfId="0" applyFont="1" applyFill="1" applyBorder="1" applyAlignment="1" applyProtection="1">
      <alignment horizontal="center" wrapText="1"/>
    </xf>
    <xf numFmtId="0" fontId="25" fillId="4" borderId="1" xfId="0" applyFont="1" applyFill="1" applyBorder="1" applyAlignment="1" applyProtection="1">
      <alignment horizontal="left"/>
    </xf>
    <xf numFmtId="0" fontId="25" fillId="0" borderId="1" xfId="0" applyFont="1" applyBorder="1" applyAlignment="1">
      <alignment horizontal="center" vertical="center" wrapText="1"/>
    </xf>
    <xf numFmtId="2" fontId="25" fillId="0" borderId="1" xfId="0" applyNumberFormat="1" applyFont="1" applyBorder="1" applyAlignment="1">
      <alignment horizontal="right"/>
    </xf>
    <xf numFmtId="3" fontId="25" fillId="0" borderId="1" xfId="0" applyNumberFormat="1" applyFont="1" applyBorder="1" applyAlignment="1">
      <alignment horizontal="right"/>
    </xf>
    <xf numFmtId="1" fontId="25" fillId="0" borderId="1" xfId="0" applyNumberFormat="1" applyFont="1" applyBorder="1" applyAlignment="1">
      <alignment horizontal="right"/>
    </xf>
    <xf numFmtId="0" fontId="24" fillId="4" borderId="1" xfId="0" applyFont="1" applyFill="1" applyBorder="1" applyAlignment="1" applyProtection="1">
      <alignment horizontal="left"/>
    </xf>
    <xf numFmtId="0" fontId="25" fillId="0" borderId="1" xfId="0" applyFont="1" applyFill="1" applyBorder="1"/>
    <xf numFmtId="0" fontId="25" fillId="0" borderId="1" xfId="0" applyFont="1" applyBorder="1" applyAlignment="1">
      <alignment horizontal="center" wrapText="1"/>
    </xf>
    <xf numFmtId="0" fontId="47" fillId="0" borderId="1" xfId="0" applyFont="1" applyBorder="1"/>
    <xf numFmtId="0" fontId="24" fillId="0" borderId="0" xfId="0" applyFont="1" applyProtection="1"/>
    <xf numFmtId="0" fontId="24" fillId="0" borderId="0" xfId="0" applyFont="1" applyFill="1" applyBorder="1" applyAlignment="1" applyProtection="1">
      <alignment horizontal="left"/>
    </xf>
    <xf numFmtId="0" fontId="25" fillId="0" borderId="0" xfId="0" applyFont="1" applyFill="1" applyProtection="1"/>
    <xf numFmtId="0" fontId="24" fillId="0" borderId="4" xfId="0" applyFont="1" applyBorder="1" applyProtection="1"/>
    <xf numFmtId="2" fontId="43" fillId="3" borderId="4" xfId="0" applyNumberFormat="1" applyFont="1" applyFill="1" applyBorder="1" applyAlignment="1" applyProtection="1">
      <alignment horizontal="left"/>
    </xf>
    <xf numFmtId="0" fontId="24" fillId="0" borderId="4" xfId="0" applyFont="1" applyFill="1" applyBorder="1" applyAlignment="1" applyProtection="1">
      <alignment horizontal="left"/>
    </xf>
    <xf numFmtId="0" fontId="25" fillId="0" borderId="4" xfId="0" applyFont="1" applyFill="1" applyBorder="1" applyAlignment="1" applyProtection="1">
      <alignment horizontal="left"/>
    </xf>
    <xf numFmtId="11" fontId="43" fillId="3" borderId="3" xfId="0" applyNumberFormat="1" applyFont="1" applyFill="1" applyBorder="1" applyAlignment="1" applyProtection="1">
      <alignment horizontal="left"/>
    </xf>
    <xf numFmtId="0" fontId="24" fillId="0" borderId="0" xfId="0" applyFont="1" applyBorder="1" applyProtection="1"/>
    <xf numFmtId="0" fontId="24" fillId="0" borderId="2" xfId="0" applyFont="1" applyFill="1" applyBorder="1" applyAlignment="1" applyProtection="1">
      <alignment horizontal="left"/>
    </xf>
    <xf numFmtId="165" fontId="27" fillId="3" borderId="1" xfId="0" applyNumberFormat="1" applyFont="1" applyFill="1" applyBorder="1" applyAlignment="1" applyProtection="1">
      <alignment horizontal="left"/>
    </xf>
    <xf numFmtId="0" fontId="25" fillId="0" borderId="2" xfId="0" applyFont="1" applyFill="1" applyBorder="1" applyAlignment="1" applyProtection="1">
      <alignment horizontal="left"/>
    </xf>
    <xf numFmtId="1" fontId="27" fillId="3" borderId="1" xfId="0" applyNumberFormat="1" applyFont="1" applyFill="1" applyBorder="1" applyAlignment="1" applyProtection="1">
      <alignment horizontal="left"/>
    </xf>
    <xf numFmtId="167" fontId="27" fillId="3" borderId="1" xfId="0" applyNumberFormat="1" applyFont="1" applyFill="1" applyBorder="1" applyAlignment="1" applyProtection="1">
      <alignment horizontal="left"/>
    </xf>
    <xf numFmtId="0" fontId="25" fillId="0" borderId="7" xfId="0" applyFont="1" applyBorder="1" applyProtection="1"/>
    <xf numFmtId="0" fontId="25" fillId="0" borderId="15" xfId="0" applyFont="1" applyBorder="1" applyProtection="1"/>
    <xf numFmtId="167" fontId="27" fillId="3" borderId="14" xfId="0" applyNumberFormat="1" applyFont="1" applyFill="1" applyBorder="1" applyAlignment="1" applyProtection="1">
      <alignment horizontal="left"/>
    </xf>
    <xf numFmtId="0" fontId="25" fillId="0" borderId="0" xfId="0" applyFont="1" applyFill="1" applyAlignment="1" applyProtection="1">
      <alignment horizontal="left"/>
    </xf>
    <xf numFmtId="2" fontId="27" fillId="3" borderId="14" xfId="0" applyNumberFormat="1" applyFont="1" applyFill="1" applyBorder="1" applyAlignment="1" applyProtection="1">
      <alignment horizontal="left"/>
    </xf>
    <xf numFmtId="0" fontId="25" fillId="8" borderId="1" xfId="0" applyFont="1" applyFill="1" applyBorder="1" applyProtection="1"/>
    <xf numFmtId="165" fontId="27" fillId="3" borderId="14" xfId="0" applyNumberFormat="1" applyFont="1" applyFill="1" applyBorder="1" applyAlignment="1" applyProtection="1">
      <alignment horizontal="left"/>
    </xf>
    <xf numFmtId="0" fontId="25" fillId="8" borderId="1" xfId="0" applyFont="1" applyFill="1" applyBorder="1" applyAlignment="1" applyProtection="1">
      <alignment horizontal="center" vertical="center"/>
    </xf>
    <xf numFmtId="2" fontId="25" fillId="8" borderId="1" xfId="0" applyNumberFormat="1" applyFont="1" applyFill="1" applyBorder="1" applyProtection="1"/>
    <xf numFmtId="0" fontId="25" fillId="0" borderId="0" xfId="0" applyFont="1" applyFill="1" applyAlignment="1" applyProtection="1">
      <alignment horizontal="left" indent="1"/>
    </xf>
    <xf numFmtId="167" fontId="25" fillId="0" borderId="0" xfId="0" applyNumberFormat="1" applyFont="1" applyFill="1" applyProtection="1"/>
    <xf numFmtId="0" fontId="25" fillId="0" borderId="0" xfId="0" applyFont="1" applyFill="1" applyAlignment="1" applyProtection="1">
      <alignment horizontal="left" vertical="top"/>
    </xf>
    <xf numFmtId="168" fontId="27" fillId="3" borderId="13" xfId="0" applyNumberFormat="1" applyFont="1" applyFill="1" applyBorder="1" applyAlignment="1" applyProtection="1">
      <alignment horizontal="left"/>
    </xf>
    <xf numFmtId="0" fontId="25" fillId="0" borderId="0" xfId="0" applyFont="1" applyFill="1" applyAlignment="1" applyProtection="1">
      <alignment horizontal="left" vertical="center"/>
    </xf>
    <xf numFmtId="165" fontId="27" fillId="3" borderId="15" xfId="0" applyNumberFormat="1" applyFont="1" applyFill="1" applyBorder="1" applyAlignment="1" applyProtection="1">
      <alignment horizontal="left"/>
    </xf>
    <xf numFmtId="0" fontId="25" fillId="0" borderId="5" xfId="0" applyFont="1" applyBorder="1" applyProtection="1"/>
    <xf numFmtId="0" fontId="25" fillId="3" borderId="1" xfId="0" applyFont="1" applyFill="1" applyBorder="1" applyAlignment="1" applyProtection="1">
      <alignment vertical="center" wrapText="1"/>
    </xf>
    <xf numFmtId="0" fontId="25" fillId="3" borderId="1" xfId="0" applyFont="1" applyFill="1" applyBorder="1" applyAlignment="1" applyProtection="1">
      <alignment horizontal="center" vertical="center" wrapText="1"/>
    </xf>
    <xf numFmtId="0" fontId="25" fillId="3" borderId="13" xfId="0" applyFont="1" applyFill="1" applyBorder="1" applyAlignment="1" applyProtection="1">
      <alignment horizontal="center" vertical="center" wrapText="1"/>
    </xf>
    <xf numFmtId="0" fontId="27" fillId="3" borderId="14" xfId="0" applyNumberFormat="1" applyFont="1" applyFill="1" applyBorder="1" applyAlignment="1" applyProtection="1">
      <alignment horizontal="center"/>
    </xf>
    <xf numFmtId="165" fontId="27" fillId="3" borderId="14" xfId="0" applyNumberFormat="1" applyFont="1" applyFill="1" applyBorder="1" applyAlignment="1" applyProtection="1">
      <alignment horizontal="center"/>
    </xf>
    <xf numFmtId="2" fontId="27" fillId="3" borderId="13" xfId="0" applyNumberFormat="1" applyFont="1" applyFill="1" applyBorder="1" applyAlignment="1" applyProtection="1">
      <alignment horizontal="center"/>
    </xf>
    <xf numFmtId="0" fontId="27" fillId="3" borderId="14" xfId="0" applyFont="1" applyFill="1" applyBorder="1" applyProtection="1"/>
    <xf numFmtId="2" fontId="27" fillId="3" borderId="14" xfId="0" applyNumberFormat="1" applyFont="1" applyFill="1" applyBorder="1" applyAlignment="1" applyProtection="1">
      <alignment horizontal="center"/>
    </xf>
    <xf numFmtId="0" fontId="27" fillId="3" borderId="15" xfId="0" applyNumberFormat="1" applyFont="1" applyFill="1" applyBorder="1" applyAlignment="1" applyProtection="1">
      <alignment horizontal="center"/>
    </xf>
    <xf numFmtId="165" fontId="27" fillId="3" borderId="15" xfId="0" applyNumberFormat="1" applyFont="1" applyFill="1" applyBorder="1" applyAlignment="1" applyProtection="1">
      <alignment horizontal="center"/>
    </xf>
    <xf numFmtId="2" fontId="27" fillId="3" borderId="15" xfId="0" applyNumberFormat="1" applyFont="1" applyFill="1" applyBorder="1" applyAlignment="1" applyProtection="1">
      <alignment horizontal="center"/>
    </xf>
    <xf numFmtId="0" fontId="27" fillId="3" borderId="15" xfId="0" applyFont="1" applyFill="1" applyBorder="1" applyProtection="1"/>
    <xf numFmtId="165" fontId="27" fillId="3" borderId="13" xfId="0" applyNumberFormat="1" applyFont="1" applyFill="1" applyBorder="1" applyAlignment="1" applyProtection="1">
      <alignment horizontal="left"/>
    </xf>
    <xf numFmtId="165" fontId="27" fillId="3" borderId="0" xfId="0" applyNumberFormat="1" applyFont="1" applyFill="1" applyBorder="1" applyAlignment="1" applyProtection="1">
      <alignment horizontal="left"/>
    </xf>
    <xf numFmtId="165" fontId="27" fillId="3" borderId="7" xfId="0" applyNumberFormat="1" applyFont="1" applyFill="1" applyBorder="1" applyAlignment="1" applyProtection="1">
      <alignment horizontal="left"/>
    </xf>
    <xf numFmtId="11" fontId="25" fillId="0" borderId="0" xfId="0" applyNumberFormat="1" applyFont="1" applyProtection="1"/>
    <xf numFmtId="0" fontId="25" fillId="0" borderId="4" xfId="0" applyFont="1" applyFill="1" applyBorder="1" applyAlignment="1" applyProtection="1">
      <alignment horizontal="left" indent="1"/>
    </xf>
    <xf numFmtId="167" fontId="27" fillId="3" borderId="13" xfId="0" applyNumberFormat="1" applyFont="1" applyFill="1" applyBorder="1" applyAlignment="1" applyProtection="1">
      <alignment horizontal="left"/>
    </xf>
    <xf numFmtId="0" fontId="39" fillId="0" borderId="0" xfId="0" applyFont="1" applyFill="1" applyProtection="1"/>
    <xf numFmtId="0" fontId="25" fillId="0" borderId="0" xfId="0" applyFont="1" applyFill="1" applyBorder="1" applyAlignment="1" applyProtection="1">
      <alignment horizontal="left"/>
    </xf>
    <xf numFmtId="0" fontId="27" fillId="3" borderId="13" xfId="0" applyFont="1" applyFill="1" applyBorder="1" applyAlignment="1" applyProtection="1">
      <alignment horizontal="left"/>
    </xf>
    <xf numFmtId="11" fontId="27" fillId="3" borderId="14" xfId="0" applyNumberFormat="1" applyFont="1" applyFill="1" applyBorder="1" applyAlignment="1" applyProtection="1">
      <alignment horizontal="left"/>
    </xf>
    <xf numFmtId="0" fontId="25" fillId="0" borderId="0" xfId="0" quotePrefix="1" applyFont="1" applyFill="1" applyAlignment="1" applyProtection="1">
      <alignment horizontal="left"/>
    </xf>
    <xf numFmtId="2" fontId="27" fillId="3" borderId="1" xfId="0" applyNumberFormat="1" applyFont="1" applyFill="1" applyBorder="1" applyAlignment="1" applyProtection="1">
      <alignment horizontal="left"/>
    </xf>
    <xf numFmtId="165" fontId="25" fillId="3" borderId="13" xfId="0" applyNumberFormat="1" applyFont="1" applyFill="1" applyBorder="1" applyAlignment="1" applyProtection="1">
      <alignment horizontal="left"/>
    </xf>
    <xf numFmtId="165" fontId="25" fillId="3" borderId="14" xfId="0" applyNumberFormat="1" applyFont="1" applyFill="1" applyBorder="1" applyAlignment="1" applyProtection="1">
      <alignment horizontal="left"/>
    </xf>
    <xf numFmtId="2" fontId="27" fillId="3" borderId="11" xfId="0" applyNumberFormat="1" applyFont="1" applyFill="1" applyBorder="1" applyAlignment="1" applyProtection="1">
      <alignment horizontal="left"/>
    </xf>
    <xf numFmtId="2" fontId="27" fillId="3" borderId="13" xfId="0" applyNumberFormat="1" applyFont="1" applyFill="1" applyBorder="1" applyAlignment="1" applyProtection="1">
      <alignment horizontal="left"/>
    </xf>
    <xf numFmtId="2" fontId="27" fillId="3" borderId="9" xfId="0" applyNumberFormat="1" applyFont="1" applyFill="1" applyBorder="1" applyAlignment="1" applyProtection="1">
      <alignment horizontal="left"/>
    </xf>
    <xf numFmtId="170" fontId="27" fillId="3" borderId="9" xfId="0" applyNumberFormat="1" applyFont="1" applyFill="1" applyBorder="1" applyAlignment="1" applyProtection="1">
      <alignment horizontal="left"/>
    </xf>
    <xf numFmtId="2" fontId="27" fillId="3" borderId="6" xfId="0" applyNumberFormat="1" applyFont="1" applyFill="1" applyBorder="1" applyAlignment="1" applyProtection="1">
      <alignment horizontal="left"/>
    </xf>
    <xf numFmtId="2" fontId="27" fillId="3" borderId="15" xfId="0" applyNumberFormat="1" applyFont="1" applyFill="1" applyBorder="1" applyAlignment="1" applyProtection="1">
      <alignment horizontal="left"/>
    </xf>
    <xf numFmtId="165" fontId="25" fillId="0" borderId="0" xfId="0" applyNumberFormat="1" applyFont="1" applyFill="1" applyProtection="1"/>
    <xf numFmtId="0" fontId="24" fillId="0" borderId="0" xfId="0" applyFont="1" applyFill="1" applyProtection="1"/>
    <xf numFmtId="0" fontId="25" fillId="0" borderId="1" xfId="0" applyFont="1" applyFill="1" applyBorder="1" applyProtection="1"/>
    <xf numFmtId="0" fontId="25" fillId="0" borderId="7" xfId="0" quotePrefix="1" applyFont="1" applyFill="1" applyBorder="1" applyAlignment="1" applyProtection="1">
      <alignment horizontal="left"/>
    </xf>
    <xf numFmtId="167" fontId="27" fillId="3" borderId="1" xfId="0" applyNumberFormat="1" applyFont="1" applyFill="1" applyBorder="1" applyAlignment="1" applyProtection="1">
      <alignment horizontal="center"/>
    </xf>
    <xf numFmtId="167" fontId="27" fillId="3" borderId="2" xfId="0" applyNumberFormat="1" applyFont="1" applyFill="1" applyBorder="1" applyAlignment="1" applyProtection="1">
      <alignment horizontal="left"/>
    </xf>
    <xf numFmtId="167" fontId="37" fillId="3" borderId="1" xfId="0" applyNumberFormat="1" applyFont="1" applyFill="1" applyBorder="1" applyAlignment="1" applyProtection="1">
      <alignment horizontal="center"/>
    </xf>
    <xf numFmtId="167" fontId="49" fillId="3" borderId="15" xfId="0" applyNumberFormat="1" applyFont="1" applyFill="1" applyBorder="1" applyAlignment="1" applyProtection="1">
      <alignment horizontal="center"/>
    </xf>
    <xf numFmtId="167" fontId="49" fillId="3" borderId="15" xfId="0" applyNumberFormat="1" applyFont="1" applyFill="1" applyBorder="1" applyAlignment="1" applyProtection="1">
      <alignment horizontal="left"/>
    </xf>
    <xf numFmtId="0" fontId="24" fillId="0" borderId="0" xfId="0" applyFont="1" applyFill="1" applyAlignment="1" applyProtection="1">
      <alignment horizontal="left"/>
    </xf>
    <xf numFmtId="0" fontId="25" fillId="0" borderId="15" xfId="0" applyFont="1" applyFill="1" applyBorder="1" applyProtection="1"/>
    <xf numFmtId="0" fontId="24" fillId="0" borderId="15" xfId="0" applyFont="1" applyFill="1" applyBorder="1" applyAlignment="1" applyProtection="1">
      <alignment horizontal="left"/>
    </xf>
    <xf numFmtId="11" fontId="43" fillId="3" borderId="14" xfId="0" applyNumberFormat="1" applyFont="1" applyFill="1" applyBorder="1" applyAlignment="1" applyProtection="1">
      <alignment horizontal="left"/>
    </xf>
    <xf numFmtId="0" fontId="24" fillId="0" borderId="12" xfId="0" applyFont="1" applyBorder="1" applyProtection="1"/>
    <xf numFmtId="11" fontId="43" fillId="3" borderId="13" xfId="0" applyNumberFormat="1" applyFont="1" applyFill="1" applyBorder="1" applyAlignment="1" applyProtection="1">
      <alignment horizontal="left"/>
    </xf>
    <xf numFmtId="0" fontId="25" fillId="0" borderId="12" xfId="0" applyFont="1" applyBorder="1" applyProtection="1"/>
    <xf numFmtId="0" fontId="24" fillId="0" borderId="1" xfId="0" applyFont="1" applyBorder="1" applyAlignment="1">
      <alignment horizontal="center" wrapText="1"/>
    </xf>
    <xf numFmtId="0" fontId="24" fillId="0" borderId="0" xfId="0" applyFont="1" applyBorder="1" applyAlignment="1">
      <alignment horizontal="center" wrapText="1"/>
    </xf>
    <xf numFmtId="0" fontId="25" fillId="0" borderId="1" xfId="0" applyFont="1" applyBorder="1" applyAlignment="1"/>
    <xf numFmtId="0" fontId="25" fillId="0" borderId="0" xfId="0" applyFont="1" applyBorder="1" applyAlignment="1">
      <alignment horizontal="center"/>
    </xf>
    <xf numFmtId="167" fontId="25" fillId="0" borderId="1" xfId="0" applyNumberFormat="1" applyFont="1" applyBorder="1" applyAlignment="1">
      <alignment horizontal="center"/>
    </xf>
    <xf numFmtId="165" fontId="25" fillId="0" borderId="1" xfId="0" applyNumberFormat="1" applyFont="1" applyBorder="1" applyAlignment="1">
      <alignment horizontal="center"/>
    </xf>
    <xf numFmtId="167" fontId="25" fillId="0" borderId="0" xfId="0" applyNumberFormat="1" applyFont="1" applyBorder="1" applyAlignment="1">
      <alignment horizontal="center"/>
    </xf>
    <xf numFmtId="0" fontId="46" fillId="0" borderId="1" xfId="0" applyFont="1" applyBorder="1" applyAlignment="1"/>
    <xf numFmtId="165" fontId="25" fillId="0" borderId="0" xfId="0" applyNumberFormat="1" applyFont="1" applyBorder="1" applyAlignment="1">
      <alignment horizontal="center"/>
    </xf>
    <xf numFmtId="166" fontId="25" fillId="0" borderId="1" xfId="0" applyNumberFormat="1" applyFont="1" applyBorder="1" applyAlignment="1">
      <alignment horizontal="center"/>
    </xf>
    <xf numFmtId="166" fontId="25" fillId="0" borderId="0" xfId="0" applyNumberFormat="1" applyFont="1" applyBorder="1" applyAlignment="1">
      <alignment horizontal="center"/>
    </xf>
    <xf numFmtId="0" fontId="25" fillId="0" borderId="0" xfId="0" applyFont="1" applyAlignment="1">
      <alignment horizontal="left" wrapText="1"/>
    </xf>
    <xf numFmtId="0" fontId="25" fillId="0" borderId="0" xfId="0" applyFont="1" applyAlignment="1"/>
    <xf numFmtId="0" fontId="25" fillId="0" borderId="0" xfId="0" applyFont="1" applyFill="1"/>
    <xf numFmtId="0" fontId="25" fillId="0" borderId="1" xfId="0" applyFont="1" applyFill="1" applyBorder="1" applyAlignment="1">
      <alignment horizontal="center"/>
    </xf>
    <xf numFmtId="0" fontId="25" fillId="0" borderId="6" xfId="0" applyFont="1" applyFill="1" applyBorder="1" applyAlignment="1">
      <alignment horizontal="center" vertical="top"/>
    </xf>
    <xf numFmtId="0" fontId="25" fillId="0" borderId="5" xfId="0" applyFont="1" applyFill="1" applyBorder="1" applyAlignment="1">
      <alignment horizontal="center" vertical="top"/>
    </xf>
    <xf numFmtId="0" fontId="25" fillId="0" borderId="3" xfId="0" applyFont="1" applyFill="1" applyBorder="1"/>
    <xf numFmtId="0" fontId="25" fillId="0" borderId="2" xfId="0" applyFont="1" applyFill="1" applyBorder="1"/>
    <xf numFmtId="2" fontId="25" fillId="0" borderId="1" xfId="0" applyNumberFormat="1" applyFont="1" applyFill="1" applyBorder="1" applyAlignment="1">
      <alignment horizontal="center"/>
    </xf>
    <xf numFmtId="0" fontId="46" fillId="0" borderId="2" xfId="0" applyFont="1" applyFill="1" applyBorder="1"/>
    <xf numFmtId="0" fontId="24" fillId="0" borderId="0" xfId="0" applyFont="1" applyFill="1" applyAlignment="1"/>
    <xf numFmtId="0" fontId="25" fillId="0" borderId="15" xfId="0" applyFont="1" applyFill="1" applyBorder="1" applyAlignment="1">
      <alignment horizontal="center" wrapText="1"/>
    </xf>
    <xf numFmtId="0" fontId="25" fillId="0" borderId="1" xfId="0" applyFont="1" applyFill="1" applyBorder="1" applyAlignment="1">
      <alignment horizontal="left"/>
    </xf>
    <xf numFmtId="167" fontId="25" fillId="0" borderId="1" xfId="0" applyNumberFormat="1" applyFont="1" applyFill="1" applyBorder="1" applyAlignment="1">
      <alignment horizontal="center"/>
    </xf>
    <xf numFmtId="0" fontId="25" fillId="0" borderId="1" xfId="0" applyFont="1" applyFill="1" applyBorder="1" applyAlignment="1">
      <alignment vertical="center" wrapText="1"/>
    </xf>
    <xf numFmtId="167" fontId="25" fillId="0" borderId="15" xfId="0" applyNumberFormat="1" applyFont="1" applyFill="1" applyBorder="1" applyAlignment="1">
      <alignment horizontal="center" wrapText="1"/>
    </xf>
    <xf numFmtId="1" fontId="25" fillId="0" borderId="1" xfId="0" applyNumberFormat="1" applyFont="1" applyFill="1" applyBorder="1" applyAlignment="1">
      <alignment horizontal="center"/>
    </xf>
    <xf numFmtId="0" fontId="25" fillId="0" borderId="13" xfId="0" applyFont="1" applyFill="1" applyBorder="1" applyAlignment="1">
      <alignment horizontal="center"/>
    </xf>
    <xf numFmtId="0" fontId="24" fillId="0" borderId="0" xfId="0" applyFont="1" applyFill="1" applyBorder="1" applyAlignment="1"/>
    <xf numFmtId="0" fontId="25" fillId="0" borderId="0" xfId="0" applyFont="1" applyFill="1" applyBorder="1" applyAlignment="1">
      <alignment horizont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left" indent="1"/>
    </xf>
    <xf numFmtId="0" fontId="46" fillId="0" borderId="0" xfId="0" applyFont="1" applyFill="1" applyBorder="1" applyAlignment="1">
      <alignment horizontal="left" indent="1"/>
    </xf>
    <xf numFmtId="0" fontId="25" fillId="0" borderId="0" xfId="0" applyFont="1" applyFill="1" applyBorder="1" applyAlignment="1">
      <alignment horizontal="right"/>
    </xf>
    <xf numFmtId="167" fontId="25" fillId="0" borderId="0" xfId="0" applyNumberFormat="1" applyFont="1" applyFill="1" applyBorder="1" applyAlignment="1">
      <alignment horizontal="right"/>
    </xf>
    <xf numFmtId="0" fontId="27" fillId="0" borderId="0" xfId="0" applyFont="1" applyFill="1" applyBorder="1" applyAlignment="1">
      <alignment horizontal="right"/>
    </xf>
    <xf numFmtId="167" fontId="27" fillId="0" borderId="0" xfId="0" applyNumberFormat="1" applyFont="1" applyFill="1" applyBorder="1" applyAlignment="1">
      <alignment horizontal="right"/>
    </xf>
    <xf numFmtId="0" fontId="46" fillId="0" borderId="0" xfId="0" applyFont="1" applyFill="1" applyBorder="1"/>
    <xf numFmtId="0" fontId="24" fillId="0" borderId="0" xfId="0" applyFont="1" applyFill="1" applyBorder="1" applyAlignment="1">
      <alignment horizontal="left"/>
    </xf>
    <xf numFmtId="166" fontId="25" fillId="0" borderId="0" xfId="0" applyNumberFormat="1" applyFont="1" applyFill="1" applyBorder="1" applyAlignment="1">
      <alignment horizontal="center"/>
    </xf>
    <xf numFmtId="165" fontId="25" fillId="0" borderId="0" xfId="0" applyNumberFormat="1" applyFont="1" applyFill="1" applyBorder="1" applyAlignment="1">
      <alignment horizontal="center"/>
    </xf>
    <xf numFmtId="2" fontId="25" fillId="0" borderId="0" xfId="0" applyNumberFormat="1" applyFont="1" applyFill="1" applyBorder="1" applyAlignment="1">
      <alignment horizontal="center"/>
    </xf>
    <xf numFmtId="0" fontId="28" fillId="0" borderId="0" xfId="3" applyFont="1" applyFill="1" applyBorder="1"/>
    <xf numFmtId="0" fontId="25" fillId="0" borderId="0" xfId="0" applyFont="1" applyFill="1" applyBorder="1" applyAlignment="1">
      <alignment horizontal="left"/>
    </xf>
    <xf numFmtId="0" fontId="25" fillId="0" borderId="0" xfId="0" applyFont="1" applyFill="1" applyBorder="1" applyAlignment="1">
      <alignment wrapText="1"/>
    </xf>
    <xf numFmtId="0" fontId="25" fillId="0" borderId="0" xfId="0" applyFont="1" applyFill="1" applyBorder="1" applyAlignment="1">
      <alignment horizontal="left" wrapText="1" indent="1"/>
    </xf>
    <xf numFmtId="0" fontId="25" fillId="0" borderId="0" xfId="0" applyFont="1" applyFill="1" applyBorder="1" applyAlignment="1">
      <alignment horizontal="left" wrapText="1"/>
    </xf>
    <xf numFmtId="0" fontId="25" fillId="0" borderId="0" xfId="0" applyFont="1" applyFill="1" applyBorder="1" applyAlignment="1">
      <alignment horizontal="center" vertical="center"/>
    </xf>
    <xf numFmtId="0" fontId="33" fillId="0" borderId="0" xfId="0" applyFont="1" applyFill="1" applyBorder="1" applyAlignment="1">
      <alignment wrapText="1"/>
    </xf>
    <xf numFmtId="0" fontId="33" fillId="0" borderId="0" xfId="0" applyFont="1" applyFill="1" applyBorder="1"/>
    <xf numFmtId="0" fontId="33" fillId="0" borderId="0" xfId="0" applyFont="1" applyFill="1"/>
    <xf numFmtId="0" fontId="33" fillId="0" borderId="0" xfId="0" applyFont="1" applyFill="1" applyBorder="1" applyAlignment="1">
      <alignment horizontal="center"/>
    </xf>
    <xf numFmtId="0" fontId="24" fillId="0" borderId="0" xfId="0" applyFont="1" applyFill="1" applyBorder="1"/>
    <xf numFmtId="167" fontId="25" fillId="0" borderId="0" xfId="0" applyNumberFormat="1" applyFont="1" applyFill="1" applyBorder="1" applyAlignment="1">
      <alignment wrapText="1"/>
    </xf>
    <xf numFmtId="0" fontId="10" fillId="0" borderId="0" xfId="0" applyFont="1" applyFill="1"/>
    <xf numFmtId="0" fontId="42" fillId="0" borderId="0" xfId="0" applyFont="1" applyFill="1"/>
    <xf numFmtId="0" fontId="42" fillId="0" borderId="0" xfId="0" applyFont="1" applyFill="1" applyAlignment="1"/>
    <xf numFmtId="2" fontId="25" fillId="0" borderId="1" xfId="0" applyNumberFormat="1" applyFont="1" applyBorder="1" applyAlignment="1">
      <alignment horizontal="center"/>
    </xf>
    <xf numFmtId="4" fontId="25" fillId="0" borderId="1" xfId="0" applyNumberFormat="1" applyFont="1" applyBorder="1" applyAlignment="1">
      <alignment horizontal="center"/>
    </xf>
    <xf numFmtId="11" fontId="25" fillId="0" borderId="1" xfId="0" applyNumberFormat="1" applyFont="1" applyBorder="1" applyAlignment="1">
      <alignment horizontal="center"/>
    </xf>
    <xf numFmtId="3" fontId="25" fillId="0" borderId="1" xfId="0" applyNumberFormat="1" applyFont="1" applyBorder="1" applyAlignment="1">
      <alignment horizontal="center"/>
    </xf>
    <xf numFmtId="2" fontId="25" fillId="0" borderId="3" xfId="0" applyNumberFormat="1" applyFont="1" applyBorder="1" applyAlignment="1">
      <alignment horizontal="center"/>
    </xf>
    <xf numFmtId="164" fontId="25" fillId="0" borderId="1" xfId="0" applyNumberFormat="1" applyFont="1" applyBorder="1" applyAlignment="1">
      <alignment horizontal="center"/>
    </xf>
    <xf numFmtId="1" fontId="25" fillId="0" borderId="1" xfId="0" applyNumberFormat="1" applyFont="1" applyBorder="1" applyAlignment="1">
      <alignment horizontal="center"/>
    </xf>
    <xf numFmtId="0" fontId="25" fillId="0" borderId="7" xfId="0" applyFont="1" applyFill="1" applyBorder="1"/>
    <xf numFmtId="0" fontId="25" fillId="0" borderId="4" xfId="0" applyFont="1" applyFill="1" applyBorder="1"/>
    <xf numFmtId="0" fontId="25" fillId="0" borderId="0" xfId="0" applyFont="1" applyAlignment="1" applyProtection="1">
      <alignment wrapText="1"/>
    </xf>
    <xf numFmtId="0" fontId="25" fillId="0" borderId="1" xfId="0" applyFont="1" applyFill="1" applyBorder="1" applyAlignment="1" applyProtection="1">
      <alignment wrapText="1"/>
    </xf>
    <xf numFmtId="11" fontId="25" fillId="11" borderId="1" xfId="0" applyNumberFormat="1" applyFont="1" applyFill="1" applyBorder="1"/>
    <xf numFmtId="11" fontId="43" fillId="11" borderId="4" xfId="0" applyNumberFormat="1" applyFont="1" applyFill="1" applyBorder="1" applyAlignment="1" applyProtection="1">
      <alignment horizontal="left"/>
    </xf>
    <xf numFmtId="0" fontId="25" fillId="11" borderId="4" xfId="0" applyFont="1" applyFill="1" applyBorder="1" applyAlignment="1" applyProtection="1">
      <alignment horizontal="left"/>
    </xf>
    <xf numFmtId="11" fontId="43" fillId="11" borderId="1" xfId="0" applyNumberFormat="1" applyFont="1" applyFill="1" applyBorder="1" applyAlignment="1" applyProtection="1">
      <alignment horizontal="left"/>
    </xf>
    <xf numFmtId="0" fontId="24" fillId="11" borderId="1" xfId="0" applyFont="1" applyFill="1" applyBorder="1" applyAlignment="1" applyProtection="1">
      <alignment horizontal="left"/>
    </xf>
    <xf numFmtId="11" fontId="43" fillId="11" borderId="3" xfId="0" applyNumberFormat="1" applyFont="1" applyFill="1" applyBorder="1" applyAlignment="1" applyProtection="1">
      <alignment horizontal="left"/>
    </xf>
    <xf numFmtId="0" fontId="24" fillId="0" borderId="1" xfId="0" applyFont="1" applyBorder="1" applyAlignment="1">
      <alignment horizontal="center" vertical="center" wrapText="1"/>
    </xf>
    <xf numFmtId="0" fontId="24" fillId="0" borderId="1" xfId="0" applyFont="1" applyBorder="1" applyAlignment="1" applyProtection="1">
      <alignment wrapText="1"/>
    </xf>
    <xf numFmtId="0" fontId="0" fillId="0" borderId="7" xfId="0" applyFont="1" applyBorder="1"/>
    <xf numFmtId="0" fontId="0" fillId="0" borderId="7" xfId="0" applyBorder="1"/>
    <xf numFmtId="11" fontId="25" fillId="0" borderId="0" xfId="0" applyNumberFormat="1" applyFont="1"/>
    <xf numFmtId="0" fontId="53" fillId="0" borderId="0" xfId="0" applyFont="1"/>
    <xf numFmtId="0" fontId="42" fillId="0" borderId="0" xfId="0" applyFont="1" applyAlignment="1">
      <alignment horizontal="left"/>
    </xf>
    <xf numFmtId="0" fontId="25" fillId="0" borderId="0" xfId="0" applyFont="1" applyFill="1" applyBorder="1" applyAlignment="1" applyProtection="1">
      <alignment horizontal="left" vertical="top" wrapText="1"/>
    </xf>
    <xf numFmtId="0" fontId="25" fillId="7" borderId="11" xfId="0" applyFont="1" applyFill="1" applyBorder="1" applyAlignment="1">
      <alignment horizontal="center"/>
    </xf>
    <xf numFmtId="0" fontId="25" fillId="7" borderId="6" xfId="0" applyFont="1" applyFill="1" applyBorder="1" applyAlignment="1">
      <alignment horizontal="center"/>
    </xf>
    <xf numFmtId="0" fontId="25" fillId="5" borderId="13" xfId="0" applyFont="1" applyFill="1" applyBorder="1" applyAlignment="1">
      <alignment horizontal="center"/>
    </xf>
    <xf numFmtId="0" fontId="25" fillId="5" borderId="15" xfId="0" applyFont="1" applyFill="1" applyBorder="1" applyAlignment="1">
      <alignment horizontal="center"/>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0"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5" xfId="0" applyFont="1" applyBorder="1" applyAlignment="1">
      <alignment horizontal="left" vertical="center" wrapText="1"/>
    </xf>
    <xf numFmtId="0" fontId="25" fillId="0" borderId="11" xfId="0" applyFont="1" applyBorder="1" applyAlignment="1">
      <alignment horizontal="left" vertical="center"/>
    </xf>
    <xf numFmtId="0" fontId="25" fillId="0" borderId="12" xfId="0" applyFont="1" applyBorder="1" applyAlignment="1">
      <alignment horizontal="left" vertical="center"/>
    </xf>
    <xf numFmtId="0" fontId="25" fillId="0" borderId="10" xfId="0" applyFont="1" applyBorder="1" applyAlignment="1">
      <alignment horizontal="left" vertical="center"/>
    </xf>
    <xf numFmtId="0" fontId="25" fillId="0" borderId="6" xfId="0" applyFont="1" applyBorder="1" applyAlignment="1">
      <alignment horizontal="left" vertical="center"/>
    </xf>
    <xf numFmtId="0" fontId="25" fillId="0" borderId="7" xfId="0" applyFont="1" applyBorder="1" applyAlignment="1">
      <alignment horizontal="left" vertical="center"/>
    </xf>
    <xf numFmtId="0" fontId="25" fillId="0" borderId="5" xfId="0" applyFont="1" applyBorder="1" applyAlignment="1">
      <alignment horizontal="left" vertical="center"/>
    </xf>
    <xf numFmtId="0" fontId="36" fillId="0" borderId="0" xfId="0" applyFont="1" applyAlignment="1">
      <alignment horizontal="left"/>
    </xf>
    <xf numFmtId="165" fontId="42" fillId="9" borderId="13" xfId="0" applyNumberFormat="1" applyFont="1" applyFill="1" applyBorder="1" applyAlignment="1" applyProtection="1">
      <alignment horizontal="center" vertical="center" wrapText="1"/>
    </xf>
    <xf numFmtId="165" fontId="42" fillId="9" borderId="15" xfId="0" applyNumberFormat="1" applyFont="1" applyFill="1" applyBorder="1" applyAlignment="1" applyProtection="1">
      <alignment horizontal="center" vertical="center" wrapText="1"/>
    </xf>
    <xf numFmtId="165" fontId="42" fillId="9" borderId="11" xfId="0" applyNumberFormat="1" applyFont="1" applyFill="1" applyBorder="1" applyAlignment="1" applyProtection="1">
      <alignment horizontal="center" vertical="center" wrapText="1"/>
    </xf>
    <xf numFmtId="165" fontId="42" fillId="9" borderId="12" xfId="0" applyNumberFormat="1" applyFont="1" applyFill="1" applyBorder="1" applyAlignment="1" applyProtection="1">
      <alignment horizontal="center" vertical="center" wrapText="1"/>
    </xf>
    <xf numFmtId="165" fontId="42" fillId="9" borderId="10" xfId="0" applyNumberFormat="1" applyFont="1" applyFill="1" applyBorder="1" applyAlignment="1" applyProtection="1">
      <alignment horizontal="center" vertical="center" wrapText="1"/>
    </xf>
    <xf numFmtId="165" fontId="42" fillId="9" borderId="6" xfId="0" applyNumberFormat="1" applyFont="1" applyFill="1" applyBorder="1" applyAlignment="1" applyProtection="1">
      <alignment horizontal="center" vertical="center" wrapText="1"/>
    </xf>
    <xf numFmtId="165" fontId="42" fillId="9" borderId="7" xfId="0" applyNumberFormat="1" applyFont="1" applyFill="1" applyBorder="1" applyAlignment="1" applyProtection="1">
      <alignment horizontal="center" vertical="center" wrapText="1"/>
    </xf>
    <xf numFmtId="165" fontId="42" fillId="9" borderId="5" xfId="0" applyNumberFormat="1" applyFont="1" applyFill="1" applyBorder="1" applyAlignment="1" applyProtection="1">
      <alignment horizontal="center" vertical="center" wrapText="1"/>
    </xf>
    <xf numFmtId="0" fontId="1" fillId="0" borderId="0" xfId="0" applyFont="1" applyFill="1" applyBorder="1" applyAlignment="1">
      <alignment horizontal="center" vertical="center" wrapText="1"/>
    </xf>
    <xf numFmtId="0" fontId="14" fillId="9" borderId="0" xfId="0" applyFont="1" applyFill="1" applyAlignment="1">
      <alignment horizontal="center" vertical="center"/>
    </xf>
    <xf numFmtId="0" fontId="36" fillId="0" borderId="0" xfId="0" applyFont="1" applyAlignment="1">
      <alignment horizontal="left" vertical="center" wrapText="1"/>
    </xf>
    <xf numFmtId="0" fontId="25" fillId="5" borderId="3" xfId="0" applyFont="1" applyFill="1" applyBorder="1" applyAlignment="1" applyProtection="1">
      <alignment horizontal="center"/>
      <protection locked="0"/>
    </xf>
    <xf numFmtId="0" fontId="25" fillId="5" borderId="2" xfId="0" applyFont="1" applyFill="1" applyBorder="1" applyAlignment="1" applyProtection="1">
      <alignment horizontal="center"/>
      <protection locked="0"/>
    </xf>
    <xf numFmtId="0" fontId="36" fillId="0" borderId="0" xfId="0" applyFont="1" applyAlignment="1">
      <alignment horizontal="left" wrapText="1"/>
    </xf>
    <xf numFmtId="0" fontId="36" fillId="0" borderId="0" xfId="0" applyFont="1" applyFill="1" applyAlignment="1">
      <alignment horizontal="left"/>
    </xf>
    <xf numFmtId="0" fontId="9" fillId="9" borderId="0" xfId="0" applyFont="1" applyFill="1" applyBorder="1" applyAlignment="1" applyProtection="1">
      <alignment horizontal="left" vertical="center" wrapText="1"/>
    </xf>
    <xf numFmtId="2" fontId="25" fillId="5" borderId="3" xfId="0" applyNumberFormat="1" applyFont="1" applyFill="1" applyBorder="1" applyAlignment="1" applyProtection="1">
      <alignment horizontal="center"/>
      <protection locked="0"/>
    </xf>
    <xf numFmtId="2" fontId="25" fillId="5" borderId="2" xfId="0" applyNumberFormat="1" applyFont="1" applyFill="1" applyBorder="1" applyAlignment="1" applyProtection="1">
      <alignment horizontal="center"/>
      <protection locked="0"/>
    </xf>
    <xf numFmtId="0" fontId="25" fillId="0" borderId="0" xfId="0" applyFont="1" applyFill="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2" xfId="0" applyFont="1" applyBorder="1" applyAlignment="1">
      <alignment horizontal="center"/>
    </xf>
    <xf numFmtId="0" fontId="11" fillId="9" borderId="0" xfId="0" applyFont="1" applyFill="1" applyAlignment="1">
      <alignment horizontal="center" vertical="center"/>
    </xf>
    <xf numFmtId="0" fontId="42" fillId="9" borderId="11" xfId="0" applyFont="1" applyFill="1" applyBorder="1" applyAlignment="1" applyProtection="1">
      <alignment horizontal="center" vertical="center" wrapText="1"/>
    </xf>
    <xf numFmtId="0" fontId="42" fillId="9" borderId="10" xfId="0" applyFont="1" applyFill="1" applyBorder="1" applyAlignment="1" applyProtection="1">
      <alignment horizontal="center" vertical="center" wrapText="1"/>
    </xf>
    <xf numFmtId="0" fontId="42" fillId="9" borderId="6" xfId="0" applyFont="1" applyFill="1" applyBorder="1" applyAlignment="1" applyProtection="1">
      <alignment horizontal="center" vertical="center" wrapText="1"/>
    </xf>
    <xf numFmtId="0" fontId="42" fillId="9" borderId="5" xfId="0" applyFont="1" applyFill="1" applyBorder="1" applyAlignment="1" applyProtection="1">
      <alignment horizontal="center" vertical="center" wrapText="1"/>
    </xf>
    <xf numFmtId="0" fontId="32" fillId="9" borderId="3" xfId="0" applyFont="1" applyFill="1" applyBorder="1" applyAlignment="1">
      <alignment horizontal="center"/>
    </xf>
    <xf numFmtId="0" fontId="32" fillId="9" borderId="4" xfId="0" applyFont="1" applyFill="1" applyBorder="1" applyAlignment="1">
      <alignment horizontal="center"/>
    </xf>
    <xf numFmtId="0" fontId="32" fillId="9" borderId="2" xfId="0" applyFont="1" applyFill="1" applyBorder="1" applyAlignment="1">
      <alignment horizontal="center"/>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25" fillId="0" borderId="4" xfId="0" applyFont="1" applyBorder="1" applyAlignment="1">
      <alignment horizontal="left" wrapText="1"/>
    </xf>
    <xf numFmtId="0" fontId="25" fillId="0" borderId="2" xfId="0" applyFont="1" applyBorder="1" applyAlignment="1">
      <alignment horizontal="left" wrapText="1"/>
    </xf>
    <xf numFmtId="0" fontId="25" fillId="5" borderId="4" xfId="0" applyFont="1" applyFill="1" applyBorder="1" applyAlignment="1" applyProtection="1">
      <alignment horizontal="center"/>
      <protection locked="0"/>
    </xf>
    <xf numFmtId="0" fontId="25" fillId="6" borderId="3" xfId="0" applyFont="1" applyFill="1" applyBorder="1" applyAlignment="1" applyProtection="1">
      <alignment horizontal="center"/>
      <protection locked="0"/>
    </xf>
    <xf numFmtId="0" fontId="25" fillId="6" borderId="2" xfId="0" applyFont="1" applyFill="1" applyBorder="1" applyAlignment="1" applyProtection="1">
      <alignment horizontal="center"/>
      <protection locked="0"/>
    </xf>
    <xf numFmtId="0" fontId="25" fillId="0" borderId="0" xfId="0" applyFont="1" applyAlignment="1">
      <alignment horizontal="left" vertical="top" wrapText="1"/>
    </xf>
    <xf numFmtId="0" fontId="36" fillId="0" borderId="9" xfId="0" applyFont="1" applyBorder="1" applyAlignment="1">
      <alignment horizontal="left" vertical="center" wrapText="1"/>
    </xf>
    <xf numFmtId="0" fontId="36" fillId="0" borderId="0" xfId="0" applyFont="1" applyBorder="1" applyAlignment="1">
      <alignment horizontal="left" vertical="center" wrapText="1"/>
    </xf>
    <xf numFmtId="0" fontId="33" fillId="0" borderId="4" xfId="0" applyFont="1" applyFill="1" applyBorder="1" applyAlignment="1" applyProtection="1">
      <alignment horizontal="left" vertical="center" wrapText="1"/>
    </xf>
    <xf numFmtId="0" fontId="33" fillId="0" borderId="2" xfId="0" applyFont="1" applyFill="1" applyBorder="1" applyAlignment="1" applyProtection="1">
      <alignment horizontal="left" vertical="center" wrapText="1"/>
    </xf>
    <xf numFmtId="0" fontId="25" fillId="0" borderId="4" xfId="0" applyFont="1" applyBorder="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xf>
    <xf numFmtId="0" fontId="25" fillId="0" borderId="2" xfId="0" applyFont="1" applyBorder="1" applyAlignment="1">
      <alignment horizontal="left"/>
    </xf>
    <xf numFmtId="0" fontId="42" fillId="9" borderId="13" xfId="0" applyFont="1" applyFill="1" applyBorder="1" applyAlignment="1" applyProtection="1">
      <alignment horizontal="center" vertical="center" wrapText="1"/>
    </xf>
    <xf numFmtId="0" fontId="42" fillId="9" borderId="15" xfId="0" applyFont="1" applyFill="1" applyBorder="1" applyAlignment="1" applyProtection="1">
      <alignment horizontal="center" vertical="center" wrapText="1"/>
    </xf>
    <xf numFmtId="0" fontId="25" fillId="0" borderId="0" xfId="0" applyFont="1" applyAlignment="1">
      <alignment horizontal="left" wrapText="1"/>
    </xf>
    <xf numFmtId="0" fontId="26" fillId="0" borderId="0" xfId="0" applyFont="1" applyBorder="1" applyAlignment="1" applyProtection="1">
      <alignment horizontal="left" vertical="center" wrapText="1"/>
    </xf>
    <xf numFmtId="0" fontId="25" fillId="0" borderId="0" xfId="0" applyFont="1" applyBorder="1" applyAlignment="1">
      <alignment horizontal="left" wrapText="1"/>
    </xf>
    <xf numFmtId="0" fontId="41" fillId="0" borderId="1" xfId="0" applyFont="1" applyBorder="1" applyAlignment="1">
      <alignment horizontal="center"/>
    </xf>
    <xf numFmtId="0" fontId="42" fillId="3" borderId="1" xfId="0" applyFont="1" applyFill="1" applyBorder="1" applyAlignment="1">
      <alignment horizontal="left"/>
    </xf>
    <xf numFmtId="0" fontId="42" fillId="3" borderId="13" xfId="0" applyFont="1" applyFill="1" applyBorder="1" applyAlignment="1">
      <alignment horizontal="left"/>
    </xf>
    <xf numFmtId="0" fontId="42" fillId="8" borderId="3" xfId="0" applyFont="1" applyFill="1" applyBorder="1" applyAlignment="1">
      <alignment horizontal="center" vertical="center"/>
    </xf>
    <xf numFmtId="0" fontId="42" fillId="8" borderId="4" xfId="0" applyFont="1" applyFill="1" applyBorder="1" applyAlignment="1">
      <alignment horizontal="center" vertical="center"/>
    </xf>
    <xf numFmtId="0" fontId="42" fillId="8" borderId="2" xfId="0" applyFont="1" applyFill="1" applyBorder="1" applyAlignment="1">
      <alignment horizontal="center" vertical="center"/>
    </xf>
    <xf numFmtId="0" fontId="10" fillId="0" borderId="7" xfId="0" applyFont="1" applyBorder="1" applyAlignment="1">
      <alignment horizontal="center"/>
    </xf>
    <xf numFmtId="0" fontId="25" fillId="3" borderId="1"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1" xfId="0" applyFont="1" applyFill="1" applyBorder="1" applyAlignment="1">
      <alignment horizontal="center" vertical="center" wrapText="1"/>
    </xf>
    <xf numFmtId="0" fontId="24" fillId="0" borderId="1" xfId="0" applyFont="1" applyFill="1" applyBorder="1" applyAlignment="1" applyProtection="1">
      <alignment horizontal="center" wrapText="1"/>
    </xf>
    <xf numFmtId="0" fontId="24" fillId="0" borderId="7" xfId="0" applyFont="1" applyBorder="1" applyAlignment="1">
      <alignment horizontal="center"/>
    </xf>
    <xf numFmtId="0" fontId="24" fillId="0" borderId="7" xfId="0" applyFont="1" applyBorder="1" applyAlignment="1">
      <alignment horizontal="center"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 xfId="0" applyFont="1" applyBorder="1" applyAlignment="1">
      <alignment horizontal="center" vertical="center" wrapText="1"/>
    </xf>
    <xf numFmtId="0" fontId="25" fillId="3" borderId="3"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2" xfId="0" applyFont="1" applyFill="1" applyBorder="1" applyAlignment="1">
      <alignment horizontal="center" vertical="center" wrapText="1"/>
    </xf>
    <xf numFmtId="165" fontId="0" fillId="0" borderId="0" xfId="0" applyNumberFormat="1" applyBorder="1" applyAlignment="1">
      <alignment horizontal="center"/>
    </xf>
    <xf numFmtId="0" fontId="0" fillId="0" borderId="0" xfId="0" applyNumberFormat="1" applyAlignment="1">
      <alignment horizontal="center"/>
    </xf>
    <xf numFmtId="0" fontId="24" fillId="3" borderId="1" xfId="0" applyFont="1" applyFill="1" applyBorder="1" applyAlignment="1">
      <alignment horizontal="left"/>
    </xf>
    <xf numFmtId="165" fontId="25" fillId="0" borderId="1" xfId="0" applyNumberFormat="1" applyFont="1" applyBorder="1" applyAlignment="1">
      <alignment horizontal="center"/>
    </xf>
    <xf numFmtId="0" fontId="25" fillId="0" borderId="0" xfId="0" applyFont="1" applyBorder="1" applyAlignment="1">
      <alignment horizontal="center" vertical="center" wrapText="1"/>
    </xf>
    <xf numFmtId="0" fontId="25" fillId="0" borderId="0" xfId="0" applyFont="1" applyBorder="1" applyAlignment="1">
      <alignment horizontal="center" vertical="center"/>
    </xf>
    <xf numFmtId="0" fontId="24" fillId="3" borderId="1" xfId="0" applyFont="1" applyFill="1" applyBorder="1" applyAlignment="1">
      <alignment horizontal="center"/>
    </xf>
    <xf numFmtId="0" fontId="24" fillId="3" borderId="1" xfId="0" applyFont="1" applyFill="1" applyBorder="1" applyAlignment="1">
      <alignment horizontal="center" wrapText="1"/>
    </xf>
    <xf numFmtId="2" fontId="25" fillId="0" borderId="12" xfId="0" applyNumberFormat="1" applyFont="1" applyBorder="1" applyAlignment="1">
      <alignment horizontal="center"/>
    </xf>
    <xf numFmtId="2" fontId="0" fillId="0" borderId="0" xfId="0" applyNumberFormat="1" applyBorder="1" applyAlignment="1">
      <alignment horizontal="center"/>
    </xf>
    <xf numFmtId="0" fontId="25" fillId="0" borderId="1" xfId="0" applyFont="1" applyBorder="1" applyAlignment="1">
      <alignment horizontal="left"/>
    </xf>
    <xf numFmtId="49" fontId="0" fillId="0" borderId="0" xfId="0" applyNumberFormat="1" applyAlignment="1">
      <alignment horizontal="center"/>
    </xf>
    <xf numFmtId="165" fontId="25" fillId="0" borderId="0" xfId="0" applyNumberFormat="1" applyFont="1" applyBorder="1" applyAlignment="1">
      <alignment horizontal="center"/>
    </xf>
    <xf numFmtId="0" fontId="25" fillId="0" borderId="0" xfId="0" applyNumberFormat="1" applyFont="1" applyAlignment="1">
      <alignment horizontal="center"/>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5" xfId="0" applyFont="1" applyBorder="1" applyAlignment="1">
      <alignment horizontal="center" vertical="center" wrapText="1"/>
    </xf>
    <xf numFmtId="0" fontId="41" fillId="0" borderId="0" xfId="0" applyFont="1" applyBorder="1" applyAlignment="1">
      <alignment horizontal="center"/>
    </xf>
    <xf numFmtId="169" fontId="41" fillId="0" borderId="0" xfId="0" applyNumberFormat="1" applyFont="1" applyBorder="1" applyAlignment="1">
      <alignment horizontal="center"/>
    </xf>
    <xf numFmtId="3" fontId="25" fillId="0" borderId="3" xfId="0" applyNumberFormat="1" applyFont="1" applyBorder="1" applyAlignment="1">
      <alignment horizontal="center" vertical="center" wrapText="1"/>
    </xf>
    <xf numFmtId="3" fontId="25" fillId="0" borderId="4"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0" fontId="24" fillId="0" borderId="3" xfId="0" applyFont="1" applyBorder="1" applyAlignment="1">
      <alignment horizontal="center"/>
    </xf>
    <xf numFmtId="0" fontId="24" fillId="0" borderId="2" xfId="0" applyFont="1" applyBorder="1" applyAlignment="1">
      <alignment horizontal="center"/>
    </xf>
    <xf numFmtId="0" fontId="24" fillId="0" borderId="1" xfId="0" applyFont="1" applyBorder="1" applyAlignment="1">
      <alignment horizontal="center"/>
    </xf>
    <xf numFmtId="165" fontId="27" fillId="3" borderId="9" xfId="0" applyNumberFormat="1" applyFont="1" applyFill="1" applyBorder="1" applyAlignment="1" applyProtection="1">
      <alignment horizontal="center"/>
    </xf>
    <xf numFmtId="165" fontId="27" fillId="3" borderId="0" xfId="0" applyNumberFormat="1" applyFont="1" applyFill="1" applyBorder="1" applyAlignment="1" applyProtection="1">
      <alignment horizontal="center"/>
    </xf>
    <xf numFmtId="165" fontId="27" fillId="3" borderId="6" xfId="0" applyNumberFormat="1" applyFont="1" applyFill="1" applyBorder="1" applyAlignment="1" applyProtection="1">
      <alignment horizontal="center"/>
    </xf>
    <xf numFmtId="165" fontId="27" fillId="3" borderId="7" xfId="0" applyNumberFormat="1" applyFont="1" applyFill="1" applyBorder="1" applyAlignment="1" applyProtection="1">
      <alignment horizontal="center"/>
    </xf>
    <xf numFmtId="0" fontId="27" fillId="3" borderId="6" xfId="0" applyFont="1" applyFill="1" applyBorder="1" applyAlignment="1" applyProtection="1">
      <alignment horizontal="center"/>
    </xf>
    <xf numFmtId="0" fontId="27" fillId="3" borderId="7" xfId="0" applyFont="1" applyFill="1" applyBorder="1" applyAlignment="1" applyProtection="1">
      <alignment horizontal="center"/>
    </xf>
    <xf numFmtId="0" fontId="27" fillId="3" borderId="5" xfId="0" applyFont="1" applyFill="1" applyBorder="1" applyAlignment="1" applyProtection="1">
      <alignment horizontal="center"/>
    </xf>
    <xf numFmtId="0" fontId="25" fillId="8" borderId="3" xfId="0" applyFont="1" applyFill="1" applyBorder="1" applyAlignment="1" applyProtection="1">
      <alignment horizontal="center"/>
    </xf>
    <xf numFmtId="0" fontId="25" fillId="8" borderId="4" xfId="0" applyFont="1" applyFill="1" applyBorder="1" applyAlignment="1" applyProtection="1">
      <alignment horizontal="center"/>
    </xf>
    <xf numFmtId="0" fontId="25" fillId="8" borderId="2" xfId="0" applyFont="1" applyFill="1" applyBorder="1" applyAlignment="1" applyProtection="1">
      <alignment horizontal="center"/>
    </xf>
    <xf numFmtId="0" fontId="25" fillId="3" borderId="1" xfId="0" applyFont="1" applyFill="1" applyBorder="1" applyAlignment="1" applyProtection="1">
      <alignment horizontal="center" vertical="center" wrapText="1"/>
    </xf>
    <xf numFmtId="0" fontId="25" fillId="3" borderId="3" xfId="0" applyFont="1" applyFill="1" applyBorder="1" applyAlignment="1" applyProtection="1">
      <alignment horizontal="center" vertical="center"/>
    </xf>
    <xf numFmtId="0" fontId="25" fillId="3" borderId="4" xfId="0" applyFont="1" applyFill="1" applyBorder="1" applyAlignment="1" applyProtection="1">
      <alignment horizontal="center" vertical="center"/>
    </xf>
    <xf numFmtId="0" fontId="25" fillId="3" borderId="2" xfId="0" applyFont="1" applyFill="1" applyBorder="1" applyAlignment="1" applyProtection="1">
      <alignment horizontal="center" vertical="center"/>
    </xf>
    <xf numFmtId="0" fontId="27" fillId="3" borderId="11" xfId="0" applyFont="1" applyFill="1" applyBorder="1" applyAlignment="1" applyProtection="1">
      <alignment horizontal="center"/>
    </xf>
    <xf numFmtId="0" fontId="27" fillId="3" borderId="12" xfId="0" applyFont="1" applyFill="1" applyBorder="1" applyAlignment="1" applyProtection="1">
      <alignment horizontal="center"/>
    </xf>
    <xf numFmtId="0" fontId="27" fillId="3" borderId="10" xfId="0" applyFont="1" applyFill="1" applyBorder="1" applyAlignment="1" applyProtection="1">
      <alignment horizontal="center"/>
    </xf>
    <xf numFmtId="0" fontId="27" fillId="3" borderId="9" xfId="0" applyFont="1" applyFill="1" applyBorder="1" applyAlignment="1" applyProtection="1">
      <alignment horizontal="center"/>
    </xf>
    <xf numFmtId="0" fontId="27" fillId="3" borderId="0" xfId="0" applyFont="1" applyFill="1" applyBorder="1" applyAlignment="1" applyProtection="1">
      <alignment horizontal="center"/>
    </xf>
    <xf numFmtId="0" fontId="27" fillId="3" borderId="8" xfId="0" applyFont="1" applyFill="1" applyBorder="1" applyAlignment="1" applyProtection="1">
      <alignment horizontal="center"/>
    </xf>
    <xf numFmtId="0" fontId="33" fillId="0" borderId="0" xfId="0" applyFont="1" applyFill="1" applyBorder="1" applyAlignment="1">
      <alignment horizontal="center"/>
    </xf>
    <xf numFmtId="0" fontId="25" fillId="0" borderId="0" xfId="0" applyFont="1" applyFill="1" applyBorder="1" applyAlignment="1">
      <alignment horizontal="left" wrapText="1"/>
    </xf>
    <xf numFmtId="0" fontId="25" fillId="0" borderId="0" xfId="0" applyFont="1" applyFill="1" applyBorder="1" applyAlignment="1">
      <alignment horizontal="left" vertical="center"/>
    </xf>
    <xf numFmtId="0" fontId="24" fillId="0" borderId="0" xfId="0" applyFont="1" applyFill="1" applyBorder="1" applyAlignment="1">
      <alignment horizontal="left"/>
    </xf>
    <xf numFmtId="0" fontId="33" fillId="0" borderId="0" xfId="0" applyFont="1" applyFill="1" applyBorder="1" applyAlignment="1">
      <alignment horizontal="center" wrapText="1"/>
    </xf>
    <xf numFmtId="0" fontId="25" fillId="0" borderId="0" xfId="0" applyFont="1" applyFill="1" applyBorder="1" applyAlignment="1">
      <alignment horizontal="left"/>
    </xf>
    <xf numFmtId="0" fontId="25" fillId="0" borderId="13" xfId="0" applyFont="1" applyFill="1" applyBorder="1" applyAlignment="1">
      <alignment horizontal="center" wrapText="1"/>
    </xf>
    <xf numFmtId="0" fontId="25" fillId="0" borderId="15" xfId="0" applyFont="1" applyFill="1" applyBorder="1" applyAlignment="1">
      <alignment horizontal="center" wrapText="1"/>
    </xf>
    <xf numFmtId="0" fontId="25" fillId="0" borderId="0" xfId="0" applyFont="1" applyFill="1" applyAlignment="1">
      <alignment horizontal="left"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5" fillId="0" borderId="1" xfId="0" applyFont="1" applyFill="1" applyBorder="1" applyAlignment="1">
      <alignment horizontal="center"/>
    </xf>
    <xf numFmtId="0" fontId="25" fillId="0" borderId="11" xfId="0" applyFont="1" applyFill="1" applyBorder="1" applyAlignment="1">
      <alignment horizontal="center"/>
    </xf>
    <xf numFmtId="0" fontId="25" fillId="0" borderId="10" xfId="0" applyFont="1" applyFill="1" applyBorder="1" applyAlignment="1">
      <alignment horizontal="center"/>
    </xf>
    <xf numFmtId="0" fontId="25" fillId="0" borderId="9" xfId="0" applyFont="1" applyFill="1" applyBorder="1" applyAlignment="1">
      <alignment horizontal="center"/>
    </xf>
    <xf numFmtId="0" fontId="25" fillId="0" borderId="8" xfId="0" applyFont="1" applyFill="1" applyBorder="1" applyAlignment="1">
      <alignment horizontal="center"/>
    </xf>
    <xf numFmtId="0" fontId="25" fillId="0" borderId="6" xfId="0" applyFont="1" applyFill="1" applyBorder="1" applyAlignment="1">
      <alignment horizontal="center"/>
    </xf>
    <xf numFmtId="0" fontId="25" fillId="0" borderId="5" xfId="0" applyFont="1" applyFill="1" applyBorder="1" applyAlignment="1">
      <alignment horizontal="center"/>
    </xf>
    <xf numFmtId="0" fontId="25" fillId="0" borderId="1" xfId="0" applyFont="1" applyFill="1" applyBorder="1" applyAlignment="1">
      <alignment vertical="center" wrapText="1"/>
    </xf>
    <xf numFmtId="0" fontId="25" fillId="0" borderId="1" xfId="0" applyFont="1" applyFill="1" applyBorder="1" applyAlignment="1">
      <alignment horizontal="left"/>
    </xf>
    <xf numFmtId="0" fontId="25" fillId="0" borderId="0" xfId="0" applyFont="1" applyFill="1" applyAlignment="1">
      <alignment horizontal="left" vertical="top" wrapText="1"/>
    </xf>
    <xf numFmtId="0" fontId="25" fillId="0" borderId="12" xfId="0" applyFont="1" applyFill="1" applyBorder="1" applyAlignment="1">
      <alignment horizontal="left" wrapText="1"/>
    </xf>
    <xf numFmtId="0" fontId="24" fillId="0" borderId="1" xfId="0" applyFont="1" applyBorder="1" applyAlignment="1">
      <alignment horizontal="left"/>
    </xf>
    <xf numFmtId="0" fontId="24" fillId="0" borderId="4" xfId="0" applyFont="1" applyBorder="1" applyAlignment="1">
      <alignment horizontal="center"/>
    </xf>
    <xf numFmtId="0" fontId="24" fillId="0" borderId="3" xfId="0" applyFont="1" applyBorder="1" applyAlignment="1">
      <alignment horizontal="center" wrapText="1"/>
    </xf>
    <xf numFmtId="0" fontId="24" fillId="0" borderId="2" xfId="0" applyFont="1" applyBorder="1" applyAlignment="1">
      <alignment horizontal="center" wrapText="1"/>
    </xf>
    <xf numFmtId="0" fontId="24" fillId="0" borderId="1" xfId="0" applyFont="1" applyBorder="1" applyAlignment="1">
      <alignment horizontal="center" wrapText="1"/>
    </xf>
  </cellXfs>
  <cellStyles count="4">
    <cellStyle name="Hyperlink" xfId="3" builtinId="8"/>
    <cellStyle name="Normal" xfId="0" builtinId="0"/>
    <cellStyle name="PCA Body Text" xfId="2" xr:uid="{00000000-0005-0000-0000-000002000000}"/>
    <cellStyle name="PCA Title" xfId="1" xr:uid="{00000000-0005-0000-0000-000003000000}"/>
  </cellStyles>
  <dxfs count="15">
    <dxf>
      <font>
        <color theme="0"/>
      </font>
    </dxf>
    <dxf>
      <border>
        <left/>
        <right/>
        <top/>
        <bottom/>
        <vertical/>
        <horizontal/>
      </border>
    </dxf>
    <dxf>
      <font>
        <color theme="0"/>
      </font>
    </dxf>
    <dxf>
      <border>
        <left/>
        <right/>
        <top/>
        <bottom/>
        <vertical/>
        <horizontal/>
      </border>
    </dxf>
    <dxf>
      <font>
        <color rgb="FFC00000"/>
      </font>
    </dxf>
    <dxf>
      <font>
        <color theme="0"/>
      </font>
    </dxf>
    <dxf>
      <border>
        <left/>
        <right/>
        <top/>
        <bottom/>
        <vertical/>
        <horizontal/>
      </border>
    </dxf>
    <dxf>
      <border>
        <left/>
        <right/>
        <top/>
        <bottom/>
        <vertical/>
        <horizontal/>
      </border>
    </dxf>
    <dxf>
      <font>
        <color theme="0"/>
      </font>
    </dxf>
    <dxf>
      <border>
        <left/>
        <right/>
        <top/>
        <bottom/>
        <vertical/>
        <horizontal/>
      </border>
    </dxf>
    <dxf>
      <font>
        <color theme="0"/>
      </font>
    </dxf>
    <dxf>
      <font>
        <color theme="0"/>
      </font>
    </dxf>
    <dxf>
      <border>
        <left/>
        <right/>
        <top/>
        <bottom/>
        <vertical/>
        <horizontal/>
      </border>
    </dxf>
    <dxf>
      <font>
        <color theme="0"/>
      </font>
    </dxf>
    <dxf>
      <border>
        <left/>
        <right/>
        <top/>
        <bottom/>
        <vertical/>
        <horizontal/>
      </border>
    </dxf>
  </dxfs>
  <tableStyles count="0" defaultTableStyle="TableStyleMedium2" defaultPivotStyle="PivotStyleLight16"/>
  <colors>
    <mruColors>
      <color rgb="FFFFD13F"/>
      <color rgb="FFA3C7E7"/>
      <color rgb="FFD1E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oneCellAnchor>
    <xdr:from>
      <xdr:col>1</xdr:col>
      <xdr:colOff>110289</xdr:colOff>
      <xdr:row>83</xdr:row>
      <xdr:rowOff>80211</xdr:rowOff>
    </xdr:from>
    <xdr:ext cx="1643014" cy="380361"/>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1526" y="22208290"/>
              <a:ext cx="16430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unc>
                      <m:funcPr>
                        <m:ctrlPr>
                          <a:rPr lang="en-US" sz="1100" i="1">
                            <a:latin typeface="Cambria Math" panose="02040503050406030204" pitchFamily="18" charset="0"/>
                          </a:rPr>
                        </m:ctrlPr>
                      </m:funcPr>
                      <m:fName>
                        <m:sSub>
                          <m:sSubPr>
                            <m:ctrlPr>
                              <a:rPr lang="en-US" sz="1100" i="1">
                                <a:latin typeface="Cambria Math" panose="02040503050406030204" pitchFamily="18" charset="0"/>
                              </a:rPr>
                            </m:ctrlPr>
                          </m:sSubPr>
                          <m:e>
                            <m:r>
                              <m:rPr>
                                <m:sty m:val="p"/>
                              </m:rPr>
                              <a:rPr lang="en-US" sz="1100" i="0">
                                <a:latin typeface="Cambria Math" panose="02040503050406030204" pitchFamily="18" charset="0"/>
                              </a:rPr>
                              <m:t>log</m:t>
                            </m:r>
                          </m:e>
                          <m:sub>
                            <m:r>
                              <a:rPr lang="en-US" sz="1100" b="0" i="1">
                                <a:latin typeface="Cambria Math" panose="02040503050406030204" pitchFamily="18" charset="0"/>
                              </a:rPr>
                              <m:t>10</m:t>
                            </m:r>
                          </m:sub>
                        </m:sSub>
                      </m:fName>
                      <m:e>
                        <m:sSub>
                          <m:sSubPr>
                            <m:ctrlPr>
                              <a:rPr lang="en-US" sz="1100" i="1">
                                <a:latin typeface="Cambria Math" panose="02040503050406030204" pitchFamily="18" charset="0"/>
                              </a:rPr>
                            </m:ctrlPr>
                          </m:sSubPr>
                          <m:e>
                            <m:r>
                              <a:rPr lang="en-US" sz="1100" b="0" i="1">
                                <a:latin typeface="Cambria Math" panose="02040503050406030204" pitchFamily="18" charset="0"/>
                              </a:rPr>
                              <m:t>𝑃</m:t>
                            </m:r>
                          </m:e>
                          <m:sub>
                            <m:r>
                              <a:rPr lang="en-US" sz="1100" b="0" i="1">
                                <a:latin typeface="Cambria Math" panose="02040503050406030204" pitchFamily="18" charset="0"/>
                              </a:rPr>
                              <m:t>𝑉𝐴</m:t>
                            </m:r>
                          </m:sub>
                        </m:sSub>
                        <m:r>
                          <a:rPr lang="en-US" sz="1100" b="0" i="1">
                            <a:latin typeface="Cambria Math" panose="02040503050406030204" pitchFamily="18" charset="0"/>
                          </a:rPr>
                          <m:t>=</m:t>
                        </m:r>
                        <m:r>
                          <a:rPr lang="en-US" sz="1100" b="0" i="1">
                            <a:latin typeface="Cambria Math" panose="02040503050406030204" pitchFamily="18" charset="0"/>
                          </a:rPr>
                          <m:t>𝐴</m:t>
                        </m:r>
                        <m:r>
                          <a:rPr lang="en-US" sz="1100" b="0" i="1">
                            <a:latin typeface="Cambria Math" panose="02040503050406030204" pitchFamily="18" charset="0"/>
                          </a:rPr>
                          <m:t>−</m:t>
                        </m:r>
                        <m:d>
                          <m:dPr>
                            <m:ctrlPr>
                              <a:rPr lang="en-US" sz="1100" b="0" i="1">
                                <a:latin typeface="Cambria Math" panose="02040503050406030204" pitchFamily="18" charset="0"/>
                              </a:rPr>
                            </m:ctrlPr>
                          </m:dPr>
                          <m:e>
                            <m:f>
                              <m:fPr>
                                <m:ctrlPr>
                                  <a:rPr lang="en-US" sz="1100" b="0" i="1">
                                    <a:latin typeface="Cambria Math" panose="02040503050406030204" pitchFamily="18" charset="0"/>
                                  </a:rPr>
                                </m:ctrlPr>
                              </m:fPr>
                              <m:num>
                                <m:r>
                                  <a:rPr lang="en-US" sz="1100" b="0" i="1">
                                    <a:latin typeface="Cambria Math" panose="02040503050406030204" pitchFamily="18" charset="0"/>
                                  </a:rPr>
                                  <m:t>𝐵</m:t>
                                </m:r>
                              </m:num>
                              <m:den>
                                <m:sSub>
                                  <m:sSubPr>
                                    <m:ctrlPr>
                                      <a:rPr lang="en-US" sz="1100" b="0" i="1">
                                        <a:latin typeface="Cambria Math" panose="02040503050406030204" pitchFamily="18" charset="0"/>
                                      </a:rPr>
                                    </m:ctrlPr>
                                  </m:sSubPr>
                                  <m:e>
                                    <m:r>
                                      <a:rPr lang="en-US" sz="1100" b="0" i="1">
                                        <a:latin typeface="Cambria Math" panose="02040503050406030204" pitchFamily="18" charset="0"/>
                                      </a:rPr>
                                      <m:t>𝑇</m:t>
                                    </m:r>
                                  </m:e>
                                  <m:sub>
                                    <m:r>
                                      <a:rPr lang="en-US" sz="1100" b="0" i="1">
                                        <a:latin typeface="Cambria Math" panose="02040503050406030204" pitchFamily="18" charset="0"/>
                                      </a:rPr>
                                      <m:t>𝐿𝐴</m:t>
                                    </m:r>
                                  </m:sub>
                                </m:sSub>
                                <m:r>
                                  <a:rPr lang="en-US" sz="1100" b="0" i="1">
                                    <a:latin typeface="Cambria Math" panose="02040503050406030204" pitchFamily="18" charset="0"/>
                                  </a:rPr>
                                  <m:t>+</m:t>
                                </m:r>
                                <m:r>
                                  <a:rPr lang="en-US" sz="1100" b="0" i="1">
                                    <a:latin typeface="Cambria Math" panose="02040503050406030204" pitchFamily="18" charset="0"/>
                                  </a:rPr>
                                  <m:t>𝐶</m:t>
                                </m:r>
                              </m:den>
                            </m:f>
                          </m:e>
                        </m:d>
                      </m:e>
                    </m:func>
                  </m:oMath>
                </m:oMathPara>
              </a14:m>
              <a:endParaRPr lang="en-US" sz="1100"/>
            </a:p>
          </xdr:txBody>
        </xdr:sp>
      </mc:Choice>
      <mc:Fallback xmlns="">
        <xdr:sp macro="" textlink="">
          <xdr:nvSpPr>
            <xdr:cNvPr id="3" name="TextBox 2"/>
            <xdr:cNvSpPr txBox="1"/>
          </xdr:nvSpPr>
          <xdr:spPr>
            <a:xfrm>
              <a:off x="581526" y="22208290"/>
              <a:ext cx="1643014" cy="38036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100" i="0">
                  <a:latin typeface="Cambria Math" panose="02040503050406030204" pitchFamily="18" charset="0"/>
                </a:rPr>
                <a:t>log_</a:t>
              </a:r>
              <a:r>
                <a:rPr lang="en-US" sz="1100" b="0" i="0">
                  <a:latin typeface="Cambria Math" panose="02040503050406030204" pitchFamily="18" charset="0"/>
                </a:rPr>
                <a:t>10⁡〖𝑃_𝑉𝐴=𝐴−(𝐵/(𝑇_𝐿𝐴+𝐶))〗</a:t>
              </a:r>
              <a:endParaRPr lang="en-US" sz="1100"/>
            </a:p>
          </xdr:txBody>
        </xdr:sp>
      </mc:Fallback>
    </mc:AlternateContent>
    <xdr:clientData/>
  </xdr:oneCellAnchor>
  <xdr:twoCellAnchor editAs="oneCell">
    <xdr:from>
      <xdr:col>0</xdr:col>
      <xdr:colOff>95250</xdr:colOff>
      <xdr:row>0</xdr:row>
      <xdr:rowOff>104775</xdr:rowOff>
    </xdr:from>
    <xdr:to>
      <xdr:col>1</xdr:col>
      <xdr:colOff>2019300</xdr:colOff>
      <xdr:row>3</xdr:row>
      <xdr:rowOff>21771</xdr:rowOff>
    </xdr:to>
    <xdr:pic>
      <xdr:nvPicPr>
        <xdr:cNvPr id="4" name="Picture 3" descr="Minnesota Pollution Control Agency (MPCA), 520 Lafayette Road North, St. Paul, MN 55155-4194" title="Image of MPCA logo with St. Paul office address">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104775"/>
          <a:ext cx="2390775" cy="6858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524849</xdr:colOff>
      <xdr:row>30</xdr:row>
      <xdr:rowOff>38879</xdr:rowOff>
    </xdr:from>
    <xdr:to>
      <xdr:col>17</xdr:col>
      <xdr:colOff>5444</xdr:colOff>
      <xdr:row>35</xdr:row>
      <xdr:rowOff>59873</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89084" y="6026022"/>
          <a:ext cx="4019550" cy="876300"/>
        </a:xfrm>
        <a:prstGeom prst="rect">
          <a:avLst/>
        </a:prstGeom>
        <a:noFill/>
        <a:ln>
          <a:noFill/>
        </a:ln>
      </xdr:spPr>
    </xdr:pic>
    <xdr:clientData/>
  </xdr:twoCellAnchor>
  <xdr:twoCellAnchor editAs="oneCell">
    <xdr:from>
      <xdr:col>16</xdr:col>
      <xdr:colOff>1681453</xdr:colOff>
      <xdr:row>35</xdr:row>
      <xdr:rowOff>48595</xdr:rowOff>
    </xdr:from>
    <xdr:to>
      <xdr:col>16</xdr:col>
      <xdr:colOff>3614786</xdr:colOff>
      <xdr:row>37</xdr:row>
      <xdr:rowOff>117745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9545688" y="7163187"/>
          <a:ext cx="1933333" cy="419048"/>
        </a:xfrm>
        <a:prstGeom prst="rect">
          <a:avLst/>
        </a:prstGeom>
      </xdr:spPr>
    </xdr:pic>
    <xdr:clientData/>
  </xdr:twoCellAnchor>
  <xdr:twoCellAnchor editAs="oneCell">
    <xdr:from>
      <xdr:col>16</xdr:col>
      <xdr:colOff>933063</xdr:colOff>
      <xdr:row>38</xdr:row>
      <xdr:rowOff>87475</xdr:rowOff>
    </xdr:from>
    <xdr:to>
      <xdr:col>16</xdr:col>
      <xdr:colOff>4180682</xdr:colOff>
      <xdr:row>42</xdr:row>
      <xdr:rowOff>35298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9623446" y="7892143"/>
          <a:ext cx="3247619" cy="647619"/>
        </a:xfrm>
        <a:prstGeom prst="rect">
          <a:avLst/>
        </a:prstGeom>
      </xdr:spPr>
    </xdr:pic>
    <xdr:clientData/>
  </xdr:twoCellAnchor>
  <xdr:twoCellAnchor editAs="oneCell">
    <xdr:from>
      <xdr:col>16</xdr:col>
      <xdr:colOff>1010816</xdr:colOff>
      <xdr:row>45</xdr:row>
      <xdr:rowOff>87474</xdr:rowOff>
    </xdr:from>
    <xdr:to>
      <xdr:col>16</xdr:col>
      <xdr:colOff>4515578</xdr:colOff>
      <xdr:row>49</xdr:row>
      <xdr:rowOff>7899</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a:stretch>
          <a:fillRect/>
        </a:stretch>
      </xdr:blipFill>
      <xdr:spPr>
        <a:xfrm>
          <a:off x="18875051" y="9525000"/>
          <a:ext cx="3504762" cy="561905"/>
        </a:xfrm>
        <a:prstGeom prst="rect">
          <a:avLst/>
        </a:prstGeom>
      </xdr:spPr>
    </xdr:pic>
    <xdr:clientData/>
  </xdr:twoCellAnchor>
  <xdr:twoCellAnchor editAs="oneCell">
    <xdr:from>
      <xdr:col>16</xdr:col>
      <xdr:colOff>1866123</xdr:colOff>
      <xdr:row>49</xdr:row>
      <xdr:rowOff>38877</xdr:rowOff>
    </xdr:from>
    <xdr:to>
      <xdr:col>16</xdr:col>
      <xdr:colOff>3504218</xdr:colOff>
      <xdr:row>51</xdr:row>
      <xdr:rowOff>117942</xdr:rowOff>
    </xdr:to>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5"/>
        <a:stretch>
          <a:fillRect/>
        </a:stretch>
      </xdr:blipFill>
      <xdr:spPr>
        <a:xfrm>
          <a:off x="19730358" y="10292831"/>
          <a:ext cx="1638095" cy="409524"/>
        </a:xfrm>
        <a:prstGeom prst="rect">
          <a:avLst/>
        </a:prstGeom>
      </xdr:spPr>
    </xdr:pic>
    <xdr:clientData/>
  </xdr:twoCellAnchor>
  <xdr:twoCellAnchor editAs="oneCell">
    <xdr:from>
      <xdr:col>16</xdr:col>
      <xdr:colOff>1739770</xdr:colOff>
      <xdr:row>42</xdr:row>
      <xdr:rowOff>0</xdr:rowOff>
    </xdr:from>
    <xdr:to>
      <xdr:col>16</xdr:col>
      <xdr:colOff>3663820</xdr:colOff>
      <xdr:row>45</xdr:row>
      <xdr:rowOff>27603</xdr:rowOff>
    </xdr:to>
    <xdr:pic>
      <xdr:nvPicPr>
        <xdr:cNvPr id="9" name="Picture 8">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430153" y="8737730"/>
          <a:ext cx="1924050" cy="5524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286167</xdr:colOff>
      <xdr:row>33</xdr:row>
      <xdr:rowOff>66675</xdr:rowOff>
    </xdr:from>
    <xdr:ext cx="6400800" cy="5794322"/>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286167" y="7038975"/>
          <a:ext cx="6400800" cy="5794322"/>
        </a:xfrm>
        <a:prstGeom prst="rect">
          <a:avLst/>
        </a:prstGeom>
      </xdr:spPr>
    </xdr:pic>
    <xdr:clientData/>
  </xdr:oneCellAnchor>
  <xdr:oneCellAnchor>
    <xdr:from>
      <xdr:col>0</xdr:col>
      <xdr:colOff>190500</xdr:colOff>
      <xdr:row>62</xdr:row>
      <xdr:rowOff>2</xdr:rowOff>
    </xdr:from>
    <xdr:ext cx="6400800" cy="2383017"/>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90500" y="13877927"/>
          <a:ext cx="6400800" cy="2383017"/>
        </a:xfrm>
        <a:prstGeom prst="rect">
          <a:avLst/>
        </a:prstGeom>
      </xdr:spPr>
    </xdr:pic>
    <xdr:clientData/>
  </xdr:oneCellAnchor>
  <xdr:oneCellAnchor>
    <xdr:from>
      <xdr:col>0</xdr:col>
      <xdr:colOff>190500</xdr:colOff>
      <xdr:row>74</xdr:row>
      <xdr:rowOff>9526</xdr:rowOff>
    </xdr:from>
    <xdr:ext cx="6400800" cy="5070342"/>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stretch>
          <a:fillRect/>
        </a:stretch>
      </xdr:blipFill>
      <xdr:spPr>
        <a:xfrm>
          <a:off x="8724900" y="7439026"/>
          <a:ext cx="6400800" cy="5070342"/>
        </a:xfrm>
        <a:prstGeom prst="rect">
          <a:avLst/>
        </a:prstGeom>
      </xdr:spPr>
    </xdr:pic>
    <xdr:clientData/>
  </xdr:oneCellAnchor>
  <xdr:oneCellAnchor>
    <xdr:from>
      <xdr:col>0</xdr:col>
      <xdr:colOff>200025</xdr:colOff>
      <xdr:row>98</xdr:row>
      <xdr:rowOff>57152</xdr:rowOff>
    </xdr:from>
    <xdr:ext cx="6400800" cy="3517997"/>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stretch>
          <a:fillRect/>
        </a:stretch>
      </xdr:blipFill>
      <xdr:spPr>
        <a:xfrm>
          <a:off x="8734425" y="11868152"/>
          <a:ext cx="6400800" cy="3517997"/>
        </a:xfrm>
        <a:prstGeom prst="rect">
          <a:avLst/>
        </a:prstGeom>
      </xdr:spPr>
    </xdr:pic>
    <xdr:clientData/>
  </xdr:oneCellAnchor>
  <xdr:oneCellAnchor>
    <xdr:from>
      <xdr:col>0</xdr:col>
      <xdr:colOff>209550</xdr:colOff>
      <xdr:row>114</xdr:row>
      <xdr:rowOff>57151</xdr:rowOff>
    </xdr:from>
    <xdr:ext cx="6400800" cy="4884178"/>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5"/>
        <a:stretch>
          <a:fillRect/>
        </a:stretch>
      </xdr:blipFill>
      <xdr:spPr>
        <a:xfrm>
          <a:off x="8743950" y="14916151"/>
          <a:ext cx="6400800" cy="4884178"/>
        </a:xfrm>
        <a:prstGeom prst="rect">
          <a:avLst/>
        </a:prstGeom>
      </xdr:spPr>
    </xdr:pic>
    <xdr:clientData/>
  </xdr:oneCellAnchor>
  <xdr:oneCellAnchor>
    <xdr:from>
      <xdr:col>0</xdr:col>
      <xdr:colOff>200025</xdr:colOff>
      <xdr:row>139</xdr:row>
      <xdr:rowOff>171452</xdr:rowOff>
    </xdr:from>
    <xdr:ext cx="6400800" cy="4682519"/>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6"/>
        <a:stretch>
          <a:fillRect/>
        </a:stretch>
      </xdr:blipFill>
      <xdr:spPr>
        <a:xfrm>
          <a:off x="8734425" y="19792952"/>
          <a:ext cx="6400800" cy="4682519"/>
        </a:xfrm>
        <a:prstGeom prst="rect">
          <a:avLst/>
        </a:prstGeom>
      </xdr:spPr>
    </xdr:pic>
    <xdr:clientData/>
  </xdr:oneCellAnchor>
  <xdr:oneCellAnchor>
    <xdr:from>
      <xdr:col>0</xdr:col>
      <xdr:colOff>200025</xdr:colOff>
      <xdr:row>161</xdr:row>
      <xdr:rowOff>142876</xdr:rowOff>
    </xdr:from>
    <xdr:ext cx="6400800" cy="3822473"/>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7"/>
        <a:stretch>
          <a:fillRect/>
        </a:stretch>
      </xdr:blipFill>
      <xdr:spPr>
        <a:xfrm>
          <a:off x="8734425" y="23955376"/>
          <a:ext cx="6400800" cy="3822473"/>
        </a:xfrm>
        <a:prstGeom prst="rect">
          <a:avLst/>
        </a:prstGeom>
      </xdr:spPr>
    </xdr:pic>
    <xdr:clientData/>
  </xdr:oneCellAnchor>
  <xdr:oneCellAnchor>
    <xdr:from>
      <xdr:col>0</xdr:col>
      <xdr:colOff>180975</xdr:colOff>
      <xdr:row>179</xdr:row>
      <xdr:rowOff>1</xdr:rowOff>
    </xdr:from>
    <xdr:ext cx="6400800" cy="3122541"/>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8"/>
        <a:stretch>
          <a:fillRect/>
        </a:stretch>
      </xdr:blipFill>
      <xdr:spPr>
        <a:xfrm>
          <a:off x="8715375" y="27241501"/>
          <a:ext cx="6400800" cy="3122541"/>
        </a:xfrm>
        <a:prstGeom prst="rect">
          <a:avLst/>
        </a:prstGeom>
      </xdr:spPr>
    </xdr:pic>
    <xdr:clientData/>
  </xdr:oneCellAnchor>
  <xdr:oneCellAnchor>
    <xdr:from>
      <xdr:col>0</xdr:col>
      <xdr:colOff>247650</xdr:colOff>
      <xdr:row>193</xdr:row>
      <xdr:rowOff>123826</xdr:rowOff>
    </xdr:from>
    <xdr:ext cx="6400800" cy="5630409"/>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9"/>
        <a:stretch>
          <a:fillRect/>
        </a:stretch>
      </xdr:blipFill>
      <xdr:spPr>
        <a:xfrm>
          <a:off x="8782050" y="30032326"/>
          <a:ext cx="6400800" cy="5630409"/>
        </a:xfrm>
        <a:prstGeom prst="rect">
          <a:avLst/>
        </a:prstGeom>
      </xdr:spPr>
    </xdr:pic>
    <xdr:clientData/>
  </xdr:oneCellAnchor>
  <xdr:oneCellAnchor>
    <xdr:from>
      <xdr:col>0</xdr:col>
      <xdr:colOff>228600</xdr:colOff>
      <xdr:row>219</xdr:row>
      <xdr:rowOff>47627</xdr:rowOff>
    </xdr:from>
    <xdr:ext cx="6400800" cy="2915377"/>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0"/>
        <a:stretch>
          <a:fillRect/>
        </a:stretch>
      </xdr:blipFill>
      <xdr:spPr>
        <a:xfrm>
          <a:off x="8763000" y="34909127"/>
          <a:ext cx="6400800" cy="2915377"/>
        </a:xfrm>
        <a:prstGeom prst="rect">
          <a:avLst/>
        </a:prstGeom>
      </xdr:spPr>
    </xdr:pic>
    <xdr:clientData/>
  </xdr:oneCellAnchor>
  <xdr:oneCellAnchor>
    <xdr:from>
      <xdr:col>0</xdr:col>
      <xdr:colOff>266700</xdr:colOff>
      <xdr:row>233</xdr:row>
      <xdr:rowOff>85726</xdr:rowOff>
    </xdr:from>
    <xdr:ext cx="6400800" cy="5445940"/>
    <xdr:pic>
      <xdr:nvPicPr>
        <xdr:cNvPr id="12" name="Picture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11"/>
        <a:stretch>
          <a:fillRect/>
        </a:stretch>
      </xdr:blipFill>
      <xdr:spPr>
        <a:xfrm>
          <a:off x="8801100" y="37614226"/>
          <a:ext cx="6400800" cy="5445940"/>
        </a:xfrm>
        <a:prstGeom prst="rect">
          <a:avLst/>
        </a:prstGeom>
      </xdr:spPr>
    </xdr:pic>
    <xdr:clientData/>
  </xdr:oneCellAnchor>
  <xdr:oneCellAnchor>
    <xdr:from>
      <xdr:col>17</xdr:col>
      <xdr:colOff>485775</xdr:colOff>
      <xdr:row>285</xdr:row>
      <xdr:rowOff>123826</xdr:rowOff>
    </xdr:from>
    <xdr:ext cx="6400800" cy="5230414"/>
    <xdr:pic>
      <xdr:nvPicPr>
        <xdr:cNvPr id="13" name="Picture 12">
          <a:extLst>
            <a:ext uri="{FF2B5EF4-FFF2-40B4-BE49-F238E27FC236}">
              <a16:creationId xmlns:a16="http://schemas.microsoft.com/office/drawing/2014/main" id="{00000000-0008-0000-0500-00000D000000}"/>
            </a:ext>
          </a:extLst>
        </xdr:cNvPr>
        <xdr:cNvPicPr>
          <a:picLocks noChangeAspect="1"/>
        </xdr:cNvPicPr>
      </xdr:nvPicPr>
      <xdr:blipFill>
        <a:blip xmlns:r="http://schemas.openxmlformats.org/officeDocument/2006/relationships" r:embed="rId12"/>
        <a:stretch>
          <a:fillRect/>
        </a:stretch>
      </xdr:blipFill>
      <xdr:spPr>
        <a:xfrm>
          <a:off x="10848975" y="47558326"/>
          <a:ext cx="6400800" cy="5230414"/>
        </a:xfrm>
        <a:prstGeom prst="rect">
          <a:avLst/>
        </a:prstGeom>
      </xdr:spPr>
    </xdr:pic>
    <xdr:clientData/>
  </xdr:oneCellAnchor>
  <xdr:oneCellAnchor>
    <xdr:from>
      <xdr:col>17</xdr:col>
      <xdr:colOff>476250</xdr:colOff>
      <xdr:row>313</xdr:row>
      <xdr:rowOff>114301</xdr:rowOff>
    </xdr:from>
    <xdr:ext cx="6400800" cy="1691698"/>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3"/>
        <a:stretch>
          <a:fillRect/>
        </a:stretch>
      </xdr:blipFill>
      <xdr:spPr>
        <a:xfrm>
          <a:off x="10839450" y="52882801"/>
          <a:ext cx="6400800" cy="169169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3.epa.gov/ttnchie1/ap42/ch07/" TargetMode="External"/><Relationship Id="rId2" Type="http://schemas.openxmlformats.org/officeDocument/2006/relationships/hyperlink" Target="https://www.epa.gov/haps/initial-list-hazardous-air-pollutants-modifications" TargetMode="External"/><Relationship Id="rId1" Type="http://schemas.openxmlformats.org/officeDocument/2006/relationships/hyperlink" Target="https://www.federalregister.gov/documents/2020/06/18/2020-13145/granting-petitions-to-add-1-bromopropane-also-known-as-1-bp-to-the-list-of-hazardous-air-pollutan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6"/>
  <sheetViews>
    <sheetView showGridLines="0" tabSelected="1" zoomScaleNormal="100" workbookViewId="0">
      <selection activeCell="D16" sqref="D16"/>
    </sheetView>
  </sheetViews>
  <sheetFormatPr defaultRowHeight="15" x14ac:dyDescent="0.25"/>
  <cols>
    <col min="1" max="1" width="7" style="5" customWidth="1"/>
    <col min="2" max="2" width="59.5703125" customWidth="1"/>
    <col min="3" max="3" width="2.5703125" customWidth="1"/>
    <col min="4" max="4" width="60.7109375" customWidth="1"/>
    <col min="5" max="5" width="1.42578125" customWidth="1"/>
    <col min="8" max="8" width="16.140625" customWidth="1"/>
    <col min="9" max="9" width="10.7109375" customWidth="1"/>
    <col min="11" max="11" width="24" customWidth="1"/>
    <col min="12" max="12" width="3" customWidth="1"/>
    <col min="13" max="13" width="21.5703125" customWidth="1"/>
    <col min="14" max="14" width="11.28515625" customWidth="1"/>
    <col min="15" max="15" width="8.85546875" customWidth="1"/>
    <col min="16" max="16" width="21.140625" customWidth="1"/>
    <col min="18" max="18" width="14.7109375" customWidth="1"/>
    <col min="33" max="33" width="14" customWidth="1"/>
    <col min="34" max="34" width="14.7109375" customWidth="1"/>
    <col min="35" max="35" width="18.140625" customWidth="1"/>
  </cols>
  <sheetData>
    <row r="1" spans="1:8" ht="26.25" x14ac:dyDescent="0.25">
      <c r="H1" s="45" t="s">
        <v>650</v>
      </c>
    </row>
    <row r="2" spans="1:8" ht="18.75" x14ac:dyDescent="0.4">
      <c r="H2" s="44" t="s">
        <v>651</v>
      </c>
    </row>
    <row r="3" spans="1:8" x14ac:dyDescent="0.25">
      <c r="H3" s="46" t="s">
        <v>652</v>
      </c>
    </row>
    <row r="4" spans="1:8" x14ac:dyDescent="0.25">
      <c r="H4" s="46" t="s">
        <v>853</v>
      </c>
    </row>
    <row r="5" spans="1:8" ht="13.5" customHeight="1" x14ac:dyDescent="0.25">
      <c r="B5" s="47" t="s">
        <v>627</v>
      </c>
      <c r="C5" s="48"/>
      <c r="D5" s="48"/>
    </row>
    <row r="6" spans="1:8" ht="87" customHeight="1" x14ac:dyDescent="0.25">
      <c r="A6" s="9"/>
      <c r="B6" s="383" t="s">
        <v>653</v>
      </c>
      <c r="C6" s="383"/>
      <c r="D6" s="383"/>
      <c r="E6" s="9"/>
    </row>
    <row r="7" spans="1:8" ht="15" customHeight="1" x14ac:dyDescent="0.25">
      <c r="A7" s="9"/>
      <c r="B7" s="47" t="s">
        <v>613</v>
      </c>
      <c r="C7" s="49"/>
      <c r="D7" s="49"/>
      <c r="E7" s="9"/>
    </row>
    <row r="8" spans="1:8" ht="14.25" customHeight="1" x14ac:dyDescent="0.25">
      <c r="A8" s="9"/>
      <c r="B8" s="48" t="s">
        <v>654</v>
      </c>
      <c r="C8" s="49"/>
      <c r="D8" s="49"/>
      <c r="E8" s="9"/>
    </row>
    <row r="9" spans="1:8" ht="14.25" customHeight="1" x14ac:dyDescent="0.25">
      <c r="A9" s="9"/>
      <c r="B9" s="48" t="s">
        <v>655</v>
      </c>
      <c r="C9" s="49"/>
      <c r="D9" s="49"/>
      <c r="E9" s="9"/>
    </row>
    <row r="10" spans="1:8" ht="14.25" customHeight="1" x14ac:dyDescent="0.25">
      <c r="A10" s="9"/>
      <c r="B10" s="48" t="s">
        <v>656</v>
      </c>
      <c r="C10" s="49"/>
      <c r="D10" s="49"/>
      <c r="E10" s="9"/>
    </row>
    <row r="11" spans="1:8" ht="15" customHeight="1" x14ac:dyDescent="0.25">
      <c r="A11" s="7"/>
      <c r="B11" s="47" t="s">
        <v>614</v>
      </c>
      <c r="C11" s="48"/>
      <c r="D11" s="48"/>
    </row>
    <row r="12" spans="1:8" ht="12.75" customHeight="1" x14ac:dyDescent="0.25">
      <c r="A12" s="7"/>
      <c r="B12" s="50" t="s">
        <v>615</v>
      </c>
      <c r="C12" s="48"/>
      <c r="D12" s="48"/>
    </row>
    <row r="13" spans="1:8" ht="12.75" customHeight="1" x14ac:dyDescent="0.25">
      <c r="A13" s="7"/>
      <c r="B13" s="51"/>
      <c r="C13" s="48"/>
      <c r="D13" s="48"/>
    </row>
    <row r="14" spans="1:8" ht="25.5" x14ac:dyDescent="0.25">
      <c r="A14" s="7"/>
      <c r="B14" s="395" t="s">
        <v>657</v>
      </c>
      <c r="C14" s="395"/>
      <c r="D14" s="395"/>
    </row>
    <row r="15" spans="1:8" ht="15" customHeight="1" x14ac:dyDescent="0.25">
      <c r="A15" s="7"/>
      <c r="B15" s="42"/>
      <c r="C15" s="42"/>
      <c r="D15" s="42"/>
    </row>
    <row r="16" spans="1:8" ht="15" customHeight="1" x14ac:dyDescent="0.25">
      <c r="B16" s="33" t="s">
        <v>658</v>
      </c>
      <c r="D16" s="34"/>
    </row>
    <row r="17" spans="1:25" ht="14.25" customHeight="1" x14ac:dyDescent="0.25">
      <c r="B17" s="33" t="s">
        <v>659</v>
      </c>
      <c r="D17" s="34"/>
    </row>
    <row r="18" spans="1:25" x14ac:dyDescent="0.25">
      <c r="B18" s="33" t="s">
        <v>660</v>
      </c>
      <c r="D18" s="35"/>
    </row>
    <row r="20" spans="1:25" ht="18.75" x14ac:dyDescent="0.3">
      <c r="B20" s="12" t="s">
        <v>692</v>
      </c>
      <c r="D20" s="365" t="s">
        <v>693</v>
      </c>
      <c r="E20" s="366"/>
      <c r="F20" s="366"/>
      <c r="G20" s="366"/>
      <c r="H20" s="366"/>
      <c r="I20" s="366"/>
      <c r="J20" s="366"/>
      <c r="K20" s="367"/>
      <c r="L20" s="30"/>
      <c r="M20" s="30"/>
      <c r="N20" s="30"/>
      <c r="O20" s="30"/>
      <c r="P20" s="30"/>
      <c r="Q20" s="4"/>
      <c r="R20" s="4"/>
    </row>
    <row r="21" spans="1:25" ht="18.75" x14ac:dyDescent="0.3">
      <c r="B21" s="12"/>
      <c r="D21" s="331"/>
      <c r="E21" s="339" t="s">
        <v>579</v>
      </c>
      <c r="F21" s="340"/>
      <c r="G21" s="340"/>
      <c r="H21" s="340"/>
      <c r="I21" s="340"/>
      <c r="J21" s="340"/>
      <c r="K21" s="341"/>
      <c r="L21" s="31"/>
      <c r="M21" s="31"/>
      <c r="N21" s="31"/>
      <c r="O21" s="31"/>
      <c r="P21" s="31"/>
      <c r="Q21" s="4"/>
      <c r="R21" s="4"/>
    </row>
    <row r="22" spans="1:25" x14ac:dyDescent="0.25">
      <c r="D22" s="332"/>
      <c r="E22" s="342"/>
      <c r="F22" s="343"/>
      <c r="G22" s="343"/>
      <c r="H22" s="343"/>
      <c r="I22" s="343"/>
      <c r="J22" s="343"/>
      <c r="K22" s="344"/>
      <c r="L22" s="31"/>
      <c r="M22" s="31"/>
      <c r="N22" s="31"/>
      <c r="O22" s="31"/>
      <c r="P22" s="31"/>
      <c r="Q22" s="4"/>
      <c r="R22" s="4"/>
    </row>
    <row r="23" spans="1:25" ht="16.5" customHeight="1" x14ac:dyDescent="0.25">
      <c r="B23" s="361" t="s">
        <v>620</v>
      </c>
      <c r="D23" s="329"/>
      <c r="E23" s="333" t="s">
        <v>628</v>
      </c>
      <c r="F23" s="334"/>
      <c r="G23" s="334"/>
      <c r="H23" s="334"/>
      <c r="I23" s="334"/>
      <c r="J23" s="334"/>
      <c r="K23" s="335"/>
      <c r="L23" s="29"/>
      <c r="M23" s="29"/>
      <c r="N23" s="29"/>
      <c r="O23" s="29"/>
      <c r="P23" s="29"/>
      <c r="Q23" s="4"/>
      <c r="R23" s="4"/>
    </row>
    <row r="24" spans="1:25" ht="16.5" customHeight="1" x14ac:dyDescent="0.25">
      <c r="B24" s="361"/>
      <c r="D24" s="330"/>
      <c r="E24" s="336"/>
      <c r="F24" s="337"/>
      <c r="G24" s="337"/>
      <c r="H24" s="337"/>
      <c r="I24" s="337"/>
      <c r="J24" s="337"/>
      <c r="K24" s="338"/>
    </row>
    <row r="25" spans="1:25" ht="50.25" customHeight="1" x14ac:dyDescent="0.25">
      <c r="B25" s="361"/>
      <c r="C25" s="2"/>
      <c r="D25" s="10"/>
      <c r="E25" s="10"/>
      <c r="F25" s="10"/>
    </row>
    <row r="26" spans="1:25" ht="32.25" customHeight="1" x14ac:dyDescent="0.25">
      <c r="B26" s="9"/>
      <c r="D26" s="9"/>
      <c r="E26" s="10"/>
      <c r="F26" s="10"/>
    </row>
    <row r="27" spans="1:25" s="22" customFormat="1" ht="18.75" x14ac:dyDescent="0.3">
      <c r="A27" s="52"/>
      <c r="B27" s="13" t="s">
        <v>512</v>
      </c>
      <c r="C27" s="53"/>
      <c r="D27" s="16" t="s">
        <v>514</v>
      </c>
      <c r="F27" s="368" t="s">
        <v>513</v>
      </c>
      <c r="G27" s="368"/>
      <c r="H27" s="368"/>
      <c r="I27" s="368"/>
      <c r="J27" s="368"/>
      <c r="K27" s="368"/>
      <c r="M27" s="355" t="s">
        <v>694</v>
      </c>
      <c r="N27" s="355"/>
      <c r="O27" s="355"/>
      <c r="P27" s="355"/>
      <c r="Q27" s="355"/>
      <c r="R27" s="355"/>
    </row>
    <row r="28" spans="1:25" s="48" customFormat="1" ht="12" x14ac:dyDescent="0.2">
      <c r="A28" s="54" t="s">
        <v>521</v>
      </c>
      <c r="B28" s="55" t="s">
        <v>696</v>
      </c>
      <c r="C28" s="56"/>
      <c r="D28" s="57"/>
      <c r="E28" s="58"/>
      <c r="F28" s="59"/>
      <c r="G28" s="60"/>
      <c r="H28" s="60"/>
      <c r="M28" s="345" t="str">
        <f ca="1">IF(D28="", "Error; enter ID in cell "&amp;CELL("address",D28)&amp;".", "")</f>
        <v>Error; enter ID in cell $D$28.</v>
      </c>
      <c r="N28" s="345"/>
      <c r="O28" s="345"/>
      <c r="P28" s="345"/>
      <c r="Q28" s="345"/>
      <c r="R28" s="345"/>
      <c r="S28" s="61"/>
      <c r="T28" s="61"/>
      <c r="U28" s="61"/>
      <c r="V28" s="61"/>
      <c r="W28" s="61"/>
      <c r="X28" s="61"/>
      <c r="Y28" s="61"/>
    </row>
    <row r="29" spans="1:25" s="48" customFormat="1" ht="12" x14ac:dyDescent="0.2">
      <c r="A29" s="62" t="s">
        <v>522</v>
      </c>
      <c r="B29" s="63" t="s">
        <v>517</v>
      </c>
      <c r="C29" s="64"/>
      <c r="D29" s="65"/>
      <c r="E29" s="58"/>
      <c r="F29" s="59"/>
      <c r="G29" s="66"/>
      <c r="H29" s="60"/>
      <c r="M29" s="345" t="str">
        <f ca="1">IF(D29="", "Error; enter designation in cell "&amp;CELL("address",D29)&amp;".", "")</f>
        <v>Error; enter designation in cell $D$29.</v>
      </c>
      <c r="N29" s="345"/>
      <c r="O29" s="345"/>
      <c r="P29" s="345"/>
      <c r="Q29" s="345"/>
      <c r="R29" s="345"/>
      <c r="S29" s="61"/>
      <c r="T29" s="61"/>
      <c r="U29" s="61"/>
      <c r="V29" s="61"/>
      <c r="W29" s="61"/>
      <c r="X29" s="61"/>
      <c r="Y29" s="61"/>
    </row>
    <row r="30" spans="1:25" s="48" customFormat="1" ht="12" x14ac:dyDescent="0.2">
      <c r="A30" s="62" t="s">
        <v>523</v>
      </c>
      <c r="B30" s="63" t="s">
        <v>518</v>
      </c>
      <c r="C30" s="64"/>
      <c r="D30" s="67"/>
      <c r="E30" s="68"/>
      <c r="F30" s="59"/>
      <c r="G30" s="66"/>
      <c r="H30" s="66"/>
      <c r="M30" s="345" t="str">
        <f ca="1">IF(D30="", "Error; enter tank capacity (gallons) in cell  "&amp;CELL("address",D30)&amp;".", "")</f>
        <v>Error; enter tank capacity (gallons) in cell  $D$30.</v>
      </c>
      <c r="N30" s="345"/>
      <c r="O30" s="345"/>
      <c r="P30" s="345"/>
      <c r="Q30" s="345"/>
      <c r="R30" s="345"/>
      <c r="S30" s="61"/>
      <c r="T30" s="61"/>
      <c r="U30" s="61"/>
      <c r="V30" s="61"/>
      <c r="W30" s="61"/>
      <c r="X30" s="61"/>
      <c r="Y30" s="61"/>
    </row>
    <row r="31" spans="1:25" s="48" customFormat="1" ht="39" customHeight="1" x14ac:dyDescent="0.2">
      <c r="A31" s="54" t="s">
        <v>524</v>
      </c>
      <c r="B31" s="63" t="s">
        <v>519</v>
      </c>
      <c r="C31" s="64"/>
      <c r="D31" s="69"/>
      <c r="E31" s="70"/>
      <c r="F31" s="386" t="s">
        <v>661</v>
      </c>
      <c r="G31" s="386"/>
      <c r="H31" s="386"/>
      <c r="I31" s="386"/>
      <c r="J31" s="386"/>
      <c r="K31" s="387"/>
      <c r="L31" s="71"/>
      <c r="M31" s="345" t="str">
        <f ca="1">IF(D31="", "Error; enter stored product(s) in cell  "&amp;CELL("address",D31)&amp;".", "")</f>
        <v>Error; enter stored product(s) in cell  $D$31.</v>
      </c>
      <c r="N31" s="345"/>
      <c r="O31" s="345"/>
      <c r="P31" s="345"/>
      <c r="Q31" s="345"/>
      <c r="R31" s="345"/>
      <c r="S31" s="61"/>
      <c r="T31" s="61"/>
      <c r="U31" s="61"/>
      <c r="V31" s="61"/>
      <c r="W31" s="61"/>
      <c r="X31" s="61"/>
      <c r="Y31" s="61"/>
    </row>
    <row r="32" spans="1:25" s="48" customFormat="1" ht="12" x14ac:dyDescent="0.2">
      <c r="A32" s="72" t="s">
        <v>580</v>
      </c>
      <c r="B32" s="63" t="s">
        <v>520</v>
      </c>
      <c r="C32" s="64"/>
      <c r="D32" s="65"/>
      <c r="E32" s="59"/>
      <c r="F32" s="73"/>
      <c r="G32" s="74"/>
      <c r="H32" s="74"/>
      <c r="I32" s="75"/>
      <c r="J32" s="75"/>
      <c r="K32" s="75"/>
      <c r="L32" s="75"/>
      <c r="M32" s="345" t="str">
        <f ca="1">IF(D32="", "Error; in cell  "&amp;CELL("address",D32)&amp;", choose closest city from dropdown list only.", "")</f>
        <v>Error; in cell  $D$32, choose closest city from dropdown list only.</v>
      </c>
      <c r="N32" s="345"/>
      <c r="O32" s="345"/>
      <c r="P32" s="345"/>
      <c r="Q32" s="345"/>
      <c r="R32" s="345"/>
      <c r="S32" s="61"/>
      <c r="T32" s="61"/>
      <c r="U32" s="61"/>
      <c r="V32" s="61"/>
      <c r="W32" s="61"/>
      <c r="X32" s="61"/>
      <c r="Y32" s="61"/>
    </row>
    <row r="33" spans="1:27" s="48" customFormat="1" ht="12" x14ac:dyDescent="0.2">
      <c r="A33" s="76"/>
      <c r="D33" s="77"/>
      <c r="F33" s="75"/>
      <c r="G33" s="75"/>
      <c r="H33" s="75"/>
      <c r="I33" s="75"/>
      <c r="J33" s="75"/>
      <c r="K33" s="75"/>
      <c r="L33" s="75"/>
      <c r="M33" s="78"/>
      <c r="N33" s="78"/>
      <c r="O33" s="78"/>
      <c r="P33" s="78"/>
      <c r="Q33" s="78"/>
      <c r="R33" s="78"/>
      <c r="S33" s="61"/>
      <c r="T33" s="61"/>
      <c r="U33" s="61"/>
      <c r="V33" s="61"/>
      <c r="W33" s="61"/>
      <c r="X33" s="61"/>
      <c r="Y33" s="61"/>
    </row>
    <row r="34" spans="1:27" ht="56.25" customHeight="1" x14ac:dyDescent="0.25">
      <c r="A34" s="43"/>
      <c r="B34" s="11" t="s">
        <v>695</v>
      </c>
      <c r="C34" s="6"/>
      <c r="D34" s="8"/>
      <c r="F34" s="4"/>
      <c r="G34" s="4"/>
      <c r="H34" s="4"/>
      <c r="I34" s="4"/>
      <c r="J34" s="4"/>
      <c r="K34" s="4"/>
      <c r="L34" s="4"/>
      <c r="M34" s="37"/>
      <c r="N34" s="37"/>
      <c r="O34" s="37"/>
      <c r="P34" s="37"/>
      <c r="Q34" s="37"/>
      <c r="R34" s="37"/>
      <c r="S34" s="3"/>
      <c r="T34" s="3"/>
      <c r="U34" s="3"/>
      <c r="V34" s="3"/>
      <c r="W34" s="3"/>
      <c r="X34" s="3"/>
      <c r="Y34" s="3"/>
    </row>
    <row r="35" spans="1:27" s="48" customFormat="1" ht="12" x14ac:dyDescent="0.2">
      <c r="A35" s="54" t="s">
        <v>525</v>
      </c>
      <c r="B35" s="311" t="s">
        <v>804</v>
      </c>
      <c r="C35" s="79"/>
      <c r="D35" s="80"/>
      <c r="F35" s="73"/>
      <c r="G35" s="75"/>
      <c r="H35" s="75"/>
      <c r="I35" s="75"/>
      <c r="J35" s="75"/>
      <c r="K35" s="75"/>
      <c r="L35" s="75"/>
      <c r="M35" s="345" t="str">
        <f ca="1">IF(NOT(AND(TYPE(D35)=1,D35&lt;&gt;"",D35&gt;0)),"Error; enter tank diameter (ft) in cell  "&amp;CELL("address",D35)&amp;".","")</f>
        <v>Error; enter tank diameter (ft) in cell  $D$35.</v>
      </c>
      <c r="N35" s="345"/>
      <c r="O35" s="345"/>
      <c r="P35" s="345"/>
      <c r="Q35" s="345"/>
      <c r="R35" s="345"/>
      <c r="S35" s="61"/>
      <c r="T35" s="61"/>
      <c r="U35" s="61"/>
      <c r="V35" s="61"/>
      <c r="W35" s="61"/>
      <c r="X35" s="61"/>
      <c r="Y35" s="61"/>
    </row>
    <row r="36" spans="1:27" s="48" customFormat="1" ht="12" x14ac:dyDescent="0.2">
      <c r="A36" s="62" t="s">
        <v>526</v>
      </c>
      <c r="B36" s="312" t="s">
        <v>805</v>
      </c>
      <c r="C36" s="81"/>
      <c r="D36" s="80"/>
      <c r="F36" s="75"/>
      <c r="G36" s="75"/>
      <c r="H36" s="75"/>
      <c r="I36" s="75"/>
      <c r="J36" s="75"/>
      <c r="K36" s="75"/>
      <c r="L36" s="75"/>
      <c r="M36" s="345" t="str">
        <f ca="1">IF(NOT(AND(TYPE(D36)=1,D36&lt;&gt;"",D36&gt;0)),"Error; enter tank shell height (ft) in cell  "&amp;CELL("address",D36)&amp;".","")</f>
        <v>Error; enter tank shell height (ft) in cell  $D$36.</v>
      </c>
      <c r="N36" s="345"/>
      <c r="O36" s="345"/>
      <c r="P36" s="345"/>
      <c r="Q36" s="345"/>
      <c r="R36" s="345"/>
      <c r="S36" s="61"/>
      <c r="T36" s="61"/>
      <c r="U36" s="61"/>
      <c r="V36" s="61"/>
      <c r="W36" s="61"/>
      <c r="X36" s="61"/>
      <c r="Y36" s="61"/>
    </row>
    <row r="37" spans="1:27" s="48" customFormat="1" ht="45.75" customHeight="1" x14ac:dyDescent="0.2">
      <c r="A37" s="62" t="s">
        <v>527</v>
      </c>
      <c r="B37" s="82" t="s">
        <v>806</v>
      </c>
      <c r="C37" s="81"/>
      <c r="D37" s="65"/>
      <c r="E37" s="70"/>
      <c r="F37" s="388" t="s">
        <v>629</v>
      </c>
      <c r="G37" s="388"/>
      <c r="H37" s="388"/>
      <c r="I37" s="388"/>
      <c r="J37" s="388"/>
      <c r="K37" s="389"/>
      <c r="L37" s="83"/>
      <c r="M37" s="356" t="str">
        <f ca="1">IF(OR(D37="Unknown", AND(TYPE(D37)=1, D37&lt;&gt;"",D37&gt;0,D37&lt;=D36)),"","Error; In cell  "&amp;CELL("address",D37)&amp;", enter a valid numeral for the maintained liquid height (ft) or use dropdown to select ''Unknown''.")</f>
        <v>Error; In cell  $D$37, enter a valid numeral for the maintained liquid height (ft) or use dropdown to select ''Unknown''.</v>
      </c>
      <c r="N37" s="356"/>
      <c r="O37" s="356"/>
      <c r="P37" s="356"/>
      <c r="Q37" s="356"/>
      <c r="R37" s="356"/>
      <c r="S37" s="61"/>
      <c r="T37" s="61"/>
      <c r="U37" s="61"/>
      <c r="V37" s="61"/>
      <c r="W37" s="61"/>
      <c r="X37" s="61"/>
      <c r="Y37" s="61"/>
    </row>
    <row r="38" spans="1:27" s="48" customFormat="1" ht="15" customHeight="1" x14ac:dyDescent="0.2">
      <c r="A38" s="62" t="s">
        <v>528</v>
      </c>
      <c r="B38" s="82" t="s">
        <v>807</v>
      </c>
      <c r="C38" s="81"/>
      <c r="D38" s="65"/>
      <c r="F38" s="75"/>
      <c r="G38" s="75"/>
      <c r="H38" s="75"/>
      <c r="I38" s="75"/>
      <c r="J38" s="75"/>
      <c r="K38" s="75"/>
      <c r="L38" s="75"/>
      <c r="M38" s="359" t="str">
        <f ca="1">IF(OR(D38="Unknown", AND(TYPE(D38)=1, D38&lt;&gt;"",D38&gt;=0,D38&lt;=D36)),"","Error; in cell  "&amp;CELL("address",D38)&amp;", enter a valid numeral for the minimum liquid height (ft) or use dropdown to select ''Unknown''.")</f>
        <v>Error; in cell  $D$38, enter a valid numeral for the minimum liquid height (ft) or use dropdown to select ''Unknown''.</v>
      </c>
      <c r="N38" s="359"/>
      <c r="O38" s="359"/>
      <c r="P38" s="359"/>
      <c r="Q38" s="359"/>
      <c r="R38" s="359"/>
      <c r="S38" s="359"/>
      <c r="T38" s="359"/>
      <c r="U38" s="359"/>
      <c r="V38" s="359"/>
      <c r="W38" s="359"/>
      <c r="X38" s="359"/>
      <c r="Y38" s="359"/>
    </row>
    <row r="39" spans="1:27" s="48" customFormat="1" ht="15" customHeight="1" x14ac:dyDescent="0.2">
      <c r="A39" s="62" t="s">
        <v>529</v>
      </c>
      <c r="B39" s="82" t="s">
        <v>808</v>
      </c>
      <c r="C39" s="81"/>
      <c r="D39" s="65"/>
      <c r="F39" s="75"/>
      <c r="G39" s="75"/>
      <c r="H39" s="75"/>
      <c r="I39" s="75"/>
      <c r="J39" s="75"/>
      <c r="K39" s="75"/>
      <c r="L39" s="75"/>
      <c r="M39" s="359" t="str">
        <f ca="1">IF(OR(D39="Unknown", AND(TYPE(D39)=1, D39&lt;&gt;"",D39&gt;=0,D39&lt;=D36)),"","Error; in cell  "&amp;CELL("address",D39)&amp;", enter a valid numeral for the maximum liquid height (ft) or use dropdown to select ''Unknown''.")</f>
        <v>Error; in cell  $D$39, enter a valid numeral for the maximum liquid height (ft) or use dropdown to select ''Unknown''.</v>
      </c>
      <c r="N39" s="359"/>
      <c r="O39" s="359"/>
      <c r="P39" s="359"/>
      <c r="Q39" s="359"/>
      <c r="R39" s="359"/>
      <c r="S39" s="359"/>
      <c r="T39" s="359"/>
      <c r="U39" s="359"/>
      <c r="V39" s="359"/>
      <c r="W39" s="359"/>
      <c r="X39" s="61"/>
      <c r="Y39" s="61"/>
    </row>
    <row r="40" spans="1:27" s="48" customFormat="1" ht="12" x14ac:dyDescent="0.2">
      <c r="A40" s="62" t="s">
        <v>530</v>
      </c>
      <c r="B40" s="82" t="s">
        <v>809</v>
      </c>
      <c r="C40" s="81"/>
      <c r="D40" s="84"/>
      <c r="E40" s="70"/>
      <c r="F40" s="81" t="s">
        <v>630</v>
      </c>
      <c r="G40" s="81"/>
      <c r="H40" s="81"/>
      <c r="I40" s="81"/>
      <c r="J40" s="81"/>
      <c r="K40" s="64"/>
      <c r="L40" s="75"/>
      <c r="M40" s="345" t="str">
        <f ca="1">IF(D40="", "Error; use dropdown to input ''Yes'' or ''No'' to indicate if there are crude oils in the tank in cell  "&amp;CELL("address",D40)&amp;".", "")</f>
        <v>Error; use dropdown to input ''Yes'' or ''No'' to indicate if there are crude oils in the tank in cell  $D$40.</v>
      </c>
      <c r="N40" s="345"/>
      <c r="O40" s="345"/>
      <c r="P40" s="345"/>
      <c r="Q40" s="345"/>
      <c r="R40" s="345"/>
      <c r="S40" s="345"/>
      <c r="T40" s="345"/>
      <c r="U40" s="78"/>
      <c r="V40" s="78"/>
      <c r="W40" s="78"/>
      <c r="X40" s="78"/>
      <c r="Y40" s="78"/>
      <c r="AA40" s="85"/>
    </row>
    <row r="41" spans="1:27" s="48" customFormat="1" ht="12" x14ac:dyDescent="0.2">
      <c r="A41" s="62" t="s">
        <v>531</v>
      </c>
      <c r="B41" s="82" t="s">
        <v>846</v>
      </c>
      <c r="C41" s="81"/>
      <c r="D41" s="67"/>
      <c r="E41" s="70"/>
      <c r="F41" s="81"/>
      <c r="G41" s="81"/>
      <c r="H41" s="81"/>
      <c r="I41" s="81"/>
      <c r="J41" s="81"/>
      <c r="K41" s="81"/>
      <c r="L41" s="75"/>
      <c r="M41" s="345" t="str">
        <f ca="1">IF(NOT(AND(TYPE(D41)=1,D41&lt;&gt;"",D41&gt;=0)),"Error; enter a valid numeral for the annual net throughput in cell  "&amp;CELL("address",D41)&amp;".","")</f>
        <v>Error; enter a valid numeral for the annual net throughput in cell  $D$41.</v>
      </c>
      <c r="N41" s="345"/>
      <c r="O41" s="345"/>
      <c r="P41" s="345"/>
      <c r="Q41" s="345"/>
      <c r="R41" s="345"/>
      <c r="S41" s="345"/>
      <c r="T41" s="345"/>
      <c r="U41" s="345"/>
      <c r="V41" s="345"/>
      <c r="W41" s="345"/>
      <c r="X41" s="345"/>
      <c r="Y41" s="345"/>
    </row>
    <row r="42" spans="1:27" s="48" customFormat="1" ht="41.25" customHeight="1" x14ac:dyDescent="0.2">
      <c r="A42" s="62" t="s">
        <v>532</v>
      </c>
      <c r="B42" s="82" t="s">
        <v>810</v>
      </c>
      <c r="C42" s="81"/>
      <c r="D42" s="65"/>
      <c r="E42" s="70"/>
      <c r="F42" s="376" t="s">
        <v>547</v>
      </c>
      <c r="G42" s="376"/>
      <c r="H42" s="376"/>
      <c r="I42" s="376"/>
      <c r="J42" s="376"/>
      <c r="K42" s="377"/>
      <c r="L42" s="86"/>
      <c r="M42" s="359" t="str">
        <f ca="1">IF(OR(D42="Unknown", AND(TYPE(D42)=1, D42&lt;&gt;"")),"","Error; In cell  "&amp;CELL("address",D42)&amp;", enter a valid numeral for the annual sum of the increase in liquid level (ft) or use dropdown to select ''Unknown''.")</f>
        <v>Error; In cell  $D$42, enter a valid numeral for the annual sum of the increase in liquid level (ft) or use dropdown to select ''Unknown''.</v>
      </c>
      <c r="N42" s="359"/>
      <c r="O42" s="359"/>
      <c r="P42" s="359"/>
      <c r="Q42" s="359"/>
      <c r="R42" s="359"/>
      <c r="S42" s="61"/>
      <c r="T42" s="61"/>
      <c r="U42" s="61"/>
      <c r="V42" s="61"/>
      <c r="W42" s="61"/>
      <c r="X42" s="61"/>
      <c r="Y42" s="61"/>
    </row>
    <row r="43" spans="1:27" s="48" customFormat="1" ht="12" x14ac:dyDescent="0.2">
      <c r="A43" s="62" t="s">
        <v>533</v>
      </c>
      <c r="B43" s="82" t="s">
        <v>549</v>
      </c>
      <c r="C43" s="81"/>
      <c r="D43" s="84"/>
      <c r="M43" s="345" t="str">
        <f ca="1">IF(D43="", "Error; use dropdown to input ''Yes'' or ''No'' to indicate if the tank is vapor balanced and/or flashing occurs, in cell  "&amp;CELL("address",D43)&amp;".", "")</f>
        <v>Error; use dropdown to input ''Yes'' or ''No'' to indicate if the tank is vapor balanced and/or flashing occurs, in cell  $D$43.</v>
      </c>
      <c r="N43" s="345"/>
      <c r="O43" s="345"/>
      <c r="P43" s="345"/>
      <c r="Q43" s="345"/>
      <c r="R43" s="345"/>
      <c r="S43" s="345"/>
      <c r="T43" s="345"/>
      <c r="U43" s="345"/>
      <c r="V43" s="345"/>
      <c r="W43" s="345"/>
      <c r="X43" s="345"/>
      <c r="Y43" s="61"/>
    </row>
    <row r="44" spans="1:27" s="48" customFormat="1" ht="12" x14ac:dyDescent="0.2">
      <c r="A44" s="62" t="s">
        <v>534</v>
      </c>
      <c r="B44" s="82" t="s">
        <v>811</v>
      </c>
      <c r="C44" s="81"/>
      <c r="D44" s="80"/>
      <c r="M44" s="345" t="str">
        <f ca="1">IF(NOT(AND(TYPE(D44)=1,D44&lt;&gt;"",D44&lt;D35,D44&gt;0)),"Error; enter tank shell radius (ft) in cell  "&amp;CELL("address",D44)&amp;".","")</f>
        <v>Error; enter tank shell radius (ft) in cell  $D$44.</v>
      </c>
      <c r="N44" s="345"/>
      <c r="O44" s="345"/>
      <c r="P44" s="345"/>
      <c r="Q44" s="345"/>
      <c r="R44" s="345"/>
      <c r="S44" s="61"/>
      <c r="T44" s="61"/>
      <c r="U44" s="61"/>
      <c r="V44" s="61"/>
      <c r="W44" s="61"/>
      <c r="X44" s="61"/>
      <c r="Y44" s="61"/>
    </row>
    <row r="45" spans="1:27" s="48" customFormat="1" ht="12" x14ac:dyDescent="0.2">
      <c r="A45" s="62" t="s">
        <v>535</v>
      </c>
      <c r="B45" s="82" t="s">
        <v>812</v>
      </c>
      <c r="C45" s="81"/>
      <c r="D45" s="87"/>
      <c r="M45" s="345" t="str">
        <f ca="1">IF(OR(D45="Dome", D45="Cone"), "","Error; Indicate tank roof type using dropdown in cell  "&amp;CELL("address",D45)&amp;".")</f>
        <v>Error; Indicate tank roof type using dropdown in cell  $D$45.</v>
      </c>
      <c r="N45" s="345"/>
      <c r="O45" s="345"/>
      <c r="P45" s="345"/>
      <c r="Q45" s="345"/>
      <c r="R45" s="345"/>
      <c r="S45" s="61"/>
      <c r="T45" s="61"/>
      <c r="U45" s="61"/>
      <c r="V45" s="61"/>
      <c r="W45" s="61"/>
      <c r="X45" s="61"/>
      <c r="Y45" s="61"/>
    </row>
    <row r="46" spans="1:27" s="48" customFormat="1" ht="30" customHeight="1" x14ac:dyDescent="0.2">
      <c r="A46" s="62" t="s">
        <v>536</v>
      </c>
      <c r="B46" s="81" t="str">
        <f>IF(D45="Dome", "Dome Radius, ft", IF(D45="Cone", "Cone Roof Slope, ft/ft", "Variable Roof Dimension-answer step "&amp;A45&amp;" first"))</f>
        <v>Variable Roof Dimension-answer step 16. first</v>
      </c>
      <c r="C46" s="81"/>
      <c r="D46" s="65"/>
      <c r="F46" s="394" t="str">
        <f>IF(B46="Dome Radius, ft", "The Dome roof radius is usually between 0.8-1.2 times the tank diameter (when the tank diameter is twice the tank shell radius).","")</f>
        <v/>
      </c>
      <c r="G46" s="394"/>
      <c r="H46" s="394"/>
      <c r="I46" s="394"/>
      <c r="J46" s="394"/>
      <c r="K46" s="394"/>
      <c r="M46" s="345" t="str">
        <f>IF(D46="Unknown","",IF(D46="","Error; Enter "&amp;B46&amp;", or select ''Unknown'' if applicable.",IF(AND(ISNUMBER(D46)=TRUE,D46&lt;=0,D45="Dome"),"Error; Enter a valid number for "&amp;B46&amp;".", "")))</f>
        <v>Error; Enter Variable Roof Dimension-answer step 16. first, or select ''Unknown'' if applicable.</v>
      </c>
      <c r="N46" s="345"/>
      <c r="O46" s="345"/>
      <c r="P46" s="345"/>
      <c r="Q46" s="345"/>
      <c r="R46" s="345"/>
      <c r="S46" s="61"/>
      <c r="T46" s="61"/>
      <c r="U46" s="61"/>
      <c r="V46" s="61"/>
      <c r="W46" s="61"/>
      <c r="X46" s="61"/>
      <c r="Y46" s="61"/>
    </row>
    <row r="47" spans="1:27" s="48" customFormat="1" ht="12" x14ac:dyDescent="0.2">
      <c r="A47" s="62" t="s">
        <v>537</v>
      </c>
      <c r="B47" s="82" t="s">
        <v>813</v>
      </c>
      <c r="C47" s="81"/>
      <c r="D47" s="88"/>
      <c r="M47" s="345" t="str">
        <f ca="1">IF(D47="","In cell "&amp;CELL("address",D47)&amp;" enter roof color","")</f>
        <v>In cell $D$47 enter roof color</v>
      </c>
      <c r="N47" s="345"/>
      <c r="O47" s="345"/>
      <c r="P47" s="345"/>
      <c r="Q47" s="345"/>
      <c r="R47" s="345"/>
      <c r="S47" s="61"/>
      <c r="T47" s="61"/>
      <c r="U47" s="61"/>
      <c r="V47" s="61"/>
      <c r="W47" s="61"/>
      <c r="X47" s="61"/>
      <c r="Y47" s="61"/>
    </row>
    <row r="48" spans="1:27" s="48" customFormat="1" ht="12" x14ac:dyDescent="0.2">
      <c r="A48" s="62" t="s">
        <v>539</v>
      </c>
      <c r="B48" s="82" t="s">
        <v>814</v>
      </c>
      <c r="C48" s="81"/>
      <c r="D48" s="84"/>
      <c r="M48" s="345" t="str">
        <f ca="1">IF(D48="","In cell "&amp;CELL("address",D48)&amp;" enter "&amp;B48,"")</f>
        <v>In cell $D$48 enter Roof reflective condition</v>
      </c>
      <c r="N48" s="345"/>
      <c r="O48" s="345"/>
      <c r="P48" s="345"/>
      <c r="Q48" s="345"/>
      <c r="R48" s="345"/>
      <c r="S48" s="61"/>
      <c r="T48" s="61"/>
      <c r="U48" s="61"/>
      <c r="V48" s="61"/>
      <c r="W48" s="61"/>
      <c r="X48" s="61"/>
      <c r="Y48" s="61"/>
    </row>
    <row r="49" spans="1:25" s="48" customFormat="1" ht="12" x14ac:dyDescent="0.2">
      <c r="A49" s="62" t="s">
        <v>540</v>
      </c>
      <c r="B49" s="82" t="s">
        <v>815</v>
      </c>
      <c r="C49" s="81"/>
      <c r="D49" s="84"/>
      <c r="M49" s="345" t="str">
        <f ca="1">IF(D49="","In cell "&amp;CELL("address",D49)&amp;" enter "&amp;B49,"")</f>
        <v>In cell $D$49 enter Tank shell color</v>
      </c>
      <c r="N49" s="345"/>
      <c r="O49" s="345"/>
      <c r="P49" s="345"/>
      <c r="Q49" s="345"/>
      <c r="R49" s="345"/>
      <c r="S49" s="61"/>
      <c r="T49" s="61"/>
      <c r="U49" s="61"/>
      <c r="V49" s="61"/>
      <c r="W49" s="61"/>
      <c r="X49" s="61"/>
      <c r="Y49" s="61"/>
    </row>
    <row r="50" spans="1:25" s="48" customFormat="1" ht="12" x14ac:dyDescent="0.2">
      <c r="A50" s="62" t="s">
        <v>541</v>
      </c>
      <c r="B50" s="82" t="s">
        <v>816</v>
      </c>
      <c r="C50" s="81"/>
      <c r="D50" s="84"/>
      <c r="M50" s="345" t="str">
        <f ca="1">IF(D50="","In cell "&amp;CELL("address",D50)&amp;" enter "&amp;B50,"")</f>
        <v>In cell $D$50 enter Tank shell condition</v>
      </c>
      <c r="N50" s="345"/>
      <c r="O50" s="345"/>
      <c r="P50" s="345"/>
      <c r="Q50" s="345"/>
      <c r="R50" s="345"/>
      <c r="S50" s="61"/>
      <c r="T50" s="61"/>
      <c r="U50" s="61"/>
      <c r="V50" s="61"/>
      <c r="W50" s="61"/>
      <c r="X50" s="61"/>
      <c r="Y50" s="61"/>
    </row>
    <row r="51" spans="1:25" s="48" customFormat="1" ht="29.25" customHeight="1" x14ac:dyDescent="0.2">
      <c r="A51" s="62" t="s">
        <v>542</v>
      </c>
      <c r="B51" s="82" t="s">
        <v>817</v>
      </c>
      <c r="C51" s="81"/>
      <c r="D51" s="65"/>
      <c r="E51" s="70"/>
      <c r="F51" s="378" t="s">
        <v>590</v>
      </c>
      <c r="G51" s="378"/>
      <c r="H51" s="378"/>
      <c r="I51" s="378"/>
      <c r="J51" s="378"/>
      <c r="K51" s="379"/>
      <c r="L51" s="89"/>
      <c r="M51" s="345" t="str">
        <f ca="1">IF(D51="Unknown","", IF(D51="", "Error; In cell "&amp;CELL("address",D51)&amp;" Enter "&amp;B51&amp;", or select ''Unknown'' if applicable.",""))</f>
        <v>Error; In cell $D$51 Enter Breather vent pressure setting , psig, or select ''Unknown'' if applicable.</v>
      </c>
      <c r="N51" s="345"/>
      <c r="O51" s="345"/>
      <c r="P51" s="345"/>
      <c r="Q51" s="345"/>
      <c r="R51" s="345"/>
      <c r="S51" s="61"/>
      <c r="T51" s="61"/>
      <c r="U51" s="61"/>
      <c r="V51" s="61"/>
      <c r="W51" s="61"/>
      <c r="X51" s="61"/>
      <c r="Y51" s="61"/>
    </row>
    <row r="52" spans="1:25" s="48" customFormat="1" ht="12" x14ac:dyDescent="0.2">
      <c r="A52" s="62" t="s">
        <v>543</v>
      </c>
      <c r="B52" s="82" t="s">
        <v>818</v>
      </c>
      <c r="C52" s="81"/>
      <c r="D52" s="65"/>
      <c r="F52" s="390" t="s">
        <v>589</v>
      </c>
      <c r="G52" s="390"/>
      <c r="H52" s="390"/>
      <c r="I52" s="390"/>
      <c r="J52" s="390"/>
      <c r="K52" s="391"/>
      <c r="M52" s="345" t="str">
        <f ca="1">IF(D52="Unknown","", IF(D52="", "Error; In cell "&amp;CELL("address",D52)&amp;" Enter "&amp;B52&amp;", or select ''Unknown'' if applicable.",""))</f>
        <v>Error; In cell $D$52 Enter Breather vent vacuum setting, psig, or select ''Unknown'' if applicable.</v>
      </c>
      <c r="N52" s="345"/>
      <c r="O52" s="345"/>
      <c r="P52" s="345"/>
      <c r="Q52" s="345"/>
      <c r="R52" s="345"/>
      <c r="S52" s="61"/>
      <c r="T52" s="61"/>
      <c r="U52" s="61"/>
      <c r="V52" s="61"/>
      <c r="W52" s="61"/>
      <c r="X52" s="61"/>
      <c r="Y52" s="61"/>
    </row>
    <row r="53" spans="1:25" s="48" customFormat="1" ht="51.75" customHeight="1" x14ac:dyDescent="0.2">
      <c r="A53" s="90" t="s">
        <v>544</v>
      </c>
      <c r="B53" s="91" t="s">
        <v>565</v>
      </c>
      <c r="C53" s="81"/>
      <c r="D53" s="88"/>
      <c r="E53" s="70"/>
      <c r="F53" s="376" t="s">
        <v>662</v>
      </c>
      <c r="G53" s="376"/>
      <c r="H53" s="376"/>
      <c r="I53" s="376"/>
      <c r="J53" s="376"/>
      <c r="K53" s="377"/>
      <c r="L53" s="86"/>
      <c r="M53" s="345" t="str">
        <f ca="1">IF(D53="", "Choose the option that best describes the tank's insulation from the drop down list in cell "&amp;CELL("address",D53)&amp;".","")</f>
        <v>Choose the option that best describes the tank's insulation from the drop down list in cell $D$53.</v>
      </c>
      <c r="N53" s="345"/>
      <c r="O53" s="345"/>
      <c r="P53" s="345"/>
      <c r="Q53" s="345"/>
      <c r="R53" s="345"/>
      <c r="S53" s="61"/>
      <c r="T53" s="61"/>
      <c r="U53" s="61"/>
      <c r="V53" s="61"/>
      <c r="W53" s="61"/>
      <c r="X53" s="61"/>
      <c r="Y53" s="61"/>
    </row>
    <row r="54" spans="1:25" s="48" customFormat="1" ht="12" x14ac:dyDescent="0.2">
      <c r="A54" s="90"/>
      <c r="B54" s="82" t="str">
        <f>IF('Input Variables'!F34=3, "What is the estimated liquid bulk temperature (°F)?", "&lt;Leave this row blank&gt;")</f>
        <v>&lt;Leave this row blank&gt;</v>
      </c>
      <c r="C54" s="81"/>
      <c r="D54" s="80"/>
      <c r="E54" s="48" t="str">
        <f>IF(D53="Yes", "See Conversion Tables Tab for Rankin (°R) conversion", "")</f>
        <v/>
      </c>
      <c r="M54" s="345" t="str">
        <f ca="1">IF(AND(B54="&lt;Leave this row blank&gt;",D54&lt;&gt;""),"Error; "&amp;B54,IF(B54="&lt;Leave this row blank&gt;","",IF(AND(B54="What is the estimated liquid bulk temperature (°F)?",D54=""),"Error; In cell "&amp;CELL("address",D54)&amp;", enter The estimated liquid bulk temperature.","")))</f>
        <v/>
      </c>
      <c r="N54" s="345"/>
      <c r="O54" s="345"/>
      <c r="P54" s="345"/>
      <c r="Q54" s="345"/>
      <c r="R54" s="345"/>
      <c r="S54" s="61"/>
      <c r="T54" s="61"/>
      <c r="U54" s="61"/>
      <c r="V54" s="61"/>
      <c r="W54" s="61"/>
      <c r="X54" s="61"/>
      <c r="Y54" s="61"/>
    </row>
    <row r="55" spans="1:25" s="48" customFormat="1" ht="24" x14ac:dyDescent="0.2">
      <c r="A55" s="62" t="s">
        <v>545</v>
      </c>
      <c r="B55" s="91" t="s">
        <v>663</v>
      </c>
      <c r="C55" s="81"/>
      <c r="D55" s="84"/>
      <c r="M55" s="360" t="str">
        <f ca="1">IF(D55="", "In cell "&amp;CELL("address",D45)&amp;", answer the question to step "&amp;A55, "")</f>
        <v>In cell $D$45, answer the question to step 25.</v>
      </c>
      <c r="N55" s="360"/>
      <c r="O55" s="360"/>
      <c r="P55" s="360"/>
      <c r="Q55" s="360"/>
      <c r="R55" s="360"/>
      <c r="S55" s="61"/>
      <c r="T55" s="61"/>
      <c r="U55" s="61"/>
      <c r="V55" s="61"/>
      <c r="W55" s="61"/>
      <c r="X55" s="61"/>
      <c r="Y55" s="61"/>
    </row>
    <row r="56" spans="1:25" s="48" customFormat="1" ht="36.75" customHeight="1" x14ac:dyDescent="0.2">
      <c r="A56" s="92"/>
      <c r="B56" s="93" t="str">
        <f>IF(AND(OR('Input Variables'!F26&gt;0.03, 'Input Variables'!F27&lt;-0.03),OR(OR(D55="No",D55="Unknown"))), "What is the pressure of the vapor space at normal operating conditions, psig?", "&lt;Leave this row blank&gt;")</f>
        <v>&lt;Leave this row blank&gt;</v>
      </c>
      <c r="C56" s="81"/>
      <c r="D56" s="94"/>
      <c r="M56" s="345" t="str">
        <f ca="1">IF(AND(B56="&lt;Leave this row blank&gt;",D56&lt;&gt;""),"Error; "&amp;B56,IF(B56="&lt;Leave this row blank","",IF(AND(B56="What is the pressure of the vapor space at normal operating conditions, psig?",D56=""),"Error; In cell "&amp;CELL("address",D56)&amp;" enter the pressure of the vapor space at normal operating conditions, psig.","")))</f>
        <v/>
      </c>
      <c r="N56" s="345"/>
      <c r="O56" s="345"/>
      <c r="P56" s="345"/>
      <c r="Q56" s="345"/>
      <c r="R56" s="345"/>
      <c r="S56" s="61"/>
      <c r="T56" s="61"/>
      <c r="U56" s="61"/>
      <c r="V56" s="61"/>
      <c r="W56" s="61"/>
      <c r="X56" s="61"/>
      <c r="Y56" s="61"/>
    </row>
    <row r="57" spans="1:25" s="48" customFormat="1" ht="24.75" customHeight="1" x14ac:dyDescent="0.2">
      <c r="A57" s="95"/>
      <c r="B57" s="96"/>
      <c r="M57" s="78"/>
      <c r="N57" s="78"/>
      <c r="O57" s="78"/>
      <c r="P57" s="78"/>
      <c r="Q57" s="78"/>
      <c r="R57" s="78"/>
      <c r="S57" s="61"/>
      <c r="T57" s="61"/>
      <c r="U57" s="61"/>
      <c r="V57" s="61"/>
      <c r="W57" s="61"/>
      <c r="X57" s="61"/>
      <c r="Y57" s="61"/>
    </row>
    <row r="58" spans="1:25" ht="25.5" customHeight="1" x14ac:dyDescent="0.25">
      <c r="B58" s="11" t="s">
        <v>819</v>
      </c>
      <c r="M58" s="37"/>
      <c r="N58" s="37"/>
      <c r="O58" s="37"/>
      <c r="P58" s="37"/>
      <c r="Q58" s="37"/>
      <c r="R58" s="37"/>
      <c r="S58" s="3"/>
      <c r="T58" s="3"/>
      <c r="U58" s="3"/>
      <c r="V58" s="3"/>
      <c r="W58" s="3"/>
      <c r="X58" s="3"/>
      <c r="Y58" s="3"/>
    </row>
    <row r="59" spans="1:25" s="48" customFormat="1" ht="31.5" customHeight="1" x14ac:dyDescent="0.2">
      <c r="A59" s="54" t="s">
        <v>548</v>
      </c>
      <c r="B59" s="97" t="s">
        <v>631</v>
      </c>
      <c r="C59" s="56"/>
      <c r="D59" s="87"/>
      <c r="M59" s="345" t="str">
        <f ca="1">IF(D59="", "Error; Select an option from the dropdown list in cell "&amp;CELL("address",D59)&amp;".", "")</f>
        <v>Error; Select an option from the dropdown list in cell $D$59.</v>
      </c>
      <c r="N59" s="345"/>
      <c r="O59" s="345"/>
      <c r="P59" s="345"/>
      <c r="Q59" s="345"/>
      <c r="R59" s="345"/>
      <c r="S59" s="61"/>
      <c r="T59" s="61"/>
      <c r="U59" s="61"/>
      <c r="V59" s="61"/>
      <c r="W59" s="61"/>
      <c r="X59" s="61"/>
      <c r="Y59" s="61"/>
    </row>
    <row r="60" spans="1:25" s="48" customFormat="1" ht="24" x14ac:dyDescent="0.2">
      <c r="A60" s="92"/>
      <c r="B60" s="98" t="str">
        <f>IF(D59&lt;&gt;"None", "Enter the Liquid Weight Fraction of the selected petroleum product, lb/lb. If there are no other contents enter ''1''.", "&lt;Leave this row blank&gt;")</f>
        <v>Enter the Liquid Weight Fraction of the selected petroleum product, lb/lb. If there are no other contents enter ''1''.</v>
      </c>
      <c r="C60" s="81"/>
      <c r="D60" s="80"/>
      <c r="E60" s="70"/>
      <c r="F60" s="376" t="str">
        <f>IF(B60&lt;&gt;"&lt;Leave this row blank&gt;", "When select petroleum product dropdown list is used, HAP emissions from petroleum products must be calculated separately using Eq. 40-1 for each known HAP compound in "&amp;D59&amp;".","")</f>
        <v>When select petroleum product dropdown list is used, HAP emissions from petroleum products must be calculated separately using Eq. 40-1 for each known HAP compound in .</v>
      </c>
      <c r="G60" s="376"/>
      <c r="H60" s="376"/>
      <c r="I60" s="376"/>
      <c r="J60" s="376"/>
      <c r="K60" s="377"/>
      <c r="L60" s="89"/>
      <c r="M60" s="356" t="str">
        <f ca="1">IF(AND(D59&lt;&gt;"None",D60=""), "Error; In cell "&amp;CELL("address",D60)&amp;", "&amp;B60, IF(AND(D59="None", D60&lt;&gt;""), "Error; "&amp;B60,""))</f>
        <v>Error; In cell $D$60, Enter the Liquid Weight Fraction of the selected petroleum product, lb/lb. If there are no other contents enter ''1''.</v>
      </c>
      <c r="N60" s="356"/>
      <c r="O60" s="356"/>
      <c r="P60" s="356"/>
      <c r="Q60" s="356"/>
      <c r="R60" s="356"/>
      <c r="S60" s="61"/>
      <c r="T60" s="61"/>
      <c r="U60" s="61"/>
      <c r="V60" s="61"/>
      <c r="W60" s="61"/>
      <c r="X60" s="61"/>
      <c r="Y60" s="61"/>
    </row>
    <row r="61" spans="1:25" s="48" customFormat="1" ht="20.25" customHeight="1" x14ac:dyDescent="0.2">
      <c r="A61" s="95"/>
      <c r="D61" s="95"/>
      <c r="M61" s="99"/>
      <c r="N61" s="99"/>
      <c r="O61" s="99"/>
      <c r="P61" s="99"/>
      <c r="Q61" s="99"/>
      <c r="R61" s="99"/>
    </row>
    <row r="62" spans="1:25" ht="18.75" x14ac:dyDescent="0.25">
      <c r="B62" s="11" t="s">
        <v>820</v>
      </c>
      <c r="D62" s="5"/>
      <c r="M62" s="18"/>
      <c r="N62" s="18"/>
      <c r="O62" s="18"/>
      <c r="P62" s="18"/>
      <c r="Q62" s="18"/>
      <c r="R62" s="18"/>
    </row>
    <row r="63" spans="1:25" s="48" customFormat="1" ht="60" x14ac:dyDescent="0.2">
      <c r="A63" s="102" t="s">
        <v>561</v>
      </c>
      <c r="B63" s="100" t="str">
        <f>IF(D60&lt;&gt;1, "Fill out names and properties of remaining contents of the tank using the table below. For cell autofill, use either the chemical name drop-down list or type"&amp;" in the CAS# as instructed-otherwise manually fill in all light and dark blue cells for each component of the tank's content. Notes for inputs are below the table.", "&lt;leave these rows in the table blank&gt;")</f>
        <v>Fill out names and properties of remaining contents of the tank using the table below. For cell autofill, use either the chemical name drop-down list or type in the CAS# as instructed-otherwise manually fill in all light and dark blue cells for each component of the tank's content. Notes for inputs are below the table.</v>
      </c>
      <c r="C63" s="96"/>
      <c r="D63" s="95"/>
      <c r="M63" s="99"/>
      <c r="N63" s="99"/>
      <c r="O63" s="101"/>
      <c r="P63" s="99"/>
      <c r="Q63" s="99"/>
      <c r="R63" s="99"/>
    </row>
    <row r="64" spans="1:25" ht="26.25" customHeight="1" x14ac:dyDescent="0.25">
      <c r="A64" s="17"/>
      <c r="B64" s="15"/>
      <c r="C64" s="1"/>
      <c r="D64" s="5"/>
      <c r="M64" s="18"/>
      <c r="N64" s="18"/>
      <c r="O64" s="19"/>
      <c r="P64" s="18"/>
      <c r="Q64" s="18"/>
      <c r="R64" s="18"/>
    </row>
    <row r="65" spans="1:35" ht="20.25" customHeight="1" x14ac:dyDescent="0.25">
      <c r="A65" s="40"/>
      <c r="B65" s="346" t="s">
        <v>847</v>
      </c>
      <c r="C65" s="348" t="s">
        <v>822</v>
      </c>
      <c r="D65" s="349"/>
      <c r="E65" s="350"/>
      <c r="F65" s="369" t="s">
        <v>664</v>
      </c>
      <c r="G65" s="370"/>
      <c r="H65" s="373" t="s">
        <v>665</v>
      </c>
      <c r="I65" s="374"/>
      <c r="J65" s="375"/>
      <c r="K65" s="369" t="s">
        <v>821</v>
      </c>
      <c r="L65" s="370"/>
      <c r="M65" s="392" t="s">
        <v>823</v>
      </c>
      <c r="N65" s="392" t="s">
        <v>824</v>
      </c>
      <c r="O65" s="18"/>
      <c r="P65" s="18"/>
      <c r="Q65" s="18"/>
      <c r="R65" s="18"/>
    </row>
    <row r="66" spans="1:35" ht="60" customHeight="1" x14ac:dyDescent="0.25">
      <c r="B66" s="347"/>
      <c r="C66" s="351"/>
      <c r="D66" s="352"/>
      <c r="E66" s="353"/>
      <c r="F66" s="371"/>
      <c r="G66" s="372"/>
      <c r="H66" s="118" t="s">
        <v>562</v>
      </c>
      <c r="I66" s="118" t="s">
        <v>375</v>
      </c>
      <c r="J66" s="119" t="s">
        <v>374</v>
      </c>
      <c r="K66" s="371"/>
      <c r="L66" s="372"/>
      <c r="M66" s="393"/>
      <c r="N66" s="393"/>
    </row>
    <row r="67" spans="1:35" s="48" customFormat="1" ht="33.75" customHeight="1" x14ac:dyDescent="0.2">
      <c r="A67" s="104" t="str">
        <f>IF(B67='Chemical Properties'!$A$23, "Note 5","")</f>
        <v/>
      </c>
      <c r="B67" s="105" t="str">
        <f>IF(C67&lt;&gt;"",_xlfn.IFNA(VLOOKUP(C67,'Chemical Properties'!$B$7:$M$193,12,FALSE), ""),"")</f>
        <v/>
      </c>
      <c r="C67" s="380"/>
      <c r="D67" s="380"/>
      <c r="E67" s="380"/>
      <c r="F67" s="381" t="str">
        <f>IF(B67&lt;&gt;"", _xlfn.IFNA(VLOOKUP('Tank and Material Properties'!B67,'Chemical Properties'!$A$7:$L$193, 12, FALSE),IF(C67&lt;&gt;"",_xlfn.IFNA(VLOOKUP(C67,'Chemical Properties'!$B$7:$L$193,11,FALSE),""),"")),"")</f>
        <v/>
      </c>
      <c r="G67" s="382"/>
      <c r="H67" s="106" t="str">
        <f>IF($B67&lt;&gt;"", _xlfn.IFNA(VLOOKUP('Tank and Material Properties'!$B67,'Chemical Properties'!$A$7:$L$193, 'Chemical Properties'!$F$2, FALSE),IF($C67&lt;&gt;"",_xlfn.IFNA(VLOOKUP($C67,'Chemical Properties'!$B$7:$L$193,'Chemical Properties'!$F$1,FALSE),""),"")),"")</f>
        <v/>
      </c>
      <c r="I67" s="107" t="str">
        <f>IF($B67&lt;&gt;"", _xlfn.IFNA(VLOOKUP('Tank and Material Properties'!$B67,'Chemical Properties'!$A$7:$L$193, 'Chemical Properties'!$G$2, FALSE),IF($C67&lt;&gt;"",_xlfn.IFNA(VLOOKUP($C67,'Chemical Properties'!$B$7:$L$193,'Chemical Properties'!$G$1,FALSE),""),"")),"")</f>
        <v/>
      </c>
      <c r="J67" s="107" t="str">
        <f>IF($B67&lt;&gt;"", _xlfn.IFNA(VLOOKUP('Tank and Material Properties'!$B67,'Chemical Properties'!$A$7:$L$193, 'Chemical Properties'!$H$2, FALSE),IF($C67&lt;&gt;"",_xlfn.IFNA(VLOOKUP($C67,'Chemical Properties'!$B$7:$L$193,'Chemical Properties'!$H$1,FALSE),""),"")),"")</f>
        <v/>
      </c>
      <c r="K67" s="362"/>
      <c r="L67" s="363"/>
      <c r="M67" s="108" t="str">
        <f>IF(B67&lt;&gt;"", _xlfn.IFNA(VLOOKUP(B67,'Chemical Properties'!$A$7:$L$193, 'Chemical Properties'!$C$2, FALSE),IF(C67&lt;&gt;"",_xlfn.IFNA(VLOOKUP(C67,'Chemical Properties'!$B$7:$L$193,'Chemical Properties'!$C$1,FALSE),""),"")),"")</f>
        <v/>
      </c>
      <c r="N67" s="108" t="str">
        <f>IF(B67&lt;&gt;"", _xlfn.IFNA(VLOOKUP(B67,'Chemical Properties'!$A$7:$L$193, 'Chemical Properties'!$D$2, FALSE),IF(C67&lt;&gt;"",_xlfn.IFNA(VLOOKUP(C67,'Chemical Properties'!$B$7:$L$193,'Chemical Properties'!$D$1,FALSE),""),"")),"")</f>
        <v/>
      </c>
      <c r="O67" s="384" t="str">
        <f>IF(AND(OR(B67&lt;&gt;"",C67&lt;&gt;""),OR(F67="",H67="",I67="",J67="",K67="",M67="",N67="",C67="")), "Error; Enter all information for "&amp;B67&amp;C67&amp;" in row "&amp;ROW(B67)&amp;".",IF(AND(B67="", OR(C67&lt;&gt;"", F67&lt;&gt;"", H67&lt;&gt;"", I67&lt;&gt;"", J67&lt;&gt;"", K67&lt;&gt;"", M67&lt;&gt;"",N67&lt;&gt;"")), "Error; Enter all information for row "&amp;ROW(B67)&amp;".",""))</f>
        <v/>
      </c>
      <c r="P67" s="385"/>
      <c r="Q67" s="385"/>
      <c r="R67" s="385"/>
      <c r="S67" s="385"/>
      <c r="T67" s="109"/>
      <c r="Z67" s="48" t="str">
        <f>O67</f>
        <v/>
      </c>
      <c r="AH67" s="103" t="s">
        <v>564</v>
      </c>
      <c r="AI67" s="103" t="s">
        <v>575</v>
      </c>
    </row>
    <row r="68" spans="1:35" s="48" customFormat="1" ht="33.75" customHeight="1" x14ac:dyDescent="0.2">
      <c r="A68" s="104" t="str">
        <f>IF(B68='Chemical Properties'!$A$23, "Note 5","")</f>
        <v/>
      </c>
      <c r="B68" s="105" t="str">
        <f>IF(C68&lt;&gt;"",_xlfn.IFNA(VLOOKUP(C68,'Chemical Properties'!$B$7:$M$193,12,FALSE), ""),"")</f>
        <v/>
      </c>
      <c r="C68" s="380"/>
      <c r="D68" s="380"/>
      <c r="E68" s="380"/>
      <c r="F68" s="381" t="str">
        <f>IF(B68&lt;&gt;"", _xlfn.IFNA(VLOOKUP('Tank and Material Properties'!B68,'Chemical Properties'!$A$7:$L$193, 12, FALSE),IF(C68&lt;&gt;"",_xlfn.IFNA(VLOOKUP(C68,'Chemical Properties'!$B$7:$L$193,11,FALSE),""),"")),"")</f>
        <v/>
      </c>
      <c r="G68" s="382"/>
      <c r="H68" s="106" t="str">
        <f>IF($B68&lt;&gt;"", _xlfn.IFNA(VLOOKUP('Tank and Material Properties'!$B68,'Chemical Properties'!$A$7:$L$193, 'Chemical Properties'!$F$2, FALSE),IF($C68&lt;&gt;"",_xlfn.IFNA(VLOOKUP($C68,'Chemical Properties'!$B$7:$L$193,'Chemical Properties'!$F$1,FALSE),""),"")),"")</f>
        <v/>
      </c>
      <c r="I68" s="107" t="str">
        <f>IF($B68&lt;&gt;"", _xlfn.IFNA(VLOOKUP('Tank and Material Properties'!$B68,'Chemical Properties'!$A$7:$L$193, 'Chemical Properties'!$G$2, FALSE),IF($C68&lt;&gt;"",_xlfn.IFNA(VLOOKUP($C68,'Chemical Properties'!$B$7:$L$193,'Chemical Properties'!$G$1,FALSE),""),"")),"")</f>
        <v/>
      </c>
      <c r="J68" s="107" t="str">
        <f>IF($B68&lt;&gt;"", _xlfn.IFNA(VLOOKUP('Tank and Material Properties'!$B68,'Chemical Properties'!$A$7:$L$193, 'Chemical Properties'!$H$2, FALSE),IF($C68&lt;&gt;"",_xlfn.IFNA(VLOOKUP($C68,'Chemical Properties'!$B$7:$L$193,'Chemical Properties'!$H$1,FALSE),""),"")),"")</f>
        <v/>
      </c>
      <c r="K68" s="362"/>
      <c r="L68" s="363"/>
      <c r="M68" s="108" t="str">
        <f>IF(B68&lt;&gt;"", _xlfn.IFNA(VLOOKUP(B68,'Chemical Properties'!$A$7:$L$193, 'Chemical Properties'!$C$2, FALSE),IF(C68&lt;&gt;"",_xlfn.IFNA(VLOOKUP(C68,'Chemical Properties'!$B$7:$L$193,'Chemical Properties'!$C$1,FALSE),""),"")),"")</f>
        <v/>
      </c>
      <c r="N68" s="108" t="str">
        <f>IF(B68&lt;&gt;"", _xlfn.IFNA(VLOOKUP(B68,'Chemical Properties'!$A$7:$L$193, 'Chemical Properties'!$D$2, FALSE),IF(C68&lt;&gt;"",_xlfn.IFNA(VLOOKUP(C68,'Chemical Properties'!$B$7:$L$193,'Chemical Properties'!$D$1,FALSE),""),"")),"")</f>
        <v/>
      </c>
      <c r="O68" s="384" t="str">
        <f t="shared" ref="O68:O76" si="0">IF(AND(OR(B68&lt;&gt;"",C68&lt;&gt;""),OR(F68="",H68="",I68="",J68="",K68="",M68="",N68="",C68="")), "Error; Enter all information for "&amp;B68&amp;C68&amp;" in row "&amp;ROW(B68)&amp;".",IF(AND(B68="", OR(C68&lt;&gt;"", F68&lt;&gt;"", H68&lt;&gt;"", I68&lt;&gt;"", J68&lt;&gt;"", K68&lt;&gt;"", M68&lt;&gt;"",N68&lt;&gt;"")), "Error; Enter all information for row "&amp;ROW(B68)&amp;".",""))</f>
        <v/>
      </c>
      <c r="P68" s="385"/>
      <c r="Q68" s="385"/>
      <c r="R68" s="385"/>
      <c r="S68" s="385"/>
      <c r="T68" s="109"/>
      <c r="Z68" s="48" t="str">
        <f t="shared" ref="Z68:Z76" si="1">O68</f>
        <v/>
      </c>
      <c r="AF68" s="117"/>
      <c r="AG68" s="116" t="str">
        <f t="shared" ref="AG68:AG77" si="2">B67</f>
        <v/>
      </c>
      <c r="AH68" s="110" t="str">
        <f t="shared" ref="AH68:AH77" si="3">IF(K67&lt;&gt;0,100*K67/M67,"")</f>
        <v/>
      </c>
      <c r="AI68" s="111" t="str">
        <f t="shared" ref="AI68:AI77" si="4">IF(K67&lt;&gt;0,(AH68/$AH$78),"")</f>
        <v/>
      </c>
    </row>
    <row r="69" spans="1:35" s="48" customFormat="1" ht="33.75" customHeight="1" x14ac:dyDescent="0.2">
      <c r="A69" s="104" t="str">
        <f>IF(B69='Chemical Properties'!$A$23, "Note 5","")</f>
        <v/>
      </c>
      <c r="B69" s="105" t="str">
        <f>IF(C69&lt;&gt;"",_xlfn.IFNA(VLOOKUP(C69,'Chemical Properties'!$B$7:$M$193,12,FALSE), ""),"")</f>
        <v/>
      </c>
      <c r="C69" s="380"/>
      <c r="D69" s="380"/>
      <c r="E69" s="380"/>
      <c r="F69" s="381" t="str">
        <f>IF(B69&lt;&gt;"", _xlfn.IFNA(VLOOKUP('Tank and Material Properties'!B69,'Chemical Properties'!$A$7:$L$193, 12, FALSE),IF(C69&lt;&gt;"",_xlfn.IFNA(VLOOKUP(C69,'Chemical Properties'!$B$7:$L$193,11,FALSE),""),"")),"")</f>
        <v/>
      </c>
      <c r="G69" s="382"/>
      <c r="H69" s="106" t="str">
        <f>IF(B69&lt;&gt;"", _xlfn.IFNA(VLOOKUP('Tank and Material Properties'!B69,'Chemical Properties'!$A$7:$L$193, 'Chemical Properties'!$F$2, FALSE),IF(C69&lt;&gt;"",_xlfn.IFNA(VLOOKUP(C69,'Chemical Properties'!$B$7:$L$193,'Chemical Properties'!$F$1,FALSE),""),"")),"")</f>
        <v/>
      </c>
      <c r="I69" s="107" t="str">
        <f>IF($B69&lt;&gt;"", _xlfn.IFNA(VLOOKUP('Tank and Material Properties'!$B69,'Chemical Properties'!$A$7:$L$193, 'Chemical Properties'!$G$2, FALSE),IF($C69&lt;&gt;"",_xlfn.IFNA(VLOOKUP($C69,'Chemical Properties'!$B$7:$L$193,'Chemical Properties'!$G$1,FALSE),""),"")),"")</f>
        <v/>
      </c>
      <c r="J69" s="107" t="str">
        <f>IF($B69&lt;&gt;"", _xlfn.IFNA(VLOOKUP('Tank and Material Properties'!$B69,'Chemical Properties'!$A$7:$L$193, 'Chemical Properties'!$H$2, FALSE),IF($C69&lt;&gt;"",_xlfn.IFNA(VLOOKUP($C69,'Chemical Properties'!$B$7:$L$193,'Chemical Properties'!$H$1,FALSE),""),"")),"")</f>
        <v/>
      </c>
      <c r="K69" s="357"/>
      <c r="L69" s="358"/>
      <c r="M69" s="108" t="str">
        <f>IF(B69&lt;&gt;"", _xlfn.IFNA(VLOOKUP(B69,'Chemical Properties'!$A$7:$L$193, 'Chemical Properties'!$C$2, FALSE),IF(C69&lt;&gt;"",_xlfn.IFNA(VLOOKUP(C69,'Chemical Properties'!$B$7:$L$193,'Chemical Properties'!$C$1,FALSE),""),"")),"")</f>
        <v/>
      </c>
      <c r="N69" s="108" t="str">
        <f>IF(B69&lt;&gt;"", _xlfn.IFNA(VLOOKUP(B69,'Chemical Properties'!$A$7:$L$193, 'Chemical Properties'!$D$2, FALSE),IF(C69&lt;&gt;"",_xlfn.IFNA(VLOOKUP(C69,'Chemical Properties'!$B$7:$L$193,'Chemical Properties'!$D$1,FALSE),""),"")),"")</f>
        <v/>
      </c>
      <c r="O69" s="384" t="str">
        <f t="shared" si="0"/>
        <v/>
      </c>
      <c r="P69" s="385"/>
      <c r="Q69" s="385"/>
      <c r="R69" s="385"/>
      <c r="S69" s="385"/>
      <c r="T69" s="109"/>
      <c r="Z69" s="48" t="str">
        <f t="shared" si="1"/>
        <v/>
      </c>
      <c r="AF69" s="117"/>
      <c r="AG69" s="116" t="str">
        <f t="shared" si="2"/>
        <v/>
      </c>
      <c r="AH69" s="110" t="str">
        <f t="shared" si="3"/>
        <v/>
      </c>
      <c r="AI69" s="112" t="str">
        <f t="shared" si="4"/>
        <v/>
      </c>
    </row>
    <row r="70" spans="1:35" s="48" customFormat="1" ht="33.75" customHeight="1" x14ac:dyDescent="0.2">
      <c r="A70" s="104" t="str">
        <f>IF(B70='Chemical Properties'!$A$23, "Note 5","")</f>
        <v/>
      </c>
      <c r="B70" s="105" t="str">
        <f>IF(C70&lt;&gt;"",_xlfn.IFNA(VLOOKUP(C70,'Chemical Properties'!$B$7:$M$193,12,FALSE), ""),"")</f>
        <v/>
      </c>
      <c r="C70" s="380"/>
      <c r="D70" s="380"/>
      <c r="E70" s="380"/>
      <c r="F70" s="381" t="str">
        <f>IF(B70&lt;&gt;"", _xlfn.IFNA(VLOOKUP('Tank and Material Properties'!B70,'Chemical Properties'!$A$7:$L$193, 12, FALSE),IF(C70&lt;&gt;"",_xlfn.IFNA(VLOOKUP(C70,'Chemical Properties'!$B$7:$L$193,11,FALSE),""),"")),"")</f>
        <v/>
      </c>
      <c r="G70" s="382"/>
      <c r="H70" s="106" t="str">
        <f>IF(B70&lt;&gt;"", _xlfn.IFNA(VLOOKUP('Tank and Material Properties'!B70,'Chemical Properties'!$A$7:$L$193, 'Chemical Properties'!$F$2, FALSE),IF(C70&lt;&gt;"",_xlfn.IFNA(VLOOKUP(C70,'Chemical Properties'!$B$7:$L$193,'Chemical Properties'!$F$1,FALSE),""),"")),"")</f>
        <v/>
      </c>
      <c r="I70" s="107" t="str">
        <f>IF($B70&lt;&gt;"", _xlfn.IFNA(VLOOKUP('Tank and Material Properties'!$B70,'Chemical Properties'!$A$7:$L$193, 'Chemical Properties'!$G$2, FALSE),IF($C70&lt;&gt;"",_xlfn.IFNA(VLOOKUP($C70,'Chemical Properties'!$B$7:$L$193,'Chemical Properties'!$G$1,FALSE),""),"")),"")</f>
        <v/>
      </c>
      <c r="J70" s="107" t="str">
        <f>IF($B70&lt;&gt;"", _xlfn.IFNA(VLOOKUP('Tank and Material Properties'!$B70,'Chemical Properties'!$A$7:$L$193, 'Chemical Properties'!$H$2, FALSE),IF($C70&lt;&gt;"",_xlfn.IFNA(VLOOKUP($C70,'Chemical Properties'!$B$7:$L$193,'Chemical Properties'!$H$1,FALSE),""),"")),"")</f>
        <v/>
      </c>
      <c r="K70" s="357"/>
      <c r="L70" s="358"/>
      <c r="M70" s="108" t="str">
        <f>IF(B70&lt;&gt;"", _xlfn.IFNA(VLOOKUP(B70,'Chemical Properties'!$A$7:$L$193, 'Chemical Properties'!$C$2, FALSE),IF(C70&lt;&gt;"",_xlfn.IFNA(VLOOKUP(C70,'Chemical Properties'!$B$7:$L$193,'Chemical Properties'!$C$1,FALSE),""),"")),"")</f>
        <v/>
      </c>
      <c r="N70" s="108" t="str">
        <f>IF(B70&lt;&gt;"", _xlfn.IFNA(VLOOKUP(B70,'Chemical Properties'!$A$7:$L$193, 'Chemical Properties'!$D$2, FALSE),IF(C70&lt;&gt;"",_xlfn.IFNA(VLOOKUP(C70,'Chemical Properties'!$B$7:$L$193,'Chemical Properties'!$D$1,FALSE),""),"")),"")</f>
        <v/>
      </c>
      <c r="O70" s="384" t="str">
        <f t="shared" si="0"/>
        <v/>
      </c>
      <c r="P70" s="385"/>
      <c r="Q70" s="385"/>
      <c r="R70" s="385"/>
      <c r="S70" s="385"/>
      <c r="T70" s="109"/>
      <c r="Z70" s="48" t="str">
        <f t="shared" si="1"/>
        <v/>
      </c>
      <c r="AF70" s="117"/>
      <c r="AG70" s="116" t="str">
        <f t="shared" si="2"/>
        <v/>
      </c>
      <c r="AH70" s="110" t="str">
        <f t="shared" si="3"/>
        <v/>
      </c>
      <c r="AI70" s="111" t="str">
        <f t="shared" si="4"/>
        <v/>
      </c>
    </row>
    <row r="71" spans="1:35" s="48" customFormat="1" ht="33.75" customHeight="1" x14ac:dyDescent="0.2">
      <c r="A71" s="104" t="str">
        <f>IF(B71='Chemical Properties'!$A$23, "Note 5","")</f>
        <v/>
      </c>
      <c r="B71" s="105" t="str">
        <f>IF(C71&lt;&gt;"",_xlfn.IFNA(VLOOKUP(C71,'Chemical Properties'!$B$7:$M$193,12,FALSE), ""),"")</f>
        <v/>
      </c>
      <c r="C71" s="380"/>
      <c r="D71" s="380"/>
      <c r="E71" s="380"/>
      <c r="F71" s="381" t="str">
        <f>IF(B71&lt;&gt;"", _xlfn.IFNA(VLOOKUP('Tank and Material Properties'!B71,'Chemical Properties'!$A$7:$L$193, 12, FALSE),IF(C71&lt;&gt;"",_xlfn.IFNA(VLOOKUP(C71,'Chemical Properties'!$B$7:$L$193,11,FALSE),""),"")),"")</f>
        <v/>
      </c>
      <c r="G71" s="382"/>
      <c r="H71" s="106" t="str">
        <f>IF(B71&lt;&gt;"", _xlfn.IFNA(VLOOKUP('Tank and Material Properties'!B71,'Chemical Properties'!$A$7:$L$193, 'Chemical Properties'!$F$2, FALSE),IF(C71&lt;&gt;"",_xlfn.IFNA(VLOOKUP(C71,'Chemical Properties'!$B$7:$L$193,'Chemical Properties'!$F$1,FALSE),""),"")),"")</f>
        <v/>
      </c>
      <c r="I71" s="107" t="str">
        <f>IF($B71&lt;&gt;"", _xlfn.IFNA(VLOOKUP('Tank and Material Properties'!$B71,'Chemical Properties'!$A$7:$L$193, 'Chemical Properties'!$G$2, FALSE),IF($C71&lt;&gt;"",_xlfn.IFNA(VLOOKUP($C71,'Chemical Properties'!$B$7:$L$193,'Chemical Properties'!$G$1,FALSE),""),"")),"")</f>
        <v/>
      </c>
      <c r="J71" s="107" t="str">
        <f>IF($B71&lt;&gt;"", _xlfn.IFNA(VLOOKUP('Tank and Material Properties'!$B71,'Chemical Properties'!$A$7:$L$193, 'Chemical Properties'!$H$2, FALSE),IF($C71&lt;&gt;"",_xlfn.IFNA(VLOOKUP($C71,'Chemical Properties'!$B$7:$L$193,'Chemical Properties'!$H$1,FALSE),""),"")),"")</f>
        <v/>
      </c>
      <c r="K71" s="357"/>
      <c r="L71" s="358"/>
      <c r="M71" s="108" t="str">
        <f>IF(B71&lt;&gt;"", _xlfn.IFNA(VLOOKUP(B71,'Chemical Properties'!$A$7:$L$193, 'Chemical Properties'!$C$2, FALSE),IF(C71&lt;&gt;"",_xlfn.IFNA(VLOOKUP(C71,'Chemical Properties'!$B$7:$L$193,'Chemical Properties'!$C$1,FALSE),""),"")),"")</f>
        <v/>
      </c>
      <c r="N71" s="108" t="str">
        <f>IF(B71&lt;&gt;"", _xlfn.IFNA(VLOOKUP(B71,'Chemical Properties'!$A$7:$L$193, 'Chemical Properties'!$D$2, FALSE),IF(C71&lt;&gt;"",_xlfn.IFNA(VLOOKUP(C71,'Chemical Properties'!$B$7:$L$193,'Chemical Properties'!$D$1,FALSE),""),"")),"")</f>
        <v/>
      </c>
      <c r="O71" s="384" t="str">
        <f t="shared" si="0"/>
        <v/>
      </c>
      <c r="P71" s="385"/>
      <c r="Q71" s="385"/>
      <c r="R71" s="385"/>
      <c r="S71" s="385"/>
      <c r="T71" s="109"/>
      <c r="Z71" s="48" t="str">
        <f t="shared" si="1"/>
        <v/>
      </c>
      <c r="AF71" s="117"/>
      <c r="AG71" s="116" t="str">
        <f t="shared" si="2"/>
        <v/>
      </c>
      <c r="AH71" s="110" t="str">
        <f t="shared" si="3"/>
        <v/>
      </c>
      <c r="AI71" s="111" t="str">
        <f t="shared" si="4"/>
        <v/>
      </c>
    </row>
    <row r="72" spans="1:35" s="48" customFormat="1" ht="33.75" customHeight="1" x14ac:dyDescent="0.2">
      <c r="A72" s="104" t="str">
        <f>IF(B72='Chemical Properties'!$A$23, "Note 5","")</f>
        <v/>
      </c>
      <c r="B72" s="105" t="str">
        <f>IF(C72&lt;&gt;"",_xlfn.IFNA(VLOOKUP(C72,'Chemical Properties'!$B$7:$M$193,12,FALSE), ""),"")</f>
        <v/>
      </c>
      <c r="C72" s="380"/>
      <c r="D72" s="380"/>
      <c r="E72" s="380"/>
      <c r="F72" s="381" t="str">
        <f>IF(B72&lt;&gt;"", _xlfn.IFNA(VLOOKUP('Tank and Material Properties'!B72,'Chemical Properties'!$A$7:$L$193, 12, FALSE),IF(C72&lt;&gt;"",_xlfn.IFNA(VLOOKUP(C72,'Chemical Properties'!$B$7:$L$193,11,FALSE),""),"")),"")</f>
        <v/>
      </c>
      <c r="G72" s="382"/>
      <c r="H72" s="106" t="str">
        <f>IF(B72&lt;&gt;"", _xlfn.IFNA(VLOOKUP('Tank and Material Properties'!B72,'Chemical Properties'!$A$7:$L$193, 'Chemical Properties'!$F$2, FALSE),IF(C72&lt;&gt;"",_xlfn.IFNA(VLOOKUP(C72,'Chemical Properties'!$B$7:$L$193,'Chemical Properties'!$F$1,FALSE),""),"")),"")</f>
        <v/>
      </c>
      <c r="I72" s="107" t="str">
        <f>IF($B72&lt;&gt;"", _xlfn.IFNA(VLOOKUP('Tank and Material Properties'!$B72,'Chemical Properties'!$A$7:$L$193, 'Chemical Properties'!$G$2, FALSE),IF($C72&lt;&gt;"",_xlfn.IFNA(VLOOKUP($C72,'Chemical Properties'!$B$7:$L$193,'Chemical Properties'!$G$1,FALSE),""),"")),"")</f>
        <v/>
      </c>
      <c r="J72" s="107" t="str">
        <f>IF($B72&lt;&gt;"", _xlfn.IFNA(VLOOKUP('Tank and Material Properties'!$B72,'Chemical Properties'!$A$7:$L$193, 'Chemical Properties'!$H$2, FALSE),IF($C72&lt;&gt;"",_xlfn.IFNA(VLOOKUP($C72,'Chemical Properties'!$B$7:$L$193,'Chemical Properties'!$H$1,FALSE),""),"")),"")</f>
        <v/>
      </c>
      <c r="K72" s="357"/>
      <c r="L72" s="358"/>
      <c r="M72" s="108" t="str">
        <f>IF(B72&lt;&gt;"", _xlfn.IFNA(VLOOKUP(B72,'Chemical Properties'!$A$7:$L$193, 'Chemical Properties'!$C$2, FALSE),IF(C72&lt;&gt;"",_xlfn.IFNA(VLOOKUP(C72,'Chemical Properties'!$B$7:$L$193,'Chemical Properties'!$C$1,FALSE),""),"")),"")</f>
        <v/>
      </c>
      <c r="N72" s="108" t="str">
        <f>IF(B72&lt;&gt;"", _xlfn.IFNA(VLOOKUP(B72,'Chemical Properties'!$A$7:$L$193, 'Chemical Properties'!$D$2, FALSE),IF(C72&lt;&gt;"",_xlfn.IFNA(VLOOKUP(C72,'Chemical Properties'!$B$7:$L$193,'Chemical Properties'!$D$1,FALSE),""),"")),"")</f>
        <v/>
      </c>
      <c r="O72" s="384" t="str">
        <f t="shared" si="0"/>
        <v/>
      </c>
      <c r="P72" s="385"/>
      <c r="Q72" s="385"/>
      <c r="R72" s="385"/>
      <c r="S72" s="385"/>
      <c r="T72" s="109"/>
      <c r="Z72" s="48" t="str">
        <f t="shared" si="1"/>
        <v/>
      </c>
      <c r="AF72" s="117"/>
      <c r="AG72" s="116" t="str">
        <f t="shared" si="2"/>
        <v/>
      </c>
      <c r="AH72" s="110" t="str">
        <f t="shared" si="3"/>
        <v/>
      </c>
      <c r="AI72" s="111" t="str">
        <f t="shared" si="4"/>
        <v/>
      </c>
    </row>
    <row r="73" spans="1:35" s="48" customFormat="1" ht="33.75" customHeight="1" x14ac:dyDescent="0.2">
      <c r="A73" s="104" t="str">
        <f>IF(B73='Chemical Properties'!$A$23, "Note 5","")</f>
        <v/>
      </c>
      <c r="B73" s="105" t="str">
        <f>IF(C73&lt;&gt;"",_xlfn.IFNA(VLOOKUP(C73,'Chemical Properties'!$B$7:$M$193,12,FALSE), ""),"")</f>
        <v/>
      </c>
      <c r="C73" s="380"/>
      <c r="D73" s="380"/>
      <c r="E73" s="380"/>
      <c r="F73" s="381" t="str">
        <f>IF(B73&lt;&gt;"", _xlfn.IFNA(VLOOKUP('Tank and Material Properties'!B73,'Chemical Properties'!$A$7:$L$193, 12, FALSE),IF(C73&lt;&gt;"",_xlfn.IFNA(VLOOKUP(C73,'Chemical Properties'!$B$7:$L$193,11,FALSE),""),"")),"")</f>
        <v/>
      </c>
      <c r="G73" s="382"/>
      <c r="H73" s="106" t="str">
        <f>IF(B73&lt;&gt;"", _xlfn.IFNA(VLOOKUP('Tank and Material Properties'!B73,'Chemical Properties'!$A$7:$L$193, 'Chemical Properties'!$F$2, FALSE),IF(C73&lt;&gt;"",_xlfn.IFNA(VLOOKUP(C73,'Chemical Properties'!$B$7:$L$193,'Chemical Properties'!$F$1,FALSE),""),"")),"")</f>
        <v/>
      </c>
      <c r="I73" s="107" t="str">
        <f>IF($B73&lt;&gt;"", _xlfn.IFNA(VLOOKUP('Tank and Material Properties'!$B73,'Chemical Properties'!$A$7:$L$193, 'Chemical Properties'!$G$2, FALSE),IF($C73&lt;&gt;"",_xlfn.IFNA(VLOOKUP($C73,'Chemical Properties'!$B$7:$L$193,'Chemical Properties'!$G$1,FALSE),""),"")),"")</f>
        <v/>
      </c>
      <c r="J73" s="107" t="str">
        <f>IF($B73&lt;&gt;"", _xlfn.IFNA(VLOOKUP('Tank and Material Properties'!$B73,'Chemical Properties'!$A$7:$L$193, 'Chemical Properties'!$H$2, FALSE),IF($C73&lt;&gt;"",_xlfn.IFNA(VLOOKUP($C73,'Chemical Properties'!$B$7:$L$193,'Chemical Properties'!$H$1,FALSE),""),"")),"")</f>
        <v/>
      </c>
      <c r="K73" s="357"/>
      <c r="L73" s="358"/>
      <c r="M73" s="108" t="str">
        <f>IF(B73&lt;&gt;"", _xlfn.IFNA(VLOOKUP(B73,'Chemical Properties'!$A$7:$L$193, 'Chemical Properties'!$C$2, FALSE),IF(C73&lt;&gt;"",_xlfn.IFNA(VLOOKUP(C73,'Chemical Properties'!$B$7:$L$193,'Chemical Properties'!$C$1,FALSE),""),"")),"")</f>
        <v/>
      </c>
      <c r="N73" s="108" t="str">
        <f>IF(B73&lt;&gt;"", _xlfn.IFNA(VLOOKUP(B73,'Chemical Properties'!$A$7:$L$193, 'Chemical Properties'!$D$2, FALSE),IF(C73&lt;&gt;"",_xlfn.IFNA(VLOOKUP(C73,'Chemical Properties'!$B$7:$L$193,'Chemical Properties'!$D$1,FALSE),""),"")),"")</f>
        <v/>
      </c>
      <c r="O73" s="384" t="str">
        <f t="shared" si="0"/>
        <v/>
      </c>
      <c r="P73" s="385"/>
      <c r="Q73" s="385"/>
      <c r="R73" s="385"/>
      <c r="S73" s="385"/>
      <c r="T73" s="109"/>
      <c r="Z73" s="48" t="str">
        <f t="shared" si="1"/>
        <v/>
      </c>
      <c r="AF73" s="117"/>
      <c r="AG73" s="116" t="str">
        <f t="shared" si="2"/>
        <v/>
      </c>
      <c r="AH73" s="110" t="str">
        <f t="shared" si="3"/>
        <v/>
      </c>
      <c r="AI73" s="111" t="str">
        <f t="shared" si="4"/>
        <v/>
      </c>
    </row>
    <row r="74" spans="1:35" s="48" customFormat="1" ht="33.75" customHeight="1" x14ac:dyDescent="0.2">
      <c r="A74" s="104" t="str">
        <f>IF(B74='Chemical Properties'!$A$23, "Note 5","")</f>
        <v/>
      </c>
      <c r="B74" s="105" t="str">
        <f>IF(C74&lt;&gt;"",_xlfn.IFNA(VLOOKUP(C74,'Chemical Properties'!$B$7:$M$193,12,FALSE), ""),"")</f>
        <v/>
      </c>
      <c r="C74" s="380"/>
      <c r="D74" s="380"/>
      <c r="E74" s="380"/>
      <c r="F74" s="381" t="str">
        <f>IF(B74&lt;&gt;"", _xlfn.IFNA(VLOOKUP('Tank and Material Properties'!B74,'Chemical Properties'!$A$7:$L$193, 12, FALSE),IF(C74&lt;&gt;"",_xlfn.IFNA(VLOOKUP(C74,'Chemical Properties'!$B$7:$L$193,11,FALSE),""),"")),"")</f>
        <v/>
      </c>
      <c r="G74" s="382"/>
      <c r="H74" s="106" t="str">
        <f>IF(B74&lt;&gt;"", _xlfn.IFNA(VLOOKUP('Tank and Material Properties'!B74,'Chemical Properties'!$A$7:$L$193, 'Chemical Properties'!$F$2, FALSE),IF(C74&lt;&gt;"",_xlfn.IFNA(VLOOKUP(C74,'Chemical Properties'!$B$7:$L$193,'Chemical Properties'!$F$1,FALSE),""),"")),"")</f>
        <v/>
      </c>
      <c r="I74" s="107" t="str">
        <f>IF($B74&lt;&gt;"", _xlfn.IFNA(VLOOKUP('Tank and Material Properties'!$B74,'Chemical Properties'!$A$7:$L$193, 'Chemical Properties'!$G$2, FALSE),IF($C74&lt;&gt;"",_xlfn.IFNA(VLOOKUP($C74,'Chemical Properties'!$B$7:$L$193,'Chemical Properties'!$G$1,FALSE),""),"")),"")</f>
        <v/>
      </c>
      <c r="J74" s="107" t="str">
        <f>IF($B74&lt;&gt;"", _xlfn.IFNA(VLOOKUP('Tank and Material Properties'!$B74,'Chemical Properties'!$A$7:$L$193, 'Chemical Properties'!$H$2, FALSE),IF($C74&lt;&gt;"",_xlfn.IFNA(VLOOKUP($C74,'Chemical Properties'!$B$7:$L$193,'Chemical Properties'!$H$1,FALSE),""),"")),"")</f>
        <v/>
      </c>
      <c r="K74" s="357"/>
      <c r="L74" s="358"/>
      <c r="M74" s="108" t="str">
        <f>IF(B74&lt;&gt;"", _xlfn.IFNA(VLOOKUP(B74,'Chemical Properties'!$A$7:$L$193, 'Chemical Properties'!$C$2, FALSE),IF(C74&lt;&gt;"",_xlfn.IFNA(VLOOKUP(C74,'Chemical Properties'!$B$7:$L$193,'Chemical Properties'!$C$1,FALSE),""),"")),"")</f>
        <v/>
      </c>
      <c r="N74" s="108" t="str">
        <f>IF(B74&lt;&gt;"", _xlfn.IFNA(VLOOKUP(B74,'Chemical Properties'!$A$7:$L$193, 'Chemical Properties'!$D$2, FALSE),IF(C74&lt;&gt;"",_xlfn.IFNA(VLOOKUP(C74,'Chemical Properties'!$B$7:$L$193,'Chemical Properties'!$D$1,FALSE),""),"")),"")</f>
        <v/>
      </c>
      <c r="O74" s="384" t="str">
        <f t="shared" si="0"/>
        <v/>
      </c>
      <c r="P74" s="385"/>
      <c r="Q74" s="385"/>
      <c r="R74" s="385"/>
      <c r="S74" s="385"/>
      <c r="T74" s="109"/>
      <c r="Z74" s="48" t="str">
        <f t="shared" si="1"/>
        <v/>
      </c>
      <c r="AF74" s="117"/>
      <c r="AG74" s="116" t="str">
        <f t="shared" si="2"/>
        <v/>
      </c>
      <c r="AH74" s="110" t="str">
        <f t="shared" si="3"/>
        <v/>
      </c>
      <c r="AI74" s="111" t="str">
        <f t="shared" si="4"/>
        <v/>
      </c>
    </row>
    <row r="75" spans="1:35" s="48" customFormat="1" ht="33.75" customHeight="1" x14ac:dyDescent="0.2">
      <c r="A75" s="104" t="str">
        <f>IF(B75='Chemical Properties'!$A$23, "Note 5","")</f>
        <v/>
      </c>
      <c r="B75" s="105" t="str">
        <f>IF(C75&lt;&gt;"",_xlfn.IFNA(VLOOKUP(C75,'Chemical Properties'!$B$7:$M$193,12,FALSE), ""),"")</f>
        <v/>
      </c>
      <c r="C75" s="380"/>
      <c r="D75" s="380"/>
      <c r="E75" s="380"/>
      <c r="F75" s="381" t="str">
        <f>IF(B75&lt;&gt;"", _xlfn.IFNA(VLOOKUP('Tank and Material Properties'!B75,'Chemical Properties'!$A$7:$L$193, 12, FALSE),IF(C75&lt;&gt;"",_xlfn.IFNA(VLOOKUP(C75,'Chemical Properties'!$B$7:$L$193,11,FALSE),""),"")),"")</f>
        <v/>
      </c>
      <c r="G75" s="382"/>
      <c r="H75" s="106" t="str">
        <f>IF(B75&lt;&gt;"", _xlfn.IFNA(VLOOKUP('Tank and Material Properties'!B75,'Chemical Properties'!$A$7:$L$193, 'Chemical Properties'!$F$2, FALSE),IF(C75&lt;&gt;"",_xlfn.IFNA(VLOOKUP(C75,'Chemical Properties'!$B$7:$L$193,'Chemical Properties'!$F$1,FALSE),""),"")),"")</f>
        <v/>
      </c>
      <c r="I75" s="107" t="str">
        <f>IF($B75&lt;&gt;"", _xlfn.IFNA(VLOOKUP('Tank and Material Properties'!$B75,'Chemical Properties'!$A$7:$L$193, 'Chemical Properties'!$G$2, FALSE),IF($C75&lt;&gt;"",_xlfn.IFNA(VLOOKUP($C75,'Chemical Properties'!$B$7:$L$193,'Chemical Properties'!$G$1,FALSE),""),"")),"")</f>
        <v/>
      </c>
      <c r="J75" s="107" t="str">
        <f>IF($B75&lt;&gt;"", _xlfn.IFNA(VLOOKUP('Tank and Material Properties'!$B75,'Chemical Properties'!$A$7:$L$193, 'Chemical Properties'!$H$2, FALSE),IF($C75&lt;&gt;"",_xlfn.IFNA(VLOOKUP($C75,'Chemical Properties'!$B$7:$L$193,'Chemical Properties'!$H$1,FALSE),""),"")),"")</f>
        <v/>
      </c>
      <c r="K75" s="357"/>
      <c r="L75" s="358"/>
      <c r="M75" s="108" t="str">
        <f>IF(B75&lt;&gt;"", _xlfn.IFNA(VLOOKUP(B75,'Chemical Properties'!$A$7:$L$193, 'Chemical Properties'!$C$2, FALSE),IF(C75&lt;&gt;"",_xlfn.IFNA(VLOOKUP(C75,'Chemical Properties'!$B$7:$L$193,'Chemical Properties'!$C$1,FALSE),""),"")),"")</f>
        <v/>
      </c>
      <c r="N75" s="108" t="str">
        <f>IF(B75&lt;&gt;"", _xlfn.IFNA(VLOOKUP(B75,'Chemical Properties'!$A$7:$L$193, 'Chemical Properties'!$D$2, FALSE),IF(C75&lt;&gt;"",_xlfn.IFNA(VLOOKUP(C75,'Chemical Properties'!$B$7:$L$193,'Chemical Properties'!$D$1,FALSE),""),"")),"")</f>
        <v/>
      </c>
      <c r="O75" s="384" t="str">
        <f t="shared" si="0"/>
        <v/>
      </c>
      <c r="P75" s="385"/>
      <c r="Q75" s="385"/>
      <c r="R75" s="385"/>
      <c r="S75" s="385"/>
      <c r="T75" s="109"/>
      <c r="Z75" s="48" t="str">
        <f t="shared" si="1"/>
        <v/>
      </c>
      <c r="AF75" s="117"/>
      <c r="AG75" s="116" t="str">
        <f t="shared" si="2"/>
        <v/>
      </c>
      <c r="AH75" s="110" t="str">
        <f t="shared" si="3"/>
        <v/>
      </c>
      <c r="AI75" s="111" t="str">
        <f t="shared" si="4"/>
        <v/>
      </c>
    </row>
    <row r="76" spans="1:35" s="48" customFormat="1" ht="33.75" customHeight="1" x14ac:dyDescent="0.2">
      <c r="A76" s="104" t="str">
        <f>IF(B76='Chemical Properties'!$A$23, "Note 5","")</f>
        <v/>
      </c>
      <c r="B76" s="113" t="str">
        <f>IF(C76&lt;&gt;"",_xlfn.IFNA(VLOOKUP(C76,'Chemical Properties'!$B$7:$M$193,12,FALSE), ""),"")</f>
        <v/>
      </c>
      <c r="C76" s="380"/>
      <c r="D76" s="380"/>
      <c r="E76" s="380"/>
      <c r="F76" s="381" t="str">
        <f>IF(B76&lt;&gt;"", _xlfn.IFNA(VLOOKUP('Tank and Material Properties'!B76,'Chemical Properties'!$A$7:$L$193, 12, FALSE),IF(C76&lt;&gt;"",_xlfn.IFNA(VLOOKUP(C76,'Chemical Properties'!$B$7:$L$193,11,FALSE),""),"")),"")</f>
        <v/>
      </c>
      <c r="G76" s="382"/>
      <c r="H76" s="114" t="str">
        <f>IF(B76&lt;&gt;"", _xlfn.IFNA(VLOOKUP('Tank and Material Properties'!B76,'Chemical Properties'!$A$7:$L$193, 'Chemical Properties'!$F$2, FALSE),IF(C76&lt;&gt;"",_xlfn.IFNA(VLOOKUP(C76,'Chemical Properties'!$B$7:$L$193,'Chemical Properties'!$F$1,FALSE),""),"")),"")</f>
        <v/>
      </c>
      <c r="I76" s="115" t="str">
        <f>IF($B76&lt;&gt;"", _xlfn.IFNA(VLOOKUP('Tank and Material Properties'!$B76,'Chemical Properties'!$A$7:$L$193, 'Chemical Properties'!$G$2, FALSE),IF($C76&lt;&gt;"",_xlfn.IFNA(VLOOKUP($C76,'Chemical Properties'!$B$7:$L$193,'Chemical Properties'!$G$1,FALSE),""),"")),"")</f>
        <v/>
      </c>
      <c r="J76" s="115" t="str">
        <f>IF($B76&lt;&gt;"", _xlfn.IFNA(VLOOKUP('Tank and Material Properties'!$B76,'Chemical Properties'!$A$7:$L$193, 'Chemical Properties'!$H$2, FALSE),IF($C76&lt;&gt;"",_xlfn.IFNA(VLOOKUP($C76,'Chemical Properties'!$B$7:$L$193,'Chemical Properties'!$H$1,FALSE),""),"")),"")</f>
        <v/>
      </c>
      <c r="K76" s="357"/>
      <c r="L76" s="358"/>
      <c r="M76" s="108" t="str">
        <f>IF(B76&lt;&gt;"", _xlfn.IFNA(VLOOKUP(B76,'Chemical Properties'!$A$7:$L$193, 'Chemical Properties'!$C$2, FALSE),IF(C76&lt;&gt;"",_xlfn.IFNA(VLOOKUP(C76,'Chemical Properties'!$B$7:$L$193,'Chemical Properties'!$C$1,FALSE),""),"")),"")</f>
        <v/>
      </c>
      <c r="N76" s="108" t="str">
        <f>IF(B76&lt;&gt;"", _xlfn.IFNA(VLOOKUP(B76,'Chemical Properties'!$A$7:$L$193, 'Chemical Properties'!$D$2, FALSE),IF(C76&lt;&gt;"",_xlfn.IFNA(VLOOKUP(C76,'Chemical Properties'!$B$7:$L$193,'Chemical Properties'!$D$1,FALSE),""),"")),"")</f>
        <v/>
      </c>
      <c r="O76" s="384" t="str">
        <f t="shared" si="0"/>
        <v/>
      </c>
      <c r="P76" s="385"/>
      <c r="Q76" s="385"/>
      <c r="R76" s="385"/>
      <c r="S76" s="385"/>
      <c r="T76" s="109"/>
      <c r="Z76" s="48" t="str">
        <f t="shared" si="1"/>
        <v/>
      </c>
      <c r="AF76" s="117"/>
      <c r="AG76" s="116" t="str">
        <f t="shared" si="2"/>
        <v/>
      </c>
      <c r="AH76" s="110" t="str">
        <f t="shared" si="3"/>
        <v/>
      </c>
      <c r="AI76" s="111" t="str">
        <f t="shared" si="4"/>
        <v/>
      </c>
    </row>
    <row r="77" spans="1:35" s="48" customFormat="1" ht="32.25" customHeight="1" x14ac:dyDescent="0.2">
      <c r="A77" s="95"/>
      <c r="B77" s="123"/>
      <c r="C77" s="364"/>
      <c r="D77" s="364"/>
      <c r="E77" s="364"/>
      <c r="F77" s="364"/>
      <c r="G77" s="364"/>
      <c r="H77" s="124"/>
      <c r="I77" s="125"/>
      <c r="J77" s="125"/>
      <c r="K77" s="364"/>
      <c r="L77" s="364"/>
      <c r="M77" s="126"/>
      <c r="N77" s="126"/>
      <c r="O77" s="99" t="str">
        <f>IF(SUM(K67:L77,D60)&lt;&gt;1, "Error; the sum of all liquid weight fractions does not equal to 1","")</f>
        <v>Error; the sum of all liquid weight fractions does not equal to 1</v>
      </c>
      <c r="P77" s="109"/>
      <c r="Q77" s="109"/>
      <c r="R77" s="109"/>
      <c r="S77" s="109"/>
      <c r="T77" s="109"/>
      <c r="AF77" s="117" t="str">
        <f t="shared" ref="AF77" si="5">B76</f>
        <v/>
      </c>
      <c r="AG77" s="116" t="str">
        <f t="shared" si="2"/>
        <v/>
      </c>
      <c r="AH77" s="110" t="str">
        <f t="shared" si="3"/>
        <v/>
      </c>
      <c r="AI77" s="111" t="str">
        <f t="shared" si="4"/>
        <v/>
      </c>
    </row>
    <row r="78" spans="1:35" ht="31.5" customHeight="1" x14ac:dyDescent="0.25">
      <c r="B78" s="38"/>
      <c r="C78" s="354"/>
      <c r="D78" s="354"/>
      <c r="E78" s="354"/>
      <c r="F78" s="354"/>
      <c r="G78" s="354"/>
      <c r="H78" s="36"/>
      <c r="I78" s="36"/>
      <c r="J78" s="36"/>
      <c r="K78" s="354"/>
      <c r="L78" s="354"/>
      <c r="M78" s="36"/>
      <c r="N78" s="36"/>
      <c r="AH78" s="14">
        <f>IF(OR(D60=0,D60=""),SUM(AH68:AH77), 100*D60/'Emissions Calculation'!C23+SUM('Tank and Material Properties'!AH68:AH77))</f>
        <v>0</v>
      </c>
      <c r="AI78" s="14">
        <f>'Emissions Calculation'!C21+SUM(AI68:AI77)</f>
        <v>0</v>
      </c>
    </row>
    <row r="79" spans="1:35" x14ac:dyDescent="0.25">
      <c r="D79" s="5"/>
    </row>
    <row r="80" spans="1:35" ht="26.25" customHeight="1" x14ac:dyDescent="0.25">
      <c r="B80" s="120" t="s">
        <v>825</v>
      </c>
      <c r="C80" s="20"/>
      <c r="D80" s="5"/>
    </row>
    <row r="81" spans="2:9" x14ac:dyDescent="0.25">
      <c r="B81" s="48" t="s">
        <v>826</v>
      </c>
      <c r="C81" s="48"/>
      <c r="D81" s="48"/>
      <c r="E81" s="48"/>
      <c r="F81" s="48"/>
      <c r="G81" s="48"/>
      <c r="H81" s="48"/>
      <c r="I81" s="48"/>
    </row>
    <row r="82" spans="2:9" x14ac:dyDescent="0.25">
      <c r="B82" s="50" t="s">
        <v>621</v>
      </c>
      <c r="C82" s="48"/>
      <c r="D82" s="48"/>
      <c r="E82" s="48"/>
      <c r="F82" s="48"/>
      <c r="G82" s="48"/>
      <c r="H82" s="48"/>
      <c r="I82" s="48"/>
    </row>
    <row r="83" spans="2:9" x14ac:dyDescent="0.25">
      <c r="B83" s="61" t="s">
        <v>622</v>
      </c>
      <c r="C83" s="48"/>
      <c r="D83" s="95"/>
      <c r="E83" s="48"/>
      <c r="F83" s="48"/>
      <c r="G83" s="48"/>
      <c r="H83" s="48"/>
      <c r="I83" s="48"/>
    </row>
    <row r="84" spans="2:9" x14ac:dyDescent="0.25">
      <c r="B84" s="48"/>
      <c r="C84" s="48"/>
      <c r="D84" s="95"/>
      <c r="E84" s="48"/>
      <c r="F84" s="48"/>
      <c r="G84" s="48"/>
      <c r="H84" s="48"/>
      <c r="I84" s="48"/>
    </row>
    <row r="85" spans="2:9" x14ac:dyDescent="0.25">
      <c r="B85" s="48"/>
      <c r="C85" s="48"/>
      <c r="D85" s="95"/>
      <c r="E85" s="48"/>
      <c r="F85" s="48"/>
      <c r="G85" s="48"/>
      <c r="H85" s="48"/>
      <c r="I85" s="48"/>
    </row>
    <row r="86" spans="2:9" x14ac:dyDescent="0.25">
      <c r="B86" s="48"/>
      <c r="C86" s="48"/>
      <c r="D86" s="95"/>
      <c r="E86" s="48"/>
      <c r="F86" s="48"/>
      <c r="G86" s="48"/>
      <c r="H86" s="48"/>
      <c r="I86" s="48"/>
    </row>
    <row r="87" spans="2:9" x14ac:dyDescent="0.25">
      <c r="B87" s="121" t="s">
        <v>583</v>
      </c>
      <c r="C87" s="48"/>
      <c r="D87" s="95"/>
      <c r="E87" s="48"/>
      <c r="F87" s="48"/>
      <c r="G87" s="48"/>
      <c r="H87" s="48"/>
      <c r="I87" s="48"/>
    </row>
    <row r="88" spans="2:9" x14ac:dyDescent="0.25">
      <c r="B88" s="121" t="s">
        <v>617</v>
      </c>
      <c r="C88" s="48"/>
      <c r="D88" s="95"/>
      <c r="E88" s="48"/>
      <c r="F88" s="48"/>
      <c r="G88" s="48"/>
      <c r="H88" s="48"/>
      <c r="I88" s="48"/>
    </row>
    <row r="89" spans="2:9" x14ac:dyDescent="0.25">
      <c r="B89" s="121" t="s">
        <v>618</v>
      </c>
      <c r="C89" s="48"/>
      <c r="D89" s="95"/>
      <c r="E89" s="48"/>
      <c r="F89" s="48"/>
      <c r="G89" s="48"/>
      <c r="H89" s="48"/>
      <c r="I89" s="48"/>
    </row>
    <row r="90" spans="2:9" x14ac:dyDescent="0.25">
      <c r="B90" s="121" t="s">
        <v>584</v>
      </c>
      <c r="C90" s="48"/>
      <c r="D90" s="95"/>
      <c r="E90" s="48"/>
      <c r="F90" s="48"/>
      <c r="G90" s="48"/>
      <c r="H90" s="48"/>
      <c r="I90" s="48"/>
    </row>
    <row r="91" spans="2:9" x14ac:dyDescent="0.25">
      <c r="B91" s="121" t="s">
        <v>666</v>
      </c>
      <c r="C91" s="48"/>
      <c r="D91" s="95"/>
      <c r="E91" s="48"/>
      <c r="F91" s="48"/>
      <c r="G91" s="48"/>
      <c r="H91" s="48"/>
      <c r="I91" s="48"/>
    </row>
    <row r="92" spans="2:9" x14ac:dyDescent="0.25">
      <c r="B92" s="121" t="s">
        <v>667</v>
      </c>
      <c r="C92" s="48"/>
      <c r="D92" s="95"/>
      <c r="E92" s="48"/>
      <c r="F92" s="48"/>
      <c r="G92" s="48"/>
      <c r="H92" s="48"/>
      <c r="I92" s="48"/>
    </row>
    <row r="93" spans="2:9" x14ac:dyDescent="0.25">
      <c r="B93" s="48"/>
      <c r="C93" s="48"/>
      <c r="D93" s="95"/>
      <c r="E93" s="48"/>
      <c r="F93" s="48"/>
      <c r="G93" s="48"/>
      <c r="H93" s="48"/>
      <c r="I93" s="48"/>
    </row>
    <row r="94" spans="2:9" x14ac:dyDescent="0.25">
      <c r="B94" s="122" t="s">
        <v>585</v>
      </c>
      <c r="C94" s="48"/>
      <c r="D94" s="95"/>
      <c r="E94" s="48"/>
      <c r="F94" s="48"/>
      <c r="G94" s="48"/>
      <c r="H94" s="48"/>
      <c r="I94" s="48"/>
    </row>
    <row r="95" spans="2:9" x14ac:dyDescent="0.25">
      <c r="B95" s="122" t="s">
        <v>586</v>
      </c>
      <c r="C95" s="48"/>
      <c r="D95" s="95"/>
      <c r="E95" s="48"/>
      <c r="F95" s="48"/>
      <c r="G95" s="48"/>
      <c r="H95" s="48"/>
      <c r="I95" s="48"/>
    </row>
    <row r="96" spans="2:9" ht="45" customHeight="1" x14ac:dyDescent="0.25">
      <c r="B96" s="328" t="s">
        <v>623</v>
      </c>
      <c r="C96" s="328"/>
      <c r="D96" s="328"/>
      <c r="E96" s="48"/>
      <c r="F96" s="48"/>
      <c r="G96" s="48"/>
      <c r="H96" s="48"/>
      <c r="I96" s="48"/>
    </row>
    <row r="97" spans="2:9" x14ac:dyDescent="0.25">
      <c r="B97" s="50" t="s">
        <v>619</v>
      </c>
      <c r="C97" s="48"/>
      <c r="D97" s="48"/>
      <c r="E97" s="48"/>
      <c r="F97" s="48"/>
      <c r="G97" s="48"/>
      <c r="H97" s="48"/>
      <c r="I97" s="48"/>
    </row>
    <row r="98" spans="2:9" x14ac:dyDescent="0.25">
      <c r="B98" s="48"/>
      <c r="C98" s="48"/>
      <c r="D98" s="95"/>
      <c r="E98" s="48"/>
      <c r="F98" s="48"/>
      <c r="G98" s="48"/>
      <c r="H98" s="48"/>
      <c r="I98" s="48"/>
    </row>
    <row r="99" spans="2:9" x14ac:dyDescent="0.25">
      <c r="D99" s="5"/>
    </row>
    <row r="100" spans="2:9" x14ac:dyDescent="0.25">
      <c r="D100" s="5"/>
    </row>
    <row r="101" spans="2:9" x14ac:dyDescent="0.25">
      <c r="D101" s="5"/>
    </row>
    <row r="102" spans="2:9" x14ac:dyDescent="0.25">
      <c r="D102" s="5"/>
    </row>
    <row r="103" spans="2:9" x14ac:dyDescent="0.25">
      <c r="D103" s="5"/>
    </row>
    <row r="104" spans="2:9" x14ac:dyDescent="0.25">
      <c r="D104" s="5"/>
    </row>
    <row r="105" spans="2:9" x14ac:dyDescent="0.25">
      <c r="D105" s="5"/>
    </row>
    <row r="106" spans="2:9" x14ac:dyDescent="0.25">
      <c r="D106" s="5"/>
    </row>
    <row r="107" spans="2:9" x14ac:dyDescent="0.25">
      <c r="D107" s="5"/>
    </row>
    <row r="108" spans="2:9" x14ac:dyDescent="0.25">
      <c r="D108" s="5"/>
    </row>
    <row r="109" spans="2:9" x14ac:dyDescent="0.25">
      <c r="D109" s="5"/>
    </row>
    <row r="110" spans="2:9" x14ac:dyDescent="0.25">
      <c r="D110" s="5"/>
    </row>
    <row r="111" spans="2:9" x14ac:dyDescent="0.25">
      <c r="D111" s="5"/>
    </row>
    <row r="112" spans="2:9"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sheetData>
  <sheetProtection algorithmName="SHA-512" hashValue="lFzsOcrKVnt2e1KyM+UfSiwZCda78LigXg2//4b8nXnhkMdrpjsutJfIH8a/b0TAJL0PluTIrfp2EpsajyNpxQ==" saltValue="uGOJBRg8b5anMhOJw/5Gzg==" spinCount="100000" sheet="1" objects="1" scenarios="1"/>
  <mergeCells count="101">
    <mergeCell ref="B6:D6"/>
    <mergeCell ref="O71:S71"/>
    <mergeCell ref="O72:S72"/>
    <mergeCell ref="O73:S73"/>
    <mergeCell ref="O74:S74"/>
    <mergeCell ref="O75:S75"/>
    <mergeCell ref="O76:S76"/>
    <mergeCell ref="F42:K42"/>
    <mergeCell ref="F31:K31"/>
    <mergeCell ref="F37:K37"/>
    <mergeCell ref="F53:K53"/>
    <mergeCell ref="M42:R42"/>
    <mergeCell ref="F52:K52"/>
    <mergeCell ref="O67:S67"/>
    <mergeCell ref="O68:S68"/>
    <mergeCell ref="O69:S69"/>
    <mergeCell ref="O70:S70"/>
    <mergeCell ref="M65:M66"/>
    <mergeCell ref="N65:N66"/>
    <mergeCell ref="M44:R44"/>
    <mergeCell ref="M45:R45"/>
    <mergeCell ref="M46:R46"/>
    <mergeCell ref="F46:K46"/>
    <mergeCell ref="B14:D14"/>
    <mergeCell ref="C78:E78"/>
    <mergeCell ref="F78:G78"/>
    <mergeCell ref="C77:E77"/>
    <mergeCell ref="C71:E71"/>
    <mergeCell ref="C72:E72"/>
    <mergeCell ref="C73:E73"/>
    <mergeCell ref="F77:G77"/>
    <mergeCell ref="C75:E75"/>
    <mergeCell ref="C76:E76"/>
    <mergeCell ref="F75:G75"/>
    <mergeCell ref="F76:G76"/>
    <mergeCell ref="C74:E74"/>
    <mergeCell ref="F71:G71"/>
    <mergeCell ref="F72:G72"/>
    <mergeCell ref="F73:G73"/>
    <mergeCell ref="F74:G74"/>
    <mergeCell ref="B23:B25"/>
    <mergeCell ref="K75:L75"/>
    <mergeCell ref="K67:L67"/>
    <mergeCell ref="K68:L68"/>
    <mergeCell ref="K69:L69"/>
    <mergeCell ref="K70:L70"/>
    <mergeCell ref="K76:L76"/>
    <mergeCell ref="K77:L77"/>
    <mergeCell ref="D20:K20"/>
    <mergeCell ref="F27:K27"/>
    <mergeCell ref="F65:G66"/>
    <mergeCell ref="K65:L66"/>
    <mergeCell ref="H65:J65"/>
    <mergeCell ref="F60:K60"/>
    <mergeCell ref="F51:K51"/>
    <mergeCell ref="C67:E67"/>
    <mergeCell ref="F67:G67"/>
    <mergeCell ref="F68:G68"/>
    <mergeCell ref="F69:G69"/>
    <mergeCell ref="F70:G70"/>
    <mergeCell ref="C69:E69"/>
    <mergeCell ref="C68:E68"/>
    <mergeCell ref="C70:E70"/>
    <mergeCell ref="K71:L71"/>
    <mergeCell ref="K72:L72"/>
    <mergeCell ref="K73:L73"/>
    <mergeCell ref="K74:L74"/>
    <mergeCell ref="M41:Y41"/>
    <mergeCell ref="M59:R59"/>
    <mergeCell ref="M60:R60"/>
    <mergeCell ref="M38:Y38"/>
    <mergeCell ref="M39:W39"/>
    <mergeCell ref="M40:T40"/>
    <mergeCell ref="M52:R52"/>
    <mergeCell ref="M53:R53"/>
    <mergeCell ref="M54:R54"/>
    <mergeCell ref="M55:R55"/>
    <mergeCell ref="B96:D96"/>
    <mergeCell ref="D23:D24"/>
    <mergeCell ref="D21:D22"/>
    <mergeCell ref="E23:K24"/>
    <mergeCell ref="E21:K22"/>
    <mergeCell ref="M56:R56"/>
    <mergeCell ref="M47:R47"/>
    <mergeCell ref="M48:R48"/>
    <mergeCell ref="M49:R49"/>
    <mergeCell ref="M50:R50"/>
    <mergeCell ref="M51:R51"/>
    <mergeCell ref="M43:X43"/>
    <mergeCell ref="B65:B66"/>
    <mergeCell ref="C65:E66"/>
    <mergeCell ref="K78:L78"/>
    <mergeCell ref="M27:R27"/>
    <mergeCell ref="M28:R28"/>
    <mergeCell ref="M29:R29"/>
    <mergeCell ref="M30:R30"/>
    <mergeCell ref="M31:R31"/>
    <mergeCell ref="M32:R32"/>
    <mergeCell ref="M35:R35"/>
    <mergeCell ref="M36:R36"/>
    <mergeCell ref="M37:R37"/>
  </mergeCells>
  <conditionalFormatting sqref="AH67">
    <cfRule type="expression" dxfId="14" priority="10">
      <formula>IF($A$49=".", TRUE)</formula>
    </cfRule>
  </conditionalFormatting>
  <conditionalFormatting sqref="AH67">
    <cfRule type="expression" dxfId="13" priority="9">
      <formula>IF($A$49=".", TRUE)</formula>
    </cfRule>
  </conditionalFormatting>
  <conditionalFormatting sqref="AH68:AH77">
    <cfRule type="expression" dxfId="12" priority="8">
      <formula>IF($A$49=".", TRUE)</formula>
    </cfRule>
  </conditionalFormatting>
  <conditionalFormatting sqref="AH68:AH77">
    <cfRule type="expression" dxfId="11" priority="7">
      <formula>IF($A$49=".", TRUE)</formula>
    </cfRule>
  </conditionalFormatting>
  <conditionalFormatting sqref="AI68:AI77">
    <cfRule type="expression" dxfId="10" priority="3">
      <formula>IF($A$49=".", TRUE)</formula>
    </cfRule>
  </conditionalFormatting>
  <conditionalFormatting sqref="AI67">
    <cfRule type="expression" dxfId="9" priority="6">
      <formula>IF($A$49=".", TRUE)</formula>
    </cfRule>
  </conditionalFormatting>
  <conditionalFormatting sqref="AI67">
    <cfRule type="expression" dxfId="8" priority="5">
      <formula>IF($A$49=".", TRUE)</formula>
    </cfRule>
  </conditionalFormatting>
  <conditionalFormatting sqref="AI68:AI77">
    <cfRule type="expression" dxfId="7" priority="4">
      <formula>IF($A$49=".", TRUE)</formula>
    </cfRule>
  </conditionalFormatting>
  <conditionalFormatting sqref="B87:B92 B94:B96">
    <cfRule type="expression" dxfId="6" priority="2">
      <formula>IF($C$48=".", TRUE)</formula>
    </cfRule>
  </conditionalFormatting>
  <conditionalFormatting sqref="B87:B92 B94:B96">
    <cfRule type="expression" dxfId="5" priority="1">
      <formula>IF($C$48=".", TRUE)</formula>
    </cfRule>
  </conditionalFormatting>
  <dataValidations count="11">
    <dataValidation type="list" allowBlank="1" showInputMessage="1" showErrorMessage="1" sqref="D40 D43" xr:uid="{00000000-0002-0000-0000-000000000000}">
      <formula1>"Yes, No"</formula1>
    </dataValidation>
    <dataValidation type="list" allowBlank="1" showInputMessage="1" showErrorMessage="1" sqref="D45" xr:uid="{00000000-0002-0000-0000-000001000000}">
      <formula1>"Cone, Dome"</formula1>
    </dataValidation>
    <dataValidation type="list" allowBlank="1" showInputMessage="1" showErrorMessage="1" sqref="D55" xr:uid="{00000000-0002-0000-0000-000002000000}">
      <formula1>"Yes, No, Unknown"</formula1>
    </dataValidation>
    <dataValidation type="list" allowBlank="1" showInputMessage="1" sqref="D56" xr:uid="{00000000-0002-0000-0000-000003000000}">
      <formula1>"held at atmospheric pressure"</formula1>
    </dataValidation>
    <dataValidation type="list" showInputMessage="1" showErrorMessage="1" sqref="D53" xr:uid="{00000000-0002-0000-0000-000004000000}">
      <formula1>"1. The tank is uninsulated, 2. The tank's shell is insulated but the roof is not, 3. The tank is fully insulated and its contents maintain a constant temperature"</formula1>
    </dataValidation>
    <dataValidation type="decimal" allowBlank="1" showInputMessage="1" showErrorMessage="1" errorTitle="Outside Parameters" error="Enter valid numeral for tank diameter (ft)." sqref="D35" xr:uid="{00000000-0002-0000-0000-000005000000}">
      <formula1>0.1</formula1>
      <formula2>100</formula2>
    </dataValidation>
    <dataValidation type="decimal" allowBlank="1" showInputMessage="1" showErrorMessage="1" errorTitle="Outside Parameters" error="Input numeral for tank shell height (ft)." sqref="D36" xr:uid="{00000000-0002-0000-0000-000006000000}">
      <formula1>0.1</formula1>
      <formula2>100</formula2>
    </dataValidation>
    <dataValidation type="decimal" showInputMessage="1" showErrorMessage="1" sqref="D44" xr:uid="{00000000-0002-0000-0000-000007000000}">
      <formula1>0.1</formula1>
      <formula2>D35</formula2>
    </dataValidation>
    <dataValidation type="list" showInputMessage="1" sqref="F67:G77" xr:uid="{00000000-0002-0000-0000-000008000000}">
      <formula1>"Yes, No"</formula1>
    </dataValidation>
    <dataValidation type="list" showInputMessage="1" sqref="D42 D51:D52 D46" xr:uid="{00000000-0002-0000-0000-000009000000}">
      <formula1>"Unknown"</formula1>
    </dataValidation>
    <dataValidation type="list" allowBlank="1" showInputMessage="1" sqref="D29" xr:uid="{00000000-0002-0000-0000-00000A000000}">
      <formula1>"N/A"</formula1>
    </dataValidation>
  </dataValidations>
  <hyperlinks>
    <hyperlink ref="B97" r:id="rId1" xr:uid="{00000000-0004-0000-0000-000000000000}"/>
    <hyperlink ref="B82" r:id="rId2" xr:uid="{00000000-0004-0000-0000-000001000000}"/>
    <hyperlink ref="B12" r:id="rId3" xr:uid="{00000000-0004-0000-0000-000002000000}"/>
  </hyperlinks>
  <pageMargins left="0.25" right="0.25" top="0.75" bottom="0.75" header="0.3" footer="0.3"/>
  <pageSetup paperSize="5" scale="36" fitToWidth="0" fitToHeight="0" orientation="landscape" verticalDpi="1200" r:id="rId4"/>
  <headerFooter>
    <oddFooter>&amp;L&amp;"Arial,Italic"&amp;8aq6-15 •  5/26/23&amp;C&amp;"Arial,Italic"&amp;8•  www.pca.state.mn.us  •  Available in alternative formats  •  651-296-6300  •  800-657-3864  •  Use your preferred relay service&amp;R&amp;"Arial,Italic"&amp;8Page &amp;P of &amp;N</oddFooter>
  </headerFooter>
  <ignoredErrors>
    <ignoredError sqref="A28 A40 C40" numberStoredAsText="1"/>
  </ignoredErrors>
  <drawing r:id="rId5"/>
  <extLst>
    <ext xmlns:x14="http://schemas.microsoft.com/office/spreadsheetml/2009/9/main" uri="{CCE6A557-97BC-4b89-ADB6-D9C93CAAB3DF}">
      <x14:dataValidations xmlns:xm="http://schemas.microsoft.com/office/excel/2006/main" count="7">
        <x14:dataValidation type="list" showInputMessage="1" showErrorMessage="1" error="Choose city from dropdown list only" xr:uid="{00000000-0002-0000-0000-00000B000000}">
          <x14:formula1>
            <xm:f>'Reference Tables'!$A$38:$A$46</xm:f>
          </x14:formula1>
          <xm:sqref>D32</xm:sqref>
        </x14:dataValidation>
        <x14:dataValidation type="list" showInputMessage="1" xr:uid="{00000000-0002-0000-0000-00000C000000}">
          <x14:formula1>
            <xm:f>'Input Variables'!$L$19:$L$20</xm:f>
          </x14:formula1>
          <xm:sqref>D37:D39</xm:sqref>
        </x14:dataValidation>
        <x14:dataValidation type="list" allowBlank="1" showInputMessage="1" showErrorMessage="1" xr:uid="{00000000-0002-0000-0000-00000D000000}">
          <x14:formula1>
            <xm:f>'Reference Tables'!$A$8:$A$20</xm:f>
          </x14:formula1>
          <xm:sqref>D47 D49</xm:sqref>
        </x14:dataValidation>
        <x14:dataValidation type="list" allowBlank="1" showInputMessage="1" showErrorMessage="1" xr:uid="{00000000-0002-0000-0000-00000E000000}">
          <x14:formula1>
            <xm:f>'Input Variables'!$L$13:$L$15</xm:f>
          </x14:formula1>
          <xm:sqref>D50</xm:sqref>
        </x14:dataValidation>
        <x14:dataValidation type="list" allowBlank="1" showInputMessage="1" showErrorMessage="1" xr:uid="{00000000-0002-0000-0000-00000F000000}">
          <x14:formula1>
            <xm:f>'Input Variables'!$L$7:$L$9</xm:f>
          </x14:formula1>
          <xm:sqref>D48</xm:sqref>
        </x14:dataValidation>
        <x14:dataValidation type="list" allowBlank="1" showInputMessage="1" showErrorMessage="1" xr:uid="{00000000-0002-0000-0000-000010000000}">
          <x14:formula1>
            <xm:f>'Reference Material Properties'!$A$8:$A$16</xm:f>
          </x14:formula1>
          <xm:sqref>D59</xm:sqref>
        </x14:dataValidation>
        <x14:dataValidation type="list" allowBlank="1" showInputMessage="1" xr:uid="{00000000-0002-0000-0000-000011000000}">
          <x14:formula1>
            <xm:f>'Chemical Properties'!$A$7:$A$193</xm:f>
          </x14:formula1>
          <xm:sqref>B67:B77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Y58"/>
  <sheetViews>
    <sheetView showGridLines="0" workbookViewId="0">
      <selection activeCell="C5" sqref="C5:G5"/>
    </sheetView>
  </sheetViews>
  <sheetFormatPr defaultRowHeight="12" x14ac:dyDescent="0.2"/>
  <cols>
    <col min="1" max="1" width="9.140625" style="48"/>
    <col min="2" max="2" width="24.85546875" style="48" customWidth="1"/>
    <col min="3" max="3" width="12.85546875" style="48" customWidth="1"/>
    <col min="4" max="6" width="9.140625" style="48"/>
    <col min="7" max="7" width="83.5703125" style="48" customWidth="1"/>
    <col min="8" max="19" width="9.140625" style="48"/>
    <col min="20" max="20" width="9.140625" style="48" customWidth="1"/>
    <col min="21" max="22" width="9.140625" style="48" hidden="1" customWidth="1"/>
    <col min="23" max="23" width="26.5703125" style="48" hidden="1" customWidth="1"/>
    <col min="24" max="24" width="9.140625" style="48" hidden="1" customWidth="1"/>
    <col min="25" max="25" width="52.42578125" style="48" hidden="1" customWidth="1"/>
    <col min="26" max="26" width="9.140625" style="48" customWidth="1"/>
    <col min="27" max="16384" width="9.140625" style="48"/>
  </cols>
  <sheetData>
    <row r="2" spans="2:25" s="128" customFormat="1" ht="12.75" x14ac:dyDescent="0.2">
      <c r="B2" s="129" t="s">
        <v>827</v>
      </c>
      <c r="C2" s="128" t="str">
        <f ca="1">IF(SUM(W4:W47)=0,"There were no errors initially found.",IF(SUM(W4:W47)&gt;1, "There were "&amp;COUNT(W4:W47)&amp;" errors found. See below for error details:",  "There was "&amp;COUNT(W4:W47)&amp;" error found. See below for error details:"))</f>
        <v>There were 28 errors found. See below for error details:</v>
      </c>
      <c r="U2" s="397" t="s">
        <v>581</v>
      </c>
      <c r="V2" s="397"/>
      <c r="W2" s="397"/>
      <c r="X2" s="397"/>
      <c r="Y2" s="397"/>
    </row>
    <row r="3" spans="2:25" x14ac:dyDescent="0.2">
      <c r="U3" s="127" t="s">
        <v>587</v>
      </c>
      <c r="V3" s="127" t="s">
        <v>582</v>
      </c>
      <c r="W3" s="127" t="s">
        <v>649</v>
      </c>
      <c r="X3" s="127" t="s">
        <v>582</v>
      </c>
      <c r="Y3" s="127" t="s">
        <v>588</v>
      </c>
    </row>
    <row r="4" spans="2:25" s="129" customFormat="1" ht="12.75" x14ac:dyDescent="0.2">
      <c r="B4" s="398" t="str">
        <f ca="1">IF(SUM(W4:W46)&lt;&gt;0,"The following Tank and Material Properties tab errors were found:","")</f>
        <v>The following Tank and Material Properties tab errors were found:</v>
      </c>
      <c r="C4" s="399"/>
      <c r="D4" s="399"/>
      <c r="E4" s="399"/>
      <c r="F4" s="399"/>
      <c r="G4" s="399"/>
      <c r="U4" s="129">
        <v>1</v>
      </c>
      <c r="V4" s="129">
        <f ca="1">CELL("row",'Tank and Material Properties'!M28:R28)</f>
        <v>28</v>
      </c>
      <c r="W4" s="129">
        <f ca="1">IF('Tank and Material Properties'!M28="","",1)</f>
        <v>1</v>
      </c>
      <c r="X4" s="129">
        <f ca="1">V4</f>
        <v>28</v>
      </c>
      <c r="Y4" s="129" t="str">
        <f ca="1">IF(W4&gt;0,INDEX('Tank and Material Properties'!M28:Y63,'Error Notification'!X4-(X4-1),1),"")</f>
        <v>Error; enter ID in cell $D$28.</v>
      </c>
    </row>
    <row r="5" spans="2:25" s="129" customFormat="1" ht="33" customHeight="1" x14ac:dyDescent="0.2">
      <c r="B5" s="130" t="str">
        <f ca="1">IF(SUM(W4:W46)&lt;&gt;0,"Row Number in ''Tank and Material Properties'' Tab","")</f>
        <v>Row Number in ''Tank and Material Properties'' Tab</v>
      </c>
      <c r="C5" s="400" t="str">
        <f ca="1">IF(SUM(W4:W46)&lt;&gt;0,"Error Message","")</f>
        <v>Error Message</v>
      </c>
      <c r="D5" s="401"/>
      <c r="E5" s="401"/>
      <c r="F5" s="401"/>
      <c r="G5" s="402"/>
      <c r="U5" s="129">
        <v>2</v>
      </c>
      <c r="V5" s="129">
        <f ca="1">CELL("row",'Tank and Material Properties'!M29:R29)</f>
        <v>29</v>
      </c>
      <c r="W5" s="129">
        <f ca="1">IF('Tank and Material Properties'!M29="","",1+W4)</f>
        <v>2</v>
      </c>
      <c r="X5" s="129">
        <f t="shared" ref="X5:X31" ca="1" si="0">V5</f>
        <v>29</v>
      </c>
      <c r="Y5" s="129" t="str">
        <f ca="1">IF(W5&gt;0,INDEX('Tank and Material Properties'!M29:Y64,'Error Notification'!X5-(X5-1),1),"")</f>
        <v>Error; enter designation in cell $D$29.</v>
      </c>
    </row>
    <row r="6" spans="2:25" x14ac:dyDescent="0.2">
      <c r="B6" s="95">
        <f t="shared" ref="B6:B37" ca="1" si="1">_xlfn.IFNA(VLOOKUP(U4,$W$4:$X$47,2,FALSE),"")</f>
        <v>28</v>
      </c>
      <c r="C6" s="396" t="str">
        <f ca="1">_xlfn.IFNA(VLOOKUP(B6,X4:Y47,2,FALSE),"")</f>
        <v>Error; enter ID in cell $D$28.</v>
      </c>
      <c r="D6" s="396"/>
      <c r="E6" s="396"/>
      <c r="F6" s="396"/>
      <c r="G6" s="396"/>
      <c r="U6" s="48">
        <v>3</v>
      </c>
      <c r="V6" s="48">
        <f ca="1">CELL("row",'Tank and Material Properties'!M30:R30)</f>
        <v>30</v>
      </c>
      <c r="W6" s="48">
        <f ca="1">IF('Tank and Material Properties'!M30="","",1+COUNT($W$4:W5))</f>
        <v>3</v>
      </c>
      <c r="X6" s="48">
        <f ca="1">V6</f>
        <v>30</v>
      </c>
      <c r="Y6" s="48" t="str">
        <f ca="1">IF(W6&gt;0,INDEX('Tank and Material Properties'!M30:Y65,'Error Notification'!X6-(X6-1),1),"")</f>
        <v>Error; enter tank capacity (gallons) in cell  $D$30.</v>
      </c>
    </row>
    <row r="7" spans="2:25" ht="15" customHeight="1" x14ac:dyDescent="0.2">
      <c r="B7" s="95">
        <f t="shared" ca="1" si="1"/>
        <v>29</v>
      </c>
      <c r="C7" s="396" t="str">
        <f t="shared" ref="C7:C37" ca="1" si="2">_xlfn.IFNA(VLOOKUP(B7,X5:Y47,2,FALSE),"")</f>
        <v>Error; enter designation in cell $D$29.</v>
      </c>
      <c r="D7" s="396"/>
      <c r="E7" s="396"/>
      <c r="F7" s="396"/>
      <c r="G7" s="396"/>
      <c r="U7" s="48">
        <v>4</v>
      </c>
      <c r="V7" s="48">
        <f ca="1">CELL("row",'Tank and Material Properties'!M31:R31)</f>
        <v>31</v>
      </c>
      <c r="W7" s="48">
        <f ca="1">IF('Tank and Material Properties'!M31="","",1+COUNT($W$4:W6))</f>
        <v>4</v>
      </c>
      <c r="X7" s="48">
        <f t="shared" ca="1" si="0"/>
        <v>31</v>
      </c>
      <c r="Y7" s="48" t="str">
        <f ca="1">IF(W7&gt;0,INDEX('Tank and Material Properties'!M31:Y66,'Error Notification'!X7-(X7-1),1),"")</f>
        <v>Error; enter stored product(s) in cell  $D$31.</v>
      </c>
    </row>
    <row r="8" spans="2:25" ht="15" customHeight="1" x14ac:dyDescent="0.2">
      <c r="B8" s="95">
        <f t="shared" ca="1" si="1"/>
        <v>30</v>
      </c>
      <c r="C8" s="396" t="str">
        <f t="shared" ca="1" si="2"/>
        <v>Error; enter tank capacity (gallons) in cell  $D$30.</v>
      </c>
      <c r="D8" s="396"/>
      <c r="E8" s="396"/>
      <c r="F8" s="396"/>
      <c r="G8" s="396"/>
      <c r="U8" s="48">
        <v>5</v>
      </c>
      <c r="V8" s="48">
        <f ca="1">CELL("row",'Tank and Material Properties'!M32:R32)</f>
        <v>32</v>
      </c>
      <c r="W8" s="48">
        <f ca="1">IF('Tank and Material Properties'!M32="","",1+COUNT($W$4:W7))</f>
        <v>5</v>
      </c>
      <c r="X8" s="48">
        <f t="shared" ca="1" si="0"/>
        <v>32</v>
      </c>
      <c r="Y8" s="48" t="str">
        <f ca="1">IF(W8&gt;0,INDEX('Tank and Material Properties'!M32:Y67,'Error Notification'!X8-(X8-1),1),"")</f>
        <v>Error; in cell  $D$32, choose closest city from dropdown list only.</v>
      </c>
    </row>
    <row r="9" spans="2:25" ht="15" customHeight="1" x14ac:dyDescent="0.2">
      <c r="B9" s="95">
        <f t="shared" ca="1" si="1"/>
        <v>31</v>
      </c>
      <c r="C9" s="396" t="str">
        <f t="shared" ca="1" si="2"/>
        <v>Error; enter stored product(s) in cell  $D$31.</v>
      </c>
      <c r="D9" s="396"/>
      <c r="E9" s="396"/>
      <c r="F9" s="396"/>
      <c r="G9" s="396"/>
      <c r="U9" s="48">
        <v>6</v>
      </c>
      <c r="V9" s="48">
        <f ca="1">CELL("row",'Tank and Material Properties'!M33:R33)</f>
        <v>33</v>
      </c>
      <c r="W9" s="48" t="str">
        <f>IF('Tank and Material Properties'!M33="","",1+COUNT($W$4:W8))</f>
        <v/>
      </c>
      <c r="X9" s="48">
        <f ca="1">V9</f>
        <v>33</v>
      </c>
      <c r="Y9" s="48">
        <f ca="1">IF(W9&gt;0,INDEX('Tank and Material Properties'!M33:Y68,'Error Notification'!X9-(X9-1),1),"")</f>
        <v>0</v>
      </c>
    </row>
    <row r="10" spans="2:25" ht="15" customHeight="1" x14ac:dyDescent="0.2">
      <c r="B10" s="95">
        <f t="shared" ca="1" si="1"/>
        <v>32</v>
      </c>
      <c r="C10" s="396" t="str">
        <f t="shared" ca="1" si="2"/>
        <v>Error; in cell  $D$32, choose closest city from dropdown list only.</v>
      </c>
      <c r="D10" s="396"/>
      <c r="E10" s="396"/>
      <c r="F10" s="396"/>
      <c r="G10" s="396"/>
      <c r="U10" s="48">
        <v>7</v>
      </c>
      <c r="V10" s="48">
        <f ca="1">CELL("row",'Tank and Material Properties'!M34:R34)</f>
        <v>34</v>
      </c>
      <c r="W10" s="48" t="str">
        <f>IF('Tank and Material Properties'!M34="","",1+COUNT($W$4:W9))</f>
        <v/>
      </c>
      <c r="X10" s="48">
        <f ca="1">V10</f>
        <v>34</v>
      </c>
      <c r="Y10" s="48">
        <f ca="1">IF(W10&gt;0,INDEX('Tank and Material Properties'!M34:Y69,'Error Notification'!X10-(X10-1),1),"")</f>
        <v>0</v>
      </c>
    </row>
    <row r="11" spans="2:25" ht="15" customHeight="1" x14ac:dyDescent="0.2">
      <c r="B11" s="95">
        <f t="shared" ca="1" si="1"/>
        <v>35</v>
      </c>
      <c r="C11" s="396" t="str">
        <f t="shared" ca="1" si="2"/>
        <v>Error; enter tank diameter (ft) in cell  $D$35.</v>
      </c>
      <c r="D11" s="396"/>
      <c r="E11" s="396"/>
      <c r="F11" s="396"/>
      <c r="G11" s="396"/>
      <c r="U11" s="48">
        <v>8</v>
      </c>
      <c r="V11" s="48">
        <f ca="1">CELL("row",'Tank and Material Properties'!M35:R35)</f>
        <v>35</v>
      </c>
      <c r="W11" s="48">
        <f ca="1">IF('Tank and Material Properties'!M35="","",1+COUNT($W$4:W10))</f>
        <v>6</v>
      </c>
      <c r="X11" s="48">
        <f t="shared" ca="1" si="0"/>
        <v>35</v>
      </c>
      <c r="Y11" s="48" t="str">
        <f ca="1">IF(W11&gt;0,INDEX('Tank and Material Properties'!M35:Y70,'Error Notification'!X11-(X11-1),1),"")</f>
        <v>Error; enter tank diameter (ft) in cell  $D$35.</v>
      </c>
    </row>
    <row r="12" spans="2:25" ht="15" customHeight="1" x14ac:dyDescent="0.2">
      <c r="B12" s="95">
        <f t="shared" ca="1" si="1"/>
        <v>36</v>
      </c>
      <c r="C12" s="396" t="str">
        <f t="shared" ca="1" si="2"/>
        <v>Error; enter tank shell height (ft) in cell  $D$36.</v>
      </c>
      <c r="D12" s="396"/>
      <c r="E12" s="396"/>
      <c r="F12" s="396"/>
      <c r="G12" s="396"/>
      <c r="U12" s="48">
        <v>9</v>
      </c>
      <c r="V12" s="48">
        <f ca="1">CELL("row",'Tank and Material Properties'!M36:R36)</f>
        <v>36</v>
      </c>
      <c r="W12" s="48">
        <f ca="1">IF('Tank and Material Properties'!M36="","",1+COUNT($W$4:W11))</f>
        <v>7</v>
      </c>
      <c r="X12" s="48">
        <f ca="1">V12</f>
        <v>36</v>
      </c>
      <c r="Y12" s="48" t="str">
        <f ca="1">IF(W12&gt;0,INDEX('Tank and Material Properties'!M36:Y71,'Error Notification'!X12-(X12-1),1),"")</f>
        <v>Error; enter tank shell height (ft) in cell  $D$36.</v>
      </c>
    </row>
    <row r="13" spans="2:25" ht="15" customHeight="1" x14ac:dyDescent="0.2">
      <c r="B13" s="95">
        <f t="shared" ca="1" si="1"/>
        <v>37</v>
      </c>
      <c r="C13" s="396" t="str">
        <f t="shared" ca="1" si="2"/>
        <v>Error; In cell  $D$37, enter a valid numeral for the maintained liquid height (ft) or use dropdown to select ''Unknown''.</v>
      </c>
      <c r="D13" s="396"/>
      <c r="E13" s="396"/>
      <c r="F13" s="396"/>
      <c r="G13" s="396"/>
      <c r="U13" s="48">
        <v>10</v>
      </c>
      <c r="V13" s="48">
        <f ca="1">CELL("row",'Tank and Material Properties'!M37:R37)</f>
        <v>37</v>
      </c>
      <c r="W13" s="48">
        <f ca="1">IF('Tank and Material Properties'!M37="","",1+COUNT($W$4:W12))</f>
        <v>8</v>
      </c>
      <c r="X13" s="48">
        <f t="shared" ca="1" si="0"/>
        <v>37</v>
      </c>
      <c r="Y13" s="48" t="str">
        <f ca="1">IF(W13&gt;0,INDEX('Tank and Material Properties'!M37:Y72,'Error Notification'!X13-(X13-1),1),"")</f>
        <v>Error; In cell  $D$37, enter a valid numeral for the maintained liquid height (ft) or use dropdown to select ''Unknown''.</v>
      </c>
    </row>
    <row r="14" spans="2:25" ht="15" customHeight="1" x14ac:dyDescent="0.2">
      <c r="B14" s="95">
        <f t="shared" ca="1" si="1"/>
        <v>38</v>
      </c>
      <c r="C14" s="396" t="str">
        <f t="shared" ca="1" si="2"/>
        <v>Error; in cell  $D$38, enter a valid numeral for the minimum liquid height (ft) or use dropdown to select ''Unknown''.</v>
      </c>
      <c r="D14" s="396"/>
      <c r="E14" s="396"/>
      <c r="F14" s="396"/>
      <c r="G14" s="396"/>
      <c r="U14" s="48">
        <v>11</v>
      </c>
      <c r="V14" s="48">
        <f ca="1">CELL("row",'Tank and Material Properties'!M38:R38)</f>
        <v>38</v>
      </c>
      <c r="W14" s="48">
        <f ca="1">IF('Tank and Material Properties'!M38="","",1+COUNT($W$4:W13))</f>
        <v>9</v>
      </c>
      <c r="X14" s="48">
        <f t="shared" ca="1" si="0"/>
        <v>38</v>
      </c>
      <c r="Y14" s="48" t="str">
        <f ca="1">IF(W14&gt;0,INDEX('Tank and Material Properties'!M38:Y73,'Error Notification'!X14-(X14-1),1),"")</f>
        <v>Error; in cell  $D$38, enter a valid numeral for the minimum liquid height (ft) or use dropdown to select ''Unknown''.</v>
      </c>
    </row>
    <row r="15" spans="2:25" ht="15" customHeight="1" x14ac:dyDescent="0.2">
      <c r="B15" s="95">
        <f t="shared" ca="1" si="1"/>
        <v>39</v>
      </c>
      <c r="C15" s="396" t="str">
        <f t="shared" ca="1" si="2"/>
        <v>Error; in cell  $D$39, enter a valid numeral for the maximum liquid height (ft) or use dropdown to select ''Unknown''.</v>
      </c>
      <c r="D15" s="396"/>
      <c r="E15" s="396"/>
      <c r="F15" s="396"/>
      <c r="G15" s="396"/>
      <c r="U15" s="48">
        <v>12</v>
      </c>
      <c r="V15" s="48">
        <f ca="1">CELL("row",'Tank and Material Properties'!M39:R39)</f>
        <v>39</v>
      </c>
      <c r="W15" s="48">
        <f ca="1">IF('Tank and Material Properties'!M39="","",1+COUNT($W$4:W14))</f>
        <v>10</v>
      </c>
      <c r="X15" s="48">
        <f t="shared" ca="1" si="0"/>
        <v>39</v>
      </c>
      <c r="Y15" s="48" t="str">
        <f ca="1">IF(W15&gt;0,INDEX('Tank and Material Properties'!M39:Y74,'Error Notification'!X15-(X15-1),1),"")</f>
        <v>Error; in cell  $D$39, enter a valid numeral for the maximum liquid height (ft) or use dropdown to select ''Unknown''.</v>
      </c>
    </row>
    <row r="16" spans="2:25" ht="15" customHeight="1" x14ac:dyDescent="0.2">
      <c r="B16" s="95">
        <f t="shared" ca="1" si="1"/>
        <v>40</v>
      </c>
      <c r="C16" s="396" t="str">
        <f t="shared" ca="1" si="2"/>
        <v>Error; use dropdown to input ''Yes'' or ''No'' to indicate if there are crude oils in the tank in cell  $D$40.</v>
      </c>
      <c r="D16" s="396"/>
      <c r="E16" s="396"/>
      <c r="F16" s="396"/>
      <c r="G16" s="396"/>
      <c r="U16" s="48">
        <v>13</v>
      </c>
      <c r="V16" s="48">
        <f ca="1">CELL("row",'Tank and Material Properties'!M40:R40)</f>
        <v>40</v>
      </c>
      <c r="W16" s="48">
        <f ca="1">IF('Tank and Material Properties'!M40="","",1+COUNT($W$4:W15))</f>
        <v>11</v>
      </c>
      <c r="X16" s="48">
        <f t="shared" ca="1" si="0"/>
        <v>40</v>
      </c>
      <c r="Y16" s="48" t="str">
        <f ca="1">IF(W16&gt;0,INDEX('Tank and Material Properties'!M40:Y75,'Error Notification'!X16-(X16-1),1),"")</f>
        <v>Error; use dropdown to input ''Yes'' or ''No'' to indicate if there are crude oils in the tank in cell  $D$40.</v>
      </c>
    </row>
    <row r="17" spans="2:25" ht="15" customHeight="1" x14ac:dyDescent="0.2">
      <c r="B17" s="95">
        <f t="shared" ca="1" si="1"/>
        <v>41</v>
      </c>
      <c r="C17" s="396" t="str">
        <f t="shared" ca="1" si="2"/>
        <v>Error; enter a valid numeral for the annual net throughput in cell  $D$41.</v>
      </c>
      <c r="D17" s="396"/>
      <c r="E17" s="396"/>
      <c r="F17" s="396"/>
      <c r="G17" s="396"/>
      <c r="U17" s="48">
        <v>14</v>
      </c>
      <c r="V17" s="48">
        <f ca="1">CELL("row",'Tank and Material Properties'!M41:R41)</f>
        <v>41</v>
      </c>
      <c r="W17" s="48">
        <f ca="1">IF('Tank and Material Properties'!M41="","",1+COUNT($W$4:W16))</f>
        <v>12</v>
      </c>
      <c r="X17" s="48">
        <f t="shared" ca="1" si="0"/>
        <v>41</v>
      </c>
      <c r="Y17" s="48" t="str">
        <f ca="1">IF(W17&gt;0,INDEX('Tank and Material Properties'!M41:Y76,'Error Notification'!X17-(X17-1),1),"")</f>
        <v>Error; enter a valid numeral for the annual net throughput in cell  $D$41.</v>
      </c>
    </row>
    <row r="18" spans="2:25" x14ac:dyDescent="0.2">
      <c r="B18" s="95">
        <f t="shared" ca="1" si="1"/>
        <v>42</v>
      </c>
      <c r="C18" s="396" t="str">
        <f t="shared" ca="1" si="2"/>
        <v>Error; In cell  $D$42, enter a valid numeral for the annual sum of the increase in liquid level (ft) or use dropdown to select ''Unknown''.</v>
      </c>
      <c r="D18" s="396"/>
      <c r="E18" s="396"/>
      <c r="F18" s="396"/>
      <c r="G18" s="396"/>
      <c r="U18" s="48">
        <v>15</v>
      </c>
      <c r="V18" s="48">
        <f ca="1">CELL("row",'Tank and Material Properties'!M42:R42)</f>
        <v>42</v>
      </c>
      <c r="W18" s="48">
        <f ca="1">IF('Tank and Material Properties'!M42="","",1+COUNT($W$4:W17))</f>
        <v>13</v>
      </c>
      <c r="X18" s="48">
        <f t="shared" ca="1" si="0"/>
        <v>42</v>
      </c>
      <c r="Y18" s="48" t="str">
        <f ca="1">IF(W18&gt;0,INDEX('Tank and Material Properties'!M42:Y77,'Error Notification'!X18-(X18-1),1),"")</f>
        <v>Error; In cell  $D$42, enter a valid numeral for the annual sum of the increase in liquid level (ft) or use dropdown to select ''Unknown''.</v>
      </c>
    </row>
    <row r="19" spans="2:25" x14ac:dyDescent="0.2">
      <c r="B19" s="95">
        <f t="shared" ca="1" si="1"/>
        <v>43</v>
      </c>
      <c r="C19" s="396" t="str">
        <f t="shared" ca="1" si="2"/>
        <v>Error; use dropdown to input ''Yes'' or ''No'' to indicate if the tank is vapor balanced and/or flashing occurs, in cell  $D$43.</v>
      </c>
      <c r="D19" s="396"/>
      <c r="E19" s="396"/>
      <c r="F19" s="396"/>
      <c r="G19" s="396"/>
      <c r="U19" s="48">
        <v>16</v>
      </c>
      <c r="V19" s="48">
        <f ca="1">CELL("row",'Tank and Material Properties'!M43:R43)</f>
        <v>43</v>
      </c>
      <c r="W19" s="48">
        <f ca="1">IF('Tank and Material Properties'!M43="","",1+COUNT($W$4:W18))</f>
        <v>14</v>
      </c>
      <c r="X19" s="48">
        <f t="shared" ca="1" si="0"/>
        <v>43</v>
      </c>
      <c r="Y19" s="48" t="str">
        <f ca="1">IF(W19&gt;0,INDEX('Tank and Material Properties'!M43:Y78,'Error Notification'!X19-(X19-1),1),"")</f>
        <v>Error; use dropdown to input ''Yes'' or ''No'' to indicate if the tank is vapor balanced and/or flashing occurs, in cell  $D$43.</v>
      </c>
    </row>
    <row r="20" spans="2:25" x14ac:dyDescent="0.2">
      <c r="B20" s="95">
        <f t="shared" ca="1" si="1"/>
        <v>44</v>
      </c>
      <c r="C20" s="396" t="str">
        <f t="shared" ca="1" si="2"/>
        <v>Error; enter tank shell radius (ft) in cell  $D$44.</v>
      </c>
      <c r="D20" s="396"/>
      <c r="E20" s="396"/>
      <c r="F20" s="396"/>
      <c r="G20" s="396"/>
      <c r="U20" s="48">
        <v>17</v>
      </c>
      <c r="V20" s="48">
        <f ca="1">CELL("row",'Tank and Material Properties'!M44:R44)</f>
        <v>44</v>
      </c>
      <c r="W20" s="48">
        <f ca="1">IF('Tank and Material Properties'!M44="","",1+COUNT($W$4:W19))</f>
        <v>15</v>
      </c>
      <c r="X20" s="48">
        <f t="shared" ca="1" si="0"/>
        <v>44</v>
      </c>
      <c r="Y20" s="48" t="str">
        <f ca="1">IF(W20&gt;0,INDEX('Tank and Material Properties'!M44:Y79,'Error Notification'!X20-(X20-1),1),"")</f>
        <v>Error; enter tank shell radius (ft) in cell  $D$44.</v>
      </c>
    </row>
    <row r="21" spans="2:25" x14ac:dyDescent="0.2">
      <c r="B21" s="95">
        <f t="shared" ca="1" si="1"/>
        <v>45</v>
      </c>
      <c r="C21" s="396" t="str">
        <f t="shared" ca="1" si="2"/>
        <v>Error; Indicate tank roof type using dropdown in cell  $D$45.</v>
      </c>
      <c r="D21" s="396"/>
      <c r="E21" s="396"/>
      <c r="F21" s="396"/>
      <c r="G21" s="396"/>
      <c r="U21" s="48">
        <v>18</v>
      </c>
      <c r="V21" s="48">
        <f ca="1">CELL("row",'Tank and Material Properties'!M45:R45)</f>
        <v>45</v>
      </c>
      <c r="W21" s="48">
        <f ca="1">IF('Tank and Material Properties'!M45="","",1+COUNT($W$4:W20))</f>
        <v>16</v>
      </c>
      <c r="X21" s="48">
        <f t="shared" ca="1" si="0"/>
        <v>45</v>
      </c>
      <c r="Y21" s="48" t="str">
        <f ca="1">IF(W21&gt;0,INDEX('Tank and Material Properties'!M45:Y80,'Error Notification'!X21-(X21-1),1),"")</f>
        <v>Error; Indicate tank roof type using dropdown in cell  $D$45.</v>
      </c>
    </row>
    <row r="22" spans="2:25" x14ac:dyDescent="0.2">
      <c r="B22" s="95">
        <f t="shared" ca="1" si="1"/>
        <v>46</v>
      </c>
      <c r="C22" s="396" t="str">
        <f t="shared" ca="1" si="2"/>
        <v>Error; Enter Variable Roof Dimension-answer step 16. first, or select ''Unknown'' if applicable.</v>
      </c>
      <c r="D22" s="396"/>
      <c r="E22" s="396"/>
      <c r="F22" s="396"/>
      <c r="G22" s="396"/>
      <c r="U22" s="48">
        <v>19</v>
      </c>
      <c r="V22" s="48">
        <f ca="1">CELL("row",'Tank and Material Properties'!M46:R46)</f>
        <v>46</v>
      </c>
      <c r="W22" s="48">
        <f ca="1">IF('Tank and Material Properties'!M46="","",1+COUNT($W$4:W21))</f>
        <v>17</v>
      </c>
      <c r="X22" s="48">
        <f t="shared" ca="1" si="0"/>
        <v>46</v>
      </c>
      <c r="Y22" s="48" t="str">
        <f ca="1">IF(W22&gt;0,INDEX('Tank and Material Properties'!M46:Y81,'Error Notification'!X22-(X22-1),1),"")</f>
        <v>Error; Enter Variable Roof Dimension-answer step 16. first, or select ''Unknown'' if applicable.</v>
      </c>
    </row>
    <row r="23" spans="2:25" x14ac:dyDescent="0.2">
      <c r="B23" s="95">
        <f t="shared" ca="1" si="1"/>
        <v>47</v>
      </c>
      <c r="C23" s="396" t="str">
        <f t="shared" ca="1" si="2"/>
        <v>In cell $D$47 enter roof color</v>
      </c>
      <c r="D23" s="396"/>
      <c r="E23" s="396"/>
      <c r="F23" s="396"/>
      <c r="G23" s="396"/>
      <c r="U23" s="48">
        <v>20</v>
      </c>
      <c r="V23" s="48">
        <f ca="1">CELL("row",'Tank and Material Properties'!M47:R47)</f>
        <v>47</v>
      </c>
      <c r="W23" s="48">
        <f ca="1">IF('Tank and Material Properties'!M47="","",1+COUNT($W$4:W22))</f>
        <v>18</v>
      </c>
      <c r="X23" s="48">
        <f t="shared" ca="1" si="0"/>
        <v>47</v>
      </c>
      <c r="Y23" s="48" t="str">
        <f ca="1">IF(W23&gt;0,INDEX('Tank and Material Properties'!M47:Y83,'Error Notification'!X23-(X23-1),1),"")</f>
        <v>In cell $D$47 enter roof color</v>
      </c>
    </row>
    <row r="24" spans="2:25" x14ac:dyDescent="0.2">
      <c r="B24" s="95">
        <f t="shared" ca="1" si="1"/>
        <v>48</v>
      </c>
      <c r="C24" s="396" t="str">
        <f t="shared" ca="1" si="2"/>
        <v>In cell $D$48 enter Roof reflective condition</v>
      </c>
      <c r="D24" s="396"/>
      <c r="E24" s="396"/>
      <c r="F24" s="396"/>
      <c r="G24" s="396"/>
      <c r="U24" s="48">
        <v>21</v>
      </c>
      <c r="V24" s="48">
        <f ca="1">CELL("row",'Tank and Material Properties'!M48:R48)</f>
        <v>48</v>
      </c>
      <c r="W24" s="48">
        <f ca="1">IF('Tank and Material Properties'!M48="","",1+COUNT($W$4:W23))</f>
        <v>19</v>
      </c>
      <c r="X24" s="48">
        <f t="shared" ca="1" si="0"/>
        <v>48</v>
      </c>
      <c r="Y24" s="48" t="str">
        <f ca="1">IF(W24&gt;0,INDEX('Tank and Material Properties'!M48:Y84,'Error Notification'!X24-(X24-1),1),"")</f>
        <v>In cell $D$48 enter Roof reflective condition</v>
      </c>
    </row>
    <row r="25" spans="2:25" x14ac:dyDescent="0.2">
      <c r="B25" s="95">
        <f t="shared" ca="1" si="1"/>
        <v>49</v>
      </c>
      <c r="C25" s="396" t="str">
        <f t="shared" ca="1" si="2"/>
        <v>In cell $D$49 enter Tank shell color</v>
      </c>
      <c r="D25" s="396"/>
      <c r="E25" s="396"/>
      <c r="F25" s="396"/>
      <c r="G25" s="396"/>
      <c r="U25" s="48">
        <v>22</v>
      </c>
      <c r="V25" s="48">
        <f ca="1">CELL("row",'Tank and Material Properties'!M49:R49)</f>
        <v>49</v>
      </c>
      <c r="W25" s="48">
        <f ca="1">IF('Tank and Material Properties'!M49="","",1+COUNT($W$4:W24))</f>
        <v>20</v>
      </c>
      <c r="X25" s="48">
        <f t="shared" ca="1" si="0"/>
        <v>49</v>
      </c>
      <c r="Y25" s="48" t="str">
        <f ca="1">IF(W25&gt;0,INDEX('Tank and Material Properties'!M49:Y85,'Error Notification'!X25-(X25-1),1),"")</f>
        <v>In cell $D$49 enter Tank shell color</v>
      </c>
    </row>
    <row r="26" spans="2:25" x14ac:dyDescent="0.2">
      <c r="B26" s="95">
        <f t="shared" ca="1" si="1"/>
        <v>50</v>
      </c>
      <c r="C26" s="396" t="str">
        <f t="shared" ca="1" si="2"/>
        <v>In cell $D$50 enter Tank shell condition</v>
      </c>
      <c r="D26" s="396"/>
      <c r="E26" s="396"/>
      <c r="F26" s="396"/>
      <c r="G26" s="396"/>
      <c r="U26" s="48">
        <v>23</v>
      </c>
      <c r="V26" s="48">
        <f ca="1">CELL("row",'Tank and Material Properties'!M50:R50)</f>
        <v>50</v>
      </c>
      <c r="W26" s="48">
        <f ca="1">IF('Tank and Material Properties'!M50="","",1+COUNT($W$4:W25))</f>
        <v>21</v>
      </c>
      <c r="X26" s="48">
        <f t="shared" ca="1" si="0"/>
        <v>50</v>
      </c>
      <c r="Y26" s="48" t="str">
        <f ca="1">IF(W26&gt;0,INDEX('Tank and Material Properties'!M50:Y86,'Error Notification'!X26-(X26-1),1),"")</f>
        <v>In cell $D$50 enter Tank shell condition</v>
      </c>
    </row>
    <row r="27" spans="2:25" x14ac:dyDescent="0.2">
      <c r="B27" s="95">
        <f t="shared" ca="1" si="1"/>
        <v>51</v>
      </c>
      <c r="C27" s="396" t="str">
        <f t="shared" ca="1" si="2"/>
        <v>Error; In cell $D$51 Enter Breather vent pressure setting , psig, or select ''Unknown'' if applicable.</v>
      </c>
      <c r="D27" s="396"/>
      <c r="E27" s="396"/>
      <c r="F27" s="396"/>
      <c r="G27" s="396"/>
      <c r="U27" s="48">
        <v>24</v>
      </c>
      <c r="V27" s="48">
        <f ca="1">CELL("row",'Tank and Material Properties'!M51:R51)</f>
        <v>51</v>
      </c>
      <c r="W27" s="48">
        <f ca="1">IF('Tank and Material Properties'!M51="","",1+COUNT($W$4:W26))</f>
        <v>22</v>
      </c>
      <c r="X27" s="48">
        <f t="shared" ca="1" si="0"/>
        <v>51</v>
      </c>
      <c r="Y27" s="48" t="str">
        <f ca="1">IF(W27&gt;0,INDEX('Tank and Material Properties'!M51:Y87,'Error Notification'!X27-(X27-1),1),"")</f>
        <v>Error; In cell $D$51 Enter Breather vent pressure setting , psig, or select ''Unknown'' if applicable.</v>
      </c>
    </row>
    <row r="28" spans="2:25" x14ac:dyDescent="0.2">
      <c r="B28" s="95">
        <f t="shared" ca="1" si="1"/>
        <v>52</v>
      </c>
      <c r="C28" s="396" t="str">
        <f t="shared" ca="1" si="2"/>
        <v>Error; In cell $D$52 Enter Breather vent vacuum setting, psig, or select ''Unknown'' if applicable.</v>
      </c>
      <c r="D28" s="396"/>
      <c r="E28" s="396"/>
      <c r="F28" s="396"/>
      <c r="G28" s="396"/>
      <c r="U28" s="48">
        <v>25</v>
      </c>
      <c r="V28" s="48">
        <f ca="1">CELL("row",'Tank and Material Properties'!M52:R52)</f>
        <v>52</v>
      </c>
      <c r="W28" s="48">
        <f ca="1">IF('Tank and Material Properties'!M52="","",1+COUNT($W$4:W27))</f>
        <v>23</v>
      </c>
      <c r="X28" s="48">
        <f t="shared" ca="1" si="0"/>
        <v>52</v>
      </c>
      <c r="Y28" s="48" t="str">
        <f ca="1">IF(W28&gt;0,INDEX('Tank and Material Properties'!M52:Y88,'Error Notification'!X28-(X28-1),1),"")</f>
        <v>Error; In cell $D$52 Enter Breather vent vacuum setting, psig, or select ''Unknown'' if applicable.</v>
      </c>
    </row>
    <row r="29" spans="2:25" x14ac:dyDescent="0.2">
      <c r="B29" s="95">
        <f t="shared" ca="1" si="1"/>
        <v>53</v>
      </c>
      <c r="C29" s="396" t="str">
        <f t="shared" ca="1" si="2"/>
        <v>Choose the option that best describes the tank's insulation from the drop down list in cell $D$53.</v>
      </c>
      <c r="D29" s="396"/>
      <c r="E29" s="396"/>
      <c r="F29" s="396"/>
      <c r="G29" s="396"/>
      <c r="U29" s="48">
        <v>26</v>
      </c>
      <c r="V29" s="48">
        <f ca="1">CELL("row",'Tank and Material Properties'!M53:R53)</f>
        <v>53</v>
      </c>
      <c r="W29" s="48">
        <f ca="1">IF('Tank and Material Properties'!M53="","",1+COUNT($W$4:W28))</f>
        <v>24</v>
      </c>
      <c r="X29" s="48">
        <f t="shared" ca="1" si="0"/>
        <v>53</v>
      </c>
      <c r="Y29" s="48" t="str">
        <f ca="1">IF(W29&gt;0,INDEX('Tank and Material Properties'!M53:Y89,'Error Notification'!X29-(X29-1),1),"")</f>
        <v>Choose the option that best describes the tank's insulation from the drop down list in cell $D$53.</v>
      </c>
    </row>
    <row r="30" spans="2:25" x14ac:dyDescent="0.2">
      <c r="B30" s="95">
        <f t="shared" ca="1" si="1"/>
        <v>55</v>
      </c>
      <c r="C30" s="396" t="str">
        <f t="shared" ca="1" si="2"/>
        <v>In cell $D$45, answer the question to step 25.</v>
      </c>
      <c r="D30" s="396"/>
      <c r="E30" s="396"/>
      <c r="F30" s="396"/>
      <c r="G30" s="396"/>
      <c r="U30" s="48">
        <v>27</v>
      </c>
      <c r="V30" s="48">
        <f ca="1">CELL("row",'Tank and Material Properties'!M54:R54)</f>
        <v>54</v>
      </c>
      <c r="W30" s="48" t="str">
        <f ca="1">IF('Tank and Material Properties'!M54="","",1+COUNT($W$4:W29))</f>
        <v/>
      </c>
      <c r="X30" s="48">
        <f t="shared" ca="1" si="0"/>
        <v>54</v>
      </c>
      <c r="Y30" s="48" t="str">
        <f ca="1">IF(W30&gt;0,INDEX('Tank and Material Properties'!M54:Y90,'Error Notification'!X30-(X30-1),1),"")</f>
        <v/>
      </c>
    </row>
    <row r="31" spans="2:25" x14ac:dyDescent="0.2">
      <c r="B31" s="95">
        <f t="shared" ca="1" si="1"/>
        <v>59</v>
      </c>
      <c r="C31" s="396" t="str">
        <f t="shared" ca="1" si="2"/>
        <v>Error; Select an option from the dropdown list in cell $D$59.</v>
      </c>
      <c r="D31" s="396"/>
      <c r="E31" s="396"/>
      <c r="F31" s="396"/>
      <c r="G31" s="396"/>
      <c r="U31" s="48">
        <v>28</v>
      </c>
      <c r="V31" s="48">
        <f ca="1">CELL("row",'Tank and Material Properties'!M55:R55)</f>
        <v>55</v>
      </c>
      <c r="W31" s="48">
        <f ca="1">IF('Tank and Material Properties'!M55="","",1+COUNT($W$4:W30))</f>
        <v>25</v>
      </c>
      <c r="X31" s="48">
        <f t="shared" ca="1" si="0"/>
        <v>55</v>
      </c>
      <c r="Y31" s="48" t="str">
        <f ca="1">IF(W31&gt;0,INDEX('Tank and Material Properties'!M55:Y91,'Error Notification'!X31-(X31-1),1),"")</f>
        <v>In cell $D$45, answer the question to step 25.</v>
      </c>
    </row>
    <row r="32" spans="2:25" x14ac:dyDescent="0.2">
      <c r="B32" s="95">
        <f t="shared" ca="1" si="1"/>
        <v>60</v>
      </c>
      <c r="C32" s="396" t="str">
        <f t="shared" ca="1" si="2"/>
        <v>Error; In cell $D$60, Enter the Liquid Weight Fraction of the selected petroleum product, lb/lb. If there are no other contents enter ''1''.</v>
      </c>
      <c r="D32" s="396"/>
      <c r="E32" s="396"/>
      <c r="F32" s="396"/>
      <c r="G32" s="396"/>
      <c r="U32" s="48">
        <v>29</v>
      </c>
      <c r="V32" s="48">
        <f ca="1">CELL("row",'Tank and Material Properties'!M56:R56)</f>
        <v>56</v>
      </c>
      <c r="W32" s="48" t="str">
        <f ca="1">IF('Tank and Material Properties'!M56="","",1+COUNT($W$4:W31))</f>
        <v/>
      </c>
      <c r="X32" s="48">
        <f ca="1">V32</f>
        <v>56</v>
      </c>
      <c r="Y32" s="48" t="str">
        <f ca="1">IF(W32&gt;0,INDEX('Tank and Material Properties'!M56:Y92,'Error Notification'!X32-(X32-1),1),"")</f>
        <v/>
      </c>
    </row>
    <row r="33" spans="2:25" x14ac:dyDescent="0.2">
      <c r="B33" s="95">
        <f t="shared" ca="1" si="1"/>
        <v>77</v>
      </c>
      <c r="C33" s="396" t="str">
        <f t="shared" ca="1" si="2"/>
        <v>Error; the sum of all liquid weight fractions does not equal to 1</v>
      </c>
      <c r="D33" s="396"/>
      <c r="E33" s="396"/>
      <c r="F33" s="396"/>
      <c r="G33" s="396"/>
      <c r="U33" s="48">
        <v>30</v>
      </c>
      <c r="V33" s="48">
        <f ca="1">CELL("row",'Tank and Material Properties'!M57:R57)</f>
        <v>57</v>
      </c>
      <c r="W33" s="48" t="str">
        <f>IF('Tank and Material Properties'!M57="","",1+COUNT($W$4:W32))</f>
        <v/>
      </c>
      <c r="X33" s="48">
        <f t="shared" ref="X33" ca="1" si="3">V33</f>
        <v>57</v>
      </c>
      <c r="Y33" s="48">
        <f ca="1">IF(W33&gt;0,INDEX('Tank and Material Properties'!M57:Y93,'Error Notification'!X33-(X33-1),1),"")</f>
        <v>0</v>
      </c>
    </row>
    <row r="34" spans="2:25" x14ac:dyDescent="0.2">
      <c r="B34" s="95" t="str">
        <f t="shared" ca="1" si="1"/>
        <v/>
      </c>
      <c r="C34" s="396" t="str">
        <f t="shared" ca="1" si="2"/>
        <v/>
      </c>
      <c r="D34" s="396"/>
      <c r="E34" s="396"/>
      <c r="F34" s="396"/>
      <c r="G34" s="396"/>
      <c r="U34" s="48">
        <v>31</v>
      </c>
      <c r="V34" s="48">
        <f ca="1">CELL("row",'Tank and Material Properties'!M58:R58)</f>
        <v>58</v>
      </c>
      <c r="W34" s="48" t="str">
        <f>IF('Tank and Material Properties'!M58="","",1+COUNT($W$4:W33))</f>
        <v/>
      </c>
      <c r="X34" s="48">
        <f t="shared" ref="X34:X45" ca="1" si="4">V34</f>
        <v>58</v>
      </c>
      <c r="Y34" s="48">
        <f ca="1">IF(W34&gt;0,INDEX('Tank and Material Properties'!M58:Y94,'Error Notification'!X34-(X34-1),1),"")</f>
        <v>0</v>
      </c>
    </row>
    <row r="35" spans="2:25" x14ac:dyDescent="0.2">
      <c r="B35" s="95" t="str">
        <f t="shared" ca="1" si="1"/>
        <v/>
      </c>
      <c r="C35" s="396" t="str">
        <f t="shared" ca="1" si="2"/>
        <v/>
      </c>
      <c r="D35" s="396"/>
      <c r="E35" s="396"/>
      <c r="F35" s="396"/>
      <c r="G35" s="396"/>
      <c r="U35" s="48">
        <v>32</v>
      </c>
      <c r="V35" s="48">
        <f ca="1">CELL("row",'Tank and Material Properties'!M59:R59)</f>
        <v>59</v>
      </c>
      <c r="W35" s="48">
        <f ca="1">IF('Tank and Material Properties'!M59="","",1+COUNT($W$4:W34))</f>
        <v>26</v>
      </c>
      <c r="X35" s="48">
        <f t="shared" ca="1" si="4"/>
        <v>59</v>
      </c>
      <c r="Y35" s="48" t="str">
        <f ca="1">IF(W35&gt;0,INDEX('Tank and Material Properties'!M59:Y95,'Error Notification'!X35-(X35-1),1),"")</f>
        <v>Error; Select an option from the dropdown list in cell $D$59.</v>
      </c>
    </row>
    <row r="36" spans="2:25" x14ac:dyDescent="0.2">
      <c r="B36" s="95" t="str">
        <f t="shared" ca="1" si="1"/>
        <v/>
      </c>
      <c r="C36" s="396" t="str">
        <f t="shared" ca="1" si="2"/>
        <v/>
      </c>
      <c r="D36" s="396"/>
      <c r="E36" s="396"/>
      <c r="F36" s="396"/>
      <c r="G36" s="396"/>
      <c r="U36" s="48">
        <v>33</v>
      </c>
      <c r="V36" s="48">
        <f ca="1">CELL("row",'Tank and Material Properties'!M60:R60)</f>
        <v>60</v>
      </c>
      <c r="W36" s="48">
        <f ca="1">IF('Tank and Material Properties'!M60="","",1+COUNT($W$4:W35))</f>
        <v>27</v>
      </c>
      <c r="X36" s="48">
        <f t="shared" ca="1" si="4"/>
        <v>60</v>
      </c>
      <c r="Y36" s="48" t="str">
        <f ca="1">IF(W36&gt;0,INDEX('Tank and Material Properties'!M60:Y96,'Error Notification'!X36-(X36-1),1),"")</f>
        <v>Error; In cell $D$60, Enter the Liquid Weight Fraction of the selected petroleum product, lb/lb. If there are no other contents enter ''1''.</v>
      </c>
    </row>
    <row r="37" spans="2:25" x14ac:dyDescent="0.2">
      <c r="B37" s="95" t="str">
        <f t="shared" ca="1" si="1"/>
        <v/>
      </c>
      <c r="C37" s="396" t="str">
        <f t="shared" ca="1" si="2"/>
        <v/>
      </c>
      <c r="D37" s="396"/>
      <c r="E37" s="396"/>
      <c r="F37" s="396"/>
      <c r="G37" s="396"/>
      <c r="U37" s="48">
        <v>34</v>
      </c>
      <c r="V37" s="48">
        <f ca="1">CELL("row",'Tank and Material Properties'!O67)</f>
        <v>67</v>
      </c>
      <c r="W37" s="48" t="str">
        <f>IF('Tank and Material Properties'!O67="","",1+COUNT($W$4:W35))</f>
        <v/>
      </c>
      <c r="X37" s="48">
        <f t="shared" ca="1" si="4"/>
        <v>67</v>
      </c>
      <c r="Y37" s="48" t="str">
        <f ca="1">INDEX('Tank and Material Properties'!O67:O77,'Error Notification'!X37-(X37-1),1)</f>
        <v/>
      </c>
    </row>
    <row r="38" spans="2:25" x14ac:dyDescent="0.2">
      <c r="B38" s="95" t="str">
        <f t="shared" ref="B38:B48" ca="1" si="5">_xlfn.IFNA(VLOOKUP(U37,$W$4:$X$47,2,FALSE),"")</f>
        <v/>
      </c>
      <c r="C38" s="396" t="str">
        <f t="shared" ref="C38:C48" ca="1" si="6">_xlfn.IFNA(VLOOKUP(B38,X37:Y78,2,FALSE),"")</f>
        <v/>
      </c>
      <c r="D38" s="396"/>
      <c r="E38" s="396"/>
      <c r="F38" s="396"/>
      <c r="G38" s="396"/>
      <c r="U38" s="48">
        <v>35</v>
      </c>
      <c r="V38" s="48">
        <f ca="1">CELL("row",'Tank and Material Properties'!O68)</f>
        <v>68</v>
      </c>
      <c r="W38" s="48" t="str">
        <f>IF('Tank and Material Properties'!O68="","",1+COUNT($W$4:W37))</f>
        <v/>
      </c>
      <c r="X38" s="48">
        <f t="shared" ca="1" si="4"/>
        <v>68</v>
      </c>
      <c r="Y38" s="48" t="str">
        <f ca="1">INDEX('Tank and Material Properties'!O68:O77,'Error Notification'!X38-(X38-1),1)</f>
        <v/>
      </c>
    </row>
    <row r="39" spans="2:25" x14ac:dyDescent="0.2">
      <c r="B39" s="95" t="str">
        <f t="shared" ca="1" si="5"/>
        <v/>
      </c>
      <c r="C39" s="396" t="str">
        <f t="shared" ca="1" si="6"/>
        <v/>
      </c>
      <c r="D39" s="396"/>
      <c r="E39" s="396"/>
      <c r="F39" s="396"/>
      <c r="G39" s="396"/>
      <c r="U39" s="48">
        <v>36</v>
      </c>
      <c r="V39" s="48">
        <f ca="1">CELL("row",'Tank and Material Properties'!O69)</f>
        <v>69</v>
      </c>
      <c r="W39" s="48" t="str">
        <f>IF('Tank and Material Properties'!O69="","",1+COUNT($W$4:W38))</f>
        <v/>
      </c>
      <c r="X39" s="48">
        <f t="shared" ca="1" si="4"/>
        <v>69</v>
      </c>
      <c r="Y39" s="48" t="str">
        <f ca="1">INDEX('Tank and Material Properties'!O69:O79,'Error Notification'!X39-(X39-1),1)</f>
        <v/>
      </c>
    </row>
    <row r="40" spans="2:25" x14ac:dyDescent="0.2">
      <c r="B40" s="95" t="str">
        <f t="shared" ca="1" si="5"/>
        <v/>
      </c>
      <c r="C40" s="396" t="str">
        <f t="shared" ca="1" si="6"/>
        <v/>
      </c>
      <c r="D40" s="396"/>
      <c r="E40" s="396"/>
      <c r="F40" s="396"/>
      <c r="G40" s="396"/>
      <c r="U40" s="48">
        <v>37</v>
      </c>
      <c r="V40" s="48">
        <f ca="1">CELL("row",'Tank and Material Properties'!O70)</f>
        <v>70</v>
      </c>
      <c r="W40" s="48" t="str">
        <f>IF('Tank and Material Properties'!O70="","",1+COUNT($W$4:W39))</f>
        <v/>
      </c>
      <c r="X40" s="48">
        <f t="shared" ca="1" si="4"/>
        <v>70</v>
      </c>
      <c r="Y40" s="48" t="str">
        <f ca="1">INDEX('Tank and Material Properties'!O70:O80,'Error Notification'!X40-(X40-1),1)</f>
        <v/>
      </c>
    </row>
    <row r="41" spans="2:25" x14ac:dyDescent="0.2">
      <c r="B41" s="95" t="str">
        <f t="shared" ca="1" si="5"/>
        <v/>
      </c>
      <c r="C41" s="396" t="str">
        <f t="shared" ca="1" si="6"/>
        <v/>
      </c>
      <c r="D41" s="396"/>
      <c r="E41" s="396"/>
      <c r="F41" s="396"/>
      <c r="G41" s="396"/>
      <c r="U41" s="48">
        <v>38</v>
      </c>
      <c r="V41" s="48">
        <f ca="1">CELL("row",'Tank and Material Properties'!O71)</f>
        <v>71</v>
      </c>
      <c r="W41" s="48" t="str">
        <f>IF('Tank and Material Properties'!O71="","",1+COUNT($W$4:W40))</f>
        <v/>
      </c>
      <c r="X41" s="48">
        <f t="shared" ca="1" si="4"/>
        <v>71</v>
      </c>
      <c r="Y41" s="48" t="str">
        <f ca="1">INDEX('Tank and Material Properties'!O71:O81,'Error Notification'!X41-(X41-1),1)</f>
        <v/>
      </c>
    </row>
    <row r="42" spans="2:25" x14ac:dyDescent="0.2">
      <c r="B42" s="95" t="str">
        <f t="shared" ca="1" si="5"/>
        <v/>
      </c>
      <c r="C42" s="396" t="str">
        <f t="shared" ca="1" si="6"/>
        <v/>
      </c>
      <c r="D42" s="396"/>
      <c r="E42" s="396"/>
      <c r="F42" s="396"/>
      <c r="G42" s="396"/>
      <c r="U42" s="48">
        <v>39</v>
      </c>
      <c r="V42" s="48">
        <f ca="1">CELL("row",'Tank and Material Properties'!O72)</f>
        <v>72</v>
      </c>
      <c r="W42" s="48" t="str">
        <f>IF('Tank and Material Properties'!O72="","",1+COUNT($W$4:W41))</f>
        <v/>
      </c>
      <c r="X42" s="48">
        <f t="shared" ca="1" si="4"/>
        <v>72</v>
      </c>
      <c r="Y42" s="48" t="str">
        <f ca="1">INDEX('Tank and Material Properties'!O72:O83,'Error Notification'!X42-(X42-1),1)</f>
        <v/>
      </c>
    </row>
    <row r="43" spans="2:25" x14ac:dyDescent="0.2">
      <c r="B43" s="95" t="str">
        <f t="shared" ca="1" si="5"/>
        <v/>
      </c>
      <c r="C43" s="396" t="str">
        <f t="shared" ca="1" si="6"/>
        <v/>
      </c>
      <c r="D43" s="396"/>
      <c r="E43" s="396"/>
      <c r="F43" s="396"/>
      <c r="G43" s="396"/>
      <c r="U43" s="48">
        <v>40</v>
      </c>
      <c r="V43" s="48">
        <f ca="1">CELL("row",'Tank and Material Properties'!O73)</f>
        <v>73</v>
      </c>
      <c r="W43" s="48" t="str">
        <f>IF('Tank and Material Properties'!O73="","",1+COUNT($W$4:W42))</f>
        <v/>
      </c>
      <c r="X43" s="48">
        <f t="shared" ca="1" si="4"/>
        <v>73</v>
      </c>
      <c r="Y43" s="48" t="str">
        <f ca="1">INDEX('Tank and Material Properties'!O73:O84,'Error Notification'!X43-(X43-1),1)</f>
        <v/>
      </c>
    </row>
    <row r="44" spans="2:25" x14ac:dyDescent="0.2">
      <c r="B44" s="95" t="str">
        <f t="shared" ca="1" si="5"/>
        <v/>
      </c>
      <c r="C44" s="396" t="str">
        <f t="shared" ca="1" si="6"/>
        <v/>
      </c>
      <c r="D44" s="396"/>
      <c r="E44" s="396"/>
      <c r="F44" s="396"/>
      <c r="G44" s="396"/>
      <c r="U44" s="48">
        <v>41</v>
      </c>
      <c r="V44" s="48">
        <f ca="1">CELL("row",'Tank and Material Properties'!O74)</f>
        <v>74</v>
      </c>
      <c r="W44" s="48" t="str">
        <f>IF('Tank and Material Properties'!O74="","",1+COUNT($W$4:W43))</f>
        <v/>
      </c>
      <c r="X44" s="48">
        <f t="shared" ca="1" si="4"/>
        <v>74</v>
      </c>
      <c r="Y44" s="48" t="str">
        <f ca="1">INDEX('Tank and Material Properties'!O74:O85,'Error Notification'!X44-(X44-1),1)</f>
        <v/>
      </c>
    </row>
    <row r="45" spans="2:25" x14ac:dyDescent="0.2">
      <c r="B45" s="95" t="str">
        <f t="shared" ca="1" si="5"/>
        <v/>
      </c>
      <c r="C45" s="396" t="str">
        <f t="shared" ca="1" si="6"/>
        <v/>
      </c>
      <c r="D45" s="396"/>
      <c r="E45" s="396"/>
      <c r="F45" s="396"/>
      <c r="G45" s="396"/>
      <c r="U45" s="48">
        <v>42</v>
      </c>
      <c r="V45" s="48">
        <f ca="1">CELL("row",'Tank and Material Properties'!O75)</f>
        <v>75</v>
      </c>
      <c r="W45" s="48" t="str">
        <f>IF('Tank and Material Properties'!O75="","",1+COUNT($W$4:W44))</f>
        <v/>
      </c>
      <c r="X45" s="48">
        <f t="shared" ca="1" si="4"/>
        <v>75</v>
      </c>
      <c r="Y45" s="48" t="str">
        <f ca="1">INDEX('Tank and Material Properties'!O75:O86,'Error Notification'!X45-(X45-1),1)</f>
        <v/>
      </c>
    </row>
    <row r="46" spans="2:25" x14ac:dyDescent="0.2">
      <c r="B46" s="95" t="str">
        <f t="shared" ca="1" si="5"/>
        <v/>
      </c>
      <c r="C46" s="396" t="str">
        <f t="shared" ca="1" si="6"/>
        <v/>
      </c>
      <c r="D46" s="396"/>
      <c r="E46" s="396"/>
      <c r="F46" s="396"/>
      <c r="G46" s="396"/>
      <c r="U46" s="48">
        <v>43</v>
      </c>
      <c r="V46" s="48">
        <f ca="1">CELL("row",'Tank and Material Properties'!O76)</f>
        <v>76</v>
      </c>
      <c r="W46" s="48" t="str">
        <f>IF('Tank and Material Properties'!O76="","",1+COUNT($W$4:W45))</f>
        <v/>
      </c>
      <c r="X46" s="48">
        <f ca="1">V46</f>
        <v>76</v>
      </c>
      <c r="Y46" s="48" t="str">
        <f ca="1">INDEX('Tank and Material Properties'!O76:O87,'Error Notification'!X46-(X46-1),1)</f>
        <v/>
      </c>
    </row>
    <row r="47" spans="2:25" x14ac:dyDescent="0.2">
      <c r="B47" s="95" t="str">
        <f t="shared" ca="1" si="5"/>
        <v/>
      </c>
      <c r="C47" s="396" t="str">
        <f t="shared" ca="1" si="6"/>
        <v/>
      </c>
      <c r="D47" s="396"/>
      <c r="E47" s="396"/>
      <c r="F47" s="396"/>
      <c r="G47" s="396"/>
      <c r="U47" s="48">
        <v>44</v>
      </c>
      <c r="V47" s="48">
        <f ca="1">CELL("row",'Tank and Material Properties'!O77)</f>
        <v>77</v>
      </c>
      <c r="W47" s="48">
        <f ca="1">IF('Tank and Material Properties'!O77="","",1+COUNT($W$4:W46))</f>
        <v>28</v>
      </c>
      <c r="X47" s="48">
        <f ca="1">V47</f>
        <v>77</v>
      </c>
      <c r="Y47" s="48" t="str">
        <f ca="1">INDEX('Tank and Material Properties'!O77:O88,'Error Notification'!X47-(X47-1),1)</f>
        <v>Error; the sum of all liquid weight fractions does not equal to 1</v>
      </c>
    </row>
    <row r="48" spans="2:25" x14ac:dyDescent="0.2">
      <c r="B48" s="95" t="str">
        <f t="shared" ca="1" si="5"/>
        <v/>
      </c>
      <c r="C48" s="396" t="str">
        <f t="shared" ca="1" si="6"/>
        <v/>
      </c>
      <c r="D48" s="396"/>
      <c r="E48" s="396"/>
      <c r="F48" s="396"/>
      <c r="G48" s="396"/>
    </row>
    <row r="49" spans="2:7" x14ac:dyDescent="0.2">
      <c r="B49" s="95"/>
      <c r="C49" s="396"/>
      <c r="D49" s="396"/>
      <c r="E49" s="396"/>
      <c r="F49" s="396"/>
      <c r="G49" s="396"/>
    </row>
    <row r="50" spans="2:7" x14ac:dyDescent="0.2">
      <c r="B50" s="95" t="str">
        <f t="shared" ref="B50:B58" ca="1" si="7">_xlfn.IFNA(VLOOKUP(U48,$W$4:$X$47,2,FALSE),"")</f>
        <v/>
      </c>
      <c r="C50" s="396" t="str">
        <f t="shared" ref="C50:C56" ca="1" si="8">_xlfn.IFNA(VLOOKUP(B50,X48:Y90,2,FALSE),"")</f>
        <v/>
      </c>
      <c r="D50" s="396"/>
      <c r="E50" s="396"/>
      <c r="F50" s="396"/>
      <c r="G50" s="396"/>
    </row>
    <row r="51" spans="2:7" x14ac:dyDescent="0.2">
      <c r="B51" s="95" t="str">
        <f t="shared" ca="1" si="7"/>
        <v/>
      </c>
      <c r="C51" s="396" t="str">
        <f t="shared" ca="1" si="8"/>
        <v/>
      </c>
      <c r="D51" s="396"/>
      <c r="E51" s="396"/>
      <c r="F51" s="396"/>
      <c r="G51" s="396"/>
    </row>
    <row r="52" spans="2:7" x14ac:dyDescent="0.2">
      <c r="B52" s="95" t="str">
        <f t="shared" ca="1" si="7"/>
        <v/>
      </c>
      <c r="C52" s="396" t="str">
        <f t="shared" ca="1" si="8"/>
        <v/>
      </c>
      <c r="D52" s="396"/>
      <c r="E52" s="396"/>
      <c r="F52" s="396"/>
      <c r="G52" s="396"/>
    </row>
    <row r="53" spans="2:7" x14ac:dyDescent="0.2">
      <c r="B53" s="95" t="str">
        <f t="shared" ca="1" si="7"/>
        <v/>
      </c>
      <c r="C53" s="396" t="str">
        <f t="shared" ca="1" si="8"/>
        <v/>
      </c>
      <c r="D53" s="396"/>
      <c r="E53" s="396"/>
      <c r="F53" s="396"/>
      <c r="G53" s="396"/>
    </row>
    <row r="54" spans="2:7" x14ac:dyDescent="0.2">
      <c r="B54" s="95" t="str">
        <f t="shared" ca="1" si="7"/>
        <v/>
      </c>
      <c r="C54" s="396" t="str">
        <f t="shared" ca="1" si="8"/>
        <v/>
      </c>
      <c r="D54" s="396"/>
      <c r="E54" s="396"/>
      <c r="F54" s="396"/>
      <c r="G54" s="396"/>
    </row>
    <row r="55" spans="2:7" x14ac:dyDescent="0.2">
      <c r="B55" s="95" t="str">
        <f t="shared" ca="1" si="7"/>
        <v/>
      </c>
      <c r="C55" s="396" t="str">
        <f t="shared" ca="1" si="8"/>
        <v/>
      </c>
      <c r="D55" s="396"/>
      <c r="E55" s="396"/>
      <c r="F55" s="396"/>
      <c r="G55" s="396"/>
    </row>
    <row r="56" spans="2:7" x14ac:dyDescent="0.2">
      <c r="B56" s="95" t="str">
        <f t="shared" ca="1" si="7"/>
        <v/>
      </c>
      <c r="C56" s="396" t="str">
        <f t="shared" ca="1" si="8"/>
        <v/>
      </c>
      <c r="D56" s="396"/>
      <c r="E56" s="396"/>
      <c r="F56" s="396"/>
      <c r="G56" s="396"/>
    </row>
    <row r="57" spans="2:7" x14ac:dyDescent="0.2">
      <c r="B57" s="95" t="str">
        <f t="shared" ca="1" si="7"/>
        <v/>
      </c>
    </row>
    <row r="58" spans="2:7" x14ac:dyDescent="0.2">
      <c r="B58" s="95" t="str">
        <f t="shared" ca="1" si="7"/>
        <v/>
      </c>
    </row>
  </sheetData>
  <sheetProtection algorithmName="SHA-512" hashValue="X3pcrQ4Gg4UhV7L2XtdKK8CcxGKt4v3/2DSI/YdsplrtwQIF5qb8WSPQe7InveCXJq3TOFZEZcFR/l6vOQpLZA==" saltValue="8SP9OJj46lCHxLOzgHv2rw==" spinCount="100000" sheet="1" objects="1" scenarios="1"/>
  <mergeCells count="54">
    <mergeCell ref="C55:G55"/>
    <mergeCell ref="C56:G56"/>
    <mergeCell ref="C50:G50"/>
    <mergeCell ref="C51:G51"/>
    <mergeCell ref="C52:G52"/>
    <mergeCell ref="C53:G53"/>
    <mergeCell ref="C54:G54"/>
    <mergeCell ref="C45:G45"/>
    <mergeCell ref="C46:G46"/>
    <mergeCell ref="C47:G47"/>
    <mergeCell ref="C48:G48"/>
    <mergeCell ref="C49:G49"/>
    <mergeCell ref="C9:G9"/>
    <mergeCell ref="U2:Y2"/>
    <mergeCell ref="C42:G42"/>
    <mergeCell ref="C43:G43"/>
    <mergeCell ref="C44:G44"/>
    <mergeCell ref="B4:G4"/>
    <mergeCell ref="C5:G5"/>
    <mergeCell ref="C6:G6"/>
    <mergeCell ref="C7:G7"/>
    <mergeCell ref="C8:G8"/>
    <mergeCell ref="C21:G21"/>
    <mergeCell ref="C10:G10"/>
    <mergeCell ref="C11:G11"/>
    <mergeCell ref="C12:G12"/>
    <mergeCell ref="C13:G13"/>
    <mergeCell ref="C14:G14"/>
    <mergeCell ref="C15:G15"/>
    <mergeCell ref="C16:G16"/>
    <mergeCell ref="C17:G17"/>
    <mergeCell ref="C18:G18"/>
    <mergeCell ref="C19:G19"/>
    <mergeCell ref="C20:G20"/>
    <mergeCell ref="C33:G33"/>
    <mergeCell ref="C22:G22"/>
    <mergeCell ref="C23:G23"/>
    <mergeCell ref="C24:G24"/>
    <mergeCell ref="C25:G25"/>
    <mergeCell ref="C26:G26"/>
    <mergeCell ref="C27:G27"/>
    <mergeCell ref="C28:G28"/>
    <mergeCell ref="C29:G29"/>
    <mergeCell ref="C30:G30"/>
    <mergeCell ref="C31:G31"/>
    <mergeCell ref="C32:G32"/>
    <mergeCell ref="C40:G40"/>
    <mergeCell ref="C41:G41"/>
    <mergeCell ref="C34:G34"/>
    <mergeCell ref="C35:G35"/>
    <mergeCell ref="C36:G36"/>
    <mergeCell ref="C37:G37"/>
    <mergeCell ref="C38:G38"/>
    <mergeCell ref="C39:G39"/>
  </mergeCells>
  <conditionalFormatting sqref="B2">
    <cfRule type="expression" dxfId="4" priority="1">
      <formula>IF(SUM(W4:W47)&lt;&gt;0, TRUE)</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X77"/>
  <sheetViews>
    <sheetView showGridLines="0" topLeftCell="B1" zoomScaleNormal="100" workbookViewId="0">
      <selection activeCell="F10" sqref="F10"/>
    </sheetView>
  </sheetViews>
  <sheetFormatPr defaultRowHeight="15" x14ac:dyDescent="0.25"/>
  <cols>
    <col min="3" max="3" width="9.140625" customWidth="1"/>
    <col min="4" max="4" width="9.5703125" customWidth="1"/>
    <col min="5" max="5" width="33.140625" customWidth="1"/>
    <col min="6" max="6" width="12" customWidth="1"/>
    <col min="7" max="7" width="11.85546875" customWidth="1"/>
    <col min="8" max="8" width="11" customWidth="1"/>
    <col min="9" max="9" width="13.28515625" customWidth="1"/>
    <col min="10" max="10" width="12.140625" customWidth="1"/>
    <col min="11" max="11" width="10.42578125" customWidth="1"/>
    <col min="12" max="12" width="8.5703125" customWidth="1"/>
    <col min="13" max="13" width="10" customWidth="1"/>
    <col min="14" max="14" width="10.140625" customWidth="1"/>
    <col min="15" max="15" width="10.5703125" customWidth="1"/>
    <col min="16" max="16" width="9.85546875" customWidth="1"/>
    <col min="17" max="17" width="8.85546875" customWidth="1"/>
    <col min="18" max="18" width="11.5703125" customWidth="1"/>
    <col min="19" max="19" width="9.85546875" customWidth="1"/>
    <col min="20" max="20" width="16.7109375" customWidth="1"/>
    <col min="21" max="21" width="15.7109375" customWidth="1"/>
  </cols>
  <sheetData>
    <row r="3" spans="4:21" ht="24.75" customHeight="1" x14ac:dyDescent="0.3">
      <c r="D3" s="403" t="s">
        <v>413</v>
      </c>
      <c r="E3" s="403"/>
      <c r="F3" s="403"/>
      <c r="G3" s="403"/>
      <c r="H3" s="403"/>
      <c r="I3" s="403"/>
      <c r="J3" s="403"/>
      <c r="K3" s="403"/>
      <c r="L3" s="403"/>
      <c r="M3" s="403"/>
      <c r="N3" s="403"/>
      <c r="O3" s="403"/>
      <c r="P3" s="403"/>
      <c r="Q3" s="403"/>
      <c r="R3" s="403"/>
      <c r="S3" s="403"/>
      <c r="T3" s="324"/>
      <c r="U3" s="324"/>
    </row>
    <row r="4" spans="4:21" ht="26.25" x14ac:dyDescent="0.4">
      <c r="E4" s="32"/>
      <c r="F4" s="32"/>
      <c r="H4" s="436">
        <f>'Tank and Material Properties'!D16</f>
        <v>0</v>
      </c>
      <c r="I4" s="436"/>
      <c r="J4" s="436"/>
      <c r="K4" s="436" t="str">
        <f>"AI: "&amp;'Tank and Material Properties'!D17</f>
        <v xml:space="preserve">AI: </v>
      </c>
      <c r="L4" s="436"/>
      <c r="M4" s="436"/>
      <c r="N4" s="436"/>
      <c r="O4" s="32"/>
      <c r="P4" s="32"/>
      <c r="Q4" s="32"/>
      <c r="R4" s="32"/>
      <c r="S4" s="32"/>
    </row>
    <row r="5" spans="4:21" ht="26.25" x14ac:dyDescent="0.4">
      <c r="E5" s="32"/>
      <c r="F5" s="32"/>
      <c r="G5" s="32"/>
      <c r="H5" s="437">
        <f>'Tank and Material Properties'!D18</f>
        <v>0</v>
      </c>
      <c r="I5" s="437"/>
      <c r="J5" s="437"/>
      <c r="K5" s="436" t="str">
        <f>IF('Tank and Material Properties'!D29="N/A", 'Tank and Material Properties'!D28, 'Tank and Material Properties'!D28&amp;"/ "&amp;'Tank and Material Properties'!D29)</f>
        <v xml:space="preserve">/ </v>
      </c>
      <c r="L5" s="436"/>
      <c r="M5" s="436"/>
      <c r="N5" s="436"/>
      <c r="O5" s="32"/>
      <c r="P5" s="32"/>
      <c r="Q5" s="32"/>
      <c r="R5" s="32"/>
      <c r="S5" s="32"/>
    </row>
    <row r="6" spans="4:21" ht="26.25" x14ac:dyDescent="0.4">
      <c r="E6" s="23"/>
      <c r="F6" s="23"/>
      <c r="G6" s="23"/>
      <c r="H6" s="23"/>
      <c r="I6" s="41"/>
      <c r="J6" s="41"/>
      <c r="K6" s="41"/>
      <c r="L6" s="41"/>
      <c r="M6" s="41"/>
      <c r="N6" s="23"/>
      <c r="O6" s="23"/>
      <c r="P6" s="23"/>
      <c r="Q6" s="23"/>
      <c r="R6" s="23"/>
      <c r="S6" s="23"/>
    </row>
    <row r="7" spans="4:21" ht="18.75" x14ac:dyDescent="0.3">
      <c r="E7" s="403" t="str">
        <f>IF('Tank and Material Properties'!D28="","Monthly and Yearly Emissions","Monthly and Yearly Emissions for "&amp;'Tank and Material Properties'!D28)</f>
        <v>Monthly and Yearly Emissions</v>
      </c>
      <c r="F7" s="403"/>
      <c r="G7" s="403"/>
      <c r="H7" s="403"/>
      <c r="I7" s="403"/>
      <c r="J7" s="403"/>
      <c r="K7" s="403"/>
      <c r="L7" s="403"/>
      <c r="M7" s="403"/>
      <c r="N7" s="403"/>
      <c r="O7" s="403"/>
      <c r="P7" s="403"/>
      <c r="Q7" s="403"/>
      <c r="R7" s="403"/>
      <c r="S7" s="403"/>
      <c r="T7" s="323"/>
      <c r="U7" s="323"/>
    </row>
    <row r="9" spans="4:21" ht="36" x14ac:dyDescent="0.25">
      <c r="D9" s="48"/>
      <c r="E9" s="313"/>
      <c r="F9" s="314" t="s">
        <v>426</v>
      </c>
      <c r="G9" s="314" t="s">
        <v>425</v>
      </c>
      <c r="H9" s="314" t="s">
        <v>407</v>
      </c>
      <c r="I9" s="314" t="s">
        <v>406</v>
      </c>
      <c r="J9" s="314" t="s">
        <v>405</v>
      </c>
      <c r="K9" s="314" t="s">
        <v>404</v>
      </c>
      <c r="L9" s="314" t="s">
        <v>403</v>
      </c>
      <c r="M9" s="314" t="s">
        <v>402</v>
      </c>
      <c r="N9" s="314" t="s">
        <v>591</v>
      </c>
      <c r="O9" s="314" t="s">
        <v>420</v>
      </c>
      <c r="P9" s="314" t="s">
        <v>419</v>
      </c>
      <c r="Q9" s="314" t="s">
        <v>418</v>
      </c>
      <c r="R9" s="409" t="s">
        <v>476</v>
      </c>
      <c r="S9" s="409"/>
      <c r="T9" s="321" t="s">
        <v>850</v>
      </c>
      <c r="U9" s="321" t="s">
        <v>851</v>
      </c>
    </row>
    <row r="10" spans="4:21" ht="28.5" customHeight="1" x14ac:dyDescent="0.25">
      <c r="D10" s="48"/>
      <c r="E10" s="322" t="s">
        <v>844</v>
      </c>
      <c r="F10" s="142" t="e">
        <f>'Emissions Calculation'!C5</f>
        <v>#DIV/0!</v>
      </c>
      <c r="G10" s="142" t="e">
        <f>'Emissions Calculation'!D5</f>
        <v>#DIV/0!</v>
      </c>
      <c r="H10" s="142" t="e">
        <f>'Emissions Calculation'!E5</f>
        <v>#DIV/0!</v>
      </c>
      <c r="I10" s="142" t="e">
        <f>'Emissions Calculation'!F5</f>
        <v>#DIV/0!</v>
      </c>
      <c r="J10" s="142" t="e">
        <f>'Emissions Calculation'!G5</f>
        <v>#DIV/0!</v>
      </c>
      <c r="K10" s="142" t="e">
        <f>'Emissions Calculation'!H5</f>
        <v>#DIV/0!</v>
      </c>
      <c r="L10" s="142" t="e">
        <f>'Emissions Calculation'!I5</f>
        <v>#DIV/0!</v>
      </c>
      <c r="M10" s="142" t="e">
        <f>'Emissions Calculation'!J5</f>
        <v>#DIV/0!</v>
      </c>
      <c r="N10" s="142" t="e">
        <f>'Emissions Calculation'!K5</f>
        <v>#DIV/0!</v>
      </c>
      <c r="O10" s="142" t="e">
        <f>'Emissions Calculation'!L5</f>
        <v>#DIV/0!</v>
      </c>
      <c r="P10" s="142" t="e">
        <f>'Emissions Calculation'!M5</f>
        <v>#DIV/0!</v>
      </c>
      <c r="Q10" s="142" t="e">
        <f>'Emissions Calculation'!N5</f>
        <v>#DIV/0!</v>
      </c>
      <c r="R10" s="318" t="e">
        <f>SUM(F10:Q10)</f>
        <v>#DIV/0!</v>
      </c>
      <c r="S10" s="319" t="s">
        <v>395</v>
      </c>
      <c r="T10" s="315" t="e">
        <f>MAX(F10:Q10)/(8760/12)</f>
        <v>#DIV/0!</v>
      </c>
      <c r="U10" s="315" t="e">
        <f>R10/8760</f>
        <v>#DIV/0!</v>
      </c>
    </row>
    <row r="11" spans="4:21" x14ac:dyDescent="0.25">
      <c r="D11" s="48"/>
      <c r="E11" s="140"/>
      <c r="F11" s="143"/>
      <c r="G11" s="143"/>
      <c r="H11" s="143"/>
      <c r="I11" s="143"/>
      <c r="J11" s="143"/>
      <c r="K11" s="143"/>
      <c r="L11" s="143"/>
      <c r="M11" s="143"/>
      <c r="N11" s="143"/>
      <c r="O11" s="143"/>
      <c r="P11" s="143"/>
      <c r="Q11" s="143"/>
      <c r="R11" s="143"/>
      <c r="S11" s="140"/>
      <c r="T11" s="48"/>
      <c r="U11" s="48"/>
    </row>
    <row r="12" spans="4:21" x14ac:dyDescent="0.25">
      <c r="D12" s="433" t="s">
        <v>626</v>
      </c>
      <c r="E12" s="144" t="str">
        <f>'Emissions Calculation'!B7</f>
        <v/>
      </c>
      <c r="F12" s="145" t="str">
        <f>'Emissions Calculation'!C7</f>
        <v/>
      </c>
      <c r="G12" s="145" t="str">
        <f>'Emissions Calculation'!D7</f>
        <v/>
      </c>
      <c r="H12" s="145" t="str">
        <f>'Emissions Calculation'!E7</f>
        <v/>
      </c>
      <c r="I12" s="145" t="str">
        <f>'Emissions Calculation'!F7</f>
        <v/>
      </c>
      <c r="J12" s="145" t="str">
        <f>'Emissions Calculation'!G7</f>
        <v/>
      </c>
      <c r="K12" s="145" t="str">
        <f>'Emissions Calculation'!H7</f>
        <v/>
      </c>
      <c r="L12" s="145" t="str">
        <f>'Emissions Calculation'!I7</f>
        <v/>
      </c>
      <c r="M12" s="145" t="str">
        <f>'Emissions Calculation'!J7</f>
        <v/>
      </c>
      <c r="N12" s="145" t="str">
        <f>'Emissions Calculation'!K7</f>
        <v/>
      </c>
      <c r="O12" s="145" t="str">
        <f>'Emissions Calculation'!L7</f>
        <v/>
      </c>
      <c r="P12" s="145" t="str">
        <f>'Emissions Calculation'!M7</f>
        <v/>
      </c>
      <c r="Q12" s="145" t="str">
        <f>'Emissions Calculation'!N7</f>
        <v/>
      </c>
      <c r="R12" s="316" t="str">
        <f>IF(E12&lt;&gt;"",SUM(F12:Q12),"")</f>
        <v/>
      </c>
      <c r="S12" s="317" t="str">
        <f>IF(R12&lt;&gt;"","lb","")</f>
        <v/>
      </c>
      <c r="T12" s="315" t="str">
        <f>IF(R12&lt;&gt;"",MAX(F12:Q12)/(8760/12),"")</f>
        <v/>
      </c>
      <c r="U12" s="315" t="str">
        <f>IF(R12&lt;&gt;"",R12/8760,"")</f>
        <v/>
      </c>
    </row>
    <row r="13" spans="4:21" x14ac:dyDescent="0.25">
      <c r="D13" s="434"/>
      <c r="E13" s="144" t="str">
        <f>'Emissions Calculation'!B8</f>
        <v/>
      </c>
      <c r="F13" s="145" t="str">
        <f>'Emissions Calculation'!C8</f>
        <v/>
      </c>
      <c r="G13" s="145" t="str">
        <f>'Emissions Calculation'!D8</f>
        <v/>
      </c>
      <c r="H13" s="145" t="str">
        <f>'Emissions Calculation'!E8</f>
        <v/>
      </c>
      <c r="I13" s="145" t="str">
        <f>'Emissions Calculation'!F8</f>
        <v/>
      </c>
      <c r="J13" s="145" t="str">
        <f>'Emissions Calculation'!G8</f>
        <v/>
      </c>
      <c r="K13" s="145" t="str">
        <f>'Emissions Calculation'!H8</f>
        <v/>
      </c>
      <c r="L13" s="145" t="str">
        <f>'Emissions Calculation'!I8</f>
        <v/>
      </c>
      <c r="M13" s="145" t="str">
        <f>'Emissions Calculation'!J8</f>
        <v/>
      </c>
      <c r="N13" s="145" t="str">
        <f>'Emissions Calculation'!K8</f>
        <v/>
      </c>
      <c r="O13" s="145" t="str">
        <f>'Emissions Calculation'!L8</f>
        <v/>
      </c>
      <c r="P13" s="145" t="str">
        <f>'Emissions Calculation'!M8</f>
        <v/>
      </c>
      <c r="Q13" s="145" t="str">
        <f>'Emissions Calculation'!N8</f>
        <v/>
      </c>
      <c r="R13" s="316" t="str">
        <f t="shared" ref="R13:R21" si="0">IF(E13&lt;&gt;"",SUM(F13:Q13),"")</f>
        <v/>
      </c>
      <c r="S13" s="317" t="str">
        <f t="shared" ref="S13:S22" si="1">IF(R13&lt;&gt;"","lb","")</f>
        <v/>
      </c>
      <c r="T13" s="315" t="str">
        <f t="shared" ref="T13:T21" si="2">IF(R13&lt;&gt;"",MAX(F13:Q13)/(8760/12),"")</f>
        <v/>
      </c>
      <c r="U13" s="315" t="str">
        <f t="shared" ref="U13:U21" si="3">IF(R13&lt;&gt;"",R13/8760,"")</f>
        <v/>
      </c>
    </row>
    <row r="14" spans="4:21" x14ac:dyDescent="0.25">
      <c r="D14" s="434"/>
      <c r="E14" s="144" t="str">
        <f>'Emissions Calculation'!B9</f>
        <v/>
      </c>
      <c r="F14" s="145" t="str">
        <f>'Emissions Calculation'!C9</f>
        <v/>
      </c>
      <c r="G14" s="145" t="str">
        <f>'Emissions Calculation'!D9</f>
        <v/>
      </c>
      <c r="H14" s="145" t="str">
        <f>'Emissions Calculation'!E9</f>
        <v/>
      </c>
      <c r="I14" s="145" t="str">
        <f>'Emissions Calculation'!F9</f>
        <v/>
      </c>
      <c r="J14" s="145" t="str">
        <f>'Emissions Calculation'!G9</f>
        <v/>
      </c>
      <c r="K14" s="145" t="str">
        <f>'Emissions Calculation'!H9</f>
        <v/>
      </c>
      <c r="L14" s="145" t="str">
        <f>'Emissions Calculation'!I9</f>
        <v/>
      </c>
      <c r="M14" s="145" t="str">
        <f>'Emissions Calculation'!J9</f>
        <v/>
      </c>
      <c r="N14" s="145" t="str">
        <f>'Emissions Calculation'!K9</f>
        <v/>
      </c>
      <c r="O14" s="145" t="str">
        <f>'Emissions Calculation'!L9</f>
        <v/>
      </c>
      <c r="P14" s="145" t="str">
        <f>'Emissions Calculation'!M9</f>
        <v/>
      </c>
      <c r="Q14" s="145" t="str">
        <f>'Emissions Calculation'!N9</f>
        <v/>
      </c>
      <c r="R14" s="316" t="str">
        <f t="shared" si="0"/>
        <v/>
      </c>
      <c r="S14" s="317" t="str">
        <f t="shared" si="1"/>
        <v/>
      </c>
      <c r="T14" s="315" t="str">
        <f t="shared" si="2"/>
        <v/>
      </c>
      <c r="U14" s="315" t="str">
        <f t="shared" si="3"/>
        <v/>
      </c>
    </row>
    <row r="15" spans="4:21" x14ac:dyDescent="0.25">
      <c r="D15" s="434"/>
      <c r="E15" s="144" t="str">
        <f>'Emissions Calculation'!B10</f>
        <v/>
      </c>
      <c r="F15" s="145" t="str">
        <f>'Emissions Calculation'!C10</f>
        <v/>
      </c>
      <c r="G15" s="145" t="str">
        <f>'Emissions Calculation'!D10</f>
        <v/>
      </c>
      <c r="H15" s="145" t="str">
        <f>'Emissions Calculation'!E10</f>
        <v/>
      </c>
      <c r="I15" s="145" t="str">
        <f>'Emissions Calculation'!F10</f>
        <v/>
      </c>
      <c r="J15" s="145" t="str">
        <f>'Emissions Calculation'!G10</f>
        <v/>
      </c>
      <c r="K15" s="145" t="str">
        <f>'Emissions Calculation'!H10</f>
        <v/>
      </c>
      <c r="L15" s="145" t="str">
        <f>'Emissions Calculation'!I10</f>
        <v/>
      </c>
      <c r="M15" s="145" t="str">
        <f>'Emissions Calculation'!J10</f>
        <v/>
      </c>
      <c r="N15" s="145" t="str">
        <f>'Emissions Calculation'!K10</f>
        <v/>
      </c>
      <c r="O15" s="145" t="str">
        <f>'Emissions Calculation'!L10</f>
        <v/>
      </c>
      <c r="P15" s="145" t="str">
        <f>'Emissions Calculation'!M10</f>
        <v/>
      </c>
      <c r="Q15" s="145" t="str">
        <f>'Emissions Calculation'!N10</f>
        <v/>
      </c>
      <c r="R15" s="316" t="str">
        <f t="shared" si="0"/>
        <v/>
      </c>
      <c r="S15" s="317" t="str">
        <f t="shared" si="1"/>
        <v/>
      </c>
      <c r="T15" s="315" t="str">
        <f t="shared" si="2"/>
        <v/>
      </c>
      <c r="U15" s="315" t="str">
        <f t="shared" si="3"/>
        <v/>
      </c>
    </row>
    <row r="16" spans="4:21" x14ac:dyDescent="0.25">
      <c r="D16" s="434"/>
      <c r="E16" s="144" t="str">
        <f>'Emissions Calculation'!B11</f>
        <v/>
      </c>
      <c r="F16" s="145" t="str">
        <f>'Emissions Calculation'!C11</f>
        <v/>
      </c>
      <c r="G16" s="145" t="str">
        <f>'Emissions Calculation'!D11</f>
        <v/>
      </c>
      <c r="H16" s="145" t="str">
        <f>'Emissions Calculation'!E11</f>
        <v/>
      </c>
      <c r="I16" s="145" t="str">
        <f>'Emissions Calculation'!F11</f>
        <v/>
      </c>
      <c r="J16" s="145" t="str">
        <f>'Emissions Calculation'!G11</f>
        <v/>
      </c>
      <c r="K16" s="145" t="str">
        <f>'Emissions Calculation'!H11</f>
        <v/>
      </c>
      <c r="L16" s="145" t="str">
        <f>'Emissions Calculation'!I11</f>
        <v/>
      </c>
      <c r="M16" s="145" t="str">
        <f>'Emissions Calculation'!J11</f>
        <v/>
      </c>
      <c r="N16" s="145" t="str">
        <f>'Emissions Calculation'!K11</f>
        <v/>
      </c>
      <c r="O16" s="145" t="str">
        <f>'Emissions Calculation'!L11</f>
        <v/>
      </c>
      <c r="P16" s="145" t="str">
        <f>'Emissions Calculation'!M11</f>
        <v/>
      </c>
      <c r="Q16" s="145" t="str">
        <f>'Emissions Calculation'!N11</f>
        <v/>
      </c>
      <c r="R16" s="316" t="str">
        <f>IF(E16&lt;&gt;"",SUM(F16:Q16),"")</f>
        <v/>
      </c>
      <c r="S16" s="317" t="str">
        <f t="shared" si="1"/>
        <v/>
      </c>
      <c r="T16" s="315" t="str">
        <f t="shared" si="2"/>
        <v/>
      </c>
      <c r="U16" s="315" t="str">
        <f t="shared" si="3"/>
        <v/>
      </c>
    </row>
    <row r="17" spans="4:21" x14ac:dyDescent="0.25">
      <c r="D17" s="434"/>
      <c r="E17" s="144" t="str">
        <f>'Emissions Calculation'!B12</f>
        <v/>
      </c>
      <c r="F17" s="145" t="str">
        <f>'Emissions Calculation'!C12</f>
        <v/>
      </c>
      <c r="G17" s="145" t="str">
        <f>'Emissions Calculation'!D12</f>
        <v/>
      </c>
      <c r="H17" s="145" t="str">
        <f>'Emissions Calculation'!E12</f>
        <v/>
      </c>
      <c r="I17" s="145" t="str">
        <f>'Emissions Calculation'!F12</f>
        <v/>
      </c>
      <c r="J17" s="145" t="str">
        <f>'Emissions Calculation'!G12</f>
        <v/>
      </c>
      <c r="K17" s="145" t="str">
        <f>'Emissions Calculation'!H12</f>
        <v/>
      </c>
      <c r="L17" s="145" t="str">
        <f>'Emissions Calculation'!I12</f>
        <v/>
      </c>
      <c r="M17" s="145" t="str">
        <f>'Emissions Calculation'!J12</f>
        <v/>
      </c>
      <c r="N17" s="145" t="str">
        <f>'Emissions Calculation'!K12</f>
        <v/>
      </c>
      <c r="O17" s="145" t="str">
        <f>'Emissions Calculation'!L12</f>
        <v/>
      </c>
      <c r="P17" s="145" t="str">
        <f>'Emissions Calculation'!M12</f>
        <v/>
      </c>
      <c r="Q17" s="145" t="str">
        <f>'Emissions Calculation'!N12</f>
        <v/>
      </c>
      <c r="R17" s="316" t="str">
        <f t="shared" si="0"/>
        <v/>
      </c>
      <c r="S17" s="317" t="str">
        <f t="shared" si="1"/>
        <v/>
      </c>
      <c r="T17" s="315" t="str">
        <f t="shared" si="2"/>
        <v/>
      </c>
      <c r="U17" s="315" t="str">
        <f t="shared" si="3"/>
        <v/>
      </c>
    </row>
    <row r="18" spans="4:21" x14ac:dyDescent="0.25">
      <c r="D18" s="434"/>
      <c r="E18" s="144" t="str">
        <f>'Emissions Calculation'!B13</f>
        <v/>
      </c>
      <c r="F18" s="145" t="str">
        <f>'Emissions Calculation'!C13</f>
        <v/>
      </c>
      <c r="G18" s="145" t="str">
        <f>'Emissions Calculation'!D13</f>
        <v/>
      </c>
      <c r="H18" s="145" t="str">
        <f>'Emissions Calculation'!E13</f>
        <v/>
      </c>
      <c r="I18" s="145" t="str">
        <f>'Emissions Calculation'!F13</f>
        <v/>
      </c>
      <c r="J18" s="145" t="str">
        <f>'Emissions Calculation'!G13</f>
        <v/>
      </c>
      <c r="K18" s="145" t="str">
        <f>'Emissions Calculation'!H13</f>
        <v/>
      </c>
      <c r="L18" s="145" t="str">
        <f>'Emissions Calculation'!I13</f>
        <v/>
      </c>
      <c r="M18" s="145" t="str">
        <f>'Emissions Calculation'!J13</f>
        <v/>
      </c>
      <c r="N18" s="145" t="str">
        <f>'Emissions Calculation'!K13</f>
        <v/>
      </c>
      <c r="O18" s="145" t="str">
        <f>'Emissions Calculation'!L13</f>
        <v/>
      </c>
      <c r="P18" s="145" t="str">
        <f>'Emissions Calculation'!M13</f>
        <v/>
      </c>
      <c r="Q18" s="145" t="str">
        <f>'Emissions Calculation'!N13</f>
        <v/>
      </c>
      <c r="R18" s="316" t="str">
        <f>IF(E18&lt;&gt;"",SUM(F18:Q18),"")</f>
        <v/>
      </c>
      <c r="S18" s="317" t="str">
        <f t="shared" si="1"/>
        <v/>
      </c>
      <c r="T18" s="315" t="str">
        <f t="shared" si="2"/>
        <v/>
      </c>
      <c r="U18" s="315" t="str">
        <f t="shared" si="3"/>
        <v/>
      </c>
    </row>
    <row r="19" spans="4:21" x14ac:dyDescent="0.25">
      <c r="D19" s="434"/>
      <c r="E19" s="144" t="str">
        <f>'Emissions Calculation'!B14</f>
        <v/>
      </c>
      <c r="F19" s="145" t="str">
        <f>'Emissions Calculation'!C14</f>
        <v/>
      </c>
      <c r="G19" s="145" t="str">
        <f>'Emissions Calculation'!D14</f>
        <v/>
      </c>
      <c r="H19" s="145" t="str">
        <f>'Emissions Calculation'!E14</f>
        <v/>
      </c>
      <c r="I19" s="145" t="str">
        <f>'Emissions Calculation'!F14</f>
        <v/>
      </c>
      <c r="J19" s="145" t="str">
        <f>'Emissions Calculation'!G14</f>
        <v/>
      </c>
      <c r="K19" s="145" t="str">
        <f>'Emissions Calculation'!H14</f>
        <v/>
      </c>
      <c r="L19" s="145" t="str">
        <f>'Emissions Calculation'!I14</f>
        <v/>
      </c>
      <c r="M19" s="145" t="str">
        <f>'Emissions Calculation'!J14</f>
        <v/>
      </c>
      <c r="N19" s="145" t="str">
        <f>'Emissions Calculation'!K14</f>
        <v/>
      </c>
      <c r="O19" s="145" t="str">
        <f>'Emissions Calculation'!L14</f>
        <v/>
      </c>
      <c r="P19" s="145" t="str">
        <f>'Emissions Calculation'!M14</f>
        <v/>
      </c>
      <c r="Q19" s="145" t="str">
        <f>'Emissions Calculation'!N14</f>
        <v/>
      </c>
      <c r="R19" s="316" t="str">
        <f t="shared" si="0"/>
        <v/>
      </c>
      <c r="S19" s="317" t="str">
        <f t="shared" si="1"/>
        <v/>
      </c>
      <c r="T19" s="315" t="str">
        <f t="shared" si="2"/>
        <v/>
      </c>
      <c r="U19" s="315" t="str">
        <f t="shared" si="3"/>
        <v/>
      </c>
    </row>
    <row r="20" spans="4:21" x14ac:dyDescent="0.25">
      <c r="D20" s="434"/>
      <c r="E20" s="144" t="str">
        <f>'Emissions Calculation'!B15</f>
        <v/>
      </c>
      <c r="F20" s="145" t="str">
        <f>'Emissions Calculation'!C15</f>
        <v/>
      </c>
      <c r="G20" s="145" t="str">
        <f>'Emissions Calculation'!D15</f>
        <v/>
      </c>
      <c r="H20" s="145" t="str">
        <f>'Emissions Calculation'!E15</f>
        <v/>
      </c>
      <c r="I20" s="145" t="str">
        <f>'Emissions Calculation'!F15</f>
        <v/>
      </c>
      <c r="J20" s="145" t="str">
        <f>'Emissions Calculation'!G15</f>
        <v/>
      </c>
      <c r="K20" s="145" t="str">
        <f>'Emissions Calculation'!H15</f>
        <v/>
      </c>
      <c r="L20" s="145" t="str">
        <f>'Emissions Calculation'!I15</f>
        <v/>
      </c>
      <c r="M20" s="145" t="str">
        <f>'Emissions Calculation'!J15</f>
        <v/>
      </c>
      <c r="N20" s="145" t="str">
        <f>'Emissions Calculation'!K15</f>
        <v/>
      </c>
      <c r="O20" s="145" t="str">
        <f>'Emissions Calculation'!L15</f>
        <v/>
      </c>
      <c r="P20" s="145" t="str">
        <f>'Emissions Calculation'!M15</f>
        <v/>
      </c>
      <c r="Q20" s="145" t="str">
        <f>'Emissions Calculation'!N15</f>
        <v/>
      </c>
      <c r="R20" s="316" t="str">
        <f t="shared" si="0"/>
        <v/>
      </c>
      <c r="S20" s="317" t="str">
        <f t="shared" si="1"/>
        <v/>
      </c>
      <c r="T20" s="315" t="str">
        <f t="shared" si="2"/>
        <v/>
      </c>
      <c r="U20" s="315" t="str">
        <f t="shared" si="3"/>
        <v/>
      </c>
    </row>
    <row r="21" spans="4:21" x14ac:dyDescent="0.25">
      <c r="D21" s="435"/>
      <c r="E21" s="144" t="str">
        <f>'Emissions Calculation'!B16</f>
        <v/>
      </c>
      <c r="F21" s="145" t="str">
        <f>'Emissions Calculation'!C16</f>
        <v/>
      </c>
      <c r="G21" s="145" t="str">
        <f>'Emissions Calculation'!D16</f>
        <v/>
      </c>
      <c r="H21" s="145" t="str">
        <f>'Emissions Calculation'!E16</f>
        <v/>
      </c>
      <c r="I21" s="145" t="str">
        <f>'Emissions Calculation'!F16</f>
        <v/>
      </c>
      <c r="J21" s="145" t="str">
        <f>'Emissions Calculation'!G16</f>
        <v/>
      </c>
      <c r="K21" s="145" t="str">
        <f>'Emissions Calculation'!H16</f>
        <v/>
      </c>
      <c r="L21" s="145" t="str">
        <f>'Emissions Calculation'!I16</f>
        <v/>
      </c>
      <c r="M21" s="145" t="str">
        <f>'Emissions Calculation'!J16</f>
        <v/>
      </c>
      <c r="N21" s="145" t="str">
        <f>'Emissions Calculation'!K16</f>
        <v/>
      </c>
      <c r="O21" s="145" t="str">
        <f>'Emissions Calculation'!L16</f>
        <v/>
      </c>
      <c r="P21" s="145" t="str">
        <f>'Emissions Calculation'!M16</f>
        <v/>
      </c>
      <c r="Q21" s="145" t="str">
        <f>'Emissions Calculation'!N16</f>
        <v/>
      </c>
      <c r="R21" s="316" t="str">
        <f t="shared" si="0"/>
        <v/>
      </c>
      <c r="S21" s="317" t="str">
        <f t="shared" si="1"/>
        <v/>
      </c>
      <c r="T21" s="315" t="str">
        <f t="shared" si="2"/>
        <v/>
      </c>
      <c r="U21" s="315" t="str">
        <f t="shared" si="3"/>
        <v/>
      </c>
    </row>
    <row r="22" spans="4:21" ht="40.5" customHeight="1" x14ac:dyDescent="0.25">
      <c r="D22" s="48"/>
      <c r="E22" s="322" t="s">
        <v>396</v>
      </c>
      <c r="F22" s="142">
        <f>SUM(F12:F21)</f>
        <v>0</v>
      </c>
      <c r="G22" s="142">
        <f t="shared" ref="G22:P22" si="4">SUM(G12:G21)</f>
        <v>0</v>
      </c>
      <c r="H22" s="142">
        <f t="shared" si="4"/>
        <v>0</v>
      </c>
      <c r="I22" s="142">
        <f t="shared" si="4"/>
        <v>0</v>
      </c>
      <c r="J22" s="142">
        <f t="shared" si="4"/>
        <v>0</v>
      </c>
      <c r="K22" s="142">
        <f t="shared" si="4"/>
        <v>0</v>
      </c>
      <c r="L22" s="142">
        <f t="shared" si="4"/>
        <v>0</v>
      </c>
      <c r="M22" s="142">
        <f t="shared" si="4"/>
        <v>0</v>
      </c>
      <c r="N22" s="142">
        <f t="shared" si="4"/>
        <v>0</v>
      </c>
      <c r="O22" s="142">
        <f t="shared" si="4"/>
        <v>0</v>
      </c>
      <c r="P22" s="142">
        <f t="shared" si="4"/>
        <v>0</v>
      </c>
      <c r="Q22" s="142">
        <f>SUM(Q12:Q21)</f>
        <v>0</v>
      </c>
      <c r="R22" s="320" t="str">
        <f>IF(SUM(R12:R21)&gt;0,SUM(R12:R21),"")</f>
        <v/>
      </c>
      <c r="S22" s="317" t="str">
        <f t="shared" si="1"/>
        <v/>
      </c>
      <c r="T22" s="315" t="str">
        <f>IF(R22&lt;&gt;"",MAX(F22:Q22)/(8760/12),"")</f>
        <v/>
      </c>
      <c r="U22" s="315" t="str">
        <f>IF(R22&lt;&gt;"",R22/8760,"")</f>
        <v/>
      </c>
    </row>
    <row r="23" spans="4:21" x14ac:dyDescent="0.25">
      <c r="D23" s="48"/>
      <c r="E23" s="48"/>
      <c r="F23" s="48"/>
      <c r="G23" s="48"/>
      <c r="H23" s="48"/>
      <c r="I23" s="48"/>
      <c r="J23" s="48"/>
      <c r="K23" s="48"/>
      <c r="L23" s="48"/>
      <c r="M23" s="48"/>
      <c r="N23" s="48"/>
      <c r="O23" s="48"/>
      <c r="P23" s="48"/>
      <c r="Q23" s="48"/>
      <c r="R23" s="48"/>
      <c r="S23" s="48"/>
      <c r="T23" s="48"/>
    </row>
    <row r="24" spans="4:21" x14ac:dyDescent="0.25">
      <c r="D24" s="48"/>
      <c r="E24" s="48"/>
      <c r="F24" s="48"/>
      <c r="G24" s="48"/>
      <c r="H24" s="48"/>
      <c r="I24" s="48"/>
      <c r="J24" s="48"/>
      <c r="K24" s="48"/>
      <c r="L24" s="48"/>
      <c r="M24" s="48"/>
      <c r="N24" s="48"/>
      <c r="O24" s="48"/>
      <c r="P24" s="48"/>
      <c r="Q24" s="48"/>
      <c r="R24" s="48"/>
      <c r="S24" s="48"/>
      <c r="T24" s="325"/>
    </row>
    <row r="26" spans="4:21" ht="18.75" x14ac:dyDescent="0.3">
      <c r="E26" s="403" t="str">
        <f>IF('Tank and Material Properties'!D28="", "Variables and Other Descriptions","Variables and Other Descriptions for "&amp;'Tank and Material Properties'!D28)</f>
        <v>Variables and Other Descriptions</v>
      </c>
      <c r="F26" s="403"/>
      <c r="G26" s="403"/>
      <c r="H26" s="403"/>
      <c r="I26" s="403"/>
      <c r="J26" s="403"/>
      <c r="K26" s="403"/>
      <c r="L26" s="403"/>
      <c r="M26" s="403"/>
      <c r="N26" s="403"/>
      <c r="O26" s="403"/>
      <c r="P26" s="403"/>
      <c r="Q26" s="403"/>
      <c r="R26" s="403"/>
      <c r="S26" s="403"/>
    </row>
    <row r="27" spans="4:21" ht="12.75" customHeight="1" x14ac:dyDescent="0.4">
      <c r="E27" s="39"/>
      <c r="F27" s="39"/>
      <c r="G27" s="39"/>
      <c r="H27" s="39"/>
      <c r="I27" s="39"/>
      <c r="J27" s="39"/>
      <c r="K27" s="39"/>
      <c r="L27" s="39"/>
      <c r="M27" s="39"/>
      <c r="N27" s="39"/>
      <c r="O27" s="39"/>
      <c r="P27" s="39"/>
      <c r="Q27" s="39"/>
      <c r="R27" s="39"/>
      <c r="S27" s="39"/>
    </row>
    <row r="28" spans="4:21" x14ac:dyDescent="0.25">
      <c r="E28" s="131" t="s">
        <v>595</v>
      </c>
      <c r="F28" s="131"/>
      <c r="G28" s="131" t="s">
        <v>828</v>
      </c>
      <c r="H28" s="131"/>
      <c r="I28" s="131"/>
      <c r="J28" s="131" t="s">
        <v>829</v>
      </c>
      <c r="K28" s="48"/>
      <c r="L28" s="410" t="s">
        <v>596</v>
      </c>
      <c r="M28" s="410"/>
      <c r="N28" s="410"/>
      <c r="O28" s="410"/>
      <c r="P28" s="411" t="s">
        <v>514</v>
      </c>
      <c r="Q28" s="411"/>
      <c r="R28" s="411"/>
      <c r="S28" s="411"/>
    </row>
    <row r="29" spans="4:21" x14ac:dyDescent="0.25">
      <c r="E29" s="132" t="s">
        <v>483</v>
      </c>
      <c r="F29" s="408" t="s">
        <v>484</v>
      </c>
      <c r="G29" s="408"/>
      <c r="H29" s="408"/>
      <c r="I29" s="408"/>
      <c r="J29" s="133">
        <f>'Input Variables'!F6</f>
        <v>0</v>
      </c>
      <c r="K29" s="134"/>
      <c r="L29" s="404" t="s">
        <v>597</v>
      </c>
      <c r="M29" s="404"/>
      <c r="N29" s="404"/>
      <c r="O29" s="404"/>
      <c r="P29" s="412">
        <f>'Tank and Material Properties'!D28</f>
        <v>0</v>
      </c>
      <c r="Q29" s="413"/>
      <c r="R29" s="413"/>
      <c r="S29" s="414"/>
    </row>
    <row r="30" spans="4:21" x14ac:dyDescent="0.25">
      <c r="E30" s="132" t="s">
        <v>485</v>
      </c>
      <c r="F30" s="408" t="s">
        <v>486</v>
      </c>
      <c r="G30" s="408"/>
      <c r="H30" s="408"/>
      <c r="I30" s="408"/>
      <c r="J30" s="133">
        <f>'Input Variables'!F7</f>
        <v>0</v>
      </c>
      <c r="K30" s="134"/>
      <c r="L30" s="404" t="s">
        <v>598</v>
      </c>
      <c r="M30" s="404"/>
      <c r="N30" s="404"/>
      <c r="O30" s="404"/>
      <c r="P30" s="438">
        <f>'Tank and Material Properties'!D30</f>
        <v>0</v>
      </c>
      <c r="Q30" s="439"/>
      <c r="R30" s="439"/>
      <c r="S30" s="440"/>
    </row>
    <row r="31" spans="4:21" x14ac:dyDescent="0.25">
      <c r="E31" s="135" t="s">
        <v>668</v>
      </c>
      <c r="F31" s="408" t="s">
        <v>487</v>
      </c>
      <c r="G31" s="408"/>
      <c r="H31" s="408"/>
      <c r="I31" s="408"/>
      <c r="J31" s="133">
        <f>'Input Variables'!F8</f>
        <v>0</v>
      </c>
      <c r="K31" s="134"/>
      <c r="L31" s="404" t="s">
        <v>594</v>
      </c>
      <c r="M31" s="404"/>
      <c r="N31" s="404"/>
      <c r="O31" s="404"/>
      <c r="P31" s="412">
        <f>'Tank and Material Properties'!D32</f>
        <v>0</v>
      </c>
      <c r="Q31" s="413"/>
      <c r="R31" s="413"/>
      <c r="S31" s="414"/>
    </row>
    <row r="32" spans="4:21" ht="60" customHeight="1" x14ac:dyDescent="0.25">
      <c r="E32" s="132" t="s">
        <v>669</v>
      </c>
      <c r="F32" s="408" t="s">
        <v>488</v>
      </c>
      <c r="G32" s="408"/>
      <c r="H32" s="408"/>
      <c r="I32" s="408"/>
      <c r="J32" s="133">
        <f>'Input Variables'!F9</f>
        <v>0</v>
      </c>
      <c r="K32" s="134"/>
      <c r="L32" s="404" t="s">
        <v>599</v>
      </c>
      <c r="M32" s="404"/>
      <c r="N32" s="404"/>
      <c r="O32" s="404"/>
      <c r="P32" s="412">
        <f>'Tank and Material Properties'!D31</f>
        <v>0</v>
      </c>
      <c r="Q32" s="413"/>
      <c r="R32" s="413"/>
      <c r="S32" s="414"/>
    </row>
    <row r="33" spans="5:19" x14ac:dyDescent="0.25">
      <c r="E33" s="132" t="s">
        <v>670</v>
      </c>
      <c r="F33" s="408" t="s">
        <v>516</v>
      </c>
      <c r="G33" s="408"/>
      <c r="H33" s="408"/>
      <c r="I33" s="408"/>
      <c r="J33" s="133">
        <f>'Input Variables'!F10</f>
        <v>0</v>
      </c>
      <c r="K33" s="134"/>
      <c r="L33" s="404" t="s">
        <v>600</v>
      </c>
      <c r="M33" s="404"/>
      <c r="N33" s="404"/>
      <c r="O33" s="404"/>
      <c r="P33" s="412">
        <f>'Tank and Material Properties'!D45</f>
        <v>0</v>
      </c>
      <c r="Q33" s="413"/>
      <c r="R33" s="413"/>
      <c r="S33" s="414"/>
    </row>
    <row r="34" spans="5:19" ht="29.25" customHeight="1" x14ac:dyDescent="0.25">
      <c r="E34" s="132" t="s">
        <v>671</v>
      </c>
      <c r="F34" s="408" t="s">
        <v>489</v>
      </c>
      <c r="G34" s="408"/>
      <c r="H34" s="408"/>
      <c r="I34" s="408"/>
      <c r="J34" s="136">
        <f>'Input Variables'!F11</f>
        <v>1</v>
      </c>
      <c r="K34" s="134"/>
      <c r="L34" s="405" t="s">
        <v>538</v>
      </c>
      <c r="M34" s="406"/>
      <c r="N34" s="406"/>
      <c r="O34" s="407"/>
      <c r="P34" s="412">
        <f>'Tank and Material Properties'!D47</f>
        <v>0</v>
      </c>
      <c r="Q34" s="413"/>
      <c r="R34" s="413"/>
      <c r="S34" s="414"/>
    </row>
    <row r="35" spans="5:19" x14ac:dyDescent="0.25">
      <c r="E35" s="132" t="s">
        <v>490</v>
      </c>
      <c r="F35" s="408" t="s">
        <v>491</v>
      </c>
      <c r="G35" s="408"/>
      <c r="H35" s="408"/>
      <c r="I35" s="408"/>
      <c r="J35" s="137">
        <f>'Input Variables'!F12</f>
        <v>0</v>
      </c>
      <c r="K35" s="134"/>
      <c r="L35" s="405" t="s">
        <v>601</v>
      </c>
      <c r="M35" s="406"/>
      <c r="N35" s="406"/>
      <c r="O35" s="407"/>
      <c r="P35" s="412">
        <f>'Tank and Material Properties'!D48</f>
        <v>0</v>
      </c>
      <c r="Q35" s="413"/>
      <c r="R35" s="413"/>
      <c r="S35" s="414"/>
    </row>
    <row r="36" spans="5:19" ht="30.75" customHeight="1" x14ac:dyDescent="0.25">
      <c r="E36" s="132" t="s">
        <v>672</v>
      </c>
      <c r="F36" s="408" t="s">
        <v>492</v>
      </c>
      <c r="G36" s="408"/>
      <c r="H36" s="408"/>
      <c r="I36" s="408"/>
      <c r="J36" s="133">
        <f>'Input Variables'!F13</f>
        <v>0</v>
      </c>
      <c r="K36" s="134"/>
      <c r="L36" s="405" t="s">
        <v>602</v>
      </c>
      <c r="M36" s="406"/>
      <c r="N36" s="406"/>
      <c r="O36" s="407"/>
      <c r="P36" s="412">
        <f>'Tank and Material Properties'!D49</f>
        <v>0</v>
      </c>
      <c r="Q36" s="413"/>
      <c r="R36" s="413"/>
      <c r="S36" s="414"/>
    </row>
    <row r="37" spans="5:19" ht="15" customHeight="1" x14ac:dyDescent="0.25">
      <c r="E37" s="132" t="s">
        <v>493</v>
      </c>
      <c r="F37" s="408" t="s">
        <v>592</v>
      </c>
      <c r="G37" s="408"/>
      <c r="H37" s="408"/>
      <c r="I37" s="408"/>
      <c r="J37" s="138" t="e">
        <f>'Input Variables'!F14</f>
        <v>#DIV/0!</v>
      </c>
      <c r="K37" s="134"/>
      <c r="L37" s="405" t="s">
        <v>603</v>
      </c>
      <c r="M37" s="406"/>
      <c r="N37" s="406"/>
      <c r="O37" s="407"/>
      <c r="P37" s="412">
        <f>'Tank and Material Properties'!D50</f>
        <v>0</v>
      </c>
      <c r="Q37" s="413"/>
      <c r="R37" s="413"/>
      <c r="S37" s="414"/>
    </row>
    <row r="38" spans="5:19" ht="44.25" customHeight="1" x14ac:dyDescent="0.25">
      <c r="E38" s="132" t="s">
        <v>673</v>
      </c>
      <c r="F38" s="408" t="s">
        <v>634</v>
      </c>
      <c r="G38" s="408"/>
      <c r="H38" s="408"/>
      <c r="I38" s="408"/>
      <c r="J38" s="133" t="e">
        <f>'Input Variables'!F15</f>
        <v>#DIV/0!</v>
      </c>
      <c r="K38" s="134"/>
      <c r="L38" s="405" t="s">
        <v>604</v>
      </c>
      <c r="M38" s="406"/>
      <c r="N38" s="406"/>
      <c r="O38" s="407"/>
      <c r="P38" s="412">
        <f>'Tank and Material Properties'!D53</f>
        <v>0</v>
      </c>
      <c r="Q38" s="413"/>
      <c r="R38" s="413"/>
      <c r="S38" s="414"/>
    </row>
    <row r="39" spans="5:19" ht="17.25" customHeight="1" x14ac:dyDescent="0.25">
      <c r="E39" s="132" t="s">
        <v>674</v>
      </c>
      <c r="F39" s="408" t="s">
        <v>675</v>
      </c>
      <c r="G39" s="408"/>
      <c r="H39" s="408"/>
      <c r="I39" s="408"/>
      <c r="J39" s="133">
        <f>'Input Variables'!F16</f>
        <v>0</v>
      </c>
      <c r="K39" s="134"/>
      <c r="L39" s="405" t="s">
        <v>676</v>
      </c>
      <c r="M39" s="406"/>
      <c r="N39" s="406"/>
      <c r="O39" s="407"/>
      <c r="P39" s="412">
        <f>'Tank and Material Properties'!D55</f>
        <v>0</v>
      </c>
      <c r="Q39" s="413"/>
      <c r="R39" s="413"/>
      <c r="S39" s="414"/>
    </row>
    <row r="40" spans="5:19" x14ac:dyDescent="0.25">
      <c r="E40" s="132" t="s">
        <v>496</v>
      </c>
      <c r="F40" s="408" t="s">
        <v>497</v>
      </c>
      <c r="G40" s="408"/>
      <c r="H40" s="408"/>
      <c r="I40" s="408"/>
      <c r="J40" s="133">
        <f>'Input Variables'!F17</f>
        <v>0</v>
      </c>
      <c r="K40" s="134"/>
      <c r="L40" s="415" t="s">
        <v>632</v>
      </c>
      <c r="M40" s="416"/>
      <c r="N40" s="416"/>
      <c r="O40" s="417"/>
      <c r="P40" s="412" t="str">
        <f>IF('Tank and Material Properties'!B56="&lt;Leave this row blank&gt;", "N/A", 'Tank and Material Properties'!D56)</f>
        <v>N/A</v>
      </c>
      <c r="Q40" s="413"/>
      <c r="R40" s="413"/>
      <c r="S40" s="414"/>
    </row>
    <row r="41" spans="5:19" ht="31.5" customHeight="1" x14ac:dyDescent="0.25">
      <c r="E41" s="132" t="s">
        <v>677</v>
      </c>
      <c r="F41" s="408" t="s">
        <v>498</v>
      </c>
      <c r="G41" s="408"/>
      <c r="H41" s="408"/>
      <c r="I41" s="408"/>
      <c r="J41" s="133">
        <f>'Input Variables'!F18</f>
        <v>0</v>
      </c>
      <c r="K41" s="134"/>
      <c r="L41" s="405" t="s">
        <v>605</v>
      </c>
      <c r="M41" s="406"/>
      <c r="N41" s="406"/>
      <c r="O41" s="407"/>
      <c r="P41" s="412">
        <f>'Tank and Material Properties'!D59</f>
        <v>0</v>
      </c>
      <c r="Q41" s="413"/>
      <c r="R41" s="413"/>
      <c r="S41" s="414"/>
    </row>
    <row r="42" spans="5:19" x14ac:dyDescent="0.25">
      <c r="E42" s="132" t="s">
        <v>678</v>
      </c>
      <c r="F42" s="408" t="s">
        <v>499</v>
      </c>
      <c r="G42" s="408"/>
      <c r="H42" s="408"/>
      <c r="I42" s="408"/>
      <c r="J42" s="133">
        <f>'Input Variables'!F19</f>
        <v>0</v>
      </c>
      <c r="K42" s="134"/>
      <c r="L42" s="405" t="s">
        <v>606</v>
      </c>
      <c r="M42" s="406"/>
      <c r="N42" s="406"/>
      <c r="O42" s="407"/>
      <c r="P42" s="412">
        <f>'Tank and Material Properties'!D40</f>
        <v>0</v>
      </c>
      <c r="Q42" s="413"/>
      <c r="R42" s="413"/>
      <c r="S42" s="414"/>
    </row>
    <row r="43" spans="5:19" x14ac:dyDescent="0.25">
      <c r="E43" s="132" t="s">
        <v>679</v>
      </c>
      <c r="F43" s="408" t="s">
        <v>500</v>
      </c>
      <c r="G43" s="408"/>
      <c r="H43" s="408"/>
      <c r="I43" s="408"/>
      <c r="J43" s="133" t="str">
        <f>'Input Variables'!F20</f>
        <v/>
      </c>
      <c r="K43" s="134"/>
      <c r="L43" s="404" t="s">
        <v>607</v>
      </c>
      <c r="M43" s="404"/>
      <c r="N43" s="404"/>
      <c r="O43" s="404"/>
      <c r="P43" s="432">
        <f>'Tank and Material Properties'!D43</f>
        <v>0</v>
      </c>
      <c r="Q43" s="432"/>
      <c r="R43" s="432"/>
      <c r="S43" s="432"/>
    </row>
    <row r="44" spans="5:19" x14ac:dyDescent="0.25">
      <c r="E44" s="132" t="s">
        <v>680</v>
      </c>
      <c r="F44" s="408" t="s">
        <v>501</v>
      </c>
      <c r="G44" s="408"/>
      <c r="H44" s="408"/>
      <c r="I44" s="408"/>
      <c r="J44" s="133" t="str">
        <f>'Input Variables'!F21</f>
        <v/>
      </c>
      <c r="K44" s="134"/>
      <c r="L44" s="48"/>
      <c r="M44" s="48"/>
      <c r="N44" s="48"/>
      <c r="O44" s="48"/>
      <c r="P44" s="48"/>
      <c r="Q44" s="48"/>
      <c r="R44" s="48"/>
      <c r="S44" s="48"/>
    </row>
    <row r="45" spans="5:19" x14ac:dyDescent="0.25">
      <c r="E45" s="132" t="s">
        <v>681</v>
      </c>
      <c r="F45" s="408" t="s">
        <v>502</v>
      </c>
      <c r="G45" s="408"/>
      <c r="H45" s="408"/>
      <c r="I45" s="408"/>
      <c r="J45" s="133" t="e">
        <f>'Input Variables'!F22</f>
        <v>#VALUE!</v>
      </c>
      <c r="K45" s="134"/>
      <c r="L45" s="423"/>
      <c r="M45" s="423"/>
      <c r="N45" s="423"/>
      <c r="O45" s="423"/>
      <c r="P45" s="422"/>
      <c r="Q45" s="422"/>
      <c r="R45" s="422"/>
      <c r="S45" s="422"/>
    </row>
    <row r="46" spans="5:19" ht="17.25" customHeight="1" x14ac:dyDescent="0.25">
      <c r="E46" s="132" t="s">
        <v>682</v>
      </c>
      <c r="F46" s="408" t="s">
        <v>683</v>
      </c>
      <c r="G46" s="408"/>
      <c r="H46" s="408"/>
      <c r="I46" s="408"/>
      <c r="J46" s="133" t="e">
        <f>'Input Variables'!F23</f>
        <v>#VALUE!</v>
      </c>
      <c r="K46" s="134"/>
      <c r="L46" s="423"/>
      <c r="M46" s="423"/>
      <c r="N46" s="423"/>
      <c r="O46" s="423"/>
      <c r="P46" s="422"/>
      <c r="Q46" s="422"/>
      <c r="R46" s="422"/>
      <c r="S46" s="422"/>
    </row>
    <row r="47" spans="5:19" ht="29.25" customHeight="1" x14ac:dyDescent="0.25">
      <c r="E47" s="132" t="s">
        <v>684</v>
      </c>
      <c r="F47" s="408" t="s">
        <v>503</v>
      </c>
      <c r="G47" s="408"/>
      <c r="H47" s="408"/>
      <c r="I47" s="408"/>
      <c r="J47" s="133" t="e">
        <f>'Input Variables'!F24</f>
        <v>#N/A</v>
      </c>
      <c r="K47" s="134"/>
      <c r="L47" s="423"/>
      <c r="M47" s="423"/>
      <c r="N47" s="423"/>
      <c r="O47" s="423"/>
      <c r="P47" s="422"/>
      <c r="Q47" s="422"/>
      <c r="R47" s="422"/>
      <c r="S47" s="422"/>
    </row>
    <row r="48" spans="5:19" ht="30.75" customHeight="1" x14ac:dyDescent="0.25">
      <c r="E48" s="132" t="s">
        <v>685</v>
      </c>
      <c r="F48" s="408" t="s">
        <v>504</v>
      </c>
      <c r="G48" s="408"/>
      <c r="H48" s="408"/>
      <c r="I48" s="408"/>
      <c r="J48" s="133" t="e">
        <f>'Input Variables'!F25</f>
        <v>#N/A</v>
      </c>
      <c r="K48" s="134"/>
      <c r="L48" s="423"/>
      <c r="M48" s="423"/>
      <c r="N48" s="423"/>
      <c r="O48" s="423"/>
      <c r="P48" s="422"/>
      <c r="Q48" s="422"/>
      <c r="R48" s="422"/>
      <c r="S48" s="422"/>
    </row>
    <row r="49" spans="4:19" x14ac:dyDescent="0.25">
      <c r="E49" s="132" t="s">
        <v>686</v>
      </c>
      <c r="F49" s="408" t="s">
        <v>505</v>
      </c>
      <c r="G49" s="408"/>
      <c r="H49" s="408"/>
      <c r="I49" s="408"/>
      <c r="J49" s="136">
        <f>'Input Variables'!F26</f>
        <v>0</v>
      </c>
      <c r="K49" s="134"/>
      <c r="L49" s="423"/>
      <c r="M49" s="423"/>
      <c r="N49" s="423"/>
      <c r="O49" s="423"/>
      <c r="P49" s="422"/>
      <c r="Q49" s="422"/>
      <c r="R49" s="422"/>
      <c r="S49" s="422"/>
    </row>
    <row r="50" spans="4:19" x14ac:dyDescent="0.25">
      <c r="E50" s="132" t="s">
        <v>687</v>
      </c>
      <c r="F50" s="408" t="s">
        <v>506</v>
      </c>
      <c r="G50" s="408"/>
      <c r="H50" s="408"/>
      <c r="I50" s="408"/>
      <c r="J50" s="136">
        <f>'Input Variables'!F27</f>
        <v>0</v>
      </c>
      <c r="K50" s="134"/>
      <c r="L50" s="423"/>
      <c r="M50" s="423"/>
      <c r="N50" s="423"/>
      <c r="O50" s="423"/>
      <c r="P50" s="422"/>
      <c r="Q50" s="422"/>
      <c r="R50" s="422"/>
      <c r="S50" s="422"/>
    </row>
    <row r="51" spans="4:19" ht="31.5" customHeight="1" x14ac:dyDescent="0.25">
      <c r="E51" s="132" t="s">
        <v>688</v>
      </c>
      <c r="F51" s="408" t="s">
        <v>507</v>
      </c>
      <c r="G51" s="408"/>
      <c r="H51" s="408"/>
      <c r="I51" s="408"/>
      <c r="J51" s="136">
        <f>'Input Variables'!F28</f>
        <v>0</v>
      </c>
      <c r="K51" s="134"/>
      <c r="L51" s="423"/>
      <c r="M51" s="423"/>
      <c r="N51" s="423"/>
      <c r="O51" s="423"/>
      <c r="P51" s="422"/>
      <c r="Q51" s="422"/>
      <c r="R51" s="422"/>
      <c r="S51" s="422"/>
    </row>
    <row r="52" spans="4:19" ht="30" customHeight="1" x14ac:dyDescent="0.25">
      <c r="E52" s="139" t="s">
        <v>689</v>
      </c>
      <c r="F52" s="408" t="s">
        <v>546</v>
      </c>
      <c r="G52" s="408"/>
      <c r="H52" s="408"/>
      <c r="I52" s="408"/>
      <c r="J52" s="136" t="str">
        <f>'Input Variables'!F29</f>
        <v>N/A</v>
      </c>
      <c r="K52" s="134"/>
      <c r="L52" s="423"/>
      <c r="M52" s="423"/>
      <c r="N52" s="423"/>
      <c r="O52" s="423"/>
      <c r="P52" s="422"/>
      <c r="Q52" s="422"/>
      <c r="R52" s="422"/>
      <c r="S52" s="422"/>
    </row>
    <row r="53" spans="4:19" x14ac:dyDescent="0.25">
      <c r="E53" s="139" t="s">
        <v>690</v>
      </c>
      <c r="F53" s="408" t="s">
        <v>593</v>
      </c>
      <c r="G53" s="408"/>
      <c r="H53" s="408"/>
      <c r="I53" s="408"/>
      <c r="J53" s="136" t="e">
        <f>'Input Variables'!F30</f>
        <v>#N/A</v>
      </c>
      <c r="K53" s="134"/>
      <c r="L53" s="423"/>
      <c r="M53" s="423"/>
      <c r="N53" s="423"/>
      <c r="O53" s="423"/>
      <c r="P53" s="422"/>
      <c r="Q53" s="422"/>
      <c r="R53" s="422"/>
      <c r="S53" s="422"/>
    </row>
    <row r="54" spans="4:19" ht="18" customHeight="1" x14ac:dyDescent="0.25">
      <c r="E54" s="139" t="s">
        <v>691</v>
      </c>
      <c r="F54" s="405" t="s">
        <v>633</v>
      </c>
      <c r="G54" s="406"/>
      <c r="H54" s="406"/>
      <c r="I54" s="407"/>
      <c r="J54" s="136" t="e">
        <f>IF('Tank and Material Properties'!B44="&lt;Leave this row blank&gt;", "N/A", 'Emissions Calculation'!C37)</f>
        <v>#N/A</v>
      </c>
      <c r="K54" s="134"/>
      <c r="L54" s="48"/>
      <c r="M54" s="48"/>
      <c r="N54" s="48"/>
      <c r="O54" s="48"/>
      <c r="P54" s="48"/>
      <c r="Q54" s="48"/>
      <c r="R54" s="48"/>
      <c r="S54" s="48"/>
    </row>
    <row r="56" spans="4:19" ht="18.75" x14ac:dyDescent="0.3">
      <c r="E56" s="403" t="s">
        <v>599</v>
      </c>
      <c r="F56" s="403"/>
      <c r="G56" s="403"/>
      <c r="H56" s="403"/>
      <c r="I56" s="403"/>
      <c r="J56" s="403"/>
      <c r="K56" s="403"/>
      <c r="L56" s="403"/>
      <c r="M56" s="403"/>
      <c r="N56" s="403"/>
      <c r="O56" s="403"/>
      <c r="P56" s="403"/>
      <c r="Q56" s="403"/>
      <c r="R56" s="403"/>
      <c r="S56" s="403"/>
    </row>
    <row r="57" spans="4:19" x14ac:dyDescent="0.25">
      <c r="D57" s="48"/>
      <c r="E57" s="48"/>
      <c r="F57" s="48"/>
      <c r="G57" s="48"/>
      <c r="H57" s="48"/>
      <c r="I57" s="48"/>
      <c r="J57" s="48"/>
      <c r="K57" s="48"/>
      <c r="L57" s="48"/>
      <c r="M57" s="48"/>
      <c r="N57" s="48"/>
      <c r="O57" s="48"/>
      <c r="P57" s="48"/>
      <c r="Q57" s="48"/>
      <c r="R57" s="48"/>
      <c r="S57" s="48"/>
    </row>
    <row r="58" spans="4:19" x14ac:dyDescent="0.25">
      <c r="D58" s="48"/>
      <c r="E58" s="420" t="s">
        <v>830</v>
      </c>
      <c r="F58" s="420"/>
      <c r="G58" s="420"/>
      <c r="H58" s="420" t="s">
        <v>831</v>
      </c>
      <c r="I58" s="420"/>
      <c r="J58" s="48"/>
      <c r="K58" s="48"/>
      <c r="L58" s="48"/>
      <c r="M58" s="48"/>
      <c r="N58" s="48"/>
      <c r="O58" s="48"/>
      <c r="P58" s="48"/>
      <c r="Q58" s="48"/>
      <c r="R58" s="48"/>
      <c r="S58" s="48"/>
    </row>
    <row r="59" spans="4:19" x14ac:dyDescent="0.25">
      <c r="D59" s="48"/>
      <c r="E59" s="428">
        <f>'Tank and Material Properties'!D59</f>
        <v>0</v>
      </c>
      <c r="F59" s="428"/>
      <c r="G59" s="428"/>
      <c r="H59" s="421">
        <f>'Tank and Material Properties'!D60</f>
        <v>0</v>
      </c>
      <c r="I59" s="421"/>
      <c r="J59" s="48"/>
      <c r="K59" s="48"/>
      <c r="L59" s="48"/>
      <c r="M59" s="48"/>
      <c r="N59" s="48"/>
      <c r="O59" s="48"/>
      <c r="P59" s="48"/>
      <c r="Q59" s="48"/>
      <c r="R59" s="48"/>
      <c r="S59" s="48"/>
    </row>
    <row r="60" spans="4:19" x14ac:dyDescent="0.25">
      <c r="D60" s="48"/>
      <c r="E60" s="48"/>
      <c r="F60" s="48"/>
      <c r="G60" s="48"/>
      <c r="H60" s="48"/>
      <c r="I60" s="48"/>
      <c r="J60" s="48"/>
      <c r="K60" s="48"/>
      <c r="L60" s="146"/>
      <c r="M60" s="146"/>
      <c r="N60" s="146"/>
      <c r="O60" s="146"/>
      <c r="P60" s="146"/>
      <c r="Q60" s="146"/>
      <c r="R60" s="146"/>
      <c r="S60" s="146"/>
    </row>
    <row r="61" spans="4:19" ht="26.25" customHeight="1" x14ac:dyDescent="0.25">
      <c r="D61" s="48"/>
      <c r="E61" s="147" t="s">
        <v>832</v>
      </c>
      <c r="F61" s="147" t="s">
        <v>833</v>
      </c>
      <c r="G61" s="420" t="s">
        <v>608</v>
      </c>
      <c r="H61" s="420"/>
      <c r="I61" s="148" t="s">
        <v>609</v>
      </c>
      <c r="J61" s="149" t="s">
        <v>610</v>
      </c>
      <c r="K61" s="149" t="s">
        <v>611</v>
      </c>
      <c r="L61" s="425" t="s">
        <v>834</v>
      </c>
      <c r="M61" s="425"/>
      <c r="N61" s="425"/>
      <c r="O61" s="425" t="s">
        <v>835</v>
      </c>
      <c r="P61" s="425"/>
      <c r="Q61" s="424" t="s">
        <v>836</v>
      </c>
      <c r="R61" s="424"/>
      <c r="S61" s="146"/>
    </row>
    <row r="62" spans="4:19" ht="30" customHeight="1" x14ac:dyDescent="0.25">
      <c r="D62" s="48"/>
      <c r="E62" s="150" t="str">
        <f>'Tank and Material Properties'!B67</f>
        <v/>
      </c>
      <c r="F62" s="151" t="str">
        <f>IF('Tank and Material Properties'!C67="", "", 'Tank and Material Properties'!C67)</f>
        <v/>
      </c>
      <c r="G62" s="431" t="str">
        <f>IF(E62="","",'Tank and Material Properties'!F67)</f>
        <v/>
      </c>
      <c r="H62" s="431"/>
      <c r="I62" s="151" t="str">
        <f>'Tank and Material Properties'!H67</f>
        <v/>
      </c>
      <c r="J62" s="151" t="str">
        <f>'Tank and Material Properties'!I67</f>
        <v/>
      </c>
      <c r="K62" s="151" t="str">
        <f>'Tank and Material Properties'!J67</f>
        <v/>
      </c>
      <c r="L62" s="430" t="str">
        <f>IF(E62="","",'Tank and Material Properties'!K67)</f>
        <v/>
      </c>
      <c r="M62" s="430"/>
      <c r="N62" s="430"/>
      <c r="O62" s="426" t="str">
        <f>'Tank and Material Properties'!M67</f>
        <v/>
      </c>
      <c r="P62" s="426"/>
      <c r="Q62" s="426" t="str">
        <f>'Tank and Material Properties'!N67</f>
        <v/>
      </c>
      <c r="R62" s="426"/>
      <c r="S62" s="48"/>
    </row>
    <row r="63" spans="4:19" ht="30" customHeight="1" x14ac:dyDescent="0.25">
      <c r="E63" s="24" t="str">
        <f>'Tank and Material Properties'!B68</f>
        <v/>
      </c>
      <c r="F63" s="27" t="str">
        <f>IF('Tank and Material Properties'!C68="", "", 'Tank and Material Properties'!C68)</f>
        <v/>
      </c>
      <c r="G63" s="419" t="str">
        <f>IF(E63="","",'Tank and Material Properties'!F68)</f>
        <v/>
      </c>
      <c r="H63" s="419"/>
      <c r="I63" s="28" t="str">
        <f>'Tank and Material Properties'!H68</f>
        <v/>
      </c>
      <c r="J63" s="28" t="str">
        <f>'Tank and Material Properties'!I68</f>
        <v/>
      </c>
      <c r="K63" s="28" t="str">
        <f>'Tank and Material Properties'!J68</f>
        <v/>
      </c>
      <c r="L63" s="418" t="str">
        <f>IF(E63="","",'Tank and Material Properties'!K68)</f>
        <v/>
      </c>
      <c r="M63" s="418"/>
      <c r="N63" s="418"/>
      <c r="O63" s="427" t="str">
        <f>'Tank and Material Properties'!M68</f>
        <v/>
      </c>
      <c r="P63" s="427"/>
      <c r="Q63" s="427" t="str">
        <f>'Tank and Material Properties'!N68</f>
        <v/>
      </c>
      <c r="R63" s="427"/>
    </row>
    <row r="64" spans="4:19" ht="29.25" customHeight="1" x14ac:dyDescent="0.25">
      <c r="E64" s="24" t="str">
        <f>'Tank and Material Properties'!B69</f>
        <v/>
      </c>
      <c r="F64" s="27" t="str">
        <f>IF('Tank and Material Properties'!C69="", "", 'Tank and Material Properties'!C69)</f>
        <v/>
      </c>
      <c r="G64" s="419" t="str">
        <f>IF(E64="","",'Tank and Material Properties'!F69)</f>
        <v/>
      </c>
      <c r="H64" s="419"/>
      <c r="I64" s="28" t="str">
        <f>'Tank and Material Properties'!H69</f>
        <v/>
      </c>
      <c r="J64" s="28" t="str">
        <f>'Tank and Material Properties'!I69</f>
        <v/>
      </c>
      <c r="K64" s="28" t="str">
        <f>'Tank and Material Properties'!J69</f>
        <v/>
      </c>
      <c r="L64" s="418" t="str">
        <f>IF(E64="","",'Tank and Material Properties'!K69)</f>
        <v/>
      </c>
      <c r="M64" s="418"/>
      <c r="N64" s="418"/>
      <c r="O64" s="427" t="str">
        <f>'Tank and Material Properties'!M69</f>
        <v/>
      </c>
      <c r="P64" s="427"/>
      <c r="Q64" s="427" t="str">
        <f>'Tank and Material Properties'!N69</f>
        <v/>
      </c>
      <c r="R64" s="427"/>
    </row>
    <row r="65" spans="5:24" ht="31.5" customHeight="1" x14ac:dyDescent="0.25">
      <c r="E65" s="24" t="str">
        <f>'Tank and Material Properties'!B70</f>
        <v/>
      </c>
      <c r="F65" s="27" t="str">
        <f>IF('Tank and Material Properties'!C70="", "", 'Tank and Material Properties'!C70)</f>
        <v/>
      </c>
      <c r="G65" s="419" t="str">
        <f>IF(E65="","",'Tank and Material Properties'!F70)</f>
        <v/>
      </c>
      <c r="H65" s="419"/>
      <c r="I65" s="28" t="str">
        <f>'Tank and Material Properties'!H70</f>
        <v/>
      </c>
      <c r="J65" s="28" t="str">
        <f>'Tank and Material Properties'!I70</f>
        <v/>
      </c>
      <c r="K65" s="28" t="str">
        <f>'Tank and Material Properties'!J70</f>
        <v/>
      </c>
      <c r="L65" s="418" t="str">
        <f>IF(E65="","",'Tank and Material Properties'!K70)</f>
        <v/>
      </c>
      <c r="M65" s="418"/>
      <c r="N65" s="418"/>
      <c r="O65" s="427" t="str">
        <f>'Tank and Material Properties'!M70</f>
        <v/>
      </c>
      <c r="P65" s="427"/>
      <c r="Q65" s="427" t="str">
        <f>'Tank and Material Properties'!N70</f>
        <v/>
      </c>
      <c r="R65" s="427"/>
    </row>
    <row r="66" spans="5:24" ht="33.75" customHeight="1" x14ac:dyDescent="0.25">
      <c r="E66" s="24" t="str">
        <f>'Tank and Material Properties'!B71</f>
        <v/>
      </c>
      <c r="F66" s="27" t="str">
        <f>IF('Tank and Material Properties'!C71="", "", 'Tank and Material Properties'!C71)</f>
        <v/>
      </c>
      <c r="G66" s="419" t="str">
        <f>IF(E66="","",'Tank and Material Properties'!F71)</f>
        <v/>
      </c>
      <c r="H66" s="419"/>
      <c r="I66" s="28" t="str">
        <f>'Tank and Material Properties'!H71</f>
        <v/>
      </c>
      <c r="J66" s="28" t="str">
        <f>'Tank and Material Properties'!I71</f>
        <v/>
      </c>
      <c r="K66" s="28" t="str">
        <f>'Tank and Material Properties'!J71</f>
        <v/>
      </c>
      <c r="L66" s="418" t="str">
        <f>IF(E66="","",'Tank and Material Properties'!K71)</f>
        <v/>
      </c>
      <c r="M66" s="418"/>
      <c r="N66" s="418"/>
      <c r="O66" s="427" t="str">
        <f>'Tank and Material Properties'!M71</f>
        <v/>
      </c>
      <c r="P66" s="427"/>
      <c r="Q66" s="427" t="str">
        <f>'Tank and Material Properties'!N71</f>
        <v/>
      </c>
      <c r="R66" s="427"/>
    </row>
    <row r="67" spans="5:24" ht="36" customHeight="1" x14ac:dyDescent="0.25">
      <c r="E67" s="24" t="str">
        <f>'Tank and Material Properties'!B72</f>
        <v/>
      </c>
      <c r="F67" s="27" t="str">
        <f>IF('Tank and Material Properties'!C72="", "", 'Tank and Material Properties'!C72)</f>
        <v/>
      </c>
      <c r="G67" s="419" t="str">
        <f>IF(E67="","",'Tank and Material Properties'!F72)</f>
        <v/>
      </c>
      <c r="H67" s="419"/>
      <c r="I67" s="28" t="str">
        <f>'Tank and Material Properties'!H72</f>
        <v/>
      </c>
      <c r="J67" s="28" t="str">
        <f>'Tank and Material Properties'!I72</f>
        <v/>
      </c>
      <c r="K67" s="28" t="str">
        <f>'Tank and Material Properties'!J72</f>
        <v/>
      </c>
      <c r="L67" s="418" t="str">
        <f>IF(E67="","",'Tank and Material Properties'!K72)</f>
        <v/>
      </c>
      <c r="M67" s="418"/>
      <c r="N67" s="418"/>
      <c r="O67" s="427" t="str">
        <f>'Tank and Material Properties'!M72</f>
        <v/>
      </c>
      <c r="P67" s="427"/>
      <c r="Q67" s="427" t="str">
        <f>'Tank and Material Properties'!N72</f>
        <v/>
      </c>
      <c r="R67" s="427"/>
    </row>
    <row r="68" spans="5:24" ht="36.75" customHeight="1" x14ac:dyDescent="0.25">
      <c r="E68" s="24" t="str">
        <f>'Tank and Material Properties'!B73</f>
        <v/>
      </c>
      <c r="F68" s="27" t="str">
        <f>IF('Tank and Material Properties'!C73="", "", 'Tank and Material Properties'!C73)</f>
        <v/>
      </c>
      <c r="G68" s="419" t="str">
        <f>IF(E68="","",'Tank and Material Properties'!F73)</f>
        <v/>
      </c>
      <c r="H68" s="419"/>
      <c r="I68" s="28" t="str">
        <f>'Tank and Material Properties'!H73</f>
        <v/>
      </c>
      <c r="J68" s="28" t="str">
        <f>'Tank and Material Properties'!I73</f>
        <v/>
      </c>
      <c r="K68" s="28" t="str">
        <f>'Tank and Material Properties'!J73</f>
        <v/>
      </c>
      <c r="L68" s="418" t="str">
        <f>IF(E68="","",'Tank and Material Properties'!K73)</f>
        <v/>
      </c>
      <c r="M68" s="418"/>
      <c r="N68" s="418"/>
      <c r="O68" s="427" t="str">
        <f>'Tank and Material Properties'!M73</f>
        <v/>
      </c>
      <c r="P68" s="427"/>
      <c r="Q68" s="427" t="str">
        <f>'Tank and Material Properties'!N73</f>
        <v/>
      </c>
      <c r="R68" s="427"/>
    </row>
    <row r="69" spans="5:24" ht="36" customHeight="1" x14ac:dyDescent="0.25">
      <c r="E69" s="24" t="str">
        <f>'Tank and Material Properties'!B74</f>
        <v/>
      </c>
      <c r="F69" s="27" t="str">
        <f>IF('Tank and Material Properties'!C74="", "", 'Tank and Material Properties'!C74)</f>
        <v/>
      </c>
      <c r="G69" s="419" t="str">
        <f>IF(E69="","",'Tank and Material Properties'!F74)</f>
        <v/>
      </c>
      <c r="H69" s="419"/>
      <c r="I69" s="28" t="str">
        <f>'Tank and Material Properties'!H74</f>
        <v/>
      </c>
      <c r="J69" s="28" t="str">
        <f>'Tank and Material Properties'!I74</f>
        <v/>
      </c>
      <c r="K69" s="28" t="str">
        <f>'Tank and Material Properties'!J74</f>
        <v/>
      </c>
      <c r="L69" s="418" t="str">
        <f>IF(E69="","",'Tank and Material Properties'!K74)</f>
        <v/>
      </c>
      <c r="M69" s="418"/>
      <c r="N69" s="418"/>
      <c r="O69" s="427" t="str">
        <f>'Tank and Material Properties'!M74</f>
        <v/>
      </c>
      <c r="P69" s="427"/>
      <c r="Q69" s="427" t="str">
        <f>'Tank and Material Properties'!N74</f>
        <v/>
      </c>
      <c r="R69" s="427"/>
    </row>
    <row r="70" spans="5:24" ht="34.5" customHeight="1" x14ac:dyDescent="0.25">
      <c r="E70" s="24" t="str">
        <f>'Tank and Material Properties'!B75</f>
        <v/>
      </c>
      <c r="F70" s="27" t="str">
        <f>IF('Tank and Material Properties'!C75="", "", 'Tank and Material Properties'!C75)</f>
        <v/>
      </c>
      <c r="G70" s="419" t="str">
        <f>IF(E70="","",'Tank and Material Properties'!F75)</f>
        <v/>
      </c>
      <c r="H70" s="419"/>
      <c r="I70" s="28" t="str">
        <f>'Tank and Material Properties'!H75</f>
        <v/>
      </c>
      <c r="J70" s="28" t="str">
        <f>'Tank and Material Properties'!I75</f>
        <v/>
      </c>
      <c r="K70" s="28" t="str">
        <f>'Tank and Material Properties'!J75</f>
        <v/>
      </c>
      <c r="L70" s="418" t="str">
        <f>IF(E70="","",'Tank and Material Properties'!K75)</f>
        <v/>
      </c>
      <c r="M70" s="418"/>
      <c r="N70" s="418"/>
      <c r="O70" s="427" t="str">
        <f>'Tank and Material Properties'!M75</f>
        <v/>
      </c>
      <c r="P70" s="427"/>
      <c r="Q70" s="427" t="str">
        <f>'Tank and Material Properties'!N75</f>
        <v/>
      </c>
      <c r="R70" s="427"/>
      <c r="X70" t="s">
        <v>612</v>
      </c>
    </row>
    <row r="71" spans="5:24" ht="38.25" customHeight="1" x14ac:dyDescent="0.25">
      <c r="E71" s="24" t="str">
        <f>'Tank and Material Properties'!B76</f>
        <v/>
      </c>
      <c r="F71" s="27" t="str">
        <f>IF('Tank and Material Properties'!C76="", "", 'Tank and Material Properties'!C76)</f>
        <v/>
      </c>
      <c r="G71" s="419" t="str">
        <f>IF(E71="","",'Tank and Material Properties'!F76)</f>
        <v/>
      </c>
      <c r="H71" s="419"/>
      <c r="I71" s="28" t="str">
        <f>'Tank and Material Properties'!H76</f>
        <v/>
      </c>
      <c r="J71" s="28" t="str">
        <f>'Tank and Material Properties'!I76</f>
        <v/>
      </c>
      <c r="K71" s="28" t="str">
        <f>'Tank and Material Properties'!J76</f>
        <v/>
      </c>
      <c r="L71" s="418" t="str">
        <f>IF(E71="","",'Tank and Material Properties'!K76)</f>
        <v/>
      </c>
      <c r="M71" s="418"/>
      <c r="N71" s="418"/>
      <c r="O71" s="427" t="str">
        <f>'Tank and Material Properties'!M76</f>
        <v/>
      </c>
      <c r="P71" s="427"/>
      <c r="Q71" s="427" t="str">
        <f>'Tank and Material Properties'!N76</f>
        <v/>
      </c>
      <c r="R71" s="427"/>
    </row>
    <row r="72" spans="5:24" x14ac:dyDescent="0.25">
      <c r="E72" s="24"/>
      <c r="F72" s="25"/>
      <c r="G72" s="429"/>
      <c r="H72" s="429"/>
      <c r="I72" s="24"/>
      <c r="J72" s="24"/>
      <c r="K72" s="24"/>
      <c r="L72" s="24"/>
      <c r="M72" s="24"/>
      <c r="N72" s="24"/>
      <c r="O72" s="26"/>
      <c r="P72" s="26"/>
      <c r="Q72" s="26"/>
      <c r="R72" s="26"/>
    </row>
    <row r="73" spans="5:24" x14ac:dyDescent="0.25">
      <c r="E73" s="24"/>
      <c r="F73" s="25"/>
      <c r="G73" s="429"/>
      <c r="H73" s="429"/>
      <c r="I73" s="24"/>
      <c r="J73" s="24"/>
      <c r="K73" s="24"/>
      <c r="L73" s="24"/>
      <c r="M73" s="24"/>
      <c r="N73" s="24"/>
      <c r="O73" s="26"/>
      <c r="P73" s="26"/>
      <c r="Q73" s="26"/>
      <c r="R73" s="26"/>
    </row>
    <row r="74" spans="5:24" x14ac:dyDescent="0.25">
      <c r="E74" s="24"/>
      <c r="F74" s="24"/>
      <c r="G74" s="24"/>
      <c r="H74" s="24"/>
      <c r="I74" s="24"/>
      <c r="J74" s="24"/>
      <c r="K74" s="24"/>
      <c r="L74" s="24"/>
      <c r="M74" s="24"/>
      <c r="N74" s="24"/>
      <c r="O74" s="26"/>
      <c r="P74" s="26"/>
      <c r="Q74" s="26"/>
      <c r="R74" s="26"/>
    </row>
    <row r="75" spans="5:24" x14ac:dyDescent="0.25">
      <c r="E75" s="24"/>
      <c r="F75" s="24"/>
      <c r="G75" s="24"/>
      <c r="H75" s="24"/>
      <c r="I75" s="24"/>
      <c r="J75" s="24"/>
      <c r="K75" s="24"/>
      <c r="L75" s="24"/>
      <c r="M75" s="24"/>
      <c r="N75" s="24"/>
      <c r="O75" s="26"/>
      <c r="P75" s="26"/>
      <c r="Q75" s="24"/>
      <c r="R75" s="24"/>
    </row>
    <row r="76" spans="5:24" x14ac:dyDescent="0.25">
      <c r="E76" s="24"/>
      <c r="F76" s="24"/>
      <c r="G76" s="24"/>
      <c r="H76" s="24"/>
      <c r="I76" s="24"/>
      <c r="J76" s="24"/>
      <c r="K76" s="24"/>
      <c r="L76" s="24"/>
      <c r="M76" s="24"/>
      <c r="N76" s="24"/>
      <c r="O76" s="24"/>
      <c r="P76" s="24"/>
      <c r="Q76" s="24"/>
      <c r="R76" s="24"/>
    </row>
    <row r="77" spans="5:24" x14ac:dyDescent="0.25">
      <c r="E77" s="24"/>
      <c r="F77" s="24"/>
      <c r="G77" s="24"/>
      <c r="H77" s="24"/>
      <c r="I77" s="24"/>
      <c r="J77" s="24"/>
      <c r="K77" s="24"/>
      <c r="L77" s="24"/>
      <c r="M77" s="24"/>
      <c r="N77" s="24"/>
      <c r="O77" s="24"/>
      <c r="P77" s="24"/>
      <c r="Q77" s="24"/>
      <c r="R77" s="24"/>
    </row>
  </sheetData>
  <sheetProtection algorithmName="SHA-512" hashValue="dgTj+TAQhf6i8hwv7w3xWjYdZbLOUyHPyjPnG6+2sCi/WfFQM88KdHpPnTWo7jqPaAak2d8DsURM9+u8NbCHPg==" saltValue="9MJVadk60iwVgXYpb658wA==" spinCount="100000" sheet="1" objects="1" scenarios="1"/>
  <mergeCells count="136">
    <mergeCell ref="F54:I54"/>
    <mergeCell ref="D12:D21"/>
    <mergeCell ref="H4:J4"/>
    <mergeCell ref="H5:J5"/>
    <mergeCell ref="K4:N4"/>
    <mergeCell ref="K5:N5"/>
    <mergeCell ref="O67:P67"/>
    <mergeCell ref="O68:P68"/>
    <mergeCell ref="O69:P69"/>
    <mergeCell ref="F43:I43"/>
    <mergeCell ref="F44:I44"/>
    <mergeCell ref="F45:I45"/>
    <mergeCell ref="F46:I46"/>
    <mergeCell ref="L39:O39"/>
    <mergeCell ref="F42:I42"/>
    <mergeCell ref="F38:I38"/>
    <mergeCell ref="F29:I29"/>
    <mergeCell ref="F30:I30"/>
    <mergeCell ref="F31:I31"/>
    <mergeCell ref="P29:S29"/>
    <mergeCell ref="L29:O29"/>
    <mergeCell ref="P30:S30"/>
    <mergeCell ref="P31:S31"/>
    <mergeCell ref="P32:S32"/>
    <mergeCell ref="P42:S42"/>
    <mergeCell ref="P43:S43"/>
    <mergeCell ref="P45:S45"/>
    <mergeCell ref="P46:S46"/>
    <mergeCell ref="L50:O50"/>
    <mergeCell ref="L51:O51"/>
    <mergeCell ref="L52:O52"/>
    <mergeCell ref="L49:O49"/>
    <mergeCell ref="L43:O43"/>
    <mergeCell ref="L45:O45"/>
    <mergeCell ref="L48:O48"/>
    <mergeCell ref="L46:O46"/>
    <mergeCell ref="L47:O47"/>
    <mergeCell ref="L42:O42"/>
    <mergeCell ref="Q71:R71"/>
    <mergeCell ref="O71:P71"/>
    <mergeCell ref="Q62:R62"/>
    <mergeCell ref="Q63:R63"/>
    <mergeCell ref="Q64:R64"/>
    <mergeCell ref="Q65:R65"/>
    <mergeCell ref="Q66:R66"/>
    <mergeCell ref="Q67:R67"/>
    <mergeCell ref="Q68:R68"/>
    <mergeCell ref="Q69:R69"/>
    <mergeCell ref="Q70:R70"/>
    <mergeCell ref="O64:P64"/>
    <mergeCell ref="O65:P65"/>
    <mergeCell ref="O66:P66"/>
    <mergeCell ref="O70:P70"/>
    <mergeCell ref="G71:H71"/>
    <mergeCell ref="P53:S53"/>
    <mergeCell ref="E56:S56"/>
    <mergeCell ref="E58:G58"/>
    <mergeCell ref="E59:G59"/>
    <mergeCell ref="G72:H72"/>
    <mergeCell ref="G73:H73"/>
    <mergeCell ref="L62:N62"/>
    <mergeCell ref="L63:N63"/>
    <mergeCell ref="L64:N64"/>
    <mergeCell ref="L65:N65"/>
    <mergeCell ref="L66:N66"/>
    <mergeCell ref="L67:N67"/>
    <mergeCell ref="G67:H67"/>
    <mergeCell ref="G68:H68"/>
    <mergeCell ref="G69:H69"/>
    <mergeCell ref="G70:H70"/>
    <mergeCell ref="L68:N68"/>
    <mergeCell ref="L69:N69"/>
    <mergeCell ref="L70:N70"/>
    <mergeCell ref="G62:H62"/>
    <mergeCell ref="G63:H63"/>
    <mergeCell ref="G64:H64"/>
    <mergeCell ref="G65:H65"/>
    <mergeCell ref="L71:N71"/>
    <mergeCell ref="G66:H66"/>
    <mergeCell ref="H58:I58"/>
    <mergeCell ref="H59:I59"/>
    <mergeCell ref="P47:S47"/>
    <mergeCell ref="P48:S48"/>
    <mergeCell ref="P49:S49"/>
    <mergeCell ref="P50:S50"/>
    <mergeCell ref="P51:S51"/>
    <mergeCell ref="P52:S52"/>
    <mergeCell ref="L53:O53"/>
    <mergeCell ref="F53:I53"/>
    <mergeCell ref="F47:I47"/>
    <mergeCell ref="F48:I48"/>
    <mergeCell ref="F49:I49"/>
    <mergeCell ref="F50:I50"/>
    <mergeCell ref="F51:I51"/>
    <mergeCell ref="F52:I52"/>
    <mergeCell ref="Q61:R61"/>
    <mergeCell ref="L61:N61"/>
    <mergeCell ref="O61:P61"/>
    <mergeCell ref="G61:H61"/>
    <mergeCell ref="O62:P62"/>
    <mergeCell ref="O63:P63"/>
    <mergeCell ref="F39:I39"/>
    <mergeCell ref="F40:I40"/>
    <mergeCell ref="F41:I41"/>
    <mergeCell ref="L37:O37"/>
    <mergeCell ref="L38:O38"/>
    <mergeCell ref="P35:S35"/>
    <mergeCell ref="P36:S36"/>
    <mergeCell ref="P37:S37"/>
    <mergeCell ref="P38:S38"/>
    <mergeCell ref="P39:S39"/>
    <mergeCell ref="F36:I36"/>
    <mergeCell ref="F37:I37"/>
    <mergeCell ref="P40:S40"/>
    <mergeCell ref="P41:S41"/>
    <mergeCell ref="L40:O40"/>
    <mergeCell ref="L41:O41"/>
    <mergeCell ref="D3:S3"/>
    <mergeCell ref="L30:O30"/>
    <mergeCell ref="L35:O35"/>
    <mergeCell ref="L36:O36"/>
    <mergeCell ref="F32:I32"/>
    <mergeCell ref="F33:I33"/>
    <mergeCell ref="F34:I34"/>
    <mergeCell ref="F35:I35"/>
    <mergeCell ref="R9:S9"/>
    <mergeCell ref="E7:S7"/>
    <mergeCell ref="E26:S26"/>
    <mergeCell ref="L28:O28"/>
    <mergeCell ref="P28:S28"/>
    <mergeCell ref="L31:O31"/>
    <mergeCell ref="L32:O32"/>
    <mergeCell ref="P33:S33"/>
    <mergeCell ref="L33:O33"/>
    <mergeCell ref="L34:O34"/>
    <mergeCell ref="P34:S34"/>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5:O34"/>
  <sheetViews>
    <sheetView showGridLines="0" workbookViewId="0">
      <selection activeCell="F14" sqref="F14"/>
    </sheetView>
  </sheetViews>
  <sheetFormatPr defaultRowHeight="12" x14ac:dyDescent="0.2"/>
  <cols>
    <col min="1" max="3" width="9.140625" style="48"/>
    <col min="4" max="4" width="14.42578125" style="48" customWidth="1"/>
    <col min="5" max="5" width="61" style="48" customWidth="1"/>
    <col min="6" max="6" width="19.5703125" style="48" customWidth="1"/>
    <col min="7" max="11" width="9.140625" style="48"/>
    <col min="12" max="12" width="25.28515625" style="48" customWidth="1"/>
    <col min="13" max="14" width="9.140625" style="48"/>
    <col min="15" max="15" width="34.7109375" style="48" customWidth="1"/>
    <col min="16" max="16384" width="9.140625" style="48"/>
  </cols>
  <sheetData>
    <row r="5" spans="4:15" x14ac:dyDescent="0.2">
      <c r="D5" s="152" t="s">
        <v>482</v>
      </c>
      <c r="E5" s="153" t="s">
        <v>828</v>
      </c>
      <c r="F5" s="153" t="s">
        <v>837</v>
      </c>
    </row>
    <row r="6" spans="4:15" ht="23.25" customHeight="1" x14ac:dyDescent="0.2">
      <c r="D6" s="154" t="s">
        <v>483</v>
      </c>
      <c r="E6" s="155" t="s">
        <v>484</v>
      </c>
      <c r="F6" s="156">
        <f>'Tank and Material Properties'!D35</f>
        <v>0</v>
      </c>
      <c r="L6" s="441" t="s">
        <v>838</v>
      </c>
      <c r="M6" s="442"/>
      <c r="N6" s="157" t="e">
        <f>VLOOKUP('Tank and Material Properties'!D48,L7:M9,2)</f>
        <v>#N/A</v>
      </c>
      <c r="O6" s="158" t="s">
        <v>508</v>
      </c>
    </row>
    <row r="7" spans="4:15" x14ac:dyDescent="0.2">
      <c r="D7" s="154" t="s">
        <v>485</v>
      </c>
      <c r="E7" s="155" t="s">
        <v>486</v>
      </c>
      <c r="F7" s="156">
        <f>'Tank and Material Properties'!D36</f>
        <v>0</v>
      </c>
      <c r="L7" s="159" t="s">
        <v>509</v>
      </c>
      <c r="M7" s="157">
        <v>3</v>
      </c>
    </row>
    <row r="8" spans="4:15" x14ac:dyDescent="0.2">
      <c r="D8" s="160" t="s">
        <v>668</v>
      </c>
      <c r="E8" s="155" t="s">
        <v>487</v>
      </c>
      <c r="F8" s="156">
        <f>IF('Tank and Material Properties'!D37="Unknown", 0.5*'Tank and Material Properties'!D36, 'Tank and Material Properties'!D37)</f>
        <v>0</v>
      </c>
      <c r="L8" s="159" t="s">
        <v>510</v>
      </c>
      <c r="M8" s="157">
        <v>4</v>
      </c>
    </row>
    <row r="9" spans="4:15" x14ac:dyDescent="0.2">
      <c r="D9" s="154" t="s">
        <v>669</v>
      </c>
      <c r="E9" s="155" t="s">
        <v>488</v>
      </c>
      <c r="F9" s="156">
        <f>IF('Tank and Material Properties'!D38="Unknown", 1, 'Tank and Material Properties'!D38)</f>
        <v>0</v>
      </c>
      <c r="L9" s="159" t="s">
        <v>511</v>
      </c>
      <c r="M9" s="157">
        <v>5</v>
      </c>
    </row>
    <row r="10" spans="4:15" x14ac:dyDescent="0.2">
      <c r="D10" s="154" t="s">
        <v>670</v>
      </c>
      <c r="E10" s="155" t="s">
        <v>516</v>
      </c>
      <c r="F10" s="156">
        <f>IF('Tank and Material Properties'!D39="Unknown", F7-1, 'Tank and Material Properties'!D39)</f>
        <v>0</v>
      </c>
    </row>
    <row r="11" spans="4:15" ht="13.5" x14ac:dyDescent="0.25">
      <c r="D11" s="154" t="s">
        <v>671</v>
      </c>
      <c r="E11" s="155" t="s">
        <v>489</v>
      </c>
      <c r="F11" s="161">
        <f>IF('Tank and Material Properties'!D40="Yes", 0.75,1)</f>
        <v>1</v>
      </c>
      <c r="G11" s="48" t="s">
        <v>697</v>
      </c>
    </row>
    <row r="12" spans="4:15" ht="15.75" customHeight="1" x14ac:dyDescent="0.2">
      <c r="D12" s="154" t="s">
        <v>490</v>
      </c>
      <c r="E12" s="155" t="s">
        <v>491</v>
      </c>
      <c r="F12" s="162">
        <f>'Tank and Material Properties'!D41/42</f>
        <v>0</v>
      </c>
      <c r="L12" s="441" t="s">
        <v>839</v>
      </c>
      <c r="M12" s="442"/>
      <c r="N12" s="157" t="e">
        <f>VLOOKUP('Tank and Material Properties'!D50,L13:M15,2)</f>
        <v>#N/A</v>
      </c>
      <c r="O12" s="158" t="s">
        <v>508</v>
      </c>
    </row>
    <row r="13" spans="4:15" x14ac:dyDescent="0.2">
      <c r="D13" s="154" t="s">
        <v>672</v>
      </c>
      <c r="E13" s="155" t="s">
        <v>492</v>
      </c>
      <c r="F13" s="156">
        <f>IF('Tank and Material Properties'!D42="Unknown",(5.614*'Input Variables'!F12)/((PI()/4)*'Input Variables'!F6^2),'Tank and Material Properties'!D42)</f>
        <v>0</v>
      </c>
      <c r="G13" s="48" t="s">
        <v>635</v>
      </c>
      <c r="L13" s="159" t="s">
        <v>509</v>
      </c>
      <c r="M13" s="157">
        <v>3</v>
      </c>
    </row>
    <row r="14" spans="4:15" x14ac:dyDescent="0.2">
      <c r="D14" s="154" t="s">
        <v>493</v>
      </c>
      <c r="E14" s="155" t="s">
        <v>494</v>
      </c>
      <c r="F14" s="163" t="e">
        <f>F13/(F10-F9)</f>
        <v>#DIV/0!</v>
      </c>
      <c r="G14" s="48" t="s">
        <v>636</v>
      </c>
      <c r="L14" s="159" t="s">
        <v>510</v>
      </c>
      <c r="M14" s="157">
        <v>4</v>
      </c>
    </row>
    <row r="15" spans="4:15" ht="13.5" x14ac:dyDescent="0.25">
      <c r="D15" s="154" t="s">
        <v>673</v>
      </c>
      <c r="E15" s="155" t="s">
        <v>495</v>
      </c>
      <c r="F15" s="156" t="e">
        <f>IF('Tank and Material Properties'!D43="Yes", 1, IF('Input Variables'!F14&lt;=36, 1, (180+'Input Variables'!F14)/(6*'Input Variables'!F14)))</f>
        <v>#DIV/0!</v>
      </c>
      <c r="G15" s="48" t="s">
        <v>698</v>
      </c>
      <c r="L15" s="159" t="s">
        <v>511</v>
      </c>
      <c r="M15" s="157">
        <v>5</v>
      </c>
    </row>
    <row r="16" spans="4:15" ht="13.5" x14ac:dyDescent="0.2">
      <c r="D16" s="154" t="s">
        <v>674</v>
      </c>
      <c r="E16" s="155" t="s">
        <v>675</v>
      </c>
      <c r="F16" s="156">
        <f>F13*(PI()/4)*F6^2</f>
        <v>0</v>
      </c>
      <c r="G16" s="48" t="s">
        <v>637</v>
      </c>
    </row>
    <row r="17" spans="4:12" x14ac:dyDescent="0.2">
      <c r="D17" s="154" t="s">
        <v>496</v>
      </c>
      <c r="E17" s="155" t="s">
        <v>497</v>
      </c>
      <c r="F17" s="156">
        <f>'Tank and Material Properties'!D44</f>
        <v>0</v>
      </c>
    </row>
    <row r="18" spans="4:12" ht="13.5" x14ac:dyDescent="0.25">
      <c r="D18" s="154" t="s">
        <v>677</v>
      </c>
      <c r="E18" s="155" t="s">
        <v>498</v>
      </c>
      <c r="F18" s="156">
        <f>IF('Tank and Material Properties'!D45="Dome", "N/A", IF('Tank and Material Properties'!D46="Unknown", 0.0625, 'Tank and Material Properties'!D46))</f>
        <v>0</v>
      </c>
      <c r="G18" s="48" t="s">
        <v>699</v>
      </c>
      <c r="L18" s="164" t="s">
        <v>840</v>
      </c>
    </row>
    <row r="19" spans="4:12" ht="13.5" x14ac:dyDescent="0.25">
      <c r="D19" s="154" t="s">
        <v>678</v>
      </c>
      <c r="E19" s="155" t="s">
        <v>499</v>
      </c>
      <c r="F19" s="156">
        <f>IF('Tank and Material Properties'!D45="Cone", "N/A", IF('Tank and Material Properties'!D46="Unknown", 'Input Variables'!F6, 'Tank and Material Properties'!D46))</f>
        <v>0</v>
      </c>
      <c r="G19" s="48" t="s">
        <v>700</v>
      </c>
      <c r="L19" s="155" t="s">
        <v>515</v>
      </c>
    </row>
    <row r="20" spans="4:12" x14ac:dyDescent="0.2">
      <c r="D20" s="154" t="s">
        <v>679</v>
      </c>
      <c r="E20" s="155" t="s">
        <v>500</v>
      </c>
      <c r="F20" s="156" t="str">
        <f>IF('Tank and Material Properties'!D45="Dome", F19-(F19^2-F17^2)^0.5, IF('Tank and Material Properties'!D45="Cone", F18*F17,""))</f>
        <v/>
      </c>
      <c r="G20" s="48" t="s">
        <v>639</v>
      </c>
      <c r="L20" s="155"/>
    </row>
    <row r="21" spans="4:12" x14ac:dyDescent="0.2">
      <c r="D21" s="154" t="s">
        <v>680</v>
      </c>
      <c r="E21" s="155" t="s">
        <v>501</v>
      </c>
      <c r="F21" s="156" t="str">
        <f>IF('Tank and Material Properties'!D45="Dome", 'Input Variables'!F20*(0.5+(1/6)*('Input Variables'!F20/'Input Variables'!F17)^2), IF('Tank and Material Properties'!D45="Cone", (1/3)*'Input Variables'!F20, ""))</f>
        <v/>
      </c>
      <c r="G21" s="48" t="s">
        <v>638</v>
      </c>
    </row>
    <row r="22" spans="4:12" x14ac:dyDescent="0.2">
      <c r="D22" s="154" t="s">
        <v>681</v>
      </c>
      <c r="E22" s="155" t="s">
        <v>502</v>
      </c>
      <c r="F22" s="156" t="e">
        <f>F7-F8+F21</f>
        <v>#VALUE!</v>
      </c>
      <c r="G22" s="48" t="s">
        <v>640</v>
      </c>
    </row>
    <row r="23" spans="4:12" ht="13.5" x14ac:dyDescent="0.2">
      <c r="D23" s="154" t="s">
        <v>682</v>
      </c>
      <c r="E23" s="165" t="s">
        <v>683</v>
      </c>
      <c r="F23" s="156" t="e">
        <f>(PI()/4)*(F6^2)*(F22)</f>
        <v>#VALUE!</v>
      </c>
      <c r="G23" s="48" t="s">
        <v>641</v>
      </c>
    </row>
    <row r="24" spans="4:12" x14ac:dyDescent="0.2">
      <c r="D24" s="154" t="s">
        <v>684</v>
      </c>
      <c r="E24" s="155" t="s">
        <v>503</v>
      </c>
      <c r="F24" s="161" t="e">
        <f>VLOOKUP('Tank and Material Properties'!D47,'Reference Tables'!A7:E20,N6)</f>
        <v>#N/A</v>
      </c>
      <c r="G24" s="48" t="s">
        <v>642</v>
      </c>
    </row>
    <row r="25" spans="4:12" x14ac:dyDescent="0.2">
      <c r="D25" s="154" t="s">
        <v>685</v>
      </c>
      <c r="E25" s="155" t="s">
        <v>504</v>
      </c>
      <c r="F25" s="161" t="e">
        <f>VLOOKUP('Tank and Material Properties'!D49,'Reference Tables'!A8:E21,N12)</f>
        <v>#N/A</v>
      </c>
      <c r="G25" s="48" t="s">
        <v>643</v>
      </c>
    </row>
    <row r="26" spans="4:12" x14ac:dyDescent="0.2">
      <c r="D26" s="154" t="s">
        <v>686</v>
      </c>
      <c r="E26" s="155" t="s">
        <v>505</v>
      </c>
      <c r="F26" s="161">
        <f>IF('Tank and Material Properties'!D51="Unknown",0.03,'Tank and Material Properties'!D51)</f>
        <v>0</v>
      </c>
      <c r="G26" s="48" t="s">
        <v>644</v>
      </c>
    </row>
    <row r="27" spans="4:12" x14ac:dyDescent="0.2">
      <c r="D27" s="154" t="s">
        <v>687</v>
      </c>
      <c r="E27" s="155" t="s">
        <v>506</v>
      </c>
      <c r="F27" s="161">
        <f>IF('Tank and Material Properties'!D52="Unknown",-0.03,'Tank and Material Properties'!D52)</f>
        <v>0</v>
      </c>
      <c r="G27" s="48" t="s">
        <v>645</v>
      </c>
    </row>
    <row r="28" spans="4:12" x14ac:dyDescent="0.2">
      <c r="D28" s="154" t="s">
        <v>688</v>
      </c>
      <c r="E28" s="155" t="s">
        <v>507</v>
      </c>
      <c r="F28" s="161">
        <f>IF(OR('Tank and Material Properties'!D55="Yes",'Tank and Material Properties'!D55="Unknown"),0,'Input Variables'!F26-'Input Variables'!F27)</f>
        <v>0</v>
      </c>
      <c r="G28" s="48" t="s">
        <v>646</v>
      </c>
    </row>
    <row r="29" spans="4:12" ht="13.5" x14ac:dyDescent="0.25">
      <c r="D29" s="127" t="s">
        <v>689</v>
      </c>
      <c r="E29" s="155" t="s">
        <v>546</v>
      </c>
      <c r="F29" s="161" t="str">
        <f>IF('Tank and Material Properties'!D56="","N/A", IF( 'Tank and Material Properties'!D56="Held at atmospheric pressure", 0, 'Tank and Material Properties'!D56))</f>
        <v>N/A</v>
      </c>
    </row>
    <row r="30" spans="4:12" ht="13.5" x14ac:dyDescent="0.25">
      <c r="D30" s="127" t="s">
        <v>690</v>
      </c>
      <c r="E30" s="155" t="s">
        <v>593</v>
      </c>
      <c r="F30" s="161" t="e">
        <f>AVERAGE('Emissions Calculation'!C103:N103)</f>
        <v>#N/A</v>
      </c>
      <c r="G30" s="48" t="s">
        <v>643</v>
      </c>
    </row>
    <row r="31" spans="4:12" ht="13.5" x14ac:dyDescent="0.25">
      <c r="D31" s="127" t="s">
        <v>691</v>
      </c>
      <c r="E31" s="155" t="s">
        <v>647</v>
      </c>
      <c r="F31" s="161" t="e">
        <f>IF('Tank and Material Properties'!B44="&lt;Leave this row blank&gt;", "N/A", 'Emissions Calculation'!C37)</f>
        <v>#N/A</v>
      </c>
    </row>
    <row r="33" spans="4:6" x14ac:dyDescent="0.2">
      <c r="D33" s="443" t="s">
        <v>567</v>
      </c>
      <c r="E33" s="443"/>
      <c r="F33" s="443"/>
    </row>
    <row r="34" spans="4:6" ht="37.5" customHeight="1" x14ac:dyDescent="0.2">
      <c r="D34" s="155" t="s">
        <v>566</v>
      </c>
      <c r="E34" s="166">
        <f>'Tank and Material Properties'!D53</f>
        <v>0</v>
      </c>
      <c r="F34" s="167">
        <f>IF(LEFT(E34,1)="3",3, IF(LEFT(E34,1)="2", 2, 1))</f>
        <v>1</v>
      </c>
    </row>
  </sheetData>
  <sheetProtection algorithmName="SHA-512" hashValue="K+RhMDlVX3Qy0gY3F8aLgbqori6s1PV+08P515q0WSKAD/mof9dNbKJVBTGlCJ0jhhIm73VZDYTlVLladi9uBw==" saltValue="S2UPpi1x818ul8CNE2WkSg==" spinCount="100000" sheet="1" objects="1" scenarios="1"/>
  <mergeCells count="3">
    <mergeCell ref="L6:M6"/>
    <mergeCell ref="L12:M12"/>
    <mergeCell ref="D33:F3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162"/>
  <sheetViews>
    <sheetView showGridLines="0" zoomScaleNormal="100" workbookViewId="0">
      <selection activeCell="B7" sqref="B7"/>
    </sheetView>
  </sheetViews>
  <sheetFormatPr defaultColWidth="9.140625" defaultRowHeight="12" x14ac:dyDescent="0.2"/>
  <cols>
    <col min="1" max="1" width="9.140625" style="140"/>
    <col min="2" max="2" width="65.140625" style="140" customWidth="1"/>
    <col min="3" max="3" width="13.5703125" style="140" customWidth="1"/>
    <col min="4" max="4" width="15.28515625" style="140" customWidth="1"/>
    <col min="5" max="7" width="12.7109375" style="140" customWidth="1"/>
    <col min="8" max="8" width="11.140625" style="140" customWidth="1"/>
    <col min="9" max="9" width="16.5703125" style="140" customWidth="1"/>
    <col min="10" max="10" width="12.7109375" style="140" customWidth="1"/>
    <col min="11" max="11" width="22.42578125" style="140" customWidth="1"/>
    <col min="12" max="14" width="12.7109375" style="140" customWidth="1"/>
    <col min="15" max="15" width="18.85546875" style="140" customWidth="1"/>
    <col min="16" max="16" width="21.5703125" style="140" customWidth="1"/>
    <col min="17" max="17" width="68.140625" style="140" customWidth="1"/>
    <col min="18" max="18" width="5.5703125" style="140" customWidth="1"/>
    <col min="19" max="23" width="9.140625" style="140"/>
    <col min="24" max="24" width="13" style="140" customWidth="1"/>
    <col min="25" max="16384" width="9.140625" style="140"/>
  </cols>
  <sheetData>
    <row r="1" spans="1:31" x14ac:dyDescent="0.2">
      <c r="A1" s="168"/>
    </row>
    <row r="4" spans="1:31" x14ac:dyDescent="0.2">
      <c r="A4" s="168" t="s">
        <v>413</v>
      </c>
      <c r="C4" s="141" t="s">
        <v>409</v>
      </c>
      <c r="D4" s="141" t="s">
        <v>408</v>
      </c>
      <c r="E4" s="141" t="s">
        <v>407</v>
      </c>
      <c r="F4" s="141" t="s">
        <v>406</v>
      </c>
      <c r="G4" s="141" t="s">
        <v>405</v>
      </c>
      <c r="H4" s="141" t="s">
        <v>404</v>
      </c>
      <c r="I4" s="141" t="s">
        <v>403</v>
      </c>
      <c r="J4" s="141" t="s">
        <v>402</v>
      </c>
      <c r="K4" s="141" t="s">
        <v>401</v>
      </c>
      <c r="L4" s="141" t="s">
        <v>400</v>
      </c>
      <c r="M4" s="141" t="s">
        <v>399</v>
      </c>
      <c r="N4" s="141" t="s">
        <v>398</v>
      </c>
      <c r="O4" s="169" t="s">
        <v>841</v>
      </c>
      <c r="P4" s="170"/>
    </row>
    <row r="5" spans="1:31" x14ac:dyDescent="0.2">
      <c r="B5" s="171" t="s">
        <v>844</v>
      </c>
      <c r="C5" s="142" t="e">
        <f>C144</f>
        <v>#DIV/0!</v>
      </c>
      <c r="D5" s="142" t="e">
        <f t="shared" ref="D5:N5" si="0">D144</f>
        <v>#DIV/0!</v>
      </c>
      <c r="E5" s="142" t="e">
        <f t="shared" si="0"/>
        <v>#DIV/0!</v>
      </c>
      <c r="F5" s="142" t="e">
        <f t="shared" si="0"/>
        <v>#DIV/0!</v>
      </c>
      <c r="G5" s="142" t="e">
        <f t="shared" si="0"/>
        <v>#DIV/0!</v>
      </c>
      <c r="H5" s="142" t="e">
        <f t="shared" si="0"/>
        <v>#DIV/0!</v>
      </c>
      <c r="I5" s="142" t="e">
        <f t="shared" si="0"/>
        <v>#DIV/0!</v>
      </c>
      <c r="J5" s="142" t="e">
        <f t="shared" si="0"/>
        <v>#DIV/0!</v>
      </c>
      <c r="K5" s="142" t="e">
        <f t="shared" si="0"/>
        <v>#DIV/0!</v>
      </c>
      <c r="L5" s="142" t="e">
        <f t="shared" si="0"/>
        <v>#DIV/0!</v>
      </c>
      <c r="M5" s="142" t="e">
        <f t="shared" si="0"/>
        <v>#DIV/0!</v>
      </c>
      <c r="N5" s="142" t="e">
        <f t="shared" si="0"/>
        <v>#DIV/0!</v>
      </c>
      <c r="O5" s="172" t="e">
        <f>SUM(C5:N5)</f>
        <v>#DIV/0!</v>
      </c>
      <c r="P5" s="173" t="s">
        <v>395</v>
      </c>
    </row>
    <row r="7" spans="1:31" x14ac:dyDescent="0.2">
      <c r="B7" s="144" t="str">
        <f>_xlfn.IFNA(VLOOKUP(S7,J56:K65,2,FALSE),"")</f>
        <v/>
      </c>
      <c r="C7" s="145" t="str">
        <f t="shared" ref="C7:N7" si="1">_xlfn.IFNA(VLOOKUP($B7,$B$148:$N$157,T$7,FALSE),"")</f>
        <v/>
      </c>
      <c r="D7" s="145" t="str">
        <f t="shared" si="1"/>
        <v/>
      </c>
      <c r="E7" s="145" t="str">
        <f t="shared" si="1"/>
        <v/>
      </c>
      <c r="F7" s="145" t="str">
        <f t="shared" si="1"/>
        <v/>
      </c>
      <c r="G7" s="145" t="str">
        <f t="shared" si="1"/>
        <v/>
      </c>
      <c r="H7" s="145" t="str">
        <f t="shared" si="1"/>
        <v/>
      </c>
      <c r="I7" s="145" t="str">
        <f t="shared" si="1"/>
        <v/>
      </c>
      <c r="J7" s="145" t="str">
        <f t="shared" si="1"/>
        <v/>
      </c>
      <c r="K7" s="145" t="str">
        <f t="shared" si="1"/>
        <v/>
      </c>
      <c r="L7" s="145" t="str">
        <f t="shared" si="1"/>
        <v/>
      </c>
      <c r="M7" s="145" t="str">
        <f t="shared" si="1"/>
        <v/>
      </c>
      <c r="N7" s="145" t="str">
        <f t="shared" si="1"/>
        <v/>
      </c>
      <c r="O7" s="172" t="str">
        <f>IF(B7&lt;&gt;"",SUM(C7:N7),"")</f>
        <v/>
      </c>
      <c r="P7" s="174" t="s">
        <v>395</v>
      </c>
      <c r="S7" s="170">
        <v>1</v>
      </c>
      <c r="T7" s="140">
        <v>2</v>
      </c>
      <c r="U7" s="140">
        <v>3</v>
      </c>
      <c r="V7" s="122">
        <v>4</v>
      </c>
      <c r="W7" s="122">
        <v>5</v>
      </c>
      <c r="X7" s="122">
        <v>6</v>
      </c>
      <c r="Y7" s="122">
        <v>7</v>
      </c>
      <c r="Z7" s="122">
        <v>8</v>
      </c>
      <c r="AA7" s="122">
        <v>9</v>
      </c>
      <c r="AB7" s="122">
        <v>10</v>
      </c>
      <c r="AC7" s="122">
        <v>11</v>
      </c>
      <c r="AD7" s="122">
        <v>12</v>
      </c>
      <c r="AE7" s="122">
        <v>13</v>
      </c>
    </row>
    <row r="8" spans="1:31" x14ac:dyDescent="0.2">
      <c r="B8" s="144" t="str">
        <f t="shared" ref="B8:B16" si="2">_xlfn.IFNA(VLOOKUP(S8,J57:K66,2,FALSE),"")</f>
        <v/>
      </c>
      <c r="C8" s="145" t="str">
        <f t="shared" ref="C8:C16" si="3">_xlfn.IFNA(VLOOKUP($B8,$B$148:$N$157,T$7,FALSE),"")</f>
        <v/>
      </c>
      <c r="D8" s="145" t="str">
        <f t="shared" ref="D8:D16" si="4">_xlfn.IFNA(VLOOKUP($B8,$B$148:$N$157,U$7,FALSE),"")</f>
        <v/>
      </c>
      <c r="E8" s="145" t="str">
        <f t="shared" ref="E8:E16" si="5">_xlfn.IFNA(VLOOKUP($B8,$B$148:$N$157,V$7,FALSE),"")</f>
        <v/>
      </c>
      <c r="F8" s="145" t="str">
        <f t="shared" ref="F8:F16" si="6">_xlfn.IFNA(VLOOKUP($B8,$B$148:$N$157,W$7,FALSE),"")</f>
        <v/>
      </c>
      <c r="G8" s="145" t="str">
        <f t="shared" ref="G8:G16" si="7">_xlfn.IFNA(VLOOKUP($B8,$B$148:$N$157,X$7,FALSE),"")</f>
        <v/>
      </c>
      <c r="H8" s="145" t="str">
        <f t="shared" ref="H8:H16" si="8">_xlfn.IFNA(VLOOKUP($B8,$B$148:$N$157,Y$7,FALSE),"")</f>
        <v/>
      </c>
      <c r="I8" s="145" t="str">
        <f t="shared" ref="I8:I16" si="9">_xlfn.IFNA(VLOOKUP($B8,$B$148:$N$157,Z$7,FALSE),"")</f>
        <v/>
      </c>
      <c r="J8" s="145" t="str">
        <f t="shared" ref="J8:J16" si="10">_xlfn.IFNA(VLOOKUP($B8,$B$148:$N$157,AA$7,FALSE),"")</f>
        <v/>
      </c>
      <c r="K8" s="145" t="str">
        <f t="shared" ref="K8:K16" si="11">_xlfn.IFNA(VLOOKUP($B8,$B$148:$N$157,AB$7,FALSE),"")</f>
        <v/>
      </c>
      <c r="L8" s="145" t="str">
        <f t="shared" ref="L8:L16" si="12">_xlfn.IFNA(VLOOKUP($B8,$B$148:$N$157,AC$7,FALSE),"")</f>
        <v/>
      </c>
      <c r="M8" s="145" t="str">
        <f t="shared" ref="M8:M16" si="13">_xlfn.IFNA(VLOOKUP($B8,$B$148:$N$157,AD$7,FALSE),"")</f>
        <v/>
      </c>
      <c r="N8" s="145" t="str">
        <f t="shared" ref="N8:N16" si="14">_xlfn.IFNA(VLOOKUP($B8,$B$148:$N$157,AE$7,FALSE),"")</f>
        <v/>
      </c>
      <c r="O8" s="172" t="str">
        <f t="shared" ref="O8:O16" si="15">IF(B8&lt;&gt;"",SUM(C8:N8),"")</f>
        <v/>
      </c>
      <c r="P8" s="174" t="s">
        <v>395</v>
      </c>
      <c r="S8" s="170">
        <v>2</v>
      </c>
    </row>
    <row r="9" spans="1:31" x14ac:dyDescent="0.2">
      <c r="B9" s="144" t="str">
        <f t="shared" si="2"/>
        <v/>
      </c>
      <c r="C9" s="145" t="str">
        <f t="shared" si="3"/>
        <v/>
      </c>
      <c r="D9" s="145" t="str">
        <f t="shared" si="4"/>
        <v/>
      </c>
      <c r="E9" s="145" t="str">
        <f t="shared" si="5"/>
        <v/>
      </c>
      <c r="F9" s="145" t="str">
        <f t="shared" si="6"/>
        <v/>
      </c>
      <c r="G9" s="145" t="str">
        <f t="shared" si="7"/>
        <v/>
      </c>
      <c r="H9" s="145" t="str">
        <f t="shared" si="8"/>
        <v/>
      </c>
      <c r="I9" s="145" t="str">
        <f t="shared" si="9"/>
        <v/>
      </c>
      <c r="J9" s="145" t="str">
        <f t="shared" si="10"/>
        <v/>
      </c>
      <c r="K9" s="145" t="str">
        <f t="shared" si="11"/>
        <v/>
      </c>
      <c r="L9" s="145" t="str">
        <f t="shared" si="12"/>
        <v/>
      </c>
      <c r="M9" s="145" t="str">
        <f t="shared" si="13"/>
        <v/>
      </c>
      <c r="N9" s="145" t="str">
        <f t="shared" si="14"/>
        <v/>
      </c>
      <c r="O9" s="172" t="str">
        <f t="shared" si="15"/>
        <v/>
      </c>
      <c r="P9" s="174" t="s">
        <v>395</v>
      </c>
      <c r="S9" s="170">
        <v>3</v>
      </c>
    </row>
    <row r="10" spans="1:31" x14ac:dyDescent="0.2">
      <c r="B10" s="144" t="str">
        <f t="shared" si="2"/>
        <v/>
      </c>
      <c r="C10" s="145" t="str">
        <f t="shared" si="3"/>
        <v/>
      </c>
      <c r="D10" s="145" t="str">
        <f t="shared" si="4"/>
        <v/>
      </c>
      <c r="E10" s="145" t="str">
        <f t="shared" si="5"/>
        <v/>
      </c>
      <c r="F10" s="145" t="str">
        <f t="shared" si="6"/>
        <v/>
      </c>
      <c r="G10" s="145" t="str">
        <f t="shared" si="7"/>
        <v/>
      </c>
      <c r="H10" s="145" t="str">
        <f t="shared" si="8"/>
        <v/>
      </c>
      <c r="I10" s="145" t="str">
        <f t="shared" si="9"/>
        <v/>
      </c>
      <c r="J10" s="145" t="str">
        <f t="shared" si="10"/>
        <v/>
      </c>
      <c r="K10" s="145" t="str">
        <f t="shared" si="11"/>
        <v/>
      </c>
      <c r="L10" s="145" t="str">
        <f t="shared" si="12"/>
        <v/>
      </c>
      <c r="M10" s="145" t="str">
        <f t="shared" si="13"/>
        <v/>
      </c>
      <c r="N10" s="145" t="str">
        <f t="shared" si="14"/>
        <v/>
      </c>
      <c r="O10" s="172" t="str">
        <f t="shared" si="15"/>
        <v/>
      </c>
      <c r="P10" s="174" t="s">
        <v>395</v>
      </c>
      <c r="S10" s="122">
        <v>4</v>
      </c>
    </row>
    <row r="11" spans="1:31" x14ac:dyDescent="0.2">
      <c r="B11" s="144" t="str">
        <f t="shared" si="2"/>
        <v/>
      </c>
      <c r="C11" s="145" t="str">
        <f t="shared" si="3"/>
        <v/>
      </c>
      <c r="D11" s="145" t="str">
        <f t="shared" si="4"/>
        <v/>
      </c>
      <c r="E11" s="145" t="str">
        <f t="shared" si="5"/>
        <v/>
      </c>
      <c r="F11" s="145" t="str">
        <f t="shared" si="6"/>
        <v/>
      </c>
      <c r="G11" s="145" t="str">
        <f t="shared" si="7"/>
        <v/>
      </c>
      <c r="H11" s="145" t="str">
        <f t="shared" si="8"/>
        <v/>
      </c>
      <c r="I11" s="145" t="str">
        <f t="shared" si="9"/>
        <v/>
      </c>
      <c r="J11" s="145" t="str">
        <f t="shared" si="10"/>
        <v/>
      </c>
      <c r="K11" s="145" t="str">
        <f t="shared" si="11"/>
        <v/>
      </c>
      <c r="L11" s="145" t="str">
        <f t="shared" si="12"/>
        <v/>
      </c>
      <c r="M11" s="145" t="str">
        <f t="shared" si="13"/>
        <v/>
      </c>
      <c r="N11" s="145" t="str">
        <f t="shared" si="14"/>
        <v/>
      </c>
      <c r="O11" s="172" t="str">
        <f t="shared" si="15"/>
        <v/>
      </c>
      <c r="P11" s="174" t="s">
        <v>395</v>
      </c>
      <c r="S11" s="122">
        <v>5</v>
      </c>
    </row>
    <row r="12" spans="1:31" x14ac:dyDescent="0.2">
      <c r="B12" s="144" t="str">
        <f t="shared" si="2"/>
        <v/>
      </c>
      <c r="C12" s="145" t="str">
        <f t="shared" si="3"/>
        <v/>
      </c>
      <c r="D12" s="145" t="str">
        <f t="shared" si="4"/>
        <v/>
      </c>
      <c r="E12" s="145" t="str">
        <f t="shared" si="5"/>
        <v/>
      </c>
      <c r="F12" s="145" t="str">
        <f t="shared" si="6"/>
        <v/>
      </c>
      <c r="G12" s="145" t="str">
        <f t="shared" si="7"/>
        <v/>
      </c>
      <c r="H12" s="145" t="str">
        <f t="shared" si="8"/>
        <v/>
      </c>
      <c r="I12" s="145" t="str">
        <f t="shared" si="9"/>
        <v/>
      </c>
      <c r="J12" s="145" t="str">
        <f t="shared" si="10"/>
        <v/>
      </c>
      <c r="K12" s="145" t="str">
        <f t="shared" si="11"/>
        <v/>
      </c>
      <c r="L12" s="145" t="str">
        <f t="shared" si="12"/>
        <v/>
      </c>
      <c r="M12" s="145" t="str">
        <f t="shared" si="13"/>
        <v/>
      </c>
      <c r="N12" s="145" t="str">
        <f t="shared" si="14"/>
        <v/>
      </c>
      <c r="O12" s="172" t="str">
        <f t="shared" si="15"/>
        <v/>
      </c>
      <c r="P12" s="174" t="s">
        <v>395</v>
      </c>
      <c r="S12" s="122">
        <v>6</v>
      </c>
    </row>
    <row r="13" spans="1:31" x14ac:dyDescent="0.2">
      <c r="B13" s="144" t="str">
        <f t="shared" si="2"/>
        <v/>
      </c>
      <c r="C13" s="145" t="str">
        <f t="shared" si="3"/>
        <v/>
      </c>
      <c r="D13" s="145" t="str">
        <f t="shared" si="4"/>
        <v/>
      </c>
      <c r="E13" s="145" t="str">
        <f t="shared" si="5"/>
        <v/>
      </c>
      <c r="F13" s="145" t="str">
        <f t="shared" si="6"/>
        <v/>
      </c>
      <c r="G13" s="145" t="str">
        <f t="shared" si="7"/>
        <v/>
      </c>
      <c r="H13" s="145" t="str">
        <f t="shared" si="8"/>
        <v/>
      </c>
      <c r="I13" s="145" t="str">
        <f t="shared" si="9"/>
        <v/>
      </c>
      <c r="J13" s="145" t="str">
        <f t="shared" si="10"/>
        <v/>
      </c>
      <c r="K13" s="145" t="str">
        <f t="shared" si="11"/>
        <v/>
      </c>
      <c r="L13" s="145" t="str">
        <f t="shared" si="12"/>
        <v/>
      </c>
      <c r="M13" s="145" t="str">
        <f t="shared" si="13"/>
        <v/>
      </c>
      <c r="N13" s="145" t="str">
        <f t="shared" si="14"/>
        <v/>
      </c>
      <c r="O13" s="172" t="str">
        <f>IF(B13&lt;&gt;"",SUM(C13:N13),"")</f>
        <v/>
      </c>
      <c r="P13" s="174" t="s">
        <v>395</v>
      </c>
      <c r="S13" s="122">
        <v>7</v>
      </c>
    </row>
    <row r="14" spans="1:31" x14ac:dyDescent="0.2">
      <c r="B14" s="144" t="str">
        <f t="shared" si="2"/>
        <v/>
      </c>
      <c r="C14" s="145" t="str">
        <f t="shared" si="3"/>
        <v/>
      </c>
      <c r="D14" s="145" t="str">
        <f t="shared" si="4"/>
        <v/>
      </c>
      <c r="E14" s="145" t="str">
        <f t="shared" si="5"/>
        <v/>
      </c>
      <c r="F14" s="145" t="str">
        <f t="shared" si="6"/>
        <v/>
      </c>
      <c r="G14" s="145" t="str">
        <f t="shared" si="7"/>
        <v/>
      </c>
      <c r="H14" s="145" t="str">
        <f t="shared" si="8"/>
        <v/>
      </c>
      <c r="I14" s="145" t="str">
        <f t="shared" si="9"/>
        <v/>
      </c>
      <c r="J14" s="145" t="str">
        <f t="shared" si="10"/>
        <v/>
      </c>
      <c r="K14" s="145" t="str">
        <f t="shared" si="11"/>
        <v/>
      </c>
      <c r="L14" s="145" t="str">
        <f t="shared" si="12"/>
        <v/>
      </c>
      <c r="M14" s="145" t="str">
        <f t="shared" si="13"/>
        <v/>
      </c>
      <c r="N14" s="145" t="str">
        <f t="shared" si="14"/>
        <v/>
      </c>
      <c r="O14" s="172" t="str">
        <f t="shared" si="15"/>
        <v/>
      </c>
      <c r="P14" s="174" t="s">
        <v>395</v>
      </c>
      <c r="S14" s="122">
        <v>8</v>
      </c>
    </row>
    <row r="15" spans="1:31" x14ac:dyDescent="0.2">
      <c r="B15" s="144" t="str">
        <f t="shared" si="2"/>
        <v/>
      </c>
      <c r="C15" s="145" t="str">
        <f t="shared" si="3"/>
        <v/>
      </c>
      <c r="D15" s="145" t="str">
        <f t="shared" si="4"/>
        <v/>
      </c>
      <c r="E15" s="145" t="str">
        <f t="shared" si="5"/>
        <v/>
      </c>
      <c r="F15" s="145" t="str">
        <f t="shared" si="6"/>
        <v/>
      </c>
      <c r="G15" s="145" t="str">
        <f t="shared" si="7"/>
        <v/>
      </c>
      <c r="H15" s="145" t="str">
        <f t="shared" si="8"/>
        <v/>
      </c>
      <c r="I15" s="145" t="str">
        <f t="shared" si="9"/>
        <v/>
      </c>
      <c r="J15" s="145" t="str">
        <f t="shared" si="10"/>
        <v/>
      </c>
      <c r="K15" s="145" t="str">
        <f t="shared" si="11"/>
        <v/>
      </c>
      <c r="L15" s="145" t="str">
        <f t="shared" si="12"/>
        <v/>
      </c>
      <c r="M15" s="145" t="str">
        <f t="shared" si="13"/>
        <v/>
      </c>
      <c r="N15" s="145" t="str">
        <f t="shared" si="14"/>
        <v/>
      </c>
      <c r="O15" s="172" t="str">
        <f t="shared" si="15"/>
        <v/>
      </c>
      <c r="P15" s="174" t="s">
        <v>395</v>
      </c>
      <c r="S15" s="122">
        <v>9</v>
      </c>
    </row>
    <row r="16" spans="1:31" x14ac:dyDescent="0.2">
      <c r="B16" s="144" t="str">
        <f t="shared" si="2"/>
        <v/>
      </c>
      <c r="C16" s="145" t="str">
        <f t="shared" si="3"/>
        <v/>
      </c>
      <c r="D16" s="145" t="str">
        <f t="shared" si="4"/>
        <v/>
      </c>
      <c r="E16" s="145" t="str">
        <f t="shared" si="5"/>
        <v/>
      </c>
      <c r="F16" s="145" t="str">
        <f t="shared" si="6"/>
        <v/>
      </c>
      <c r="G16" s="145" t="str">
        <f t="shared" si="7"/>
        <v/>
      </c>
      <c r="H16" s="145" t="str">
        <f t="shared" si="8"/>
        <v/>
      </c>
      <c r="I16" s="145" t="str">
        <f t="shared" si="9"/>
        <v/>
      </c>
      <c r="J16" s="145" t="str">
        <f t="shared" si="10"/>
        <v/>
      </c>
      <c r="K16" s="145" t="str">
        <f t="shared" si="11"/>
        <v/>
      </c>
      <c r="L16" s="145" t="str">
        <f t="shared" si="12"/>
        <v/>
      </c>
      <c r="M16" s="145" t="str">
        <f t="shared" si="13"/>
        <v/>
      </c>
      <c r="N16" s="145" t="str">
        <f t="shared" si="14"/>
        <v/>
      </c>
      <c r="O16" s="172" t="str">
        <f t="shared" si="15"/>
        <v/>
      </c>
      <c r="P16" s="174" t="s">
        <v>395</v>
      </c>
      <c r="S16" s="122">
        <v>10</v>
      </c>
    </row>
    <row r="17" spans="1:22" x14ac:dyDescent="0.2">
      <c r="B17" s="171" t="s">
        <v>842</v>
      </c>
      <c r="C17" s="142">
        <f>SUM(C7:C16)</f>
        <v>0</v>
      </c>
      <c r="D17" s="142">
        <f t="shared" ref="D17:N17" si="16">SUM(D7:D16)</f>
        <v>0</v>
      </c>
      <c r="E17" s="142">
        <f t="shared" si="16"/>
        <v>0</v>
      </c>
      <c r="F17" s="142">
        <f t="shared" si="16"/>
        <v>0</v>
      </c>
      <c r="G17" s="142">
        <f t="shared" si="16"/>
        <v>0</v>
      </c>
      <c r="H17" s="142">
        <f t="shared" si="16"/>
        <v>0</v>
      </c>
      <c r="I17" s="142">
        <f t="shared" si="16"/>
        <v>0</v>
      </c>
      <c r="J17" s="142">
        <f t="shared" si="16"/>
        <v>0</v>
      </c>
      <c r="K17" s="142">
        <f t="shared" si="16"/>
        <v>0</v>
      </c>
      <c r="L17" s="142">
        <f t="shared" si="16"/>
        <v>0</v>
      </c>
      <c r="M17" s="142">
        <f t="shared" si="16"/>
        <v>0</v>
      </c>
      <c r="N17" s="142">
        <f t="shared" si="16"/>
        <v>0</v>
      </c>
      <c r="O17" s="175">
        <f>SUM(O7:O16)</f>
        <v>0</v>
      </c>
      <c r="P17" s="173" t="s">
        <v>395</v>
      </c>
    </row>
    <row r="18" spans="1:22" x14ac:dyDescent="0.2">
      <c r="B18" s="176"/>
      <c r="C18" s="176"/>
      <c r="D18" s="169"/>
      <c r="E18" s="169"/>
      <c r="F18" s="169"/>
      <c r="G18" s="169"/>
      <c r="H18" s="169"/>
      <c r="I18" s="169"/>
      <c r="J18" s="169"/>
      <c r="K18" s="169"/>
      <c r="L18" s="169"/>
      <c r="M18" s="169"/>
      <c r="N18" s="169"/>
      <c r="O18" s="169"/>
      <c r="P18" s="169"/>
    </row>
    <row r="19" spans="1:22" x14ac:dyDescent="0.2">
      <c r="B19" s="176"/>
      <c r="C19" s="176"/>
      <c r="D19" s="169"/>
      <c r="E19" s="169"/>
      <c r="F19" s="169"/>
      <c r="G19" s="169"/>
      <c r="H19" s="169"/>
      <c r="I19" s="169"/>
      <c r="J19" s="169"/>
      <c r="K19" s="169"/>
      <c r="L19" s="169"/>
      <c r="M19" s="169"/>
      <c r="N19" s="169"/>
      <c r="O19" s="169"/>
      <c r="P19" s="169"/>
    </row>
    <row r="20" spans="1:22" x14ac:dyDescent="0.2">
      <c r="A20" s="121"/>
      <c r="B20" s="177" t="str">
        <f>IF('Tank and Material Properties'!D59&lt;&gt;"None", "Liquid Weight Fraction of "&amp;'Tank and Material Properties'!D59&amp;":","No petroleum product selected")</f>
        <v>Liquid Weight Fraction of :</v>
      </c>
      <c r="C20" s="178">
        <f>IF('Tank and Material Properties'!D60&lt;&gt;"",'Tank and Material Properties'!D60,0)</f>
        <v>0</v>
      </c>
      <c r="D20" s="169"/>
      <c r="E20" s="169"/>
      <c r="F20" s="169"/>
      <c r="G20" s="169"/>
      <c r="H20" s="169"/>
      <c r="I20" s="169"/>
      <c r="J20" s="169"/>
      <c r="K20" s="169"/>
      <c r="L20" s="169"/>
      <c r="M20" s="169"/>
      <c r="N20" s="169"/>
      <c r="O20" s="169"/>
      <c r="P20" s="169"/>
    </row>
    <row r="21" spans="1:22" ht="13.5" x14ac:dyDescent="0.25">
      <c r="A21" s="121"/>
      <c r="B21" s="179" t="s">
        <v>701</v>
      </c>
      <c r="C21" s="178">
        <f>IF(C20&gt;0, (100*C20/C23)/'Tank and Material Properties'!AH78,0)</f>
        <v>0</v>
      </c>
      <c r="D21" s="169"/>
      <c r="E21" s="169"/>
      <c r="F21" s="169"/>
      <c r="G21" s="169"/>
      <c r="H21" s="169"/>
      <c r="I21" s="169"/>
      <c r="J21" s="169"/>
      <c r="K21" s="169"/>
      <c r="L21" s="169"/>
      <c r="M21" s="169"/>
      <c r="N21" s="169"/>
      <c r="O21" s="169"/>
      <c r="P21" s="169"/>
    </row>
    <row r="22" spans="1:22" ht="13.5" x14ac:dyDescent="0.25">
      <c r="A22" s="121"/>
      <c r="B22" s="179" t="s">
        <v>702</v>
      </c>
      <c r="C22" s="180" t="e">
        <f>VLOOKUP('Tank and Material Properties'!D59,'Reference Material Properties'!A8:H16,3, FALSE)</f>
        <v>#N/A</v>
      </c>
      <c r="D22" s="169"/>
      <c r="E22" s="169"/>
      <c r="F22" s="169"/>
      <c r="G22" s="169"/>
      <c r="H22" s="169"/>
      <c r="I22" s="169"/>
      <c r="J22" s="169"/>
      <c r="K22" s="169"/>
      <c r="L22" s="169"/>
      <c r="M22" s="169"/>
      <c r="N22" s="169"/>
      <c r="O22" s="169"/>
      <c r="P22" s="169"/>
    </row>
    <row r="23" spans="1:22" ht="13.5" x14ac:dyDescent="0.25">
      <c r="A23" s="121"/>
      <c r="B23" s="179" t="s">
        <v>703</v>
      </c>
      <c r="C23" s="180" t="e">
        <f>VLOOKUP('Tank and Material Properties'!$D$59,'Reference Material Properties'!$A$8:$H$16,4, FALSE)</f>
        <v>#N/A</v>
      </c>
      <c r="D23" s="169"/>
      <c r="E23" s="169"/>
      <c r="F23" s="169"/>
      <c r="G23" s="169"/>
      <c r="H23" s="169"/>
      <c r="I23" s="169"/>
      <c r="J23" s="169"/>
      <c r="K23" s="169"/>
      <c r="L23" s="169"/>
      <c r="M23" s="169"/>
      <c r="N23" s="169"/>
      <c r="O23" s="169"/>
      <c r="P23" s="169"/>
    </row>
    <row r="24" spans="1:22" ht="13.5" x14ac:dyDescent="0.25">
      <c r="A24" s="121"/>
      <c r="B24" s="179" t="s">
        <v>704</v>
      </c>
      <c r="C24" s="181" t="e">
        <f>VLOOKUP('Tank and Material Properties'!$D$59,'Reference Material Properties'!$A$8:$H$16,5, FALSE)</f>
        <v>#N/A</v>
      </c>
      <c r="D24" s="169"/>
      <c r="E24" s="169"/>
      <c r="F24" s="169"/>
      <c r="G24" s="169"/>
      <c r="H24" s="169"/>
      <c r="I24" s="169"/>
      <c r="J24" s="169"/>
      <c r="K24" s="169"/>
      <c r="L24" s="169"/>
      <c r="M24" s="169"/>
      <c r="N24" s="169"/>
      <c r="O24" s="169"/>
      <c r="P24" s="169"/>
    </row>
    <row r="25" spans="1:22" x14ac:dyDescent="0.2">
      <c r="A25" s="121"/>
      <c r="B25" s="179" t="s">
        <v>551</v>
      </c>
      <c r="C25" s="178" t="e">
        <f>VLOOKUP('Tank and Material Properties'!$D$59,'Reference Material Properties'!$A$8:$H$16,6, FALSE)</f>
        <v>#N/A</v>
      </c>
      <c r="D25" s="169"/>
      <c r="E25" s="169"/>
      <c r="F25" s="169"/>
      <c r="G25" s="169"/>
      <c r="H25" s="169"/>
      <c r="I25" s="169"/>
      <c r="J25" s="169"/>
      <c r="K25" s="169"/>
      <c r="L25" s="169"/>
      <c r="M25" s="169"/>
      <c r="N25" s="169"/>
      <c r="O25" s="169"/>
      <c r="P25" s="169"/>
    </row>
    <row r="26" spans="1:22" x14ac:dyDescent="0.2">
      <c r="A26" s="121"/>
      <c r="B26" s="179" t="s">
        <v>552</v>
      </c>
      <c r="C26" s="181" t="e">
        <f>VLOOKUP('Tank and Material Properties'!$D$59,'Reference Material Properties'!$A$8:$H$16,7, FALSE)</f>
        <v>#N/A</v>
      </c>
      <c r="D26" s="169"/>
      <c r="E26" s="169"/>
      <c r="F26" s="169"/>
      <c r="G26" s="169"/>
      <c r="H26" s="169"/>
      <c r="I26" s="169"/>
      <c r="J26" s="169"/>
      <c r="K26" s="169"/>
      <c r="L26" s="169"/>
      <c r="M26" s="169"/>
      <c r="N26" s="169"/>
      <c r="O26" s="169"/>
      <c r="P26" s="169"/>
    </row>
    <row r="27" spans="1:22" x14ac:dyDescent="0.2">
      <c r="B27" s="176"/>
      <c r="P27" s="169"/>
    </row>
    <row r="28" spans="1:22" x14ac:dyDescent="0.2">
      <c r="P28" s="169"/>
    </row>
    <row r="30" spans="1:22" x14ac:dyDescent="0.2">
      <c r="A30" s="168" t="s">
        <v>845</v>
      </c>
    </row>
    <row r="31" spans="1:22" x14ac:dyDescent="0.2">
      <c r="B31" s="182"/>
      <c r="C31" s="183" t="s">
        <v>409</v>
      </c>
      <c r="D31" s="183" t="s">
        <v>408</v>
      </c>
      <c r="E31" s="183" t="s">
        <v>407</v>
      </c>
      <c r="F31" s="183" t="s">
        <v>406</v>
      </c>
      <c r="G31" s="183" t="s">
        <v>405</v>
      </c>
      <c r="H31" s="183" t="s">
        <v>404</v>
      </c>
      <c r="I31" s="183" t="s">
        <v>403</v>
      </c>
      <c r="J31" s="183" t="s">
        <v>402</v>
      </c>
      <c r="K31" s="183" t="s">
        <v>401</v>
      </c>
      <c r="L31" s="183" t="s">
        <v>400</v>
      </c>
      <c r="M31" s="183" t="s">
        <v>399</v>
      </c>
      <c r="N31" s="183" t="s">
        <v>398</v>
      </c>
    </row>
    <row r="32" spans="1:22" ht="13.5" x14ac:dyDescent="0.25">
      <c r="A32" s="170"/>
      <c r="B32" s="170" t="s">
        <v>705</v>
      </c>
      <c r="C32" s="184" t="e">
        <f>VLOOKUP('Tank and Material Properties'!$D$32,'Reference Tables'!$A$38:$O$46,'Reference Tables'!D34)</f>
        <v>#N/A</v>
      </c>
      <c r="D32" s="184" t="e">
        <f>VLOOKUP('Tank and Material Properties'!$D$32,'Reference Tables'!$A$38:$O$46,'Reference Tables'!E34)</f>
        <v>#N/A</v>
      </c>
      <c r="E32" s="184" t="e">
        <f>VLOOKUP('Tank and Material Properties'!$D$32,'Reference Tables'!$A$38:$O$46,'Reference Tables'!F34)</f>
        <v>#N/A</v>
      </c>
      <c r="F32" s="184" t="e">
        <f>VLOOKUP('Tank and Material Properties'!$D$32,'Reference Tables'!$A$38:$O$46,'Reference Tables'!G34)</f>
        <v>#N/A</v>
      </c>
      <c r="G32" s="184" t="e">
        <f>VLOOKUP('Tank and Material Properties'!$D$32,'Reference Tables'!$A$38:$O$46,'Reference Tables'!H34)</f>
        <v>#N/A</v>
      </c>
      <c r="H32" s="184" t="e">
        <f>VLOOKUP('Tank and Material Properties'!$D$32,'Reference Tables'!$A$38:$O$46,'Reference Tables'!I34)</f>
        <v>#N/A</v>
      </c>
      <c r="I32" s="184" t="e">
        <f>VLOOKUP('Tank and Material Properties'!$D$32,'Reference Tables'!$A$38:$O$46,'Reference Tables'!J34)</f>
        <v>#N/A</v>
      </c>
      <c r="J32" s="184" t="e">
        <f>VLOOKUP('Tank and Material Properties'!$D$32,'Reference Tables'!$A$38:$O$46,'Reference Tables'!K34)</f>
        <v>#N/A</v>
      </c>
      <c r="K32" s="184" t="e">
        <f>VLOOKUP('Tank and Material Properties'!$D$32,'Reference Tables'!$A$38:$O$46,'Reference Tables'!L34)</f>
        <v>#N/A</v>
      </c>
      <c r="L32" s="184" t="e">
        <f>VLOOKUP('Tank and Material Properties'!$D$32,'Reference Tables'!$A$38:$O$46,'Reference Tables'!M34)</f>
        <v>#N/A</v>
      </c>
      <c r="M32" s="184" t="e">
        <f>VLOOKUP('Tank and Material Properties'!$D$32,'Reference Tables'!$A$38:$O$46,'Reference Tables'!N34)</f>
        <v>#N/A</v>
      </c>
      <c r="N32" s="184" t="e">
        <f>VLOOKUP('Tank and Material Properties'!$D$32,'Reference Tables'!$A$38:$O$46,'Reference Tables'!O34)</f>
        <v>#N/A</v>
      </c>
      <c r="O32" s="185" t="s">
        <v>412</v>
      </c>
      <c r="P32" s="170"/>
      <c r="Q32" s="170"/>
      <c r="R32" s="170"/>
      <c r="S32" s="170"/>
      <c r="U32" s="170"/>
      <c r="V32" s="170"/>
    </row>
    <row r="33" spans="1:24" ht="13.5" x14ac:dyDescent="0.25">
      <c r="A33" s="170"/>
      <c r="B33" s="170" t="s">
        <v>706</v>
      </c>
      <c r="C33" s="184" t="e">
        <f>VLOOKUP('Tank and Material Properties'!$D$32,'Reference Tables'!$A$47:$O$55,'Reference Tables'!D34)</f>
        <v>#N/A</v>
      </c>
      <c r="D33" s="184" t="e">
        <f>VLOOKUP('Tank and Material Properties'!$D$32,'Reference Tables'!$A$47:$O$55,'Reference Tables'!E34)</f>
        <v>#N/A</v>
      </c>
      <c r="E33" s="184" t="e">
        <f>VLOOKUP('Tank and Material Properties'!$D$32,'Reference Tables'!$A$47:$O$55,'Reference Tables'!F34)</f>
        <v>#N/A</v>
      </c>
      <c r="F33" s="184" t="e">
        <f>VLOOKUP('Tank and Material Properties'!$D$32,'Reference Tables'!$A$47:$O$55,'Reference Tables'!G34)</f>
        <v>#N/A</v>
      </c>
      <c r="G33" s="184" t="e">
        <f>VLOOKUP('Tank and Material Properties'!$D$32,'Reference Tables'!$A$47:$O$55,'Reference Tables'!H34)</f>
        <v>#N/A</v>
      </c>
      <c r="H33" s="184" t="e">
        <f>VLOOKUP('Tank and Material Properties'!$D$32,'Reference Tables'!$A$47:$O$55,'Reference Tables'!I34)</f>
        <v>#N/A</v>
      </c>
      <c r="I33" s="184" t="e">
        <f>VLOOKUP('Tank and Material Properties'!$D$32,'Reference Tables'!$A$47:$O$55,'Reference Tables'!J34)</f>
        <v>#N/A</v>
      </c>
      <c r="J33" s="184" t="e">
        <f>VLOOKUP('Tank and Material Properties'!$D$32,'Reference Tables'!$A$47:$O$55,'Reference Tables'!K34)</f>
        <v>#N/A</v>
      </c>
      <c r="K33" s="184" t="e">
        <f>VLOOKUP('Tank and Material Properties'!$D$32,'Reference Tables'!$A$47:$O$55,'Reference Tables'!L34)</f>
        <v>#N/A</v>
      </c>
      <c r="L33" s="184" t="e">
        <f>VLOOKUP('Tank and Material Properties'!$D$32,'Reference Tables'!$A$47:$O$55,'Reference Tables'!M34)</f>
        <v>#N/A</v>
      </c>
      <c r="M33" s="184" t="e">
        <f>VLOOKUP('Tank and Material Properties'!$D$32,'Reference Tables'!$A$47:$O$55,'Reference Tables'!N34)</f>
        <v>#N/A</v>
      </c>
      <c r="N33" s="184" t="e">
        <f>VLOOKUP('Tank and Material Properties'!$D$32,'Reference Tables'!$A$47:$O$55,'Reference Tables'!O34)</f>
        <v>#N/A</v>
      </c>
      <c r="O33" s="185" t="s">
        <v>412</v>
      </c>
      <c r="P33" s="170"/>
      <c r="Q33" s="170"/>
      <c r="R33" s="170"/>
      <c r="S33" s="170"/>
      <c r="U33" s="170"/>
      <c r="V33" s="170"/>
    </row>
    <row r="34" spans="1:24" ht="13.5" x14ac:dyDescent="0.25">
      <c r="A34" s="170"/>
      <c r="B34" s="170" t="s">
        <v>707</v>
      </c>
      <c r="C34" s="186" t="e">
        <f>((C32+459.7)+(C33+459.7))/2</f>
        <v>#N/A</v>
      </c>
      <c r="D34" s="184" t="e">
        <f>((D32+459.7)+(D33+459.7))/2</f>
        <v>#N/A</v>
      </c>
      <c r="E34" s="184" t="e">
        <f t="shared" ref="E34:M34" si="17">((E32+459.7)+(E33+459.7))/2</f>
        <v>#N/A</v>
      </c>
      <c r="F34" s="184" t="e">
        <f t="shared" si="17"/>
        <v>#N/A</v>
      </c>
      <c r="G34" s="184" t="e">
        <f t="shared" si="17"/>
        <v>#N/A</v>
      </c>
      <c r="H34" s="184" t="e">
        <f t="shared" si="17"/>
        <v>#N/A</v>
      </c>
      <c r="I34" s="184" t="e">
        <f t="shared" si="17"/>
        <v>#N/A</v>
      </c>
      <c r="J34" s="184" t="e">
        <f t="shared" si="17"/>
        <v>#N/A</v>
      </c>
      <c r="K34" s="184" t="e">
        <f t="shared" si="17"/>
        <v>#N/A</v>
      </c>
      <c r="L34" s="184" t="e">
        <f t="shared" si="17"/>
        <v>#N/A</v>
      </c>
      <c r="M34" s="184" t="e">
        <f t="shared" si="17"/>
        <v>#N/A</v>
      </c>
      <c r="N34" s="184" t="e">
        <f>((N32+459.7)+(N33+459.7))/2</f>
        <v>#N/A</v>
      </c>
      <c r="O34" s="185" t="s">
        <v>708</v>
      </c>
      <c r="P34" s="170"/>
      <c r="Q34" s="170"/>
      <c r="R34" s="170"/>
      <c r="S34" s="170"/>
      <c r="U34" s="170"/>
      <c r="V34" s="170"/>
    </row>
    <row r="35" spans="1:24" ht="13.5" x14ac:dyDescent="0.25">
      <c r="A35" s="170"/>
      <c r="B35" s="122" t="s">
        <v>709</v>
      </c>
      <c r="C35" s="184" t="e">
        <f>(C33+459.7)-(C32+459.7)</f>
        <v>#N/A</v>
      </c>
      <c r="D35" s="184" t="e">
        <f>(D33+459.7)-(D32+459.7)</f>
        <v>#N/A</v>
      </c>
      <c r="E35" s="184" t="e">
        <f t="shared" ref="E35:N35" si="18">(E33+459.7)-(E32+459.7)</f>
        <v>#N/A</v>
      </c>
      <c r="F35" s="184" t="e">
        <f t="shared" si="18"/>
        <v>#N/A</v>
      </c>
      <c r="G35" s="184" t="e">
        <f t="shared" si="18"/>
        <v>#N/A</v>
      </c>
      <c r="H35" s="184" t="e">
        <f t="shared" si="18"/>
        <v>#N/A</v>
      </c>
      <c r="I35" s="184" t="e">
        <f t="shared" si="18"/>
        <v>#N/A</v>
      </c>
      <c r="J35" s="184" t="e">
        <f t="shared" si="18"/>
        <v>#N/A</v>
      </c>
      <c r="K35" s="184" t="e">
        <f t="shared" si="18"/>
        <v>#N/A</v>
      </c>
      <c r="L35" s="184" t="e">
        <f t="shared" si="18"/>
        <v>#N/A</v>
      </c>
      <c r="M35" s="184" t="e">
        <f t="shared" si="18"/>
        <v>#N/A</v>
      </c>
      <c r="N35" s="184" t="e">
        <f t="shared" si="18"/>
        <v>#N/A</v>
      </c>
      <c r="O35" s="185" t="s">
        <v>710</v>
      </c>
      <c r="P35" s="170"/>
      <c r="Q35" s="170"/>
      <c r="R35" s="170"/>
      <c r="S35" s="170"/>
      <c r="U35" s="170"/>
      <c r="V35" s="170"/>
    </row>
    <row r="36" spans="1:24" ht="13.5" x14ac:dyDescent="0.2">
      <c r="A36" s="170"/>
      <c r="B36" s="170" t="s">
        <v>711</v>
      </c>
      <c r="C36" s="184" t="e">
        <f>VLOOKUP('Tank and Material Properties'!$D$32,'Reference Tables'!$A$65:$O$73,'Reference Tables'!D34)</f>
        <v>#N/A</v>
      </c>
      <c r="D36" s="184" t="e">
        <f>VLOOKUP('Tank and Material Properties'!$D$32,'Reference Tables'!$A$65:$O$73,'Reference Tables'!E34)</f>
        <v>#N/A</v>
      </c>
      <c r="E36" s="184" t="e">
        <f>VLOOKUP('Tank and Material Properties'!$D$32,'Reference Tables'!$A$65:$O$73,'Reference Tables'!F34)</f>
        <v>#N/A</v>
      </c>
      <c r="F36" s="184" t="e">
        <f>VLOOKUP('Tank and Material Properties'!$D$32,'Reference Tables'!$A$65:$O$73,'Reference Tables'!G34)</f>
        <v>#N/A</v>
      </c>
      <c r="G36" s="184" t="e">
        <f>VLOOKUP('Tank and Material Properties'!$D$32,'Reference Tables'!$A$65:$O$73,'Reference Tables'!H34)</f>
        <v>#N/A</v>
      </c>
      <c r="H36" s="184" t="e">
        <f>VLOOKUP('Tank and Material Properties'!$D$32,'Reference Tables'!$A$65:$O$73,'Reference Tables'!I34)</f>
        <v>#N/A</v>
      </c>
      <c r="I36" s="184" t="e">
        <f>VLOOKUP('Tank and Material Properties'!$D$32,'Reference Tables'!$A$65:$O$73,'Reference Tables'!J34)</f>
        <v>#N/A</v>
      </c>
      <c r="J36" s="184" t="e">
        <f>VLOOKUP('Tank and Material Properties'!$D$32,'Reference Tables'!$A$65:$O$73,'Reference Tables'!K34)</f>
        <v>#N/A</v>
      </c>
      <c r="K36" s="184" t="e">
        <f>VLOOKUP('Tank and Material Properties'!$D$32,'Reference Tables'!$A$65:$O$73,'Reference Tables'!L34)</f>
        <v>#N/A</v>
      </c>
      <c r="L36" s="184" t="e">
        <f>VLOOKUP('Tank and Material Properties'!$D$32,'Reference Tables'!$A$65:$O$73,'Reference Tables'!M34)</f>
        <v>#N/A</v>
      </c>
      <c r="M36" s="184" t="e">
        <f>VLOOKUP('Tank and Material Properties'!$D$32,'Reference Tables'!$A$65:$O$73,'Reference Tables'!N34)</f>
        <v>#N/A</v>
      </c>
      <c r="N36" s="184" t="e">
        <f>VLOOKUP('Tank and Material Properties'!$D$32,'Reference Tables'!$A$65:$O$73,'Reference Tables'!O34)</f>
        <v>#N/A</v>
      </c>
      <c r="O36" s="170" t="s">
        <v>712</v>
      </c>
      <c r="P36" s="170"/>
      <c r="Q36" s="170"/>
      <c r="R36" s="170"/>
      <c r="S36" s="170"/>
      <c r="T36" s="451" t="s">
        <v>568</v>
      </c>
      <c r="U36" s="452"/>
      <c r="V36" s="452"/>
      <c r="W36" s="453"/>
      <c r="X36" s="187" t="s">
        <v>569</v>
      </c>
    </row>
    <row r="37" spans="1:24" ht="13.5" x14ac:dyDescent="0.25">
      <c r="A37" s="170"/>
      <c r="B37" s="170" t="s">
        <v>713</v>
      </c>
      <c r="C37" s="188" t="e">
        <f>IF('Tank and Material Properties'!$D$54&lt;&gt;"", 'Tank and Material Properties'!$D$54+459.67, 'Emissions Calculation'!C34+(0.003*'Input Variables'!$F$25*'Emissions Calculation'!C36))</f>
        <v>#N/A</v>
      </c>
      <c r="D37" s="188" t="e">
        <f>IF('Tank and Material Properties'!$D$54&lt;&gt;"", 'Tank and Material Properties'!$D$54+459.67, 'Emissions Calculation'!D34+(0.003*'Input Variables'!$F$25*'Emissions Calculation'!D36))</f>
        <v>#N/A</v>
      </c>
      <c r="E37" s="188" t="e">
        <f>IF('Tank and Material Properties'!$D$54&lt;&gt;"", 'Tank and Material Properties'!$D$54+459.67, 'Emissions Calculation'!E34+(0.003*'Input Variables'!$F$25*'Emissions Calculation'!E36))</f>
        <v>#N/A</v>
      </c>
      <c r="F37" s="188" t="e">
        <f>IF('Tank and Material Properties'!$D$54&lt;&gt;"", 'Tank and Material Properties'!$D$54+459.67, 'Emissions Calculation'!F34+(0.003*'Input Variables'!$F$25*'Emissions Calculation'!F36))</f>
        <v>#N/A</v>
      </c>
      <c r="G37" s="188" t="e">
        <f>IF('Tank and Material Properties'!$D$54&lt;&gt;"", 'Tank and Material Properties'!$D$54+459.67, 'Emissions Calculation'!G34+(0.003*'Input Variables'!$F$25*'Emissions Calculation'!G36))</f>
        <v>#N/A</v>
      </c>
      <c r="H37" s="188" t="e">
        <f>IF('Tank and Material Properties'!$D$54&lt;&gt;"", 'Tank and Material Properties'!$D$54+459.67, 'Emissions Calculation'!H34+(0.003*'Input Variables'!$F$25*'Emissions Calculation'!H36))</f>
        <v>#N/A</v>
      </c>
      <c r="I37" s="188" t="e">
        <f>IF('Tank and Material Properties'!$D$54&lt;&gt;"", 'Tank and Material Properties'!$D$54+459.67, 'Emissions Calculation'!I34+(0.003*'Input Variables'!$F$25*'Emissions Calculation'!I36))</f>
        <v>#N/A</v>
      </c>
      <c r="J37" s="188" t="e">
        <f>IF('Tank and Material Properties'!$D$54&lt;&gt;"", 'Tank and Material Properties'!$D$54+459.67, 'Emissions Calculation'!J34+(0.003*'Input Variables'!$F$25*'Emissions Calculation'!J36))</f>
        <v>#N/A</v>
      </c>
      <c r="K37" s="188" t="e">
        <f>IF('Tank and Material Properties'!$D$54&lt;&gt;"", 'Tank and Material Properties'!$D$54+459.67, 'Emissions Calculation'!K34+(0.003*'Input Variables'!$F$25*'Emissions Calculation'!K36))</f>
        <v>#N/A</v>
      </c>
      <c r="L37" s="188" t="e">
        <f>IF('Tank and Material Properties'!$D$54&lt;&gt;"", 'Tank and Material Properties'!$D$54+459.67, 'Emissions Calculation'!L34+(0.003*'Input Variables'!$F$25*'Emissions Calculation'!L36))</f>
        <v>#N/A</v>
      </c>
      <c r="M37" s="188" t="e">
        <f>IF('Tank and Material Properties'!$D$54&lt;&gt;"", 'Tank and Material Properties'!$D$54+459.67, 'Emissions Calculation'!M34+(0.003*'Input Variables'!$F$25*'Emissions Calculation'!M36))</f>
        <v>#N/A</v>
      </c>
      <c r="N37" s="188" t="e">
        <f>IF('Tank and Material Properties'!$D$54&lt;&gt;"", 'Tank and Material Properties'!$D$54+459.67, 'Emissions Calculation'!N34+(0.003*'Input Variables'!$F$25*'Emissions Calculation'!N36))</f>
        <v>#N/A</v>
      </c>
      <c r="O37" s="170" t="s">
        <v>714</v>
      </c>
      <c r="P37" s="185"/>
      <c r="Q37" s="170"/>
      <c r="R37" s="170"/>
      <c r="S37" s="170"/>
      <c r="T37" s="187" t="s">
        <v>485</v>
      </c>
      <c r="U37" s="187" t="s">
        <v>483</v>
      </c>
      <c r="V37" s="189" t="s">
        <v>684</v>
      </c>
      <c r="W37" s="189" t="s">
        <v>685</v>
      </c>
      <c r="X37" s="187">
        <f>'Input Variables'!F34</f>
        <v>1</v>
      </c>
    </row>
    <row r="38" spans="1:24" ht="13.5" x14ac:dyDescent="0.25">
      <c r="A38" s="170"/>
      <c r="B38" s="170" t="s">
        <v>715</v>
      </c>
      <c r="C38" s="188" t="e">
        <f>IF($X$37=1, (0.5-(0.8/(4.4*($T$38/$U$38)+3.8)))*C34+(0.5+(0.8/((4.4*($T$38/$U$38))+3.8)))*C37+((0.021*$V$38*C36+0.013*($T$38/$U$38)*$W$38*C36)/(4.4*($T$38/$U$38)+3.8)), IF($X$37=2, 0.3*C34+0.7*C37+0.005*$V$38*C36, IF($X$37=3, C37, "Unknown")))</f>
        <v>#DIV/0!</v>
      </c>
      <c r="D38" s="188" t="e">
        <f t="shared" ref="D38:N38" si="19">IF($X$37=1, (0.5-(0.8/(4.4*($T$38/$U$38)+3.8)))*D34+(0.5+(0.8/((4.4*($T$38/$U$38))+3.8)))*D37+((0.021*$V$38*D36+0.013*($T$38/$U$38)*$W$38*D36)/(4.4*($T$38/$U$38)+3.8)), IF($X$37=2, 0.3*D34+0.7*D37+0.005*$V$38*D36, IF($X$37=3, D37, "Unknown")))</f>
        <v>#DIV/0!</v>
      </c>
      <c r="E38" s="188" t="e">
        <f t="shared" si="19"/>
        <v>#DIV/0!</v>
      </c>
      <c r="F38" s="188" t="e">
        <f t="shared" si="19"/>
        <v>#DIV/0!</v>
      </c>
      <c r="G38" s="188" t="e">
        <f t="shared" si="19"/>
        <v>#DIV/0!</v>
      </c>
      <c r="H38" s="188" t="e">
        <f t="shared" si="19"/>
        <v>#DIV/0!</v>
      </c>
      <c r="I38" s="188" t="e">
        <f t="shared" si="19"/>
        <v>#DIV/0!</v>
      </c>
      <c r="J38" s="188" t="e">
        <f t="shared" si="19"/>
        <v>#DIV/0!</v>
      </c>
      <c r="K38" s="188" t="e">
        <f t="shared" si="19"/>
        <v>#DIV/0!</v>
      </c>
      <c r="L38" s="188" t="e">
        <f t="shared" si="19"/>
        <v>#DIV/0!</v>
      </c>
      <c r="M38" s="188" t="e">
        <f t="shared" si="19"/>
        <v>#DIV/0!</v>
      </c>
      <c r="N38" s="188" t="e">
        <f t="shared" si="19"/>
        <v>#DIV/0!</v>
      </c>
      <c r="O38" s="185" t="s">
        <v>716</v>
      </c>
      <c r="P38" s="170"/>
      <c r="Q38" s="170"/>
      <c r="R38" s="170"/>
      <c r="S38" s="170"/>
      <c r="T38" s="187">
        <f>'Input Variables'!F7</f>
        <v>0</v>
      </c>
      <c r="U38" s="187">
        <f>'Input Variables'!F6</f>
        <v>0</v>
      </c>
      <c r="V38" s="190" t="e">
        <f>'Input Variables'!F24</f>
        <v>#N/A</v>
      </c>
      <c r="W38" s="190" t="e">
        <f>'Input Variables'!F25</f>
        <v>#N/A</v>
      </c>
    </row>
    <row r="39" spans="1:24" ht="13.5" x14ac:dyDescent="0.25">
      <c r="A39" s="170"/>
      <c r="B39" s="191" t="s">
        <v>717</v>
      </c>
      <c r="C39" s="184" t="e">
        <f>CONVERT(C38,"Rank","F")</f>
        <v>#DIV/0!</v>
      </c>
      <c r="D39" s="184" t="e">
        <f t="shared" ref="D39:N39" si="20">CONVERT(D38,"Rank","F")</f>
        <v>#DIV/0!</v>
      </c>
      <c r="E39" s="184" t="e">
        <f t="shared" si="20"/>
        <v>#DIV/0!</v>
      </c>
      <c r="F39" s="184" t="e">
        <f t="shared" si="20"/>
        <v>#DIV/0!</v>
      </c>
      <c r="G39" s="184" t="e">
        <f t="shared" si="20"/>
        <v>#DIV/0!</v>
      </c>
      <c r="H39" s="184" t="e">
        <f t="shared" si="20"/>
        <v>#DIV/0!</v>
      </c>
      <c r="I39" s="184" t="e">
        <f t="shared" si="20"/>
        <v>#DIV/0!</v>
      </c>
      <c r="J39" s="184" t="e">
        <f t="shared" si="20"/>
        <v>#DIV/0!</v>
      </c>
      <c r="K39" s="184" t="e">
        <f t="shared" si="20"/>
        <v>#DIV/0!</v>
      </c>
      <c r="L39" s="184" t="e">
        <f t="shared" si="20"/>
        <v>#DIV/0!</v>
      </c>
      <c r="M39" s="184" t="e">
        <f t="shared" si="20"/>
        <v>#DIV/0!</v>
      </c>
      <c r="N39" s="184" t="e">
        <f t="shared" si="20"/>
        <v>#DIV/0!</v>
      </c>
      <c r="O39" s="170" t="s">
        <v>571</v>
      </c>
      <c r="P39" s="170"/>
      <c r="Q39" s="170"/>
      <c r="R39" s="170"/>
      <c r="S39" s="170"/>
      <c r="T39" s="170"/>
      <c r="U39" s="170"/>
      <c r="V39" s="170"/>
    </row>
    <row r="40" spans="1:24" ht="13.5" x14ac:dyDescent="0.25">
      <c r="A40" s="170"/>
      <c r="B40" s="191" t="s">
        <v>718</v>
      </c>
      <c r="C40" s="184" t="e">
        <f t="shared" ref="C40:N40" si="21">CONVERT(C38,"Rank","C")</f>
        <v>#DIV/0!</v>
      </c>
      <c r="D40" s="184" t="e">
        <f t="shared" si="21"/>
        <v>#DIV/0!</v>
      </c>
      <c r="E40" s="184" t="e">
        <f t="shared" si="21"/>
        <v>#DIV/0!</v>
      </c>
      <c r="F40" s="184" t="e">
        <f t="shared" si="21"/>
        <v>#DIV/0!</v>
      </c>
      <c r="G40" s="184" t="e">
        <f t="shared" si="21"/>
        <v>#DIV/0!</v>
      </c>
      <c r="H40" s="184" t="e">
        <f t="shared" si="21"/>
        <v>#DIV/0!</v>
      </c>
      <c r="I40" s="184" t="e">
        <f t="shared" si="21"/>
        <v>#DIV/0!</v>
      </c>
      <c r="J40" s="184" t="e">
        <f t="shared" si="21"/>
        <v>#DIV/0!</v>
      </c>
      <c r="K40" s="184" t="e">
        <f t="shared" si="21"/>
        <v>#DIV/0!</v>
      </c>
      <c r="L40" s="184" t="e">
        <f t="shared" si="21"/>
        <v>#DIV/0!</v>
      </c>
      <c r="M40" s="184" t="e">
        <f t="shared" si="21"/>
        <v>#DIV/0!</v>
      </c>
      <c r="N40" s="184" t="e">
        <f t="shared" si="21"/>
        <v>#DIV/0!</v>
      </c>
      <c r="O40" s="170" t="s">
        <v>572</v>
      </c>
      <c r="P40" s="170"/>
      <c r="Q40" s="170"/>
      <c r="R40" s="170"/>
      <c r="S40" s="170"/>
      <c r="T40" s="170"/>
      <c r="U40" s="170"/>
      <c r="V40" s="170"/>
    </row>
    <row r="41" spans="1:24" ht="13.5" x14ac:dyDescent="0.25">
      <c r="A41" s="170"/>
      <c r="B41" s="191" t="s">
        <v>719</v>
      </c>
      <c r="C41" s="184" t="e">
        <f>(C38+(0.25*C46))</f>
        <v>#DIV/0!</v>
      </c>
      <c r="D41" s="184" t="e">
        <f t="shared" ref="D41:N41" si="22">(D38+(0.25*D46))</f>
        <v>#DIV/0!</v>
      </c>
      <c r="E41" s="184" t="e">
        <f t="shared" si="22"/>
        <v>#DIV/0!</v>
      </c>
      <c r="F41" s="184" t="e">
        <f t="shared" si="22"/>
        <v>#DIV/0!</v>
      </c>
      <c r="G41" s="184" t="e">
        <f t="shared" si="22"/>
        <v>#DIV/0!</v>
      </c>
      <c r="H41" s="184" t="e">
        <f t="shared" si="22"/>
        <v>#DIV/0!</v>
      </c>
      <c r="I41" s="184" t="e">
        <f t="shared" si="22"/>
        <v>#DIV/0!</v>
      </c>
      <c r="J41" s="184" t="e">
        <f t="shared" si="22"/>
        <v>#DIV/0!</v>
      </c>
      <c r="K41" s="184" t="e">
        <f t="shared" si="22"/>
        <v>#DIV/0!</v>
      </c>
      <c r="L41" s="184" t="e">
        <f t="shared" si="22"/>
        <v>#DIV/0!</v>
      </c>
      <c r="M41" s="184" t="e">
        <f t="shared" si="22"/>
        <v>#DIV/0!</v>
      </c>
      <c r="N41" s="184" t="e">
        <f t="shared" si="22"/>
        <v>#DIV/0!</v>
      </c>
      <c r="O41" s="170" t="s">
        <v>720</v>
      </c>
      <c r="P41" s="170"/>
      <c r="Q41" s="170"/>
      <c r="R41" s="170"/>
      <c r="S41" s="170"/>
      <c r="U41" s="170"/>
      <c r="V41" s="170"/>
    </row>
    <row r="42" spans="1:24" ht="13.5" x14ac:dyDescent="0.25">
      <c r="A42" s="170"/>
      <c r="B42" s="191" t="s">
        <v>721</v>
      </c>
      <c r="C42" s="184" t="e">
        <f>CONVERT(C41,"Rank","C")</f>
        <v>#DIV/0!</v>
      </c>
      <c r="D42" s="184" t="e">
        <f t="shared" ref="D42:N42" si="23">CONVERT(D41,"Rank","C")</f>
        <v>#DIV/0!</v>
      </c>
      <c r="E42" s="184" t="e">
        <f t="shared" si="23"/>
        <v>#DIV/0!</v>
      </c>
      <c r="F42" s="184" t="e">
        <f t="shared" si="23"/>
        <v>#DIV/0!</v>
      </c>
      <c r="G42" s="184" t="e">
        <f t="shared" si="23"/>
        <v>#DIV/0!</v>
      </c>
      <c r="H42" s="184" t="e">
        <f t="shared" si="23"/>
        <v>#DIV/0!</v>
      </c>
      <c r="I42" s="184" t="e">
        <f t="shared" si="23"/>
        <v>#DIV/0!</v>
      </c>
      <c r="J42" s="184" t="e">
        <f t="shared" si="23"/>
        <v>#DIV/0!</v>
      </c>
      <c r="K42" s="184" t="e">
        <f t="shared" si="23"/>
        <v>#DIV/0!</v>
      </c>
      <c r="L42" s="184" t="e">
        <f t="shared" si="23"/>
        <v>#DIV/0!</v>
      </c>
      <c r="M42" s="184" t="e">
        <f t="shared" si="23"/>
        <v>#DIV/0!</v>
      </c>
      <c r="N42" s="184" t="e">
        <f t="shared" si="23"/>
        <v>#DIV/0!</v>
      </c>
      <c r="O42" s="170" t="s">
        <v>572</v>
      </c>
      <c r="P42" s="170"/>
      <c r="Q42" s="170"/>
      <c r="R42" s="170"/>
      <c r="S42" s="170"/>
      <c r="U42" s="170"/>
      <c r="V42" s="170"/>
    </row>
    <row r="43" spans="1:24" ht="13.5" x14ac:dyDescent="0.25">
      <c r="A43" s="170"/>
      <c r="B43" s="191" t="s">
        <v>722</v>
      </c>
      <c r="C43" s="184" t="e">
        <f t="shared" ref="C43:N43" si="24">C38-(0.25*C46)</f>
        <v>#DIV/0!</v>
      </c>
      <c r="D43" s="184" t="e">
        <f t="shared" si="24"/>
        <v>#DIV/0!</v>
      </c>
      <c r="E43" s="184" t="e">
        <f t="shared" si="24"/>
        <v>#DIV/0!</v>
      </c>
      <c r="F43" s="184" t="e">
        <f t="shared" si="24"/>
        <v>#DIV/0!</v>
      </c>
      <c r="G43" s="184" t="e">
        <f t="shared" si="24"/>
        <v>#DIV/0!</v>
      </c>
      <c r="H43" s="184" t="e">
        <f t="shared" si="24"/>
        <v>#DIV/0!</v>
      </c>
      <c r="I43" s="184" t="e">
        <f t="shared" si="24"/>
        <v>#DIV/0!</v>
      </c>
      <c r="J43" s="184" t="e">
        <f t="shared" si="24"/>
        <v>#DIV/0!</v>
      </c>
      <c r="K43" s="184" t="e">
        <f t="shared" si="24"/>
        <v>#DIV/0!</v>
      </c>
      <c r="L43" s="184" t="e">
        <f t="shared" si="24"/>
        <v>#DIV/0!</v>
      </c>
      <c r="M43" s="184" t="e">
        <f t="shared" si="24"/>
        <v>#DIV/0!</v>
      </c>
      <c r="N43" s="184" t="e">
        <f t="shared" si="24"/>
        <v>#DIV/0!</v>
      </c>
      <c r="O43" s="170" t="s">
        <v>723</v>
      </c>
      <c r="P43" s="170"/>
      <c r="Q43" s="170"/>
      <c r="R43" s="170"/>
      <c r="S43" s="170"/>
      <c r="U43" s="170"/>
      <c r="V43" s="170"/>
    </row>
    <row r="44" spans="1:24" ht="13.5" x14ac:dyDescent="0.25">
      <c r="A44" s="170"/>
      <c r="B44" s="191" t="s">
        <v>724</v>
      </c>
      <c r="C44" s="184" t="e">
        <f t="shared" ref="C44:N44" si="25">CONVERT(C43,"Rank","C")</f>
        <v>#DIV/0!</v>
      </c>
      <c r="D44" s="184" t="e">
        <f t="shared" si="25"/>
        <v>#DIV/0!</v>
      </c>
      <c r="E44" s="184" t="e">
        <f t="shared" si="25"/>
        <v>#DIV/0!</v>
      </c>
      <c r="F44" s="184" t="e">
        <f t="shared" si="25"/>
        <v>#DIV/0!</v>
      </c>
      <c r="G44" s="184" t="e">
        <f t="shared" si="25"/>
        <v>#DIV/0!</v>
      </c>
      <c r="H44" s="184" t="e">
        <f t="shared" si="25"/>
        <v>#DIV/0!</v>
      </c>
      <c r="I44" s="184" t="e">
        <f t="shared" si="25"/>
        <v>#DIV/0!</v>
      </c>
      <c r="J44" s="184" t="e">
        <f t="shared" si="25"/>
        <v>#DIV/0!</v>
      </c>
      <c r="K44" s="184" t="e">
        <f t="shared" si="25"/>
        <v>#DIV/0!</v>
      </c>
      <c r="L44" s="184" t="e">
        <f t="shared" si="25"/>
        <v>#DIV/0!</v>
      </c>
      <c r="M44" s="184" t="e">
        <f t="shared" si="25"/>
        <v>#DIV/0!</v>
      </c>
      <c r="N44" s="184" t="e">
        <f t="shared" si="25"/>
        <v>#DIV/0!</v>
      </c>
      <c r="O44" s="170" t="s">
        <v>572</v>
      </c>
      <c r="P44" s="170"/>
      <c r="Q44" s="170"/>
      <c r="R44" s="170"/>
      <c r="S44" s="170"/>
      <c r="U44" s="170"/>
      <c r="V44" s="170"/>
    </row>
    <row r="45" spans="1:24" ht="13.5" x14ac:dyDescent="0.25">
      <c r="A45" s="170"/>
      <c r="B45" s="191" t="s">
        <v>725</v>
      </c>
      <c r="C45" s="184" t="e">
        <f t="shared" ref="C45:N45" si="26">IF($X$37=1, (((2.2*($T$38/$U$38)+1.1)*C34)+(0.8*C37)+(0.021*$V$38*C36)+(0.013*($T$38/$U$38)*$W$38*C36))/(2.2*($T$38/$U$38)+1.9), IF($X$37=2, 0.6*C34+0.4*C37+0.01*$V$38*C36, IF($X$37=3, C37, "Unknown")))</f>
        <v>#DIV/0!</v>
      </c>
      <c r="D45" s="184" t="e">
        <f t="shared" si="26"/>
        <v>#DIV/0!</v>
      </c>
      <c r="E45" s="184" t="e">
        <f t="shared" si="26"/>
        <v>#DIV/0!</v>
      </c>
      <c r="F45" s="184" t="e">
        <f t="shared" si="26"/>
        <v>#DIV/0!</v>
      </c>
      <c r="G45" s="184" t="e">
        <f t="shared" si="26"/>
        <v>#DIV/0!</v>
      </c>
      <c r="H45" s="184" t="e">
        <f t="shared" si="26"/>
        <v>#DIV/0!</v>
      </c>
      <c r="I45" s="184" t="e">
        <f t="shared" si="26"/>
        <v>#DIV/0!</v>
      </c>
      <c r="J45" s="184" t="e">
        <f t="shared" si="26"/>
        <v>#DIV/0!</v>
      </c>
      <c r="K45" s="184" t="e">
        <f t="shared" si="26"/>
        <v>#DIV/0!</v>
      </c>
      <c r="L45" s="184" t="e">
        <f t="shared" si="26"/>
        <v>#DIV/0!</v>
      </c>
      <c r="M45" s="184" t="e">
        <f t="shared" si="26"/>
        <v>#DIV/0!</v>
      </c>
      <c r="N45" s="184" t="e">
        <f t="shared" si="26"/>
        <v>#DIV/0!</v>
      </c>
      <c r="O45" s="170" t="s">
        <v>726</v>
      </c>
      <c r="P45" s="170"/>
      <c r="Q45" s="170"/>
      <c r="R45" s="170"/>
      <c r="S45" s="170"/>
      <c r="U45" s="170"/>
      <c r="V45" s="170"/>
    </row>
    <row r="46" spans="1:24" x14ac:dyDescent="0.2">
      <c r="A46" s="192"/>
      <c r="B46" s="193" t="s">
        <v>477</v>
      </c>
      <c r="C46" s="184" t="e">
        <f t="shared" ref="C46:N46" si="27">IF($X$37=1, ((1-(0.8/(2.2*($T$38/$U$38)+1.9)))*C35)+((0.042*$V$38*C36+0.026*($T$38/$U$38)*$W$38*C36)/(2.2*($T$38/$U$38)+1.9)), IF($X$37=2, 0.6*C35+0.02*$V$38*C36, IF($X$37=3, 0, "Unknown")))</f>
        <v>#DIV/0!</v>
      </c>
      <c r="D46" s="184" t="e">
        <f>IF($X$37=1, ((1-(0.8/(2.2*($T$38/$U$38)+1.9)))*D35)+((0.042*$V$38*D36+0.026*($T$38/$U$38)*$W$38*D36)/(2.2*($T$38/$U$38)+1.9)), IF($X$37=2, 0.6*D35+0.02*$V$38*D36, IF($X$37=3, 0, "Unknown")))</f>
        <v>#DIV/0!</v>
      </c>
      <c r="E46" s="184" t="e">
        <f t="shared" si="27"/>
        <v>#DIV/0!</v>
      </c>
      <c r="F46" s="184" t="e">
        <f t="shared" si="27"/>
        <v>#DIV/0!</v>
      </c>
      <c r="G46" s="184" t="e">
        <f>IF($X$37=1, ((1-(0.8/(2.2*($T$38/$U$38)+1.9)))*G35)+((0.042*$V$38*G36+0.026*($T$38/$U$38)*$W$38*G36)/(2.2*($T$38/$U$38)+1.9)), IF($X$37=2, 0.6*G35+0.02*$V$38*G36, IF($X$37=3, 0, "Unknown")))</f>
        <v>#DIV/0!</v>
      </c>
      <c r="H46" s="184" t="e">
        <f t="shared" si="27"/>
        <v>#DIV/0!</v>
      </c>
      <c r="I46" s="184" t="e">
        <f t="shared" si="27"/>
        <v>#DIV/0!</v>
      </c>
      <c r="J46" s="184" t="e">
        <f t="shared" si="27"/>
        <v>#DIV/0!</v>
      </c>
      <c r="K46" s="184" t="e">
        <f>IF($X$37=1, ((1-(0.8/(2.2*($T$38/$U$38)+1.9)))*K35)+((0.042*$V$38*K36+0.026*($T$38/$U$38)*$W$38*K36)/(2.2*($T$38/$U$38)+1.9)), IF($X$37=2, 0.6*K35+0.02*$V$38*K36, IF($X$37=3, 0, "Unknown")))</f>
        <v>#DIV/0!</v>
      </c>
      <c r="L46" s="184" t="e">
        <f t="shared" si="27"/>
        <v>#DIV/0!</v>
      </c>
      <c r="M46" s="184" t="e">
        <f t="shared" si="27"/>
        <v>#DIV/0!</v>
      </c>
      <c r="N46" s="184" t="e">
        <f t="shared" si="27"/>
        <v>#DIV/0!</v>
      </c>
      <c r="O46" s="170" t="s">
        <v>624</v>
      </c>
      <c r="P46" s="170"/>
      <c r="Q46" s="170"/>
      <c r="R46" s="170"/>
      <c r="S46" s="170"/>
      <c r="U46" s="170"/>
      <c r="V46" s="170"/>
    </row>
    <row r="47" spans="1:24" x14ac:dyDescent="0.2">
      <c r="A47" s="192"/>
      <c r="B47" s="193"/>
      <c r="C47" s="193"/>
      <c r="D47" s="193"/>
      <c r="E47" s="193"/>
      <c r="F47" s="193"/>
      <c r="G47" s="193"/>
      <c r="H47" s="193"/>
      <c r="I47" s="193"/>
      <c r="J47" s="193"/>
      <c r="K47" s="193"/>
      <c r="L47" s="193"/>
      <c r="M47" s="193"/>
      <c r="N47" s="193"/>
      <c r="O47" s="170"/>
      <c r="P47" s="170"/>
      <c r="Q47" s="170"/>
      <c r="R47" s="170"/>
      <c r="S47" s="170"/>
      <c r="U47" s="170"/>
      <c r="V47" s="170"/>
    </row>
    <row r="48" spans="1:24" ht="13.5" x14ac:dyDescent="0.25">
      <c r="A48" s="170"/>
      <c r="B48" s="185" t="str">
        <f>IF(OR('Tank and Material Properties'!D59= "None", 'Tank and Material Properties'!D59=""), "No Select Petroluem Product Indicated", 'Tank and Material Properties'!D59&amp; " Partial Pressure, psia")</f>
        <v>No Select Petroluem Product Indicated</v>
      </c>
      <c r="C48" s="194">
        <f>IF('Tank and Material Properties'!$D$60&gt;0,EXP($C$25-($C$26/C38))*$C$21,0)</f>
        <v>0</v>
      </c>
      <c r="D48" s="194">
        <f>IF('Tank and Material Properties'!$D$60&gt;0,EXP($C$25-($C$26/D38))*$C$21,0)</f>
        <v>0</v>
      </c>
      <c r="E48" s="194">
        <f>IF('Tank and Material Properties'!$D$60&gt;0,EXP($C$25-($C$26/E38))*$C$21,0)</f>
        <v>0</v>
      </c>
      <c r="F48" s="194">
        <f>IF('Tank and Material Properties'!$D$60&gt;0,EXP($C$25-($C$26/F38))*$C$21,0)</f>
        <v>0</v>
      </c>
      <c r="G48" s="194">
        <f>IF('Tank and Material Properties'!$D$60&gt;0,EXP($C$25-($C$26/G38))*$C$21,0)</f>
        <v>0</v>
      </c>
      <c r="H48" s="194">
        <f>IF('Tank and Material Properties'!$D$60&gt;0,EXP($C$25-($C$26/H38))*$C$21,0)</f>
        <v>0</v>
      </c>
      <c r="I48" s="194">
        <f>IF('Tank and Material Properties'!$D$60&gt;0,EXP($C$25-($C$26/I38))*$C$21,0)</f>
        <v>0</v>
      </c>
      <c r="J48" s="194">
        <f>IF('Tank and Material Properties'!$D$60&gt;0,EXP($C$25-($C$26/J38))*$C$21,0)</f>
        <v>0</v>
      </c>
      <c r="K48" s="194">
        <f>IF('Tank and Material Properties'!$D$60&gt;0,EXP($C$25-($C$26/K38))*$C$21,0)</f>
        <v>0</v>
      </c>
      <c r="L48" s="194">
        <f>IF('Tank and Material Properties'!$D$60&gt;0,EXP($C$25-($C$26/L38))*$C$21,0)</f>
        <v>0</v>
      </c>
      <c r="M48" s="194">
        <f>IF('Tank and Material Properties'!$D$60&gt;0,EXP($C$25-($C$26/M38))*$C$21,0)</f>
        <v>0</v>
      </c>
      <c r="N48" s="194">
        <f>IF('Tank and Material Properties'!$D$60&gt;0,EXP($C$25-($C$26/N38))*$C$21,0)</f>
        <v>0</v>
      </c>
      <c r="O48" s="170" t="s">
        <v>727</v>
      </c>
      <c r="P48" s="170"/>
      <c r="Q48" s="170"/>
      <c r="R48" s="170"/>
      <c r="S48" s="170"/>
      <c r="U48" s="170"/>
      <c r="V48" s="170"/>
    </row>
    <row r="49" spans="1:22" x14ac:dyDescent="0.2">
      <c r="A49" s="170"/>
      <c r="B49" s="185" t="str">
        <f>IF(OR('Tank and Material Properties'!D59= "None", 'Tank and Material Properties'!D59=""), "No Select Petroluem Product Indicated", 'Tank and Material Properties'!D59&amp; " Partial Pressure, mmHg")</f>
        <v>No Select Petroluem Product Indicated</v>
      </c>
      <c r="C49" s="188">
        <f>IF(C48&lt;&gt;"",CONVERT(C48,"psi","mmHg"),"")</f>
        <v>0</v>
      </c>
      <c r="D49" s="188">
        <f t="shared" ref="D49:N49" si="28">IF(D48&lt;&gt;"",CONVERT(D48,"psi","mmHg"),"")</f>
        <v>0</v>
      </c>
      <c r="E49" s="188">
        <f t="shared" si="28"/>
        <v>0</v>
      </c>
      <c r="F49" s="188">
        <f t="shared" si="28"/>
        <v>0</v>
      </c>
      <c r="G49" s="188">
        <f t="shared" si="28"/>
        <v>0</v>
      </c>
      <c r="H49" s="188">
        <f t="shared" si="28"/>
        <v>0</v>
      </c>
      <c r="I49" s="188">
        <f t="shared" si="28"/>
        <v>0</v>
      </c>
      <c r="J49" s="188">
        <f t="shared" si="28"/>
        <v>0</v>
      </c>
      <c r="K49" s="188">
        <f t="shared" si="28"/>
        <v>0</v>
      </c>
      <c r="L49" s="188">
        <f t="shared" si="28"/>
        <v>0</v>
      </c>
      <c r="M49" s="188">
        <f t="shared" si="28"/>
        <v>0</v>
      </c>
      <c r="N49" s="188">
        <f t="shared" si="28"/>
        <v>0</v>
      </c>
      <c r="O49" s="170" t="s">
        <v>570</v>
      </c>
      <c r="P49" s="170"/>
      <c r="Q49" s="170"/>
      <c r="R49" s="170"/>
      <c r="S49" s="170"/>
      <c r="U49" s="170"/>
      <c r="V49" s="170"/>
    </row>
    <row r="50" spans="1:22" ht="13.5" x14ac:dyDescent="0.25">
      <c r="A50" s="170"/>
      <c r="B50" s="185" t="str">
        <f>IF(OR('Tank and Material Properties'!D59= "None", 'Tank and Material Properties'!D59=""), "No Select Petroluem Product Indicated", 'Tank and Material Properties'!D59&amp; " Minimum Partial Pressure, psia")</f>
        <v>No Select Petroluem Product Indicated</v>
      </c>
      <c r="C50" s="188" t="e">
        <f>IF(C48&lt;&gt;"", EXP($C$25-($C$26/C43))*$C$21,"")</f>
        <v>#N/A</v>
      </c>
      <c r="D50" s="188" t="e">
        <f t="shared" ref="D50:N50" si="29">IF(D48&lt;&gt;"", EXP($C$25-($C$26/D43))*$C$21,"")</f>
        <v>#N/A</v>
      </c>
      <c r="E50" s="188" t="e">
        <f t="shared" si="29"/>
        <v>#N/A</v>
      </c>
      <c r="F50" s="188" t="e">
        <f t="shared" si="29"/>
        <v>#N/A</v>
      </c>
      <c r="G50" s="188" t="e">
        <f t="shared" si="29"/>
        <v>#N/A</v>
      </c>
      <c r="H50" s="188" t="e">
        <f t="shared" si="29"/>
        <v>#N/A</v>
      </c>
      <c r="I50" s="188" t="e">
        <f t="shared" si="29"/>
        <v>#N/A</v>
      </c>
      <c r="J50" s="188" t="e">
        <f t="shared" si="29"/>
        <v>#N/A</v>
      </c>
      <c r="K50" s="188" t="e">
        <f t="shared" si="29"/>
        <v>#N/A</v>
      </c>
      <c r="L50" s="188" t="e">
        <f t="shared" si="29"/>
        <v>#N/A</v>
      </c>
      <c r="M50" s="188" t="e">
        <f>IF(M48&lt;&gt;"", EXP($C$25-($C$26/M43))*$C$21,"")</f>
        <v>#N/A</v>
      </c>
      <c r="N50" s="188" t="e">
        <f t="shared" si="29"/>
        <v>#N/A</v>
      </c>
      <c r="O50" s="170" t="s">
        <v>728</v>
      </c>
      <c r="P50" s="170"/>
      <c r="Q50" s="170"/>
      <c r="R50" s="170"/>
      <c r="S50" s="170"/>
      <c r="U50" s="170"/>
      <c r="V50" s="170"/>
    </row>
    <row r="51" spans="1:22" x14ac:dyDescent="0.2">
      <c r="A51" s="170"/>
      <c r="B51" s="185" t="str">
        <f>IF(OR('Tank and Material Properties'!D59= "None", 'Tank and Material Properties'!D59=""), "No Select Petroluem Product Indicated", 'Tank and Material Properties'!D59&amp; " Minimum Partial Pressure, mmHg")</f>
        <v>No Select Petroluem Product Indicated</v>
      </c>
      <c r="C51" s="188" t="e">
        <f>IF(C50&lt;&gt;"", CONVERT(C50,"psi", "mmHg"),"")</f>
        <v>#N/A</v>
      </c>
      <c r="D51" s="188" t="e">
        <f t="shared" ref="D51:N51" si="30">IF(D50&lt;&gt;"", CONVERT(D50,"psi", "mmHg"),"")</f>
        <v>#N/A</v>
      </c>
      <c r="E51" s="188" t="e">
        <f t="shared" si="30"/>
        <v>#N/A</v>
      </c>
      <c r="F51" s="188" t="e">
        <f t="shared" si="30"/>
        <v>#N/A</v>
      </c>
      <c r="G51" s="188" t="e">
        <f t="shared" si="30"/>
        <v>#N/A</v>
      </c>
      <c r="H51" s="188" t="e">
        <f t="shared" si="30"/>
        <v>#N/A</v>
      </c>
      <c r="I51" s="188" t="e">
        <f t="shared" si="30"/>
        <v>#N/A</v>
      </c>
      <c r="J51" s="188" t="e">
        <f t="shared" si="30"/>
        <v>#N/A</v>
      </c>
      <c r="K51" s="188" t="e">
        <f t="shared" si="30"/>
        <v>#N/A</v>
      </c>
      <c r="L51" s="188" t="e">
        <f t="shared" si="30"/>
        <v>#N/A</v>
      </c>
      <c r="M51" s="188" t="e">
        <f t="shared" si="30"/>
        <v>#N/A</v>
      </c>
      <c r="N51" s="188" t="e">
        <f t="shared" si="30"/>
        <v>#N/A</v>
      </c>
      <c r="O51" s="170" t="s">
        <v>570</v>
      </c>
      <c r="P51" s="170"/>
      <c r="Q51" s="170"/>
      <c r="R51" s="170"/>
      <c r="S51" s="170"/>
      <c r="T51" s="170"/>
      <c r="U51" s="170"/>
      <c r="V51" s="170"/>
    </row>
    <row r="52" spans="1:22" ht="13.5" x14ac:dyDescent="0.25">
      <c r="A52" s="170"/>
      <c r="B52" s="195" t="str">
        <f>IF(OR('Tank and Material Properties'!D59= "None", 'Tank and Material Properties'!D59=""), "No Select Petroluem Product Indicated", 'Tank and Material Properties'!D59&amp; " Maximum Partial Pressure, psia")</f>
        <v>No Select Petroluem Product Indicated</v>
      </c>
      <c r="C52" s="188" t="e">
        <f>EXP($C$25-($C$26/C41))*$C$21</f>
        <v>#N/A</v>
      </c>
      <c r="D52" s="188" t="e">
        <f t="shared" ref="D52:N52" si="31">EXP($C$25-($C$26/D41))*$C$21</f>
        <v>#N/A</v>
      </c>
      <c r="E52" s="188" t="e">
        <f t="shared" si="31"/>
        <v>#N/A</v>
      </c>
      <c r="F52" s="188" t="e">
        <f t="shared" si="31"/>
        <v>#N/A</v>
      </c>
      <c r="G52" s="188" t="e">
        <f t="shared" si="31"/>
        <v>#N/A</v>
      </c>
      <c r="H52" s="188" t="e">
        <f t="shared" si="31"/>
        <v>#N/A</v>
      </c>
      <c r="I52" s="188" t="e">
        <f t="shared" si="31"/>
        <v>#N/A</v>
      </c>
      <c r="J52" s="188" t="e">
        <f t="shared" si="31"/>
        <v>#N/A</v>
      </c>
      <c r="K52" s="188" t="e">
        <f t="shared" si="31"/>
        <v>#N/A</v>
      </c>
      <c r="L52" s="188" t="e">
        <f t="shared" si="31"/>
        <v>#N/A</v>
      </c>
      <c r="M52" s="188" t="e">
        <f>EXP($C$25-($C$26/M41))*$C$21</f>
        <v>#N/A</v>
      </c>
      <c r="N52" s="188" t="e">
        <f t="shared" si="31"/>
        <v>#N/A</v>
      </c>
      <c r="O52" s="170" t="s">
        <v>729</v>
      </c>
      <c r="P52" s="170"/>
      <c r="Q52" s="170"/>
      <c r="R52" s="170"/>
      <c r="S52" s="170"/>
      <c r="T52" s="170"/>
      <c r="U52" s="170"/>
      <c r="V52" s="170"/>
    </row>
    <row r="53" spans="1:22" x14ac:dyDescent="0.2">
      <c r="A53" s="170"/>
      <c r="B53" s="185" t="str">
        <f>IF(OR('Tank and Material Properties'!D59= "None", 'Tank and Material Properties'!D59=""), "No Select Petroluem Product Indicated", 'Tank and Material Properties'!D59&amp; " Maximum Partial Pressure, mmHg")</f>
        <v>No Select Petroluem Product Indicated</v>
      </c>
      <c r="C53" s="196" t="e">
        <f>IF(C52&lt;&gt;"",CONVERT(C52,"psi","mmHg"),"")</f>
        <v>#N/A</v>
      </c>
      <c r="D53" s="196" t="e">
        <f t="shared" ref="D53:M53" si="32">IF(D52&lt;&gt;"",CONVERT(D52,"psi","mmHg"),"")</f>
        <v>#N/A</v>
      </c>
      <c r="E53" s="196" t="e">
        <f t="shared" si="32"/>
        <v>#N/A</v>
      </c>
      <c r="F53" s="196" t="e">
        <f t="shared" si="32"/>
        <v>#N/A</v>
      </c>
      <c r="G53" s="196" t="e">
        <f t="shared" si="32"/>
        <v>#N/A</v>
      </c>
      <c r="H53" s="196" t="e">
        <f t="shared" si="32"/>
        <v>#N/A</v>
      </c>
      <c r="I53" s="196" t="e">
        <f t="shared" si="32"/>
        <v>#N/A</v>
      </c>
      <c r="J53" s="196" t="e">
        <f t="shared" si="32"/>
        <v>#N/A</v>
      </c>
      <c r="K53" s="196" t="e">
        <f t="shared" si="32"/>
        <v>#N/A</v>
      </c>
      <c r="L53" s="196" t="e">
        <f t="shared" si="32"/>
        <v>#N/A</v>
      </c>
      <c r="M53" s="196" t="e">
        <f t="shared" si="32"/>
        <v>#N/A</v>
      </c>
      <c r="N53" s="196" t="e">
        <f>IF(N52&lt;&gt;"",CONVERT(N52,"psi","mmHg"),"")</f>
        <v>#N/A</v>
      </c>
      <c r="O53" s="170" t="s">
        <v>570</v>
      </c>
      <c r="P53" s="170"/>
      <c r="Q53" s="170"/>
      <c r="R53" s="170"/>
      <c r="S53" s="170"/>
      <c r="T53" s="170"/>
      <c r="U53" s="170"/>
      <c r="V53" s="170"/>
    </row>
    <row r="54" spans="1:22" x14ac:dyDescent="0.2">
      <c r="A54" s="170"/>
      <c r="B54" s="185"/>
      <c r="C54" s="185"/>
      <c r="D54" s="185"/>
      <c r="E54" s="185"/>
      <c r="F54" s="185"/>
      <c r="G54" s="185"/>
      <c r="H54" s="185"/>
      <c r="I54" s="185"/>
      <c r="J54" s="185"/>
      <c r="K54" s="185"/>
      <c r="L54" s="185"/>
      <c r="M54" s="185"/>
      <c r="N54" s="185"/>
      <c r="O54" s="170"/>
      <c r="P54" s="170"/>
      <c r="Q54" s="170"/>
      <c r="R54" s="170"/>
      <c r="S54" s="170"/>
      <c r="T54" s="170"/>
      <c r="U54" s="170"/>
      <c r="V54" s="170"/>
    </row>
    <row r="55" spans="1:22" ht="53.25" customHeight="1" x14ac:dyDescent="0.2">
      <c r="A55" s="170"/>
      <c r="B55" s="197" t="s">
        <v>843</v>
      </c>
      <c r="C55" s="198" t="s">
        <v>574</v>
      </c>
      <c r="D55" s="199" t="s">
        <v>562</v>
      </c>
      <c r="E55" s="199" t="s">
        <v>375</v>
      </c>
      <c r="F55" s="199" t="s">
        <v>374</v>
      </c>
      <c r="G55" s="454" t="s">
        <v>575</v>
      </c>
      <c r="H55" s="454"/>
      <c r="I55" s="200" t="s">
        <v>563</v>
      </c>
      <c r="J55" s="199" t="s">
        <v>577</v>
      </c>
      <c r="K55" s="455" t="s">
        <v>573</v>
      </c>
      <c r="L55" s="456"/>
      <c r="M55" s="457"/>
      <c r="N55" s="170"/>
      <c r="O55" s="170"/>
      <c r="P55" s="170"/>
      <c r="Q55" s="170"/>
      <c r="R55" s="170"/>
      <c r="S55" s="170"/>
      <c r="U55" s="170"/>
      <c r="V55" s="170"/>
    </row>
    <row r="56" spans="1:22" x14ac:dyDescent="0.2">
      <c r="A56" s="170"/>
      <c r="B56" s="185" t="str">
        <f>IF('Tank and Material Properties'!B67=0,"", 'Tank and Material Properties'!B67)</f>
        <v/>
      </c>
      <c r="C56" s="201" t="str">
        <f>'Tank and Material Properties'!F67</f>
        <v/>
      </c>
      <c r="D56" s="202" t="str">
        <f>'Tank and Material Properties'!H67</f>
        <v/>
      </c>
      <c r="E56" s="202" t="str">
        <f>'Tank and Material Properties'!I67</f>
        <v/>
      </c>
      <c r="F56" s="202" t="str">
        <f>'Tank and Material Properties'!J67</f>
        <v/>
      </c>
      <c r="G56" s="444" t="str">
        <f>'Tank and Material Properties'!AI68</f>
        <v/>
      </c>
      <c r="H56" s="445"/>
      <c r="I56" s="203">
        <f>IF(B56&lt;&gt;"",'Tank and Material Properties'!M67,0)</f>
        <v>0</v>
      </c>
      <c r="J56" s="204" t="str">
        <f>IF(C56="Yes", 1, "")</f>
        <v/>
      </c>
      <c r="K56" s="458" t="str">
        <f>B56</f>
        <v/>
      </c>
      <c r="L56" s="459"/>
      <c r="M56" s="460"/>
      <c r="N56" s="170"/>
      <c r="O56" s="170"/>
      <c r="P56" s="170"/>
      <c r="Q56" s="170"/>
      <c r="R56" s="170"/>
      <c r="S56" s="170"/>
      <c r="U56" s="170"/>
      <c r="V56" s="170"/>
    </row>
    <row r="57" spans="1:22" x14ac:dyDescent="0.2">
      <c r="A57" s="170"/>
      <c r="B57" s="185" t="str">
        <f>IF('Tank and Material Properties'!B68=0,"", 'Tank and Material Properties'!B68)</f>
        <v/>
      </c>
      <c r="C57" s="201" t="str">
        <f>'Tank and Material Properties'!F68</f>
        <v/>
      </c>
      <c r="D57" s="202" t="str">
        <f>'Tank and Material Properties'!H68</f>
        <v/>
      </c>
      <c r="E57" s="202" t="str">
        <f>'Tank and Material Properties'!I68</f>
        <v/>
      </c>
      <c r="F57" s="202" t="str">
        <f>'Tank and Material Properties'!J68</f>
        <v/>
      </c>
      <c r="G57" s="444" t="str">
        <f>'Tank and Material Properties'!AI69</f>
        <v/>
      </c>
      <c r="H57" s="445"/>
      <c r="I57" s="205">
        <f>IF(B57&lt;&gt;"",'Tank and Material Properties'!M68,0)</f>
        <v>0</v>
      </c>
      <c r="J57" s="204" t="str">
        <f>IF(C57="Yes",COUNT(J56)+1,"")</f>
        <v/>
      </c>
      <c r="K57" s="461" t="str">
        <f t="shared" ref="K57:K65" si="33">B57</f>
        <v/>
      </c>
      <c r="L57" s="462"/>
      <c r="M57" s="463"/>
      <c r="N57" s="170"/>
      <c r="O57" s="170"/>
      <c r="P57" s="170"/>
      <c r="Q57" s="170"/>
      <c r="R57" s="170"/>
      <c r="S57" s="170"/>
      <c r="U57" s="170"/>
      <c r="V57" s="170"/>
    </row>
    <row r="58" spans="1:22" x14ac:dyDescent="0.2">
      <c r="A58" s="170"/>
      <c r="B58" s="185" t="str">
        <f>IF('Tank and Material Properties'!B69=0,"", 'Tank and Material Properties'!B69)</f>
        <v/>
      </c>
      <c r="C58" s="201" t="str">
        <f>'Tank and Material Properties'!F69</f>
        <v/>
      </c>
      <c r="D58" s="202" t="str">
        <f>'Tank and Material Properties'!H69</f>
        <v/>
      </c>
      <c r="E58" s="202" t="str">
        <f>'Tank and Material Properties'!I69</f>
        <v/>
      </c>
      <c r="F58" s="202" t="str">
        <f>'Tank and Material Properties'!J69</f>
        <v/>
      </c>
      <c r="G58" s="444" t="str">
        <f>'Tank and Material Properties'!AI70</f>
        <v/>
      </c>
      <c r="H58" s="445"/>
      <c r="I58" s="205">
        <f>IF(B58&lt;&gt;"",'Tank and Material Properties'!M69,0)</f>
        <v>0</v>
      </c>
      <c r="J58" s="204" t="str">
        <f>IF(C58="Yes",COUNT(J56:J57)+1,"")</f>
        <v/>
      </c>
      <c r="K58" s="461" t="str">
        <f t="shared" si="33"/>
        <v/>
      </c>
      <c r="L58" s="462"/>
      <c r="M58" s="463"/>
      <c r="N58" s="170"/>
      <c r="O58" s="170"/>
      <c r="P58" s="170"/>
      <c r="Q58" s="170"/>
      <c r="R58" s="170"/>
      <c r="S58" s="170"/>
      <c r="U58" s="170"/>
      <c r="V58" s="170"/>
    </row>
    <row r="59" spans="1:22" x14ac:dyDescent="0.2">
      <c r="A59" s="170"/>
      <c r="B59" s="185" t="str">
        <f>IF('Tank and Material Properties'!B70=0,"", 'Tank and Material Properties'!B70)</f>
        <v/>
      </c>
      <c r="C59" s="201" t="str">
        <f>'Tank and Material Properties'!F70</f>
        <v/>
      </c>
      <c r="D59" s="202" t="str">
        <f>'Tank and Material Properties'!H70</f>
        <v/>
      </c>
      <c r="E59" s="202" t="str">
        <f>'Tank and Material Properties'!I70</f>
        <v/>
      </c>
      <c r="F59" s="202" t="str">
        <f>'Tank and Material Properties'!J70</f>
        <v/>
      </c>
      <c r="G59" s="444" t="str">
        <f>'Tank and Material Properties'!AI71</f>
        <v/>
      </c>
      <c r="H59" s="445"/>
      <c r="I59" s="205">
        <f>IF(B59&lt;&gt;"",'Tank and Material Properties'!M70,0)</f>
        <v>0</v>
      </c>
      <c r="J59" s="204" t="str">
        <f>IF(C59="Yes",COUNT(J56:J58)+1,"")</f>
        <v/>
      </c>
      <c r="K59" s="461" t="str">
        <f t="shared" si="33"/>
        <v/>
      </c>
      <c r="L59" s="462"/>
      <c r="M59" s="463"/>
      <c r="N59" s="170"/>
      <c r="O59" s="170"/>
      <c r="P59" s="170"/>
      <c r="Q59" s="170"/>
      <c r="R59" s="170"/>
      <c r="S59" s="170"/>
      <c r="U59" s="170"/>
      <c r="V59" s="170"/>
    </row>
    <row r="60" spans="1:22" x14ac:dyDescent="0.2">
      <c r="A60" s="170"/>
      <c r="B60" s="185" t="str">
        <f>IF('Tank and Material Properties'!B71=0,"", 'Tank and Material Properties'!B71)</f>
        <v/>
      </c>
      <c r="C60" s="201" t="str">
        <f>'Tank and Material Properties'!F71</f>
        <v/>
      </c>
      <c r="D60" s="202" t="str">
        <f>'Tank and Material Properties'!H71</f>
        <v/>
      </c>
      <c r="E60" s="202" t="str">
        <f>'Tank and Material Properties'!I71</f>
        <v/>
      </c>
      <c r="F60" s="202" t="str">
        <f>'Tank and Material Properties'!J71</f>
        <v/>
      </c>
      <c r="G60" s="444" t="str">
        <f>'Tank and Material Properties'!AI72</f>
        <v/>
      </c>
      <c r="H60" s="445"/>
      <c r="I60" s="205">
        <f>IF(B60&lt;&gt;"",'Tank and Material Properties'!M71,0)</f>
        <v>0</v>
      </c>
      <c r="J60" s="204" t="str">
        <f>IF(C60="Yes",COUNT(J56:J59)+1,"")</f>
        <v/>
      </c>
      <c r="K60" s="461" t="str">
        <f t="shared" si="33"/>
        <v/>
      </c>
      <c r="L60" s="462"/>
      <c r="M60" s="463"/>
      <c r="N60" s="170"/>
      <c r="O60" s="170"/>
      <c r="P60" s="170"/>
      <c r="Q60" s="170"/>
      <c r="R60" s="170"/>
      <c r="S60" s="170"/>
      <c r="U60" s="170"/>
      <c r="V60" s="170"/>
    </row>
    <row r="61" spans="1:22" x14ac:dyDescent="0.2">
      <c r="A61" s="170"/>
      <c r="B61" s="185" t="str">
        <f>IF('Tank and Material Properties'!B72=0,"", 'Tank and Material Properties'!B72)</f>
        <v/>
      </c>
      <c r="C61" s="201" t="str">
        <f>'Tank and Material Properties'!F72</f>
        <v/>
      </c>
      <c r="D61" s="202" t="str">
        <f>'Tank and Material Properties'!H72</f>
        <v/>
      </c>
      <c r="E61" s="202" t="str">
        <f>'Tank and Material Properties'!I72</f>
        <v/>
      </c>
      <c r="F61" s="202" t="str">
        <f>'Tank and Material Properties'!J72</f>
        <v/>
      </c>
      <c r="G61" s="444" t="str">
        <f>'Tank and Material Properties'!AI73</f>
        <v/>
      </c>
      <c r="H61" s="445"/>
      <c r="I61" s="205">
        <f>IF(B61&lt;&gt;"",'Tank and Material Properties'!M72,0)</f>
        <v>0</v>
      </c>
      <c r="J61" s="204" t="str">
        <f>IF(C61="Yes",COUNT(J56:J60)+1,"")</f>
        <v/>
      </c>
      <c r="K61" s="461" t="str">
        <f t="shared" si="33"/>
        <v/>
      </c>
      <c r="L61" s="462"/>
      <c r="M61" s="463"/>
      <c r="N61" s="170"/>
      <c r="O61" s="170"/>
      <c r="P61" s="170"/>
      <c r="Q61" s="170"/>
      <c r="R61" s="170"/>
      <c r="S61" s="170"/>
      <c r="U61" s="170"/>
      <c r="V61" s="170"/>
    </row>
    <row r="62" spans="1:22" x14ac:dyDescent="0.2">
      <c r="A62" s="170"/>
      <c r="B62" s="185" t="str">
        <f>IF('Tank and Material Properties'!B73=0,"", 'Tank and Material Properties'!B73)</f>
        <v/>
      </c>
      <c r="C62" s="201" t="str">
        <f>'Tank and Material Properties'!F73</f>
        <v/>
      </c>
      <c r="D62" s="202" t="str">
        <f>'Tank and Material Properties'!H73</f>
        <v/>
      </c>
      <c r="E62" s="202" t="str">
        <f>'Tank and Material Properties'!I73</f>
        <v/>
      </c>
      <c r="F62" s="202" t="str">
        <f>'Tank and Material Properties'!J73</f>
        <v/>
      </c>
      <c r="G62" s="444" t="str">
        <f>'Tank and Material Properties'!AI74</f>
        <v/>
      </c>
      <c r="H62" s="445"/>
      <c r="I62" s="205">
        <f>IF(B62&lt;&gt;"",'Tank and Material Properties'!M73,0)</f>
        <v>0</v>
      </c>
      <c r="J62" s="204" t="str">
        <f>IF(C62="Yes",COUNT(J56:J61)+1,"")</f>
        <v/>
      </c>
      <c r="K62" s="461" t="str">
        <f t="shared" si="33"/>
        <v/>
      </c>
      <c r="L62" s="462"/>
      <c r="M62" s="463"/>
      <c r="N62" s="170"/>
      <c r="O62" s="170"/>
      <c r="P62" s="170"/>
      <c r="Q62" s="170"/>
      <c r="R62" s="170"/>
      <c r="S62" s="170"/>
      <c r="U62" s="170"/>
      <c r="V62" s="170"/>
    </row>
    <row r="63" spans="1:22" x14ac:dyDescent="0.2">
      <c r="A63" s="170"/>
      <c r="B63" s="185" t="str">
        <f>IF('Tank and Material Properties'!B74=0,"", 'Tank and Material Properties'!B74)</f>
        <v/>
      </c>
      <c r="C63" s="201" t="str">
        <f>'Tank and Material Properties'!F74</f>
        <v/>
      </c>
      <c r="D63" s="202" t="str">
        <f>'Tank and Material Properties'!H74</f>
        <v/>
      </c>
      <c r="E63" s="202" t="str">
        <f>'Tank and Material Properties'!I74</f>
        <v/>
      </c>
      <c r="F63" s="202" t="str">
        <f>'Tank and Material Properties'!J74</f>
        <v/>
      </c>
      <c r="G63" s="444" t="str">
        <f>'Tank and Material Properties'!AI75</f>
        <v/>
      </c>
      <c r="H63" s="445"/>
      <c r="I63" s="205">
        <f>IF(B63&lt;&gt;"",'Tank and Material Properties'!M74,0)</f>
        <v>0</v>
      </c>
      <c r="J63" s="204" t="str">
        <f>IF(C63="Yes",COUNT(J56:J62)+1,"")</f>
        <v/>
      </c>
      <c r="K63" s="461" t="str">
        <f t="shared" si="33"/>
        <v/>
      </c>
      <c r="L63" s="462"/>
      <c r="M63" s="463"/>
      <c r="N63" s="170"/>
      <c r="O63" s="170"/>
      <c r="P63" s="170"/>
      <c r="Q63" s="170"/>
      <c r="R63" s="170"/>
      <c r="S63" s="170"/>
      <c r="U63" s="170"/>
      <c r="V63" s="170"/>
    </row>
    <row r="64" spans="1:22" x14ac:dyDescent="0.2">
      <c r="A64" s="170"/>
      <c r="B64" s="185" t="str">
        <f>IF('Tank and Material Properties'!B75=0,"", 'Tank and Material Properties'!B75)</f>
        <v/>
      </c>
      <c r="C64" s="201" t="str">
        <f>'Tank and Material Properties'!F75</f>
        <v/>
      </c>
      <c r="D64" s="202" t="str">
        <f>'Tank and Material Properties'!H75</f>
        <v/>
      </c>
      <c r="E64" s="202" t="str">
        <f>'Tank and Material Properties'!I75</f>
        <v/>
      </c>
      <c r="F64" s="202" t="str">
        <f>'Tank and Material Properties'!J75</f>
        <v/>
      </c>
      <c r="G64" s="444" t="str">
        <f>'Tank and Material Properties'!AI76</f>
        <v/>
      </c>
      <c r="H64" s="445"/>
      <c r="I64" s="205">
        <f>IF(B64&lt;&gt;"",'Tank and Material Properties'!M75,0)</f>
        <v>0</v>
      </c>
      <c r="J64" s="204" t="str">
        <f>IF(C64="Yes",COUNT(J56:J63)+1,"")</f>
        <v/>
      </c>
      <c r="K64" s="461" t="str">
        <f t="shared" si="33"/>
        <v/>
      </c>
      <c r="L64" s="462"/>
      <c r="M64" s="463"/>
      <c r="N64" s="170"/>
      <c r="O64" s="170"/>
      <c r="P64" s="170"/>
      <c r="Q64" s="170"/>
      <c r="R64" s="170"/>
      <c r="S64" s="170"/>
      <c r="U64" s="170"/>
      <c r="V64" s="170"/>
    </row>
    <row r="65" spans="1:22" x14ac:dyDescent="0.2">
      <c r="A65" s="170"/>
      <c r="B65" s="185" t="str">
        <f>IF('Tank and Material Properties'!B76=0,"", 'Tank and Material Properties'!B76)</f>
        <v/>
      </c>
      <c r="C65" s="206"/>
      <c r="D65" s="207" t="str">
        <f>'Tank and Material Properties'!H76</f>
        <v/>
      </c>
      <c r="E65" s="207" t="str">
        <f>'Tank and Material Properties'!I76</f>
        <v/>
      </c>
      <c r="F65" s="207" t="str">
        <f>'Tank and Material Properties'!J76</f>
        <v/>
      </c>
      <c r="G65" s="446" t="str">
        <f>'Tank and Material Properties'!AI77</f>
        <v/>
      </c>
      <c r="H65" s="447"/>
      <c r="I65" s="208">
        <f>IF(B65&lt;&gt;"",'Tank and Material Properties'!M76,0)</f>
        <v>0</v>
      </c>
      <c r="J65" s="209" t="str">
        <f>IF(C65="Yes",COUNT(J56:J64)+1,"")</f>
        <v/>
      </c>
      <c r="K65" s="448" t="str">
        <f t="shared" si="33"/>
        <v/>
      </c>
      <c r="L65" s="449"/>
      <c r="M65" s="450"/>
      <c r="N65" s="170"/>
      <c r="O65" s="170"/>
      <c r="P65" s="170"/>
      <c r="Q65" s="170"/>
      <c r="R65" s="170"/>
      <c r="S65" s="170"/>
      <c r="T65" s="170"/>
      <c r="U65" s="170"/>
      <c r="V65" s="170"/>
    </row>
    <row r="66" spans="1:22" x14ac:dyDescent="0.2">
      <c r="A66" s="170"/>
      <c r="B66" s="185"/>
      <c r="C66" s="170"/>
      <c r="D66" s="170"/>
      <c r="E66" s="170"/>
      <c r="F66" s="170"/>
      <c r="G66" s="170"/>
      <c r="H66" s="170"/>
      <c r="I66" s="170"/>
      <c r="J66" s="170"/>
      <c r="K66" s="170"/>
      <c r="L66" s="170"/>
      <c r="M66" s="170"/>
      <c r="N66" s="170"/>
      <c r="O66" s="170"/>
      <c r="P66" s="170"/>
      <c r="Q66" s="170"/>
      <c r="R66" s="170"/>
      <c r="S66" s="170"/>
      <c r="T66" s="170"/>
      <c r="U66" s="170"/>
      <c r="V66" s="170"/>
    </row>
    <row r="67" spans="1:22" ht="13.5" x14ac:dyDescent="0.25">
      <c r="A67" s="170"/>
      <c r="B67" s="185" t="str">
        <f>IF(B56&lt;&gt;"", B56&amp;" Partial Pressure, mmHg","")</f>
        <v/>
      </c>
      <c r="C67" s="210" t="str">
        <f>IF($B56&lt;&gt;"",(10^($D56-($E56/(C$40+$F56))))*$G56,"")</f>
        <v/>
      </c>
      <c r="D67" s="210" t="str">
        <f t="shared" ref="D67:N67" si="34">IF($B56&lt;&gt;"",(10^($D56-($E56/(D$40+$F56))))*$G56,"")</f>
        <v/>
      </c>
      <c r="E67" s="210" t="str">
        <f t="shared" si="34"/>
        <v/>
      </c>
      <c r="F67" s="210" t="str">
        <f t="shared" si="34"/>
        <v/>
      </c>
      <c r="G67" s="210" t="str">
        <f t="shared" si="34"/>
        <v/>
      </c>
      <c r="H67" s="210" t="str">
        <f t="shared" si="34"/>
        <v/>
      </c>
      <c r="I67" s="210" t="str">
        <f t="shared" si="34"/>
        <v/>
      </c>
      <c r="J67" s="210" t="str">
        <f t="shared" si="34"/>
        <v/>
      </c>
      <c r="K67" s="210" t="str">
        <f t="shared" si="34"/>
        <v/>
      </c>
      <c r="L67" s="210" t="str">
        <f t="shared" si="34"/>
        <v/>
      </c>
      <c r="M67" s="210" t="str">
        <f t="shared" si="34"/>
        <v/>
      </c>
      <c r="N67" s="210" t="str">
        <f t="shared" si="34"/>
        <v/>
      </c>
      <c r="O67" s="185" t="s">
        <v>730</v>
      </c>
      <c r="P67" s="170"/>
      <c r="Q67" s="170"/>
      <c r="R67" s="170"/>
      <c r="S67" s="170"/>
      <c r="T67" s="170"/>
      <c r="U67" s="170"/>
      <c r="V67" s="170"/>
    </row>
    <row r="68" spans="1:22" ht="13.5" x14ac:dyDescent="0.25">
      <c r="A68" s="170"/>
      <c r="B68" s="185" t="str">
        <f t="shared" ref="B68:B76" si="35">IF(B57&lt;&gt;"", B57&amp;" Partial Pressure, mmHg","")</f>
        <v/>
      </c>
      <c r="C68" s="188" t="str">
        <f t="shared" ref="C68:N68" si="36">IF($B57&lt;&gt;"",(10^($D57-($E57/(C$40+$F57))))*$G57,"")</f>
        <v/>
      </c>
      <c r="D68" s="188" t="str">
        <f>IF($B57&lt;&gt;"",(10^($D57-($E57/(D$40+$F57))))*$G57,"")</f>
        <v/>
      </c>
      <c r="E68" s="211" t="str">
        <f>IF($B57&lt;&gt;"",(10^($D57-($E57/(E$40+$F57))))*$G57,"")</f>
        <v/>
      </c>
      <c r="F68" s="188" t="str">
        <f>IF($B57&lt;&gt;"",(10^($D57-($E57/(F$40+$F57))))*$G57,"")</f>
        <v/>
      </c>
      <c r="G68" s="211" t="str">
        <f t="shared" si="36"/>
        <v/>
      </c>
      <c r="H68" s="188" t="str">
        <f t="shared" si="36"/>
        <v/>
      </c>
      <c r="I68" s="211" t="str">
        <f t="shared" si="36"/>
        <v/>
      </c>
      <c r="J68" s="188" t="str">
        <f t="shared" si="36"/>
        <v/>
      </c>
      <c r="K68" s="211" t="str">
        <f t="shared" si="36"/>
        <v/>
      </c>
      <c r="L68" s="188" t="str">
        <f t="shared" si="36"/>
        <v/>
      </c>
      <c r="M68" s="211" t="str">
        <f t="shared" si="36"/>
        <v/>
      </c>
      <c r="N68" s="188" t="str">
        <f t="shared" si="36"/>
        <v/>
      </c>
      <c r="O68" s="185" t="s">
        <v>730</v>
      </c>
      <c r="P68" s="170"/>
      <c r="Q68" s="170"/>
      <c r="R68" s="170"/>
      <c r="S68" s="170"/>
      <c r="T68" s="170"/>
      <c r="U68" s="170"/>
      <c r="V68" s="170"/>
    </row>
    <row r="69" spans="1:22" ht="13.5" x14ac:dyDescent="0.25">
      <c r="A69" s="170"/>
      <c r="B69" s="185" t="str">
        <f t="shared" si="35"/>
        <v/>
      </c>
      <c r="C69" s="188" t="str">
        <f t="shared" ref="C69:N69" si="37">IF($B58&lt;&gt;"",(10^($D58-($E58/(C$40+$F58))))*$G58,"")</f>
        <v/>
      </c>
      <c r="D69" s="188" t="str">
        <f t="shared" si="37"/>
        <v/>
      </c>
      <c r="E69" s="211" t="str">
        <f t="shared" si="37"/>
        <v/>
      </c>
      <c r="F69" s="188" t="str">
        <f t="shared" si="37"/>
        <v/>
      </c>
      <c r="G69" s="211" t="str">
        <f t="shared" si="37"/>
        <v/>
      </c>
      <c r="H69" s="188" t="str">
        <f t="shared" si="37"/>
        <v/>
      </c>
      <c r="I69" s="211" t="str">
        <f t="shared" si="37"/>
        <v/>
      </c>
      <c r="J69" s="188" t="str">
        <f t="shared" si="37"/>
        <v/>
      </c>
      <c r="K69" s="211" t="str">
        <f t="shared" si="37"/>
        <v/>
      </c>
      <c r="L69" s="188" t="str">
        <f t="shared" si="37"/>
        <v/>
      </c>
      <c r="M69" s="211" t="str">
        <f t="shared" si="37"/>
        <v/>
      </c>
      <c r="N69" s="188" t="str">
        <f t="shared" si="37"/>
        <v/>
      </c>
      <c r="O69" s="185" t="s">
        <v>730</v>
      </c>
      <c r="P69" s="170"/>
      <c r="Q69" s="170"/>
      <c r="R69" s="170"/>
      <c r="S69" s="170"/>
      <c r="T69" s="170"/>
      <c r="U69" s="170"/>
      <c r="V69" s="170"/>
    </row>
    <row r="70" spans="1:22" ht="13.5" x14ac:dyDescent="0.25">
      <c r="A70" s="170"/>
      <c r="B70" s="185" t="str">
        <f t="shared" si="35"/>
        <v/>
      </c>
      <c r="C70" s="188" t="str">
        <f t="shared" ref="C70:N70" si="38">IF($B59&lt;&gt;"",(10^($D59-($E59/(C$40+$F59))))*$G59,"")</f>
        <v/>
      </c>
      <c r="D70" s="188" t="str">
        <f t="shared" si="38"/>
        <v/>
      </c>
      <c r="E70" s="211" t="str">
        <f t="shared" si="38"/>
        <v/>
      </c>
      <c r="F70" s="188" t="str">
        <f t="shared" si="38"/>
        <v/>
      </c>
      <c r="G70" s="211" t="str">
        <f t="shared" si="38"/>
        <v/>
      </c>
      <c r="H70" s="188" t="str">
        <f t="shared" si="38"/>
        <v/>
      </c>
      <c r="I70" s="211" t="str">
        <f t="shared" si="38"/>
        <v/>
      </c>
      <c r="J70" s="188" t="str">
        <f t="shared" si="38"/>
        <v/>
      </c>
      <c r="K70" s="211" t="str">
        <f t="shared" si="38"/>
        <v/>
      </c>
      <c r="L70" s="188" t="str">
        <f t="shared" si="38"/>
        <v/>
      </c>
      <c r="M70" s="211" t="str">
        <f t="shared" si="38"/>
        <v/>
      </c>
      <c r="N70" s="188" t="str">
        <f t="shared" si="38"/>
        <v/>
      </c>
      <c r="O70" s="185" t="s">
        <v>730</v>
      </c>
      <c r="P70" s="170"/>
      <c r="Q70" s="170"/>
      <c r="R70" s="170"/>
      <c r="S70" s="170"/>
      <c r="T70" s="170"/>
      <c r="U70" s="170"/>
      <c r="V70" s="170"/>
    </row>
    <row r="71" spans="1:22" ht="13.5" x14ac:dyDescent="0.25">
      <c r="A71" s="170"/>
      <c r="B71" s="185" t="str">
        <f t="shared" si="35"/>
        <v/>
      </c>
      <c r="C71" s="188" t="str">
        <f t="shared" ref="C71:N71" si="39">IF($B60&lt;&gt;"",(10^($D60-($E60/(C$40+$F60))))*$G60,"")</f>
        <v/>
      </c>
      <c r="D71" s="188" t="str">
        <f t="shared" si="39"/>
        <v/>
      </c>
      <c r="E71" s="211" t="str">
        <f t="shared" si="39"/>
        <v/>
      </c>
      <c r="F71" s="188" t="str">
        <f t="shared" si="39"/>
        <v/>
      </c>
      <c r="G71" s="211" t="str">
        <f t="shared" si="39"/>
        <v/>
      </c>
      <c r="H71" s="188" t="str">
        <f t="shared" si="39"/>
        <v/>
      </c>
      <c r="I71" s="211" t="str">
        <f t="shared" si="39"/>
        <v/>
      </c>
      <c r="J71" s="188" t="str">
        <f t="shared" si="39"/>
        <v/>
      </c>
      <c r="K71" s="211" t="str">
        <f t="shared" si="39"/>
        <v/>
      </c>
      <c r="L71" s="188" t="str">
        <f t="shared" si="39"/>
        <v/>
      </c>
      <c r="M71" s="211" t="str">
        <f t="shared" si="39"/>
        <v/>
      </c>
      <c r="N71" s="188" t="str">
        <f t="shared" si="39"/>
        <v/>
      </c>
      <c r="O71" s="185" t="s">
        <v>730</v>
      </c>
      <c r="P71" s="170"/>
      <c r="Q71" s="170"/>
      <c r="R71" s="170"/>
      <c r="S71" s="170"/>
      <c r="T71" s="170"/>
      <c r="U71" s="170"/>
      <c r="V71" s="170"/>
    </row>
    <row r="72" spans="1:22" ht="13.5" x14ac:dyDescent="0.25">
      <c r="A72" s="170"/>
      <c r="B72" s="185" t="str">
        <f t="shared" si="35"/>
        <v/>
      </c>
      <c r="C72" s="188" t="str">
        <f t="shared" ref="C72:N72" si="40">IF($B61&lt;&gt;"",(10^($D61-($E61/(C$40+$F61))))*$G61,"")</f>
        <v/>
      </c>
      <c r="D72" s="188" t="str">
        <f t="shared" si="40"/>
        <v/>
      </c>
      <c r="E72" s="211" t="str">
        <f t="shared" si="40"/>
        <v/>
      </c>
      <c r="F72" s="188" t="str">
        <f t="shared" si="40"/>
        <v/>
      </c>
      <c r="G72" s="211" t="str">
        <f t="shared" si="40"/>
        <v/>
      </c>
      <c r="H72" s="188" t="str">
        <f t="shared" si="40"/>
        <v/>
      </c>
      <c r="I72" s="211" t="str">
        <f t="shared" si="40"/>
        <v/>
      </c>
      <c r="J72" s="188" t="str">
        <f t="shared" si="40"/>
        <v/>
      </c>
      <c r="K72" s="211" t="str">
        <f t="shared" si="40"/>
        <v/>
      </c>
      <c r="L72" s="188" t="str">
        <f t="shared" si="40"/>
        <v/>
      </c>
      <c r="M72" s="211" t="str">
        <f t="shared" si="40"/>
        <v/>
      </c>
      <c r="N72" s="188" t="str">
        <f t="shared" si="40"/>
        <v/>
      </c>
      <c r="O72" s="185" t="s">
        <v>730</v>
      </c>
      <c r="P72" s="170"/>
      <c r="Q72" s="170"/>
      <c r="R72" s="170"/>
      <c r="S72" s="170"/>
      <c r="T72" s="170"/>
      <c r="U72" s="170"/>
      <c r="V72" s="170"/>
    </row>
    <row r="73" spans="1:22" ht="13.5" x14ac:dyDescent="0.25">
      <c r="A73" s="170"/>
      <c r="B73" s="185" t="str">
        <f t="shared" si="35"/>
        <v/>
      </c>
      <c r="C73" s="188" t="str">
        <f t="shared" ref="C73:N73" si="41">IF($B62&lt;&gt;"",(10^($D62-($E62/(C$40+$F62))))*$G62,"")</f>
        <v/>
      </c>
      <c r="D73" s="188" t="str">
        <f t="shared" si="41"/>
        <v/>
      </c>
      <c r="E73" s="211" t="str">
        <f t="shared" si="41"/>
        <v/>
      </c>
      <c r="F73" s="188" t="str">
        <f t="shared" si="41"/>
        <v/>
      </c>
      <c r="G73" s="211" t="str">
        <f t="shared" si="41"/>
        <v/>
      </c>
      <c r="H73" s="188" t="str">
        <f t="shared" si="41"/>
        <v/>
      </c>
      <c r="I73" s="211" t="str">
        <f t="shared" si="41"/>
        <v/>
      </c>
      <c r="J73" s="188" t="str">
        <f t="shared" si="41"/>
        <v/>
      </c>
      <c r="K73" s="211" t="str">
        <f t="shared" si="41"/>
        <v/>
      </c>
      <c r="L73" s="188" t="str">
        <f t="shared" si="41"/>
        <v/>
      </c>
      <c r="M73" s="211" t="str">
        <f t="shared" si="41"/>
        <v/>
      </c>
      <c r="N73" s="188" t="str">
        <f t="shared" si="41"/>
        <v/>
      </c>
      <c r="O73" s="185" t="s">
        <v>730</v>
      </c>
      <c r="P73" s="170"/>
      <c r="Q73" s="170"/>
      <c r="R73" s="170"/>
      <c r="S73" s="170"/>
      <c r="T73" s="170"/>
      <c r="U73" s="170"/>
      <c r="V73" s="170"/>
    </row>
    <row r="74" spans="1:22" ht="13.5" x14ac:dyDescent="0.25">
      <c r="A74" s="170"/>
      <c r="B74" s="185" t="str">
        <f t="shared" si="35"/>
        <v/>
      </c>
      <c r="C74" s="188" t="str">
        <f t="shared" ref="C74:N74" si="42">IF($B63&lt;&gt;"",(10^($D63-($E63/(C$40+$F63))))*$G63,"")</f>
        <v/>
      </c>
      <c r="D74" s="188" t="str">
        <f t="shared" si="42"/>
        <v/>
      </c>
      <c r="E74" s="211" t="str">
        <f t="shared" si="42"/>
        <v/>
      </c>
      <c r="F74" s="188" t="str">
        <f t="shared" si="42"/>
        <v/>
      </c>
      <c r="G74" s="211" t="str">
        <f t="shared" si="42"/>
        <v/>
      </c>
      <c r="H74" s="188" t="str">
        <f t="shared" si="42"/>
        <v/>
      </c>
      <c r="I74" s="211" t="str">
        <f t="shared" si="42"/>
        <v/>
      </c>
      <c r="J74" s="188" t="str">
        <f t="shared" si="42"/>
        <v/>
      </c>
      <c r="K74" s="211" t="str">
        <f t="shared" si="42"/>
        <v/>
      </c>
      <c r="L74" s="188" t="str">
        <f t="shared" si="42"/>
        <v/>
      </c>
      <c r="M74" s="211" t="str">
        <f t="shared" si="42"/>
        <v/>
      </c>
      <c r="N74" s="188" t="str">
        <f t="shared" si="42"/>
        <v/>
      </c>
      <c r="O74" s="185" t="s">
        <v>730</v>
      </c>
      <c r="P74" s="170"/>
      <c r="Q74" s="170"/>
      <c r="R74" s="170"/>
      <c r="S74" s="170"/>
      <c r="T74" s="170"/>
      <c r="U74" s="170"/>
      <c r="V74" s="170"/>
    </row>
    <row r="75" spans="1:22" ht="13.5" x14ac:dyDescent="0.25">
      <c r="A75" s="170"/>
      <c r="B75" s="185" t="str">
        <f t="shared" si="35"/>
        <v/>
      </c>
      <c r="C75" s="188" t="str">
        <f t="shared" ref="C75:N75" si="43">IF($B64&lt;&gt;"",(10^($D64-($E64/(C$40+$F64))))*$G64,"")</f>
        <v/>
      </c>
      <c r="D75" s="188" t="str">
        <f t="shared" si="43"/>
        <v/>
      </c>
      <c r="E75" s="211" t="str">
        <f t="shared" si="43"/>
        <v/>
      </c>
      <c r="F75" s="188" t="str">
        <f t="shared" si="43"/>
        <v/>
      </c>
      <c r="G75" s="211" t="str">
        <f t="shared" si="43"/>
        <v/>
      </c>
      <c r="H75" s="188" t="str">
        <f t="shared" si="43"/>
        <v/>
      </c>
      <c r="I75" s="211" t="str">
        <f t="shared" si="43"/>
        <v/>
      </c>
      <c r="J75" s="188" t="str">
        <f t="shared" si="43"/>
        <v/>
      </c>
      <c r="K75" s="211" t="str">
        <f t="shared" si="43"/>
        <v/>
      </c>
      <c r="L75" s="188" t="str">
        <f t="shared" si="43"/>
        <v/>
      </c>
      <c r="M75" s="211" t="str">
        <f t="shared" si="43"/>
        <v/>
      </c>
      <c r="N75" s="188" t="str">
        <f t="shared" si="43"/>
        <v/>
      </c>
      <c r="O75" s="185" t="s">
        <v>730</v>
      </c>
      <c r="P75" s="170"/>
      <c r="Q75" s="170"/>
      <c r="R75" s="170"/>
      <c r="S75" s="170"/>
      <c r="T75" s="170"/>
      <c r="U75" s="170"/>
      <c r="V75" s="170"/>
    </row>
    <row r="76" spans="1:22" ht="13.5" x14ac:dyDescent="0.25">
      <c r="A76" s="170"/>
      <c r="B76" s="185" t="str">
        <f t="shared" si="35"/>
        <v/>
      </c>
      <c r="C76" s="196" t="str">
        <f t="shared" ref="C76:N76" si="44">IF($B65&lt;&gt;"",(10^($D65-($E65/(C$40+$F65))))*$G65,"")</f>
        <v/>
      </c>
      <c r="D76" s="196" t="str">
        <f t="shared" si="44"/>
        <v/>
      </c>
      <c r="E76" s="212" t="str">
        <f t="shared" si="44"/>
        <v/>
      </c>
      <c r="F76" s="196" t="str">
        <f t="shared" si="44"/>
        <v/>
      </c>
      <c r="G76" s="212" t="str">
        <f t="shared" si="44"/>
        <v/>
      </c>
      <c r="H76" s="196" t="str">
        <f t="shared" si="44"/>
        <v/>
      </c>
      <c r="I76" s="212" t="str">
        <f t="shared" si="44"/>
        <v/>
      </c>
      <c r="J76" s="196" t="str">
        <f t="shared" si="44"/>
        <v/>
      </c>
      <c r="K76" s="212" t="str">
        <f t="shared" si="44"/>
        <v/>
      </c>
      <c r="L76" s="196" t="str">
        <f t="shared" si="44"/>
        <v/>
      </c>
      <c r="M76" s="212" t="str">
        <f t="shared" si="44"/>
        <v/>
      </c>
      <c r="N76" s="196" t="str">
        <f t="shared" si="44"/>
        <v/>
      </c>
      <c r="O76" s="185" t="s">
        <v>730</v>
      </c>
      <c r="P76" s="170"/>
      <c r="Q76" s="170"/>
      <c r="R76" s="170"/>
      <c r="S76" s="170"/>
      <c r="T76" s="170"/>
      <c r="U76" s="170"/>
      <c r="V76" s="170"/>
    </row>
    <row r="77" spans="1:22" x14ac:dyDescent="0.2">
      <c r="A77" s="170"/>
      <c r="B77" s="191"/>
      <c r="C77" s="191"/>
      <c r="D77" s="191"/>
      <c r="E77" s="191"/>
      <c r="F77" s="191"/>
      <c r="G77" s="191"/>
      <c r="H77" s="191"/>
      <c r="I77" s="191"/>
      <c r="J77" s="191"/>
      <c r="K77" s="191"/>
      <c r="L77" s="191"/>
      <c r="M77" s="191"/>
      <c r="N77" s="191"/>
      <c r="O77" s="185"/>
      <c r="P77" s="170"/>
      <c r="Q77" s="170"/>
      <c r="R77" s="170"/>
      <c r="S77" s="170"/>
      <c r="T77" s="170"/>
      <c r="U77" s="170"/>
      <c r="V77" s="170"/>
    </row>
    <row r="78" spans="1:22" ht="13.5" x14ac:dyDescent="0.25">
      <c r="A78" s="170"/>
      <c r="B78" s="191" t="str">
        <f>IF(B56&lt;&gt;"", "Minimum "&amp;B67, "")</f>
        <v/>
      </c>
      <c r="C78" s="210" t="str">
        <f>IF($B67&lt;&gt;"",(10^($D56-($E56/(C$44+$F56))))*$G56,"")</f>
        <v/>
      </c>
      <c r="D78" s="210" t="str">
        <f>IF($B67&lt;&gt;"",(10^($D56-($E56/(D$44+$F56))))*$G56,"")</f>
        <v/>
      </c>
      <c r="E78" s="210" t="str">
        <f t="shared" ref="E78:N78" si="45">IF($B67&lt;&gt;"",(10^($D56-($E56/(E$44+$F56))))*$G56,"")</f>
        <v/>
      </c>
      <c r="F78" s="210" t="str">
        <f t="shared" si="45"/>
        <v/>
      </c>
      <c r="G78" s="210" t="str">
        <f t="shared" si="45"/>
        <v/>
      </c>
      <c r="H78" s="210" t="str">
        <f t="shared" si="45"/>
        <v/>
      </c>
      <c r="I78" s="210" t="str">
        <f t="shared" si="45"/>
        <v/>
      </c>
      <c r="J78" s="210" t="str">
        <f t="shared" si="45"/>
        <v/>
      </c>
      <c r="K78" s="210" t="str">
        <f t="shared" si="45"/>
        <v/>
      </c>
      <c r="L78" s="210" t="str">
        <f t="shared" si="45"/>
        <v/>
      </c>
      <c r="M78" s="210" t="str">
        <f t="shared" si="45"/>
        <v/>
      </c>
      <c r="N78" s="210" t="str">
        <f t="shared" si="45"/>
        <v/>
      </c>
      <c r="O78" s="185" t="s">
        <v>731</v>
      </c>
      <c r="P78" s="170"/>
      <c r="Q78" s="170"/>
      <c r="R78" s="170"/>
      <c r="S78" s="170"/>
      <c r="T78" s="170"/>
      <c r="U78" s="170"/>
      <c r="V78" s="170"/>
    </row>
    <row r="79" spans="1:22" ht="13.5" x14ac:dyDescent="0.25">
      <c r="A79" s="170"/>
      <c r="B79" s="191" t="str">
        <f>IF(B57&lt;&gt;"", "Minimum "&amp;B68, "")</f>
        <v/>
      </c>
      <c r="C79" s="188" t="str">
        <f t="shared" ref="C79:N87" si="46">IF($B68&lt;&gt;"",(10^($D57-($E57/(C$44+$F57))))*$G57,"")</f>
        <v/>
      </c>
      <c r="D79" s="188" t="str">
        <f t="shared" ref="D79:E79" si="47">IF($B68&lt;&gt;"",(10^($D57-($E57/(D$44+$F57))))*$G57,"")</f>
        <v/>
      </c>
      <c r="E79" s="188" t="str">
        <f t="shared" si="47"/>
        <v/>
      </c>
      <c r="F79" s="188" t="str">
        <f t="shared" ref="F79:N79" si="48">IF($B68&lt;&gt;"",(10^($D57-($E57/(F$44+$F57))))*$G57,"")</f>
        <v/>
      </c>
      <c r="G79" s="188" t="str">
        <f t="shared" si="48"/>
        <v/>
      </c>
      <c r="H79" s="188" t="str">
        <f t="shared" si="48"/>
        <v/>
      </c>
      <c r="I79" s="188" t="str">
        <f t="shared" si="48"/>
        <v/>
      </c>
      <c r="J79" s="188" t="str">
        <f t="shared" si="48"/>
        <v/>
      </c>
      <c r="K79" s="188" t="str">
        <f t="shared" si="48"/>
        <v/>
      </c>
      <c r="L79" s="188" t="str">
        <f t="shared" si="48"/>
        <v/>
      </c>
      <c r="M79" s="188" t="str">
        <f t="shared" si="48"/>
        <v/>
      </c>
      <c r="N79" s="188" t="str">
        <f t="shared" si="48"/>
        <v/>
      </c>
      <c r="O79" s="185" t="s">
        <v>731</v>
      </c>
      <c r="P79" s="170"/>
      <c r="Q79" s="170"/>
      <c r="R79" s="170"/>
      <c r="S79" s="170"/>
      <c r="T79" s="170"/>
      <c r="U79" s="170"/>
      <c r="V79" s="170"/>
    </row>
    <row r="80" spans="1:22" ht="13.5" x14ac:dyDescent="0.25">
      <c r="A80" s="170"/>
      <c r="B80" s="191" t="str">
        <f>IF(B58&lt;&gt;"", "Minimum "&amp;B69, "")</f>
        <v/>
      </c>
      <c r="C80" s="188" t="str">
        <f t="shared" si="46"/>
        <v/>
      </c>
      <c r="D80" s="188" t="str">
        <f t="shared" si="46"/>
        <v/>
      </c>
      <c r="E80" s="188" t="str">
        <f t="shared" si="46"/>
        <v/>
      </c>
      <c r="F80" s="188" t="str">
        <f t="shared" si="46"/>
        <v/>
      </c>
      <c r="G80" s="188" t="str">
        <f t="shared" si="46"/>
        <v/>
      </c>
      <c r="H80" s="188" t="str">
        <f t="shared" si="46"/>
        <v/>
      </c>
      <c r="I80" s="188" t="str">
        <f t="shared" si="46"/>
        <v/>
      </c>
      <c r="J80" s="188" t="str">
        <f t="shared" si="46"/>
        <v/>
      </c>
      <c r="K80" s="188" t="str">
        <f t="shared" si="46"/>
        <v/>
      </c>
      <c r="L80" s="188" t="str">
        <f t="shared" si="46"/>
        <v/>
      </c>
      <c r="M80" s="188" t="str">
        <f t="shared" si="46"/>
        <v/>
      </c>
      <c r="N80" s="188" t="str">
        <f t="shared" si="46"/>
        <v/>
      </c>
      <c r="O80" s="185" t="s">
        <v>731</v>
      </c>
      <c r="P80" s="170"/>
      <c r="Q80" s="170"/>
      <c r="R80" s="170"/>
      <c r="S80" s="170"/>
      <c r="T80" s="170"/>
      <c r="U80" s="170"/>
      <c r="V80" s="170"/>
    </row>
    <row r="81" spans="1:28" ht="13.5" x14ac:dyDescent="0.25">
      <c r="A81" s="170"/>
      <c r="B81" s="191" t="str">
        <f t="shared" ref="B81:B87" si="49">IF(B59&lt;&gt;"", "Minimum "&amp;B70, "")</f>
        <v/>
      </c>
      <c r="C81" s="188" t="str">
        <f t="shared" si="46"/>
        <v/>
      </c>
      <c r="D81" s="188" t="str">
        <f t="shared" si="46"/>
        <v/>
      </c>
      <c r="E81" s="188" t="str">
        <f t="shared" si="46"/>
        <v/>
      </c>
      <c r="F81" s="188" t="str">
        <f t="shared" si="46"/>
        <v/>
      </c>
      <c r="G81" s="188" t="str">
        <f t="shared" si="46"/>
        <v/>
      </c>
      <c r="H81" s="188" t="str">
        <f t="shared" si="46"/>
        <v/>
      </c>
      <c r="I81" s="188" t="str">
        <f t="shared" si="46"/>
        <v/>
      </c>
      <c r="J81" s="188" t="str">
        <f t="shared" si="46"/>
        <v/>
      </c>
      <c r="K81" s="188" t="str">
        <f t="shared" si="46"/>
        <v/>
      </c>
      <c r="L81" s="188" t="str">
        <f t="shared" si="46"/>
        <v/>
      </c>
      <c r="M81" s="188" t="str">
        <f t="shared" si="46"/>
        <v/>
      </c>
      <c r="N81" s="188" t="str">
        <f t="shared" si="46"/>
        <v/>
      </c>
      <c r="O81" s="185" t="s">
        <v>731</v>
      </c>
      <c r="P81" s="170"/>
      <c r="Q81" s="170"/>
      <c r="R81" s="170"/>
      <c r="S81" s="170"/>
      <c r="T81" s="170"/>
      <c r="U81" s="170"/>
      <c r="V81" s="170"/>
    </row>
    <row r="82" spans="1:28" ht="13.5" x14ac:dyDescent="0.25">
      <c r="A82" s="170"/>
      <c r="B82" s="191" t="str">
        <f t="shared" si="49"/>
        <v/>
      </c>
      <c r="C82" s="188" t="str">
        <f t="shared" si="46"/>
        <v/>
      </c>
      <c r="D82" s="188" t="str">
        <f t="shared" si="46"/>
        <v/>
      </c>
      <c r="E82" s="188" t="str">
        <f t="shared" si="46"/>
        <v/>
      </c>
      <c r="F82" s="188" t="str">
        <f t="shared" si="46"/>
        <v/>
      </c>
      <c r="G82" s="188" t="str">
        <f t="shared" si="46"/>
        <v/>
      </c>
      <c r="H82" s="188" t="str">
        <f t="shared" si="46"/>
        <v/>
      </c>
      <c r="I82" s="188" t="str">
        <f t="shared" si="46"/>
        <v/>
      </c>
      <c r="J82" s="188" t="str">
        <f t="shared" si="46"/>
        <v/>
      </c>
      <c r="K82" s="188" t="str">
        <f t="shared" si="46"/>
        <v/>
      </c>
      <c r="L82" s="188" t="str">
        <f t="shared" si="46"/>
        <v/>
      </c>
      <c r="M82" s="188" t="str">
        <f t="shared" si="46"/>
        <v/>
      </c>
      <c r="N82" s="188" t="str">
        <f t="shared" si="46"/>
        <v/>
      </c>
      <c r="O82" s="185" t="s">
        <v>731</v>
      </c>
      <c r="P82" s="170"/>
      <c r="Q82" s="170"/>
      <c r="R82" s="170"/>
      <c r="S82" s="170"/>
      <c r="T82" s="170"/>
      <c r="U82" s="170"/>
      <c r="V82" s="170"/>
    </row>
    <row r="83" spans="1:28" ht="13.5" x14ac:dyDescent="0.25">
      <c r="A83" s="170"/>
      <c r="B83" s="191" t="str">
        <f t="shared" si="49"/>
        <v/>
      </c>
      <c r="C83" s="188" t="str">
        <f t="shared" si="46"/>
        <v/>
      </c>
      <c r="D83" s="188" t="str">
        <f t="shared" si="46"/>
        <v/>
      </c>
      <c r="E83" s="188" t="str">
        <f t="shared" si="46"/>
        <v/>
      </c>
      <c r="F83" s="188" t="str">
        <f t="shared" si="46"/>
        <v/>
      </c>
      <c r="G83" s="188" t="str">
        <f t="shared" si="46"/>
        <v/>
      </c>
      <c r="H83" s="188" t="str">
        <f t="shared" si="46"/>
        <v/>
      </c>
      <c r="I83" s="188" t="str">
        <f t="shared" si="46"/>
        <v/>
      </c>
      <c r="J83" s="188" t="str">
        <f t="shared" si="46"/>
        <v/>
      </c>
      <c r="K83" s="188" t="str">
        <f t="shared" si="46"/>
        <v/>
      </c>
      <c r="L83" s="188" t="str">
        <f t="shared" si="46"/>
        <v/>
      </c>
      <c r="M83" s="188" t="str">
        <f t="shared" si="46"/>
        <v/>
      </c>
      <c r="N83" s="188" t="str">
        <f t="shared" si="46"/>
        <v/>
      </c>
      <c r="O83" s="185" t="s">
        <v>731</v>
      </c>
      <c r="P83" s="170"/>
      <c r="Q83" s="170"/>
      <c r="R83" s="170"/>
      <c r="S83" s="170"/>
      <c r="T83" s="170"/>
      <c r="U83" s="170"/>
      <c r="V83" s="170"/>
    </row>
    <row r="84" spans="1:28" ht="13.5" x14ac:dyDescent="0.25">
      <c r="A84" s="170"/>
      <c r="B84" s="191" t="str">
        <f t="shared" si="49"/>
        <v/>
      </c>
      <c r="C84" s="188" t="str">
        <f t="shared" si="46"/>
        <v/>
      </c>
      <c r="D84" s="188" t="str">
        <f t="shared" si="46"/>
        <v/>
      </c>
      <c r="E84" s="188" t="str">
        <f t="shared" si="46"/>
        <v/>
      </c>
      <c r="F84" s="188" t="str">
        <f t="shared" si="46"/>
        <v/>
      </c>
      <c r="G84" s="188" t="str">
        <f t="shared" si="46"/>
        <v/>
      </c>
      <c r="H84" s="188" t="str">
        <f t="shared" si="46"/>
        <v/>
      </c>
      <c r="I84" s="188" t="str">
        <f t="shared" si="46"/>
        <v/>
      </c>
      <c r="J84" s="188" t="str">
        <f t="shared" si="46"/>
        <v/>
      </c>
      <c r="K84" s="188" t="str">
        <f t="shared" si="46"/>
        <v/>
      </c>
      <c r="L84" s="188" t="str">
        <f t="shared" si="46"/>
        <v/>
      </c>
      <c r="M84" s="188" t="str">
        <f t="shared" si="46"/>
        <v/>
      </c>
      <c r="N84" s="188" t="str">
        <f t="shared" si="46"/>
        <v/>
      </c>
      <c r="O84" s="185" t="s">
        <v>731</v>
      </c>
      <c r="P84" s="170"/>
      <c r="Q84" s="170"/>
      <c r="R84" s="170"/>
      <c r="S84" s="170"/>
      <c r="T84" s="170"/>
      <c r="U84" s="170"/>
      <c r="V84" s="170"/>
    </row>
    <row r="85" spans="1:28" ht="13.5" x14ac:dyDescent="0.25">
      <c r="A85" s="170"/>
      <c r="B85" s="191" t="str">
        <f t="shared" si="49"/>
        <v/>
      </c>
      <c r="C85" s="188" t="str">
        <f t="shared" si="46"/>
        <v/>
      </c>
      <c r="D85" s="188" t="str">
        <f t="shared" si="46"/>
        <v/>
      </c>
      <c r="E85" s="188" t="str">
        <f t="shared" si="46"/>
        <v/>
      </c>
      <c r="F85" s="188" t="str">
        <f t="shared" si="46"/>
        <v/>
      </c>
      <c r="G85" s="188" t="str">
        <f t="shared" si="46"/>
        <v/>
      </c>
      <c r="H85" s="188" t="str">
        <f t="shared" si="46"/>
        <v/>
      </c>
      <c r="I85" s="188" t="str">
        <f t="shared" si="46"/>
        <v/>
      </c>
      <c r="J85" s="188" t="str">
        <f t="shared" si="46"/>
        <v/>
      </c>
      <c r="K85" s="188" t="str">
        <f t="shared" si="46"/>
        <v/>
      </c>
      <c r="L85" s="188" t="str">
        <f t="shared" si="46"/>
        <v/>
      </c>
      <c r="M85" s="188" t="str">
        <f t="shared" si="46"/>
        <v/>
      </c>
      <c r="N85" s="188" t="str">
        <f t="shared" si="46"/>
        <v/>
      </c>
      <c r="O85" s="185" t="s">
        <v>731</v>
      </c>
      <c r="P85" s="170"/>
      <c r="Q85" s="170"/>
      <c r="R85" s="170"/>
      <c r="S85" s="170"/>
      <c r="T85" s="170"/>
      <c r="U85" s="170"/>
      <c r="V85" s="170"/>
    </row>
    <row r="86" spans="1:28" ht="13.5" x14ac:dyDescent="0.25">
      <c r="A86" s="170"/>
      <c r="B86" s="191" t="str">
        <f t="shared" si="49"/>
        <v/>
      </c>
      <c r="C86" s="188" t="str">
        <f t="shared" si="46"/>
        <v/>
      </c>
      <c r="D86" s="188" t="str">
        <f t="shared" si="46"/>
        <v/>
      </c>
      <c r="E86" s="188" t="str">
        <f t="shared" si="46"/>
        <v/>
      </c>
      <c r="F86" s="188" t="str">
        <f t="shared" si="46"/>
        <v/>
      </c>
      <c r="G86" s="188" t="str">
        <f t="shared" si="46"/>
        <v/>
      </c>
      <c r="H86" s="188" t="str">
        <f t="shared" si="46"/>
        <v/>
      </c>
      <c r="I86" s="188" t="str">
        <f t="shared" si="46"/>
        <v/>
      </c>
      <c r="J86" s="188" t="str">
        <f t="shared" si="46"/>
        <v/>
      </c>
      <c r="K86" s="188" t="str">
        <f t="shared" si="46"/>
        <v/>
      </c>
      <c r="L86" s="188" t="str">
        <f t="shared" si="46"/>
        <v/>
      </c>
      <c r="M86" s="188" t="str">
        <f t="shared" si="46"/>
        <v/>
      </c>
      <c r="N86" s="188" t="str">
        <f t="shared" si="46"/>
        <v/>
      </c>
      <c r="O86" s="185" t="s">
        <v>731</v>
      </c>
      <c r="P86" s="170"/>
      <c r="Q86" s="170"/>
      <c r="R86" s="170"/>
      <c r="S86" s="170"/>
      <c r="T86" s="170"/>
      <c r="U86" s="170"/>
      <c r="V86" s="170"/>
    </row>
    <row r="87" spans="1:28" ht="13.5" x14ac:dyDescent="0.25">
      <c r="A87" s="170"/>
      <c r="B87" s="191" t="str">
        <f t="shared" si="49"/>
        <v/>
      </c>
      <c r="C87" s="196" t="str">
        <f t="shared" si="46"/>
        <v/>
      </c>
      <c r="D87" s="196" t="str">
        <f t="shared" si="46"/>
        <v/>
      </c>
      <c r="E87" s="196" t="str">
        <f t="shared" si="46"/>
        <v/>
      </c>
      <c r="F87" s="196" t="str">
        <f t="shared" si="46"/>
        <v/>
      </c>
      <c r="G87" s="196" t="str">
        <f t="shared" si="46"/>
        <v/>
      </c>
      <c r="H87" s="196" t="str">
        <f t="shared" si="46"/>
        <v/>
      </c>
      <c r="I87" s="196" t="str">
        <f t="shared" si="46"/>
        <v/>
      </c>
      <c r="J87" s="196" t="str">
        <f t="shared" si="46"/>
        <v/>
      </c>
      <c r="K87" s="196" t="str">
        <f t="shared" si="46"/>
        <v/>
      </c>
      <c r="L87" s="196" t="str">
        <f t="shared" si="46"/>
        <v/>
      </c>
      <c r="M87" s="196" t="str">
        <f t="shared" si="46"/>
        <v/>
      </c>
      <c r="N87" s="196" t="str">
        <f t="shared" si="46"/>
        <v/>
      </c>
      <c r="O87" s="185" t="s">
        <v>731</v>
      </c>
      <c r="P87" s="170"/>
      <c r="Q87" s="170"/>
      <c r="R87" s="170"/>
      <c r="S87" s="170"/>
      <c r="T87" s="170"/>
      <c r="U87" s="170"/>
      <c r="V87" s="170"/>
    </row>
    <row r="88" spans="1:28" x14ac:dyDescent="0.2">
      <c r="A88" s="170"/>
      <c r="B88" s="191"/>
      <c r="C88" s="191"/>
      <c r="D88" s="191"/>
      <c r="E88" s="191"/>
      <c r="F88" s="191"/>
      <c r="G88" s="191"/>
      <c r="H88" s="191"/>
      <c r="I88" s="191"/>
      <c r="J88" s="191"/>
      <c r="K88" s="191"/>
      <c r="L88" s="191"/>
      <c r="M88" s="191"/>
      <c r="N88" s="191"/>
      <c r="O88" s="185"/>
      <c r="P88" s="170"/>
      <c r="Q88" s="170"/>
      <c r="R88" s="170"/>
      <c r="S88" s="170"/>
      <c r="T88" s="170"/>
      <c r="U88" s="170"/>
      <c r="V88" s="170"/>
    </row>
    <row r="89" spans="1:28" ht="13.5" x14ac:dyDescent="0.25">
      <c r="A89" s="170"/>
      <c r="B89" s="191" t="str">
        <f>IF(B56&lt;&gt;"","Maximum "&amp;B67,"")</f>
        <v/>
      </c>
      <c r="C89" s="210" t="str">
        <f>IF($B89&lt;&gt;"", (10^($D56-($E56/(C$42+$F56))))*$G56,"")</f>
        <v/>
      </c>
      <c r="D89" s="210" t="str">
        <f t="shared" ref="D89:N89" si="50">IF($B89&lt;&gt;"", (10^($D56-($E56/(D$42+$F56))))*$G56,"")</f>
        <v/>
      </c>
      <c r="E89" s="210" t="str">
        <f t="shared" si="50"/>
        <v/>
      </c>
      <c r="F89" s="210" t="str">
        <f t="shared" si="50"/>
        <v/>
      </c>
      <c r="G89" s="210" t="str">
        <f t="shared" si="50"/>
        <v/>
      </c>
      <c r="H89" s="210" t="str">
        <f t="shared" si="50"/>
        <v/>
      </c>
      <c r="I89" s="210" t="str">
        <f t="shared" si="50"/>
        <v/>
      </c>
      <c r="J89" s="210" t="str">
        <f t="shared" si="50"/>
        <v/>
      </c>
      <c r="K89" s="210" t="str">
        <f t="shared" si="50"/>
        <v/>
      </c>
      <c r="L89" s="210" t="str">
        <f t="shared" si="50"/>
        <v/>
      </c>
      <c r="M89" s="210" t="str">
        <f t="shared" si="50"/>
        <v/>
      </c>
      <c r="N89" s="210" t="str">
        <f t="shared" si="50"/>
        <v/>
      </c>
      <c r="O89" s="185" t="s">
        <v>732</v>
      </c>
      <c r="P89" s="170"/>
      <c r="Q89" s="170"/>
      <c r="R89" s="170"/>
      <c r="S89" s="170"/>
      <c r="T89" s="170"/>
      <c r="U89" s="170"/>
      <c r="V89" s="170"/>
    </row>
    <row r="90" spans="1:28" ht="13.5" x14ac:dyDescent="0.25">
      <c r="A90" s="170"/>
      <c r="B90" s="191" t="str">
        <f>IF(B57&lt;&gt;"","Maximum "&amp;B68,"")</f>
        <v/>
      </c>
      <c r="C90" s="188" t="str">
        <f>IF($B90&lt;&gt;"", (10^($D57-($E57/(C$42+$F57))))*$G57,"")</f>
        <v/>
      </c>
      <c r="D90" s="188" t="str">
        <f t="shared" ref="D90:N90" si="51">IF($B90&lt;&gt;"", (10^($D57-($E57/(D$42+$F57))))*$G57,"")</f>
        <v/>
      </c>
      <c r="E90" s="188" t="str">
        <f t="shared" si="51"/>
        <v/>
      </c>
      <c r="F90" s="188" t="str">
        <f t="shared" si="51"/>
        <v/>
      </c>
      <c r="G90" s="188" t="str">
        <f t="shared" si="51"/>
        <v/>
      </c>
      <c r="H90" s="188" t="str">
        <f t="shared" si="51"/>
        <v/>
      </c>
      <c r="I90" s="188" t="str">
        <f t="shared" si="51"/>
        <v/>
      </c>
      <c r="J90" s="188" t="str">
        <f t="shared" si="51"/>
        <v/>
      </c>
      <c r="K90" s="188" t="str">
        <f t="shared" si="51"/>
        <v/>
      </c>
      <c r="L90" s="188" t="str">
        <f t="shared" si="51"/>
        <v/>
      </c>
      <c r="M90" s="188" t="str">
        <f t="shared" si="51"/>
        <v/>
      </c>
      <c r="N90" s="188" t="str">
        <f t="shared" si="51"/>
        <v/>
      </c>
      <c r="O90" s="185" t="s">
        <v>732</v>
      </c>
      <c r="P90" s="170"/>
      <c r="Q90" s="170"/>
      <c r="R90" s="170"/>
      <c r="S90" s="170"/>
      <c r="T90" s="170"/>
      <c r="U90" s="170"/>
      <c r="V90" s="170"/>
    </row>
    <row r="91" spans="1:28" ht="13.5" x14ac:dyDescent="0.25">
      <c r="A91" s="170"/>
      <c r="B91" s="191" t="str">
        <f>IF(B58&lt;&gt;"","Maximum "&amp;B69,"")</f>
        <v/>
      </c>
      <c r="C91" s="188" t="str">
        <f t="shared" ref="C91:N91" si="52">IF($B91&lt;&gt;"", (10^($D58-($E58/(C$42+$F58))))*$G58,"")</f>
        <v/>
      </c>
      <c r="D91" s="188" t="str">
        <f t="shared" si="52"/>
        <v/>
      </c>
      <c r="E91" s="188" t="str">
        <f t="shared" si="52"/>
        <v/>
      </c>
      <c r="F91" s="188" t="str">
        <f t="shared" si="52"/>
        <v/>
      </c>
      <c r="G91" s="188" t="str">
        <f t="shared" si="52"/>
        <v/>
      </c>
      <c r="H91" s="188" t="str">
        <f t="shared" si="52"/>
        <v/>
      </c>
      <c r="I91" s="188" t="str">
        <f t="shared" si="52"/>
        <v/>
      </c>
      <c r="J91" s="188" t="str">
        <f t="shared" si="52"/>
        <v/>
      </c>
      <c r="K91" s="188" t="str">
        <f t="shared" si="52"/>
        <v/>
      </c>
      <c r="L91" s="188" t="str">
        <f t="shared" si="52"/>
        <v/>
      </c>
      <c r="M91" s="188" t="str">
        <f t="shared" si="52"/>
        <v/>
      </c>
      <c r="N91" s="188" t="str">
        <f t="shared" si="52"/>
        <v/>
      </c>
      <c r="O91" s="185" t="s">
        <v>732</v>
      </c>
      <c r="P91" s="170"/>
      <c r="Q91" s="170"/>
      <c r="R91" s="170"/>
      <c r="S91" s="170"/>
      <c r="T91" s="170"/>
      <c r="U91" s="170"/>
      <c r="V91" s="170"/>
    </row>
    <row r="92" spans="1:28" ht="13.5" x14ac:dyDescent="0.25">
      <c r="A92" s="170"/>
      <c r="B92" s="191" t="str">
        <f>IF(B59&lt;&gt;"","Maximum "&amp;B70,"")</f>
        <v/>
      </c>
      <c r="C92" s="188" t="str">
        <f t="shared" ref="C92:N92" si="53">IF($B92&lt;&gt;"", (10^($D59-($E59/(C$42+$F59))))*$G59,"")</f>
        <v/>
      </c>
      <c r="D92" s="188" t="str">
        <f t="shared" si="53"/>
        <v/>
      </c>
      <c r="E92" s="188" t="str">
        <f t="shared" si="53"/>
        <v/>
      </c>
      <c r="F92" s="188" t="str">
        <f t="shared" si="53"/>
        <v/>
      </c>
      <c r="G92" s="188" t="str">
        <f t="shared" si="53"/>
        <v/>
      </c>
      <c r="H92" s="188" t="str">
        <f t="shared" si="53"/>
        <v/>
      </c>
      <c r="I92" s="188" t="str">
        <f t="shared" si="53"/>
        <v/>
      </c>
      <c r="J92" s="188" t="str">
        <f t="shared" si="53"/>
        <v/>
      </c>
      <c r="K92" s="188" t="str">
        <f t="shared" si="53"/>
        <v/>
      </c>
      <c r="L92" s="188" t="str">
        <f t="shared" si="53"/>
        <v/>
      </c>
      <c r="M92" s="188" t="str">
        <f t="shared" si="53"/>
        <v/>
      </c>
      <c r="N92" s="188" t="str">
        <f t="shared" si="53"/>
        <v/>
      </c>
      <c r="O92" s="185" t="s">
        <v>732</v>
      </c>
      <c r="P92" s="170"/>
      <c r="Q92" s="170"/>
      <c r="R92" s="170"/>
      <c r="S92" s="170"/>
      <c r="T92" s="170"/>
      <c r="U92" s="170"/>
      <c r="V92" s="170"/>
    </row>
    <row r="93" spans="1:28" ht="13.5" x14ac:dyDescent="0.25">
      <c r="A93" s="170"/>
      <c r="B93" s="191"/>
      <c r="C93" s="188" t="str">
        <f t="shared" ref="C93:N93" si="54">IF($B93&lt;&gt;"", (10^($D60-($E60/(C$42+$F60))))*$G60,"")</f>
        <v/>
      </c>
      <c r="D93" s="188" t="str">
        <f t="shared" si="54"/>
        <v/>
      </c>
      <c r="E93" s="188" t="str">
        <f t="shared" si="54"/>
        <v/>
      </c>
      <c r="F93" s="188" t="str">
        <f t="shared" si="54"/>
        <v/>
      </c>
      <c r="G93" s="188" t="str">
        <f t="shared" si="54"/>
        <v/>
      </c>
      <c r="H93" s="188" t="str">
        <f t="shared" si="54"/>
        <v/>
      </c>
      <c r="I93" s="188" t="str">
        <f t="shared" si="54"/>
        <v/>
      </c>
      <c r="J93" s="188" t="str">
        <f t="shared" si="54"/>
        <v/>
      </c>
      <c r="K93" s="188" t="str">
        <f t="shared" si="54"/>
        <v/>
      </c>
      <c r="L93" s="188" t="str">
        <f t="shared" si="54"/>
        <v/>
      </c>
      <c r="M93" s="188" t="str">
        <f t="shared" si="54"/>
        <v/>
      </c>
      <c r="N93" s="188" t="str">
        <f t="shared" si="54"/>
        <v/>
      </c>
      <c r="O93" s="185" t="s">
        <v>732</v>
      </c>
      <c r="P93" s="170"/>
      <c r="Q93" s="170"/>
      <c r="R93" s="170"/>
      <c r="S93" s="170"/>
      <c r="T93" s="170"/>
      <c r="U93" s="170"/>
      <c r="V93" s="170"/>
    </row>
    <row r="94" spans="1:28" ht="13.5" x14ac:dyDescent="0.25">
      <c r="A94" s="170"/>
      <c r="B94" s="191" t="str">
        <f>IF(B61&lt;&gt;"","Maximum "&amp;B72,"")</f>
        <v/>
      </c>
      <c r="C94" s="188" t="str">
        <f t="shared" ref="C94:N94" si="55">IF($B94&lt;&gt;"", (10^($D61-($E61/(C$42+$F61))))*$G61,"")</f>
        <v/>
      </c>
      <c r="D94" s="188" t="str">
        <f t="shared" si="55"/>
        <v/>
      </c>
      <c r="E94" s="188" t="str">
        <f t="shared" si="55"/>
        <v/>
      </c>
      <c r="F94" s="188" t="str">
        <f t="shared" si="55"/>
        <v/>
      </c>
      <c r="G94" s="188" t="str">
        <f t="shared" si="55"/>
        <v/>
      </c>
      <c r="H94" s="188" t="str">
        <f t="shared" si="55"/>
        <v/>
      </c>
      <c r="I94" s="188" t="str">
        <f t="shared" si="55"/>
        <v/>
      </c>
      <c r="J94" s="188" t="str">
        <f t="shared" si="55"/>
        <v/>
      </c>
      <c r="K94" s="188" t="str">
        <f t="shared" si="55"/>
        <v/>
      </c>
      <c r="L94" s="188" t="str">
        <f t="shared" si="55"/>
        <v/>
      </c>
      <c r="M94" s="188" t="str">
        <f t="shared" si="55"/>
        <v/>
      </c>
      <c r="N94" s="188" t="str">
        <f t="shared" si="55"/>
        <v/>
      </c>
      <c r="O94" s="185" t="s">
        <v>732</v>
      </c>
      <c r="P94" s="170"/>
      <c r="Q94" s="170"/>
      <c r="R94" s="170"/>
      <c r="S94" s="170"/>
      <c r="T94" s="170"/>
      <c r="U94" s="170"/>
      <c r="V94" s="170"/>
    </row>
    <row r="95" spans="1:28" ht="13.5" x14ac:dyDescent="0.25">
      <c r="A95" s="170"/>
      <c r="B95" s="191" t="str">
        <f>IF(B62&lt;&gt;"","Maximum "&amp;B73,"")</f>
        <v/>
      </c>
      <c r="C95" s="188" t="str">
        <f t="shared" ref="C95:N95" si="56">IF($B95&lt;&gt;"", (10^($D62-($E62/(C$42+$F62))))*$G62,"")</f>
        <v/>
      </c>
      <c r="D95" s="188" t="str">
        <f t="shared" si="56"/>
        <v/>
      </c>
      <c r="E95" s="188" t="str">
        <f t="shared" si="56"/>
        <v/>
      </c>
      <c r="F95" s="188" t="str">
        <f t="shared" si="56"/>
        <v/>
      </c>
      <c r="G95" s="188" t="str">
        <f t="shared" si="56"/>
        <v/>
      </c>
      <c r="H95" s="188" t="str">
        <f t="shared" si="56"/>
        <v/>
      </c>
      <c r="I95" s="188" t="str">
        <f t="shared" si="56"/>
        <v/>
      </c>
      <c r="J95" s="188" t="str">
        <f t="shared" si="56"/>
        <v/>
      </c>
      <c r="K95" s="188" t="str">
        <f t="shared" si="56"/>
        <v/>
      </c>
      <c r="L95" s="188" t="str">
        <f t="shared" si="56"/>
        <v/>
      </c>
      <c r="M95" s="188" t="str">
        <f t="shared" si="56"/>
        <v/>
      </c>
      <c r="N95" s="188" t="str">
        <f t="shared" si="56"/>
        <v/>
      </c>
      <c r="O95" s="185" t="s">
        <v>732</v>
      </c>
      <c r="P95" s="170"/>
      <c r="Q95" s="170"/>
      <c r="R95" s="170"/>
      <c r="S95" s="170"/>
      <c r="T95" s="170"/>
      <c r="U95" s="170"/>
      <c r="V95" s="170"/>
      <c r="Y95" s="170"/>
      <c r="Z95" s="170"/>
      <c r="AA95" s="170"/>
      <c r="AB95" s="170"/>
    </row>
    <row r="96" spans="1:28" ht="13.5" x14ac:dyDescent="0.25">
      <c r="A96" s="170"/>
      <c r="B96" s="191" t="str">
        <f>IF(B63&lt;&gt;"","Maximum "&amp;B74,"")</f>
        <v/>
      </c>
      <c r="C96" s="188" t="str">
        <f t="shared" ref="C96:N96" si="57">IF($B96&lt;&gt;"", (10^($D63-($E63/(C$42+$F63))))*$G63,"")</f>
        <v/>
      </c>
      <c r="D96" s="188" t="str">
        <f t="shared" si="57"/>
        <v/>
      </c>
      <c r="E96" s="188" t="str">
        <f t="shared" si="57"/>
        <v/>
      </c>
      <c r="F96" s="188" t="str">
        <f t="shared" si="57"/>
        <v/>
      </c>
      <c r="G96" s="188" t="str">
        <f t="shared" si="57"/>
        <v/>
      </c>
      <c r="H96" s="188" t="str">
        <f t="shared" si="57"/>
        <v/>
      </c>
      <c r="I96" s="188" t="str">
        <f t="shared" si="57"/>
        <v/>
      </c>
      <c r="J96" s="188" t="str">
        <f t="shared" si="57"/>
        <v/>
      </c>
      <c r="K96" s="188" t="str">
        <f t="shared" si="57"/>
        <v/>
      </c>
      <c r="L96" s="188" t="str">
        <f t="shared" si="57"/>
        <v/>
      </c>
      <c r="M96" s="188" t="str">
        <f t="shared" si="57"/>
        <v/>
      </c>
      <c r="N96" s="188" t="str">
        <f t="shared" si="57"/>
        <v/>
      </c>
      <c r="O96" s="185" t="s">
        <v>732</v>
      </c>
      <c r="P96" s="170"/>
      <c r="Q96" s="170"/>
      <c r="R96" s="170"/>
      <c r="S96" s="170"/>
      <c r="T96" s="170"/>
      <c r="U96" s="170"/>
      <c r="V96" s="170"/>
    </row>
    <row r="97" spans="1:24" ht="13.5" x14ac:dyDescent="0.25">
      <c r="A97" s="170"/>
      <c r="B97" s="191" t="str">
        <f>IF(B64&lt;&gt;"","Maximum "&amp;B75,"")</f>
        <v/>
      </c>
      <c r="C97" s="188" t="str">
        <f t="shared" ref="C97:N97" si="58">IF($B97&lt;&gt;"", (10^($D64-($E64/(C$42+$F64))))*$G64,"")</f>
        <v/>
      </c>
      <c r="D97" s="188" t="str">
        <f t="shared" si="58"/>
        <v/>
      </c>
      <c r="E97" s="188" t="str">
        <f t="shared" si="58"/>
        <v/>
      </c>
      <c r="F97" s="188" t="str">
        <f t="shared" si="58"/>
        <v/>
      </c>
      <c r="G97" s="188" t="str">
        <f t="shared" si="58"/>
        <v/>
      </c>
      <c r="H97" s="188" t="str">
        <f t="shared" si="58"/>
        <v/>
      </c>
      <c r="I97" s="188" t="str">
        <f t="shared" si="58"/>
        <v/>
      </c>
      <c r="J97" s="188" t="str">
        <f t="shared" si="58"/>
        <v/>
      </c>
      <c r="K97" s="188" t="str">
        <f t="shared" si="58"/>
        <v/>
      </c>
      <c r="L97" s="188" t="str">
        <f t="shared" si="58"/>
        <v/>
      </c>
      <c r="M97" s="188" t="str">
        <f t="shared" si="58"/>
        <v/>
      </c>
      <c r="N97" s="188" t="str">
        <f t="shared" si="58"/>
        <v/>
      </c>
      <c r="O97" s="185" t="s">
        <v>732</v>
      </c>
      <c r="P97" s="170"/>
      <c r="Q97" s="170"/>
      <c r="R97" s="170"/>
      <c r="S97" s="170"/>
      <c r="T97" s="170"/>
      <c r="U97" s="170"/>
      <c r="V97" s="170"/>
    </row>
    <row r="98" spans="1:24" ht="13.5" x14ac:dyDescent="0.25">
      <c r="A98" s="170"/>
      <c r="B98" s="191" t="str">
        <f>IF(B65&lt;&gt;"","Maximum "&amp;B76,"")</f>
        <v/>
      </c>
      <c r="C98" s="188" t="str">
        <f t="shared" ref="C98:N98" si="59">IF($B98&lt;&gt;"", (10^($D65-($E65/(C$42+$F65))))*$G65,"")</f>
        <v/>
      </c>
      <c r="D98" s="188" t="str">
        <f t="shared" si="59"/>
        <v/>
      </c>
      <c r="E98" s="188" t="str">
        <f t="shared" si="59"/>
        <v/>
      </c>
      <c r="F98" s="188" t="str">
        <f t="shared" si="59"/>
        <v/>
      </c>
      <c r="G98" s="188" t="str">
        <f t="shared" si="59"/>
        <v/>
      </c>
      <c r="H98" s="188" t="str">
        <f t="shared" si="59"/>
        <v/>
      </c>
      <c r="I98" s="188" t="str">
        <f t="shared" si="59"/>
        <v/>
      </c>
      <c r="J98" s="188" t="str">
        <f t="shared" si="59"/>
        <v/>
      </c>
      <c r="K98" s="188" t="str">
        <f t="shared" si="59"/>
        <v/>
      </c>
      <c r="L98" s="188" t="str">
        <f t="shared" si="59"/>
        <v/>
      </c>
      <c r="M98" s="188" t="str">
        <f t="shared" si="59"/>
        <v/>
      </c>
      <c r="N98" s="188" t="str">
        <f t="shared" si="59"/>
        <v/>
      </c>
      <c r="O98" s="185" t="s">
        <v>732</v>
      </c>
      <c r="P98" s="170"/>
      <c r="Q98" s="170"/>
      <c r="R98" s="170"/>
      <c r="S98" s="170"/>
      <c r="T98" s="170"/>
      <c r="U98" s="170"/>
      <c r="V98" s="170"/>
      <c r="W98" s="213"/>
    </row>
    <row r="99" spans="1:24" x14ac:dyDescent="0.2">
      <c r="A99" s="170"/>
      <c r="B99" s="191"/>
      <c r="C99" s="214"/>
      <c r="D99" s="214"/>
      <c r="E99" s="214"/>
      <c r="F99" s="214"/>
      <c r="G99" s="214"/>
      <c r="H99" s="214"/>
      <c r="I99" s="214"/>
      <c r="J99" s="214"/>
      <c r="K99" s="214"/>
      <c r="L99" s="214"/>
      <c r="M99" s="214"/>
      <c r="N99" s="214"/>
      <c r="O99" s="185"/>
      <c r="P99" s="170"/>
      <c r="Q99" s="170"/>
      <c r="R99" s="170"/>
      <c r="S99" s="170"/>
      <c r="T99" s="170"/>
      <c r="U99" s="170"/>
      <c r="V99" s="170"/>
      <c r="W99" s="213"/>
    </row>
    <row r="100" spans="1:24" ht="13.5" x14ac:dyDescent="0.25">
      <c r="A100" s="170"/>
      <c r="B100" s="170" t="s">
        <v>733</v>
      </c>
      <c r="C100" s="215">
        <f>SUM(C49,C67:C76)</f>
        <v>0</v>
      </c>
      <c r="D100" s="215">
        <f>SUM(D49,D67:D76)</f>
        <v>0</v>
      </c>
      <c r="E100" s="215">
        <f t="shared" ref="E100:N100" si="60">SUM(E49,E67:E76)</f>
        <v>0</v>
      </c>
      <c r="F100" s="215">
        <f t="shared" si="60"/>
        <v>0</v>
      </c>
      <c r="G100" s="215">
        <f t="shared" si="60"/>
        <v>0</v>
      </c>
      <c r="H100" s="215">
        <f t="shared" si="60"/>
        <v>0</v>
      </c>
      <c r="I100" s="215">
        <f t="shared" si="60"/>
        <v>0</v>
      </c>
      <c r="J100" s="215">
        <f t="shared" si="60"/>
        <v>0</v>
      </c>
      <c r="K100" s="215">
        <f t="shared" si="60"/>
        <v>0</v>
      </c>
      <c r="L100" s="215">
        <f>SUM(L49,L67:L76)</f>
        <v>0</v>
      </c>
      <c r="M100" s="215">
        <f t="shared" si="60"/>
        <v>0</v>
      </c>
      <c r="N100" s="215">
        <f t="shared" si="60"/>
        <v>0</v>
      </c>
      <c r="O100" s="185" t="s">
        <v>734</v>
      </c>
      <c r="P100" s="170"/>
      <c r="Q100" s="170"/>
      <c r="R100" s="170"/>
      <c r="S100" s="170"/>
      <c r="T100" s="170"/>
      <c r="U100" s="170"/>
      <c r="V100" s="170"/>
      <c r="W100" s="213"/>
      <c r="X100" s="213"/>
    </row>
    <row r="101" spans="1:24" ht="13.5" x14ac:dyDescent="0.25">
      <c r="A101" s="170"/>
      <c r="B101" s="170" t="s">
        <v>735</v>
      </c>
      <c r="C101" s="196">
        <f>CONVERT(C100,"mmHg","psi")</f>
        <v>0</v>
      </c>
      <c r="D101" s="196">
        <f t="shared" ref="D101:N101" si="61">CONVERT(D100,"mmHg","psi")</f>
        <v>0</v>
      </c>
      <c r="E101" s="196">
        <f t="shared" si="61"/>
        <v>0</v>
      </c>
      <c r="F101" s="196">
        <f t="shared" si="61"/>
        <v>0</v>
      </c>
      <c r="G101" s="196">
        <f t="shared" si="61"/>
        <v>0</v>
      </c>
      <c r="H101" s="196">
        <f t="shared" si="61"/>
        <v>0</v>
      </c>
      <c r="I101" s="196">
        <f t="shared" si="61"/>
        <v>0</v>
      </c>
      <c r="J101" s="196">
        <f t="shared" si="61"/>
        <v>0</v>
      </c>
      <c r="K101" s="196">
        <f t="shared" si="61"/>
        <v>0</v>
      </c>
      <c r="L101" s="196">
        <f t="shared" si="61"/>
        <v>0</v>
      </c>
      <c r="M101" s="196">
        <f t="shared" si="61"/>
        <v>0</v>
      </c>
      <c r="N101" s="196">
        <f t="shared" si="61"/>
        <v>0</v>
      </c>
      <c r="O101" s="185" t="s">
        <v>576</v>
      </c>
      <c r="P101" s="170"/>
      <c r="Q101" s="170"/>
      <c r="R101" s="170"/>
      <c r="S101" s="170"/>
      <c r="T101" s="170"/>
      <c r="U101" s="170"/>
      <c r="V101" s="170"/>
    </row>
    <row r="102" spans="1:24" x14ac:dyDescent="0.2">
      <c r="A102" s="170"/>
      <c r="B102" s="191"/>
      <c r="C102" s="191"/>
      <c r="D102" s="191"/>
      <c r="E102" s="191"/>
      <c r="F102" s="191"/>
      <c r="G102" s="191"/>
      <c r="H102" s="191"/>
      <c r="I102" s="191"/>
      <c r="J102" s="191"/>
      <c r="K102" s="191"/>
      <c r="L102" s="191"/>
      <c r="M102" s="191"/>
      <c r="N102" s="191"/>
      <c r="O102" s="185"/>
      <c r="P102" s="170"/>
      <c r="Q102" s="170"/>
      <c r="R102" s="170"/>
      <c r="S102" s="170"/>
      <c r="T102" s="170"/>
      <c r="U102" s="170"/>
      <c r="V102" s="170"/>
    </row>
    <row r="103" spans="1:24" ht="13.5" x14ac:dyDescent="0.25">
      <c r="A103" s="216"/>
      <c r="B103" s="217" t="s">
        <v>736</v>
      </c>
      <c r="C103" s="218" t="e">
        <f>VLOOKUP('Tank and Material Properties'!$D$32,'Reference Tables'!$A$74:$P$82,16,FALSE)</f>
        <v>#N/A</v>
      </c>
      <c r="D103" s="218" t="e">
        <f>VLOOKUP('Tank and Material Properties'!$D$32,'Reference Tables'!$A$74:$P$82,16,FALSE)</f>
        <v>#N/A</v>
      </c>
      <c r="E103" s="218" t="e">
        <f>VLOOKUP('Tank and Material Properties'!$D$32,'Reference Tables'!$A$74:$P$82,16,FALSE)</f>
        <v>#N/A</v>
      </c>
      <c r="F103" s="218" t="e">
        <f>VLOOKUP('Tank and Material Properties'!$D$32,'Reference Tables'!$A$74:$P$82,16,FALSE)</f>
        <v>#N/A</v>
      </c>
      <c r="G103" s="218" t="e">
        <f>VLOOKUP('Tank and Material Properties'!$D$32,'Reference Tables'!$A$74:$P$82,16,FALSE)</f>
        <v>#N/A</v>
      </c>
      <c r="H103" s="218" t="e">
        <f>VLOOKUP('Tank and Material Properties'!$D$32,'Reference Tables'!$A$74:$P$82,16,FALSE)</f>
        <v>#N/A</v>
      </c>
      <c r="I103" s="218" t="e">
        <f>VLOOKUP('Tank and Material Properties'!$D$32,'Reference Tables'!$A$74:$P$82,16,FALSE)</f>
        <v>#N/A</v>
      </c>
      <c r="J103" s="218" t="e">
        <f>VLOOKUP('Tank and Material Properties'!$D$32,'Reference Tables'!$A$74:$P$82,16,FALSE)</f>
        <v>#N/A</v>
      </c>
      <c r="K103" s="218" t="e">
        <f>VLOOKUP('Tank and Material Properties'!$D$32,'Reference Tables'!$A$74:$P$82,16,FALSE)</f>
        <v>#N/A</v>
      </c>
      <c r="L103" s="218" t="e">
        <f>VLOOKUP('Tank and Material Properties'!$D$32,'Reference Tables'!$A$74:$P$82,16,FALSE)</f>
        <v>#N/A</v>
      </c>
      <c r="M103" s="218" t="e">
        <f>VLOOKUP('Tank and Material Properties'!$D$32,'Reference Tables'!$A$74:$P$82,16,FALSE)</f>
        <v>#N/A</v>
      </c>
      <c r="N103" s="218" t="e">
        <f>VLOOKUP('Tank and Material Properties'!$D$32,'Reference Tables'!$A$74:$P$82,16,FALSE)</f>
        <v>#N/A</v>
      </c>
      <c r="O103" s="185" t="s">
        <v>625</v>
      </c>
      <c r="P103" s="170"/>
      <c r="Q103" s="170"/>
      <c r="R103" s="170"/>
      <c r="S103" s="170"/>
      <c r="T103" s="170"/>
      <c r="U103" s="170"/>
      <c r="V103" s="170"/>
    </row>
    <row r="104" spans="1:24" ht="14.25" x14ac:dyDescent="0.25">
      <c r="A104" s="170"/>
      <c r="B104" s="170" t="s">
        <v>411</v>
      </c>
      <c r="C104" s="219" t="e">
        <f>((C101/C103)/((1+(1-(C101/C103))^0.5)^2))</f>
        <v>#N/A</v>
      </c>
      <c r="D104" s="219" t="e">
        <f t="shared" ref="D104:N104" si="62">((D101/D103)/((1+(1-(D101/D103))^0.5)^2))</f>
        <v>#N/A</v>
      </c>
      <c r="E104" s="219" t="e">
        <f t="shared" si="62"/>
        <v>#N/A</v>
      </c>
      <c r="F104" s="219" t="e">
        <f t="shared" si="62"/>
        <v>#N/A</v>
      </c>
      <c r="G104" s="219" t="e">
        <f t="shared" si="62"/>
        <v>#N/A</v>
      </c>
      <c r="H104" s="219" t="e">
        <f t="shared" si="62"/>
        <v>#N/A</v>
      </c>
      <c r="I104" s="219" t="e">
        <f t="shared" si="62"/>
        <v>#N/A</v>
      </c>
      <c r="J104" s="219" t="e">
        <f t="shared" si="62"/>
        <v>#N/A</v>
      </c>
      <c r="K104" s="219" t="e">
        <f t="shared" si="62"/>
        <v>#N/A</v>
      </c>
      <c r="L104" s="219" t="e">
        <f t="shared" si="62"/>
        <v>#N/A</v>
      </c>
      <c r="M104" s="219" t="e">
        <f t="shared" si="62"/>
        <v>#N/A</v>
      </c>
      <c r="N104" s="219" t="e">
        <f t="shared" si="62"/>
        <v>#N/A</v>
      </c>
      <c r="O104" s="220" t="s">
        <v>737</v>
      </c>
      <c r="P104" s="170"/>
      <c r="Q104" s="170"/>
      <c r="R104" s="170"/>
      <c r="S104" s="170"/>
      <c r="T104" s="170"/>
      <c r="U104" s="170"/>
      <c r="V104" s="170"/>
    </row>
    <row r="105" spans="1:24" ht="13.5" x14ac:dyDescent="0.25">
      <c r="A105" s="170"/>
      <c r="B105" s="170" t="s">
        <v>478</v>
      </c>
      <c r="C105" s="188" t="e">
        <f>C107-C106</f>
        <v>#N/A</v>
      </c>
      <c r="D105" s="188" t="e">
        <f t="shared" ref="D105:N105" si="63">D107-D106</f>
        <v>#N/A</v>
      </c>
      <c r="E105" s="188" t="e">
        <f t="shared" si="63"/>
        <v>#N/A</v>
      </c>
      <c r="F105" s="188" t="e">
        <f t="shared" si="63"/>
        <v>#N/A</v>
      </c>
      <c r="G105" s="188" t="e">
        <f t="shared" si="63"/>
        <v>#N/A</v>
      </c>
      <c r="H105" s="188" t="e">
        <f t="shared" si="63"/>
        <v>#N/A</v>
      </c>
      <c r="I105" s="188" t="e">
        <f t="shared" si="63"/>
        <v>#N/A</v>
      </c>
      <c r="J105" s="188" t="e">
        <f t="shared" si="63"/>
        <v>#N/A</v>
      </c>
      <c r="K105" s="188" t="e">
        <f t="shared" si="63"/>
        <v>#N/A</v>
      </c>
      <c r="L105" s="188" t="e">
        <f t="shared" si="63"/>
        <v>#N/A</v>
      </c>
      <c r="M105" s="188" t="e">
        <f t="shared" si="63"/>
        <v>#N/A</v>
      </c>
      <c r="N105" s="188" t="e">
        <f t="shared" si="63"/>
        <v>#N/A</v>
      </c>
      <c r="O105" s="220" t="s">
        <v>738</v>
      </c>
      <c r="P105" s="170"/>
      <c r="Q105" s="170"/>
      <c r="R105" s="170"/>
      <c r="S105" s="170"/>
      <c r="T105" s="170"/>
      <c r="U105" s="170"/>
      <c r="V105" s="170"/>
    </row>
    <row r="106" spans="1:24" ht="13.5" x14ac:dyDescent="0.25">
      <c r="A106" s="170"/>
      <c r="B106" s="170" t="s">
        <v>739</v>
      </c>
      <c r="C106" s="188" t="e">
        <f>CONVERT(SUM(C51,C78:C87), "mmHg", "psi")</f>
        <v>#N/A</v>
      </c>
      <c r="D106" s="188" t="e">
        <f>CONVERT(SUM(D51,D78:D87), "mmHg", "psi")</f>
        <v>#N/A</v>
      </c>
      <c r="E106" s="188" t="e">
        <f>CONVERT(SUM(E51,E78:E87), "mmHg", "psi")</f>
        <v>#N/A</v>
      </c>
      <c r="F106" s="188" t="e">
        <f t="shared" ref="F106:N106" si="64">CONVERT(SUM(F51,F78:F87), "mmHg", "psi")</f>
        <v>#N/A</v>
      </c>
      <c r="G106" s="188" t="e">
        <f t="shared" si="64"/>
        <v>#N/A</v>
      </c>
      <c r="H106" s="188" t="e">
        <f>CONVERT(SUM(H51,H78:H87), "mmHg", "psi")</f>
        <v>#N/A</v>
      </c>
      <c r="I106" s="188" t="e">
        <f t="shared" si="64"/>
        <v>#N/A</v>
      </c>
      <c r="J106" s="188" t="e">
        <f t="shared" si="64"/>
        <v>#N/A</v>
      </c>
      <c r="K106" s="188" t="e">
        <f>CONVERT(SUM(K51,K78:K87), "mmHg", "psi")</f>
        <v>#N/A</v>
      </c>
      <c r="L106" s="188" t="e">
        <f t="shared" si="64"/>
        <v>#N/A</v>
      </c>
      <c r="M106" s="188" t="e">
        <f t="shared" si="64"/>
        <v>#N/A</v>
      </c>
      <c r="N106" s="188" t="e">
        <f t="shared" si="64"/>
        <v>#N/A</v>
      </c>
      <c r="O106" s="220" t="s">
        <v>740</v>
      </c>
      <c r="P106" s="170"/>
      <c r="Q106" s="170"/>
      <c r="R106" s="170"/>
      <c r="S106" s="170"/>
      <c r="T106" s="170"/>
      <c r="U106" s="170"/>
      <c r="V106" s="170"/>
    </row>
    <row r="107" spans="1:24" ht="13.5" x14ac:dyDescent="0.25">
      <c r="A107" s="170"/>
      <c r="B107" s="170" t="s">
        <v>741</v>
      </c>
      <c r="C107" s="196" t="e">
        <f>CONVERT(SUM(C53,C89:C98),"mmHg", "psi")</f>
        <v>#N/A</v>
      </c>
      <c r="D107" s="196" t="e">
        <f t="shared" ref="D107:N107" si="65">CONVERT(SUM(D53,D89:D98),"mmHg", "psi")</f>
        <v>#N/A</v>
      </c>
      <c r="E107" s="196" t="e">
        <f t="shared" si="65"/>
        <v>#N/A</v>
      </c>
      <c r="F107" s="196" t="e">
        <f t="shared" si="65"/>
        <v>#N/A</v>
      </c>
      <c r="G107" s="196" t="e">
        <f t="shared" si="65"/>
        <v>#N/A</v>
      </c>
      <c r="H107" s="196" t="e">
        <f t="shared" si="65"/>
        <v>#N/A</v>
      </c>
      <c r="I107" s="196" t="e">
        <f t="shared" si="65"/>
        <v>#N/A</v>
      </c>
      <c r="J107" s="196" t="e">
        <f t="shared" si="65"/>
        <v>#N/A</v>
      </c>
      <c r="K107" s="196" t="e">
        <f t="shared" si="65"/>
        <v>#N/A</v>
      </c>
      <c r="L107" s="196" t="e">
        <f t="shared" si="65"/>
        <v>#N/A</v>
      </c>
      <c r="M107" s="196" t="e">
        <f t="shared" si="65"/>
        <v>#N/A</v>
      </c>
      <c r="N107" s="196" t="e">
        <f t="shared" si="65"/>
        <v>#N/A</v>
      </c>
      <c r="O107" s="220" t="s">
        <v>742</v>
      </c>
      <c r="P107" s="170"/>
      <c r="Q107" s="170"/>
      <c r="R107" s="170"/>
      <c r="S107" s="170"/>
      <c r="T107" s="170"/>
      <c r="U107" s="170"/>
      <c r="V107" s="170"/>
    </row>
    <row r="108" spans="1:24" x14ac:dyDescent="0.2">
      <c r="A108" s="170"/>
      <c r="B108" s="170"/>
      <c r="C108" s="170"/>
      <c r="D108" s="170"/>
      <c r="E108" s="170"/>
      <c r="F108" s="170"/>
      <c r="G108" s="170"/>
      <c r="H108" s="170"/>
      <c r="I108" s="170"/>
      <c r="J108" s="170"/>
      <c r="K108" s="170"/>
      <c r="L108" s="170"/>
      <c r="M108" s="170"/>
      <c r="N108" s="170"/>
      <c r="O108" s="220"/>
      <c r="P108" s="170"/>
      <c r="Q108" s="170"/>
      <c r="R108" s="170"/>
      <c r="S108" s="170"/>
      <c r="T108" s="170"/>
      <c r="U108" s="170"/>
      <c r="V108" s="170"/>
    </row>
    <row r="109" spans="1:24" ht="13.5" x14ac:dyDescent="0.25">
      <c r="A109" s="170"/>
      <c r="B109" s="185" t="str">
        <f>IF($C$21&gt;0, "Vapor Mole Fraction (yi) of "&amp;'Tank and Material Properties'!$D$59,"&lt;Row purposely left blank&gt;")</f>
        <v>&lt;Row purposely left blank&gt;</v>
      </c>
      <c r="C109" s="210">
        <f>IF($B$109&lt;&gt;"&lt;Row purposely left blank&gt;",C49/C$100,0)</f>
        <v>0</v>
      </c>
      <c r="D109" s="210">
        <f t="shared" ref="D109:N109" si="66">IF($B$109&lt;&gt;"&lt;Row purposely left blank&gt;",D49/D$100,0)</f>
        <v>0</v>
      </c>
      <c r="E109" s="210">
        <f t="shared" si="66"/>
        <v>0</v>
      </c>
      <c r="F109" s="210">
        <f t="shared" si="66"/>
        <v>0</v>
      </c>
      <c r="G109" s="210">
        <f t="shared" si="66"/>
        <v>0</v>
      </c>
      <c r="H109" s="210">
        <f t="shared" si="66"/>
        <v>0</v>
      </c>
      <c r="I109" s="210">
        <f t="shared" si="66"/>
        <v>0</v>
      </c>
      <c r="J109" s="210">
        <f t="shared" si="66"/>
        <v>0</v>
      </c>
      <c r="K109" s="210">
        <f t="shared" si="66"/>
        <v>0</v>
      </c>
      <c r="L109" s="210">
        <f t="shared" si="66"/>
        <v>0</v>
      </c>
      <c r="M109" s="210">
        <f t="shared" si="66"/>
        <v>0</v>
      </c>
      <c r="N109" s="210">
        <f t="shared" si="66"/>
        <v>0</v>
      </c>
      <c r="O109" s="185" t="s">
        <v>743</v>
      </c>
      <c r="P109" s="170"/>
      <c r="Q109" s="170"/>
      <c r="R109" s="170"/>
      <c r="S109" s="170"/>
      <c r="T109" s="170"/>
      <c r="U109" s="170"/>
      <c r="V109" s="170"/>
    </row>
    <row r="110" spans="1:24" ht="13.5" x14ac:dyDescent="0.25">
      <c r="A110" s="170"/>
      <c r="B110" s="185" t="str">
        <f>IF(B56&lt;&gt;"", "Vapor Mole Fraction (yi) of "&amp;B56,"")</f>
        <v/>
      </c>
      <c r="C110" s="188">
        <f>IF($B110&lt;&gt;"", C67/C$100,0)</f>
        <v>0</v>
      </c>
      <c r="D110" s="188">
        <f t="shared" ref="D110:N110" si="67">IF($B110&lt;&gt;"", D67/D$100,0)</f>
        <v>0</v>
      </c>
      <c r="E110" s="188">
        <f t="shared" si="67"/>
        <v>0</v>
      </c>
      <c r="F110" s="188">
        <f t="shared" si="67"/>
        <v>0</v>
      </c>
      <c r="G110" s="188">
        <f t="shared" si="67"/>
        <v>0</v>
      </c>
      <c r="H110" s="188">
        <f t="shared" si="67"/>
        <v>0</v>
      </c>
      <c r="I110" s="188">
        <f t="shared" si="67"/>
        <v>0</v>
      </c>
      <c r="J110" s="188">
        <f t="shared" si="67"/>
        <v>0</v>
      </c>
      <c r="K110" s="188">
        <f t="shared" si="67"/>
        <v>0</v>
      </c>
      <c r="L110" s="188">
        <f t="shared" si="67"/>
        <v>0</v>
      </c>
      <c r="M110" s="188">
        <f t="shared" si="67"/>
        <v>0</v>
      </c>
      <c r="N110" s="188">
        <f t="shared" si="67"/>
        <v>0</v>
      </c>
      <c r="O110" s="185" t="s">
        <v>743</v>
      </c>
      <c r="P110" s="170"/>
      <c r="Q110" s="170"/>
      <c r="R110" s="170"/>
      <c r="S110" s="170"/>
      <c r="T110" s="170"/>
      <c r="U110" s="170"/>
      <c r="V110" s="170"/>
    </row>
    <row r="111" spans="1:24" ht="13.5" x14ac:dyDescent="0.25">
      <c r="A111" s="170"/>
      <c r="B111" s="185" t="str">
        <f t="shared" ref="B111:B119" si="68">IF(B57&lt;&gt;"", "Vapor Mole Fraction (yi) of "&amp;B57,"")</f>
        <v/>
      </c>
      <c r="C111" s="188">
        <f t="shared" ref="C111:N111" si="69">IF($B111&lt;&gt;"", C68/C$100,0)</f>
        <v>0</v>
      </c>
      <c r="D111" s="188">
        <f t="shared" si="69"/>
        <v>0</v>
      </c>
      <c r="E111" s="188">
        <f t="shared" si="69"/>
        <v>0</v>
      </c>
      <c r="F111" s="188">
        <f t="shared" si="69"/>
        <v>0</v>
      </c>
      <c r="G111" s="188">
        <f t="shared" si="69"/>
        <v>0</v>
      </c>
      <c r="H111" s="188">
        <f t="shared" si="69"/>
        <v>0</v>
      </c>
      <c r="I111" s="188">
        <f t="shared" si="69"/>
        <v>0</v>
      </c>
      <c r="J111" s="188">
        <f t="shared" si="69"/>
        <v>0</v>
      </c>
      <c r="K111" s="188">
        <f t="shared" si="69"/>
        <v>0</v>
      </c>
      <c r="L111" s="188">
        <f t="shared" si="69"/>
        <v>0</v>
      </c>
      <c r="M111" s="188">
        <f t="shared" si="69"/>
        <v>0</v>
      </c>
      <c r="N111" s="188">
        <f t="shared" si="69"/>
        <v>0</v>
      </c>
      <c r="O111" s="185" t="s">
        <v>743</v>
      </c>
      <c r="P111" s="170"/>
      <c r="Q111" s="170"/>
      <c r="R111" s="170"/>
      <c r="S111" s="170"/>
      <c r="T111" s="170"/>
      <c r="U111" s="170"/>
      <c r="V111" s="170"/>
    </row>
    <row r="112" spans="1:24" ht="13.5" x14ac:dyDescent="0.25">
      <c r="A112" s="170"/>
      <c r="B112" s="185" t="str">
        <f t="shared" si="68"/>
        <v/>
      </c>
      <c r="C112" s="188">
        <f t="shared" ref="C112:N112" si="70">IF($B112&lt;&gt;"", C69/C$100,0)</f>
        <v>0</v>
      </c>
      <c r="D112" s="188">
        <f t="shared" si="70"/>
        <v>0</v>
      </c>
      <c r="E112" s="188">
        <f t="shared" si="70"/>
        <v>0</v>
      </c>
      <c r="F112" s="188">
        <f t="shared" si="70"/>
        <v>0</v>
      </c>
      <c r="G112" s="188">
        <f t="shared" si="70"/>
        <v>0</v>
      </c>
      <c r="H112" s="188">
        <f t="shared" si="70"/>
        <v>0</v>
      </c>
      <c r="I112" s="188">
        <f t="shared" si="70"/>
        <v>0</v>
      </c>
      <c r="J112" s="188">
        <f t="shared" si="70"/>
        <v>0</v>
      </c>
      <c r="K112" s="188">
        <f t="shared" si="70"/>
        <v>0</v>
      </c>
      <c r="L112" s="188">
        <f t="shared" si="70"/>
        <v>0</v>
      </c>
      <c r="M112" s="188">
        <f t="shared" si="70"/>
        <v>0</v>
      </c>
      <c r="N112" s="188">
        <f t="shared" si="70"/>
        <v>0</v>
      </c>
      <c r="O112" s="185" t="s">
        <v>743</v>
      </c>
      <c r="P112" s="170"/>
      <c r="Q112" s="170"/>
      <c r="R112" s="170"/>
      <c r="S112" s="170"/>
      <c r="T112" s="170"/>
      <c r="U112" s="170"/>
      <c r="V112" s="170"/>
    </row>
    <row r="113" spans="1:22" ht="13.5" x14ac:dyDescent="0.25">
      <c r="A113" s="170"/>
      <c r="B113" s="185" t="str">
        <f t="shared" si="68"/>
        <v/>
      </c>
      <c r="C113" s="188">
        <f t="shared" ref="C113:N113" si="71">IF($B113&lt;&gt;"", C70/C$100,0)</f>
        <v>0</v>
      </c>
      <c r="D113" s="188">
        <f t="shared" si="71"/>
        <v>0</v>
      </c>
      <c r="E113" s="188">
        <f t="shared" si="71"/>
        <v>0</v>
      </c>
      <c r="F113" s="188">
        <f t="shared" si="71"/>
        <v>0</v>
      </c>
      <c r="G113" s="188">
        <f t="shared" si="71"/>
        <v>0</v>
      </c>
      <c r="H113" s="188">
        <f t="shared" si="71"/>
        <v>0</v>
      </c>
      <c r="I113" s="188">
        <f t="shared" si="71"/>
        <v>0</v>
      </c>
      <c r="J113" s="188">
        <f t="shared" si="71"/>
        <v>0</v>
      </c>
      <c r="K113" s="188">
        <f t="shared" si="71"/>
        <v>0</v>
      </c>
      <c r="L113" s="188">
        <f t="shared" si="71"/>
        <v>0</v>
      </c>
      <c r="M113" s="188">
        <f t="shared" si="71"/>
        <v>0</v>
      </c>
      <c r="N113" s="188">
        <f t="shared" si="71"/>
        <v>0</v>
      </c>
      <c r="O113" s="185" t="s">
        <v>743</v>
      </c>
      <c r="P113" s="170"/>
      <c r="Q113" s="170"/>
      <c r="R113" s="170"/>
      <c r="S113" s="170"/>
      <c r="T113" s="170"/>
      <c r="U113" s="170"/>
      <c r="V113" s="170"/>
    </row>
    <row r="114" spans="1:22" ht="13.5" x14ac:dyDescent="0.25">
      <c r="A114" s="170"/>
      <c r="B114" s="185" t="str">
        <f t="shared" si="68"/>
        <v/>
      </c>
      <c r="C114" s="188">
        <f t="shared" ref="C114:N114" si="72">IF($B114&lt;&gt;"", C71/C$100,0)</f>
        <v>0</v>
      </c>
      <c r="D114" s="188">
        <f t="shared" si="72"/>
        <v>0</v>
      </c>
      <c r="E114" s="188">
        <f t="shared" si="72"/>
        <v>0</v>
      </c>
      <c r="F114" s="188">
        <f t="shared" si="72"/>
        <v>0</v>
      </c>
      <c r="G114" s="188">
        <f t="shared" si="72"/>
        <v>0</v>
      </c>
      <c r="H114" s="188">
        <f t="shared" si="72"/>
        <v>0</v>
      </c>
      <c r="I114" s="188">
        <f t="shared" si="72"/>
        <v>0</v>
      </c>
      <c r="J114" s="188">
        <f t="shared" si="72"/>
        <v>0</v>
      </c>
      <c r="K114" s="188">
        <f t="shared" si="72"/>
        <v>0</v>
      </c>
      <c r="L114" s="188">
        <f t="shared" si="72"/>
        <v>0</v>
      </c>
      <c r="M114" s="188">
        <f t="shared" si="72"/>
        <v>0</v>
      </c>
      <c r="N114" s="188">
        <f t="shared" si="72"/>
        <v>0</v>
      </c>
      <c r="O114" s="185" t="s">
        <v>743</v>
      </c>
      <c r="P114" s="170"/>
      <c r="Q114" s="170"/>
      <c r="R114" s="170"/>
      <c r="S114" s="170"/>
      <c r="T114" s="170"/>
      <c r="U114" s="170"/>
      <c r="V114" s="170"/>
    </row>
    <row r="115" spans="1:22" ht="13.5" x14ac:dyDescent="0.25">
      <c r="A115" s="170"/>
      <c r="B115" s="185" t="str">
        <f t="shared" si="68"/>
        <v/>
      </c>
      <c r="C115" s="188">
        <f t="shared" ref="C115:N115" si="73">IF($B115&lt;&gt;"", C72/C$100,0)</f>
        <v>0</v>
      </c>
      <c r="D115" s="188">
        <f t="shared" si="73"/>
        <v>0</v>
      </c>
      <c r="E115" s="188">
        <f t="shared" si="73"/>
        <v>0</v>
      </c>
      <c r="F115" s="188">
        <f t="shared" si="73"/>
        <v>0</v>
      </c>
      <c r="G115" s="188">
        <f t="shared" si="73"/>
        <v>0</v>
      </c>
      <c r="H115" s="188">
        <f t="shared" si="73"/>
        <v>0</v>
      </c>
      <c r="I115" s="188">
        <f t="shared" si="73"/>
        <v>0</v>
      </c>
      <c r="J115" s="188">
        <f t="shared" si="73"/>
        <v>0</v>
      </c>
      <c r="K115" s="188">
        <f t="shared" si="73"/>
        <v>0</v>
      </c>
      <c r="L115" s="188">
        <f t="shared" si="73"/>
        <v>0</v>
      </c>
      <c r="M115" s="188">
        <f t="shared" si="73"/>
        <v>0</v>
      </c>
      <c r="N115" s="188">
        <f t="shared" si="73"/>
        <v>0</v>
      </c>
      <c r="O115" s="185" t="s">
        <v>743</v>
      </c>
      <c r="P115" s="170"/>
      <c r="Q115" s="170"/>
      <c r="R115" s="170"/>
      <c r="S115" s="170"/>
      <c r="T115" s="170"/>
      <c r="U115" s="170"/>
      <c r="V115" s="170"/>
    </row>
    <row r="116" spans="1:22" ht="13.5" x14ac:dyDescent="0.25">
      <c r="A116" s="170"/>
      <c r="B116" s="185" t="str">
        <f t="shared" si="68"/>
        <v/>
      </c>
      <c r="C116" s="188">
        <f t="shared" ref="C116:N116" si="74">IF($B116&lt;&gt;"", C73/C$100,0)</f>
        <v>0</v>
      </c>
      <c r="D116" s="188">
        <f t="shared" si="74"/>
        <v>0</v>
      </c>
      <c r="E116" s="188">
        <f t="shared" si="74"/>
        <v>0</v>
      </c>
      <c r="F116" s="188">
        <f t="shared" si="74"/>
        <v>0</v>
      </c>
      <c r="G116" s="188">
        <f t="shared" si="74"/>
        <v>0</v>
      </c>
      <c r="H116" s="188">
        <f t="shared" si="74"/>
        <v>0</v>
      </c>
      <c r="I116" s="188">
        <f t="shared" si="74"/>
        <v>0</v>
      </c>
      <c r="J116" s="188">
        <f t="shared" si="74"/>
        <v>0</v>
      </c>
      <c r="K116" s="188">
        <f t="shared" si="74"/>
        <v>0</v>
      </c>
      <c r="L116" s="188">
        <f t="shared" si="74"/>
        <v>0</v>
      </c>
      <c r="M116" s="188">
        <f t="shared" si="74"/>
        <v>0</v>
      </c>
      <c r="N116" s="188">
        <f t="shared" si="74"/>
        <v>0</v>
      </c>
      <c r="O116" s="185" t="s">
        <v>743</v>
      </c>
      <c r="P116" s="170"/>
      <c r="Q116" s="170"/>
      <c r="R116" s="170"/>
      <c r="S116" s="170"/>
      <c r="T116" s="170"/>
      <c r="U116" s="170"/>
      <c r="V116" s="170"/>
    </row>
    <row r="117" spans="1:22" ht="13.5" x14ac:dyDescent="0.25">
      <c r="A117" s="170"/>
      <c r="B117" s="185" t="str">
        <f t="shared" si="68"/>
        <v/>
      </c>
      <c r="C117" s="188">
        <f t="shared" ref="C117:N117" si="75">IF($B117&lt;&gt;"", C74/C$100,0)</f>
        <v>0</v>
      </c>
      <c r="D117" s="188">
        <f t="shared" si="75"/>
        <v>0</v>
      </c>
      <c r="E117" s="188">
        <f t="shared" si="75"/>
        <v>0</v>
      </c>
      <c r="F117" s="188">
        <f t="shared" si="75"/>
        <v>0</v>
      </c>
      <c r="G117" s="188">
        <f t="shared" si="75"/>
        <v>0</v>
      </c>
      <c r="H117" s="188">
        <f t="shared" si="75"/>
        <v>0</v>
      </c>
      <c r="I117" s="188">
        <f t="shared" si="75"/>
        <v>0</v>
      </c>
      <c r="J117" s="188">
        <f t="shared" si="75"/>
        <v>0</v>
      </c>
      <c r="K117" s="188">
        <f t="shared" si="75"/>
        <v>0</v>
      </c>
      <c r="L117" s="188">
        <f t="shared" si="75"/>
        <v>0</v>
      </c>
      <c r="M117" s="188">
        <f t="shared" si="75"/>
        <v>0</v>
      </c>
      <c r="N117" s="188">
        <f t="shared" si="75"/>
        <v>0</v>
      </c>
      <c r="O117" s="185" t="s">
        <v>743</v>
      </c>
      <c r="P117" s="170"/>
      <c r="Q117" s="170"/>
      <c r="R117" s="170"/>
      <c r="S117" s="170"/>
      <c r="T117" s="170"/>
      <c r="U117" s="170"/>
      <c r="V117" s="170"/>
    </row>
    <row r="118" spans="1:22" ht="13.5" x14ac:dyDescent="0.25">
      <c r="A118" s="170"/>
      <c r="B118" s="185" t="str">
        <f t="shared" si="68"/>
        <v/>
      </c>
      <c r="C118" s="188">
        <f t="shared" ref="C118:N118" si="76">IF($B118&lt;&gt;"", C75/C$100,0)</f>
        <v>0</v>
      </c>
      <c r="D118" s="188">
        <f t="shared" si="76"/>
        <v>0</v>
      </c>
      <c r="E118" s="188">
        <f t="shared" si="76"/>
        <v>0</v>
      </c>
      <c r="F118" s="188">
        <f t="shared" si="76"/>
        <v>0</v>
      </c>
      <c r="G118" s="188">
        <f t="shared" si="76"/>
        <v>0</v>
      </c>
      <c r="H118" s="188">
        <f t="shared" si="76"/>
        <v>0</v>
      </c>
      <c r="I118" s="188">
        <f t="shared" si="76"/>
        <v>0</v>
      </c>
      <c r="J118" s="188">
        <f t="shared" si="76"/>
        <v>0</v>
      </c>
      <c r="K118" s="188">
        <f t="shared" si="76"/>
        <v>0</v>
      </c>
      <c r="L118" s="188">
        <f t="shared" si="76"/>
        <v>0</v>
      </c>
      <c r="M118" s="188">
        <f t="shared" si="76"/>
        <v>0</v>
      </c>
      <c r="N118" s="188">
        <f t="shared" si="76"/>
        <v>0</v>
      </c>
      <c r="O118" s="185" t="s">
        <v>743</v>
      </c>
      <c r="P118" s="170"/>
      <c r="Q118" s="170"/>
      <c r="R118" s="170"/>
      <c r="S118" s="170"/>
      <c r="T118" s="170"/>
      <c r="U118" s="170"/>
      <c r="V118" s="170"/>
    </row>
    <row r="119" spans="1:22" ht="13.5" x14ac:dyDescent="0.25">
      <c r="A119" s="170"/>
      <c r="B119" s="185" t="str">
        <f t="shared" si="68"/>
        <v/>
      </c>
      <c r="C119" s="188">
        <f t="shared" ref="C119:N119" si="77">IF($B119&lt;&gt;"", C76/C$100,0)</f>
        <v>0</v>
      </c>
      <c r="D119" s="188">
        <f t="shared" si="77"/>
        <v>0</v>
      </c>
      <c r="E119" s="188">
        <f t="shared" si="77"/>
        <v>0</v>
      </c>
      <c r="F119" s="188">
        <f t="shared" si="77"/>
        <v>0</v>
      </c>
      <c r="G119" s="188">
        <f t="shared" si="77"/>
        <v>0</v>
      </c>
      <c r="H119" s="188">
        <f t="shared" si="77"/>
        <v>0</v>
      </c>
      <c r="I119" s="188">
        <f t="shared" si="77"/>
        <v>0</v>
      </c>
      <c r="J119" s="188">
        <f t="shared" si="77"/>
        <v>0</v>
      </c>
      <c r="K119" s="188">
        <f t="shared" si="77"/>
        <v>0</v>
      </c>
      <c r="L119" s="188">
        <f t="shared" si="77"/>
        <v>0</v>
      </c>
      <c r="M119" s="188">
        <f t="shared" si="77"/>
        <v>0</v>
      </c>
      <c r="N119" s="188">
        <f t="shared" si="77"/>
        <v>0</v>
      </c>
      <c r="O119" s="185" t="s">
        <v>743</v>
      </c>
      <c r="P119" s="170"/>
      <c r="Q119" s="170"/>
      <c r="R119" s="170"/>
      <c r="S119" s="170"/>
      <c r="T119" s="170"/>
      <c r="U119" s="170"/>
      <c r="V119" s="170"/>
    </row>
    <row r="120" spans="1:22" ht="13.5" x14ac:dyDescent="0.25">
      <c r="A120" s="170"/>
      <c r="B120" s="185" t="s">
        <v>744</v>
      </c>
      <c r="C120" s="221">
        <f>IF($C$20=1, $C$22, IF(AND($C$20&gt;0,$C$20&lt;1), ($C$22*C$109)+($I$56*C110)+($I$57*C111)+($I$58*C112)+($I$59*C113)+($I$60*C114)+($I$61*C115)+($I$62*C116)+($I$63*C117)+($I$64*C118)+($I$65*C119),($I$56*C110)+($I$57*C111)+($I$58*C112)+($I$59*C113)+($I$60*C114)+($I$61*C115)+($I$62*C116)+($I$63*C117)+($I$64*C118)+($I$65*C119)))</f>
        <v>0</v>
      </c>
      <c r="D120" s="221">
        <f t="shared" ref="D120:N120" si="78">IF($C$20=1, $C$22, IF(AND($C$20&gt;0,$C$20&lt;1), ($C$22*D$109)+($I$56*D110)+($I$57*D111)+($I$58*D112)+($I$59*D113)+($I$60*D114)+($I$61*D115)+($I$62*D116)+($I$63*D117)+($I$64*D118)+($I$65*D119),($I$56*D110)+($I$57*D111)+($I$58*D112)+($I$59*D113)+($I$60*D114)+($I$61*D115)+($I$62*D116)+($I$63*D117)+($I$64*D118)+($I$65*D119)))</f>
        <v>0</v>
      </c>
      <c r="E120" s="221">
        <f t="shared" si="78"/>
        <v>0</v>
      </c>
      <c r="F120" s="221">
        <f t="shared" si="78"/>
        <v>0</v>
      </c>
      <c r="G120" s="221">
        <f t="shared" si="78"/>
        <v>0</v>
      </c>
      <c r="H120" s="221">
        <f t="shared" si="78"/>
        <v>0</v>
      </c>
      <c r="I120" s="221">
        <f t="shared" si="78"/>
        <v>0</v>
      </c>
      <c r="J120" s="221">
        <f t="shared" si="78"/>
        <v>0</v>
      </c>
      <c r="K120" s="221">
        <f t="shared" si="78"/>
        <v>0</v>
      </c>
      <c r="L120" s="221">
        <f t="shared" si="78"/>
        <v>0</v>
      </c>
      <c r="M120" s="221">
        <f t="shared" si="78"/>
        <v>0</v>
      </c>
      <c r="N120" s="221">
        <f t="shared" si="78"/>
        <v>0</v>
      </c>
      <c r="O120" s="185" t="s">
        <v>745</v>
      </c>
      <c r="P120" s="170"/>
      <c r="Q120" s="170"/>
      <c r="R120" s="170"/>
      <c r="S120" s="170"/>
      <c r="T120" s="170"/>
      <c r="U120" s="170"/>
      <c r="V120" s="170"/>
    </row>
    <row r="121" spans="1:22" x14ac:dyDescent="0.2">
      <c r="A121" s="170"/>
      <c r="B121" s="185"/>
      <c r="C121" s="185"/>
      <c r="D121" s="185"/>
      <c r="E121" s="185"/>
      <c r="F121" s="185"/>
      <c r="G121" s="185"/>
      <c r="H121" s="185"/>
      <c r="I121" s="185"/>
      <c r="J121" s="185"/>
      <c r="K121" s="185"/>
      <c r="L121" s="185"/>
      <c r="M121" s="185"/>
      <c r="N121" s="185"/>
      <c r="O121" s="185"/>
      <c r="P121" s="170"/>
      <c r="Q121" s="170"/>
      <c r="R121" s="170"/>
      <c r="S121" s="170"/>
      <c r="T121" s="170"/>
      <c r="U121" s="170"/>
      <c r="V121" s="170"/>
    </row>
    <row r="122" spans="1:22" ht="13.5" x14ac:dyDescent="0.25">
      <c r="A122" s="170"/>
      <c r="B122" s="185" t="s">
        <v>746</v>
      </c>
      <c r="C122" s="185"/>
      <c r="D122" s="185"/>
      <c r="E122" s="185"/>
      <c r="F122" s="185"/>
      <c r="G122" s="185"/>
      <c r="H122" s="185"/>
      <c r="I122" s="185"/>
      <c r="J122" s="185"/>
      <c r="K122" s="185"/>
      <c r="L122" s="185"/>
      <c r="M122" s="185"/>
      <c r="N122" s="185"/>
      <c r="O122" s="185"/>
      <c r="P122" s="170"/>
      <c r="Q122" s="170"/>
      <c r="R122" s="170"/>
      <c r="S122" s="170"/>
      <c r="T122" s="170"/>
      <c r="U122" s="170"/>
      <c r="V122" s="170"/>
    </row>
    <row r="123" spans="1:22" ht="18" customHeight="1" x14ac:dyDescent="0.25">
      <c r="A123" s="170"/>
      <c r="B123" s="185" t="str">
        <f>IF($C$21&gt;0, "Vapor Weight Fraction (Zvi) of "&amp;'Tank and Material Properties'!$D$59,"&lt;Row purposely left blank&gt;")</f>
        <v>&lt;Row purposely left blank&gt;</v>
      </c>
      <c r="C123" s="222">
        <f>IF($B$109&lt;&gt;"&lt;Row purposely left blank&gt;",(C109*$C$22)/C120,0)</f>
        <v>0</v>
      </c>
      <c r="D123" s="222">
        <f t="shared" ref="D123:N123" si="79">IF($B$109&lt;&gt;"&lt;Row purposely left blank&gt;",(D109*$C$22)/D120,0)</f>
        <v>0</v>
      </c>
      <c r="E123" s="222">
        <f t="shared" si="79"/>
        <v>0</v>
      </c>
      <c r="F123" s="222">
        <f t="shared" si="79"/>
        <v>0</v>
      </c>
      <c r="G123" s="222">
        <f t="shared" si="79"/>
        <v>0</v>
      </c>
      <c r="H123" s="222">
        <f t="shared" si="79"/>
        <v>0</v>
      </c>
      <c r="I123" s="222">
        <f t="shared" si="79"/>
        <v>0</v>
      </c>
      <c r="J123" s="222">
        <f t="shared" si="79"/>
        <v>0</v>
      </c>
      <c r="K123" s="222">
        <f t="shared" si="79"/>
        <v>0</v>
      </c>
      <c r="L123" s="222">
        <f t="shared" si="79"/>
        <v>0</v>
      </c>
      <c r="M123" s="222">
        <f t="shared" si="79"/>
        <v>0</v>
      </c>
      <c r="N123" s="222">
        <f t="shared" si="79"/>
        <v>0</v>
      </c>
      <c r="O123" s="185" t="s">
        <v>747</v>
      </c>
      <c r="P123" s="170"/>
      <c r="Q123" s="170"/>
      <c r="R123" s="170"/>
      <c r="S123" s="170"/>
      <c r="T123" s="170"/>
      <c r="U123" s="170"/>
      <c r="V123" s="170"/>
    </row>
    <row r="124" spans="1:22" ht="13.5" x14ac:dyDescent="0.25">
      <c r="A124" s="170"/>
      <c r="B124" s="185" t="str">
        <f>IF(B56&lt;&gt;"", "Vapor Weight Fraction (Zvi) of "&amp;B56,"")</f>
        <v/>
      </c>
      <c r="C124" s="223">
        <f>IF($B110&lt;&gt;"", (C110*$I56)/C$120,0)</f>
        <v>0</v>
      </c>
      <c r="D124" s="223">
        <f t="shared" ref="D124:N124" si="80">IF($B110&lt;&gt;"", (D110*$I56)/D$120,0)</f>
        <v>0</v>
      </c>
      <c r="E124" s="223">
        <f t="shared" si="80"/>
        <v>0</v>
      </c>
      <c r="F124" s="223">
        <f t="shared" si="80"/>
        <v>0</v>
      </c>
      <c r="G124" s="223">
        <f t="shared" si="80"/>
        <v>0</v>
      </c>
      <c r="H124" s="223">
        <f t="shared" si="80"/>
        <v>0</v>
      </c>
      <c r="I124" s="223">
        <f t="shared" si="80"/>
        <v>0</v>
      </c>
      <c r="J124" s="223">
        <f t="shared" si="80"/>
        <v>0</v>
      </c>
      <c r="K124" s="223">
        <f t="shared" si="80"/>
        <v>0</v>
      </c>
      <c r="L124" s="223">
        <f t="shared" si="80"/>
        <v>0</v>
      </c>
      <c r="M124" s="223">
        <f t="shared" si="80"/>
        <v>0</v>
      </c>
      <c r="N124" s="223">
        <f t="shared" si="80"/>
        <v>0</v>
      </c>
      <c r="O124" s="185" t="s">
        <v>747</v>
      </c>
      <c r="P124" s="170"/>
      <c r="Q124" s="170"/>
      <c r="R124" s="170"/>
      <c r="S124" s="170"/>
      <c r="T124" s="170"/>
      <c r="U124" s="170"/>
      <c r="V124" s="170"/>
    </row>
    <row r="125" spans="1:22" ht="13.5" x14ac:dyDescent="0.25">
      <c r="A125" s="170"/>
      <c r="B125" s="185" t="str">
        <f t="shared" ref="B125:B133" si="81">IF(B57&lt;&gt;"", "Vapor Weight Fraction (Zvi) of "&amp;B57,"")</f>
        <v/>
      </c>
      <c r="C125" s="223">
        <f t="shared" ref="C125:N125" si="82">IF($B111&lt;&gt;"", (C111*$I57)/C$120,0)</f>
        <v>0</v>
      </c>
      <c r="D125" s="223">
        <f t="shared" si="82"/>
        <v>0</v>
      </c>
      <c r="E125" s="223">
        <f t="shared" si="82"/>
        <v>0</v>
      </c>
      <c r="F125" s="223">
        <f t="shared" si="82"/>
        <v>0</v>
      </c>
      <c r="G125" s="223">
        <f t="shared" si="82"/>
        <v>0</v>
      </c>
      <c r="H125" s="223">
        <f t="shared" si="82"/>
        <v>0</v>
      </c>
      <c r="I125" s="223">
        <f t="shared" si="82"/>
        <v>0</v>
      </c>
      <c r="J125" s="223">
        <f t="shared" si="82"/>
        <v>0</v>
      </c>
      <c r="K125" s="223">
        <f t="shared" si="82"/>
        <v>0</v>
      </c>
      <c r="L125" s="223">
        <f t="shared" si="82"/>
        <v>0</v>
      </c>
      <c r="M125" s="223">
        <f t="shared" si="82"/>
        <v>0</v>
      </c>
      <c r="N125" s="223">
        <f t="shared" si="82"/>
        <v>0</v>
      </c>
      <c r="O125" s="185" t="s">
        <v>747</v>
      </c>
      <c r="P125" s="170"/>
      <c r="Q125" s="170"/>
      <c r="R125" s="170"/>
      <c r="S125" s="170"/>
      <c r="T125" s="170"/>
      <c r="U125" s="170"/>
      <c r="V125" s="170"/>
    </row>
    <row r="126" spans="1:22" ht="13.5" x14ac:dyDescent="0.25">
      <c r="A126" s="170"/>
      <c r="B126" s="185" t="str">
        <f t="shared" si="81"/>
        <v/>
      </c>
      <c r="C126" s="223">
        <f t="shared" ref="C126:N126" si="83">IF($B112&lt;&gt;"", (C112*$I58)/C$120,0)</f>
        <v>0</v>
      </c>
      <c r="D126" s="223">
        <f t="shared" si="83"/>
        <v>0</v>
      </c>
      <c r="E126" s="223">
        <f t="shared" si="83"/>
        <v>0</v>
      </c>
      <c r="F126" s="223">
        <f t="shared" si="83"/>
        <v>0</v>
      </c>
      <c r="G126" s="223">
        <f t="shared" si="83"/>
        <v>0</v>
      </c>
      <c r="H126" s="223">
        <f t="shared" si="83"/>
        <v>0</v>
      </c>
      <c r="I126" s="223">
        <f t="shared" si="83"/>
        <v>0</v>
      </c>
      <c r="J126" s="223">
        <f t="shared" si="83"/>
        <v>0</v>
      </c>
      <c r="K126" s="223">
        <f t="shared" si="83"/>
        <v>0</v>
      </c>
      <c r="L126" s="223">
        <f t="shared" si="83"/>
        <v>0</v>
      </c>
      <c r="M126" s="223">
        <f t="shared" si="83"/>
        <v>0</v>
      </c>
      <c r="N126" s="223">
        <f t="shared" si="83"/>
        <v>0</v>
      </c>
      <c r="O126" s="185" t="s">
        <v>747</v>
      </c>
      <c r="P126" s="170"/>
      <c r="Q126" s="170"/>
      <c r="R126" s="170"/>
      <c r="S126" s="170"/>
      <c r="T126" s="170"/>
      <c r="U126" s="170"/>
      <c r="V126" s="170"/>
    </row>
    <row r="127" spans="1:22" ht="13.5" x14ac:dyDescent="0.25">
      <c r="A127" s="170"/>
      <c r="B127" s="185" t="str">
        <f t="shared" si="81"/>
        <v/>
      </c>
      <c r="C127" s="223">
        <f t="shared" ref="C127:N127" si="84">IF($B113&lt;&gt;"", (C113*$I59)/C$120,0)</f>
        <v>0</v>
      </c>
      <c r="D127" s="223">
        <f t="shared" si="84"/>
        <v>0</v>
      </c>
      <c r="E127" s="223">
        <f t="shared" si="84"/>
        <v>0</v>
      </c>
      <c r="F127" s="223">
        <f t="shared" si="84"/>
        <v>0</v>
      </c>
      <c r="G127" s="223">
        <f t="shared" si="84"/>
        <v>0</v>
      </c>
      <c r="H127" s="223">
        <f t="shared" si="84"/>
        <v>0</v>
      </c>
      <c r="I127" s="223">
        <f t="shared" si="84"/>
        <v>0</v>
      </c>
      <c r="J127" s="223">
        <f t="shared" si="84"/>
        <v>0</v>
      </c>
      <c r="K127" s="223">
        <f t="shared" si="84"/>
        <v>0</v>
      </c>
      <c r="L127" s="223">
        <f t="shared" si="84"/>
        <v>0</v>
      </c>
      <c r="M127" s="223">
        <f t="shared" si="84"/>
        <v>0</v>
      </c>
      <c r="N127" s="223">
        <f t="shared" si="84"/>
        <v>0</v>
      </c>
      <c r="O127" s="185" t="s">
        <v>747</v>
      </c>
      <c r="P127" s="170"/>
      <c r="Q127" s="170"/>
      <c r="R127" s="170"/>
      <c r="S127" s="170"/>
      <c r="T127" s="170"/>
      <c r="U127" s="170"/>
      <c r="V127" s="170"/>
    </row>
    <row r="128" spans="1:22" ht="13.5" x14ac:dyDescent="0.25">
      <c r="A128" s="170"/>
      <c r="B128" s="185" t="str">
        <f t="shared" si="81"/>
        <v/>
      </c>
      <c r="C128" s="223">
        <f t="shared" ref="C128:N128" si="85">IF($B114&lt;&gt;"", (C114*$I60)/C$120,0)</f>
        <v>0</v>
      </c>
      <c r="D128" s="223">
        <f t="shared" si="85"/>
        <v>0</v>
      </c>
      <c r="E128" s="223">
        <f t="shared" si="85"/>
        <v>0</v>
      </c>
      <c r="F128" s="223">
        <f t="shared" si="85"/>
        <v>0</v>
      </c>
      <c r="G128" s="223">
        <f t="shared" si="85"/>
        <v>0</v>
      </c>
      <c r="H128" s="223">
        <f t="shared" si="85"/>
        <v>0</v>
      </c>
      <c r="I128" s="223">
        <f t="shared" si="85"/>
        <v>0</v>
      </c>
      <c r="J128" s="223">
        <f t="shared" si="85"/>
        <v>0</v>
      </c>
      <c r="K128" s="223">
        <f t="shared" si="85"/>
        <v>0</v>
      </c>
      <c r="L128" s="223">
        <f t="shared" si="85"/>
        <v>0</v>
      </c>
      <c r="M128" s="223">
        <f t="shared" si="85"/>
        <v>0</v>
      </c>
      <c r="N128" s="223">
        <f t="shared" si="85"/>
        <v>0</v>
      </c>
      <c r="O128" s="185" t="s">
        <v>747</v>
      </c>
      <c r="P128" s="170"/>
      <c r="Q128" s="170"/>
      <c r="R128" s="170"/>
      <c r="S128" s="170"/>
      <c r="T128" s="170"/>
      <c r="U128" s="170"/>
      <c r="V128" s="170"/>
    </row>
    <row r="129" spans="1:22" ht="13.5" x14ac:dyDescent="0.25">
      <c r="A129" s="170"/>
      <c r="B129" s="185" t="str">
        <f t="shared" si="81"/>
        <v/>
      </c>
      <c r="C129" s="223">
        <f t="shared" ref="C129:N129" si="86">IF($B115&lt;&gt;"", (C115*$I61)/C$120,0)</f>
        <v>0</v>
      </c>
      <c r="D129" s="223">
        <f t="shared" si="86"/>
        <v>0</v>
      </c>
      <c r="E129" s="223">
        <f t="shared" si="86"/>
        <v>0</v>
      </c>
      <c r="F129" s="223">
        <f t="shared" si="86"/>
        <v>0</v>
      </c>
      <c r="G129" s="223">
        <f t="shared" si="86"/>
        <v>0</v>
      </c>
      <c r="H129" s="223">
        <f t="shared" si="86"/>
        <v>0</v>
      </c>
      <c r="I129" s="223">
        <f t="shared" si="86"/>
        <v>0</v>
      </c>
      <c r="J129" s="223">
        <f t="shared" si="86"/>
        <v>0</v>
      </c>
      <c r="K129" s="223">
        <f t="shared" si="86"/>
        <v>0</v>
      </c>
      <c r="L129" s="223">
        <f t="shared" si="86"/>
        <v>0</v>
      </c>
      <c r="M129" s="223">
        <f t="shared" si="86"/>
        <v>0</v>
      </c>
      <c r="N129" s="223">
        <f t="shared" si="86"/>
        <v>0</v>
      </c>
      <c r="O129" s="185" t="s">
        <v>747</v>
      </c>
      <c r="P129" s="170"/>
      <c r="Q129" s="170"/>
      <c r="R129" s="170"/>
      <c r="S129" s="170"/>
      <c r="T129" s="170"/>
      <c r="U129" s="170"/>
      <c r="V129" s="170"/>
    </row>
    <row r="130" spans="1:22" ht="13.5" x14ac:dyDescent="0.25">
      <c r="A130" s="170"/>
      <c r="B130" s="185" t="str">
        <f t="shared" si="81"/>
        <v/>
      </c>
      <c r="C130" s="223">
        <f t="shared" ref="C130:N130" si="87">IF($B116&lt;&gt;"", (C116*$I62)/C$120,0)</f>
        <v>0</v>
      </c>
      <c r="D130" s="223">
        <f t="shared" si="87"/>
        <v>0</v>
      </c>
      <c r="E130" s="223">
        <f t="shared" si="87"/>
        <v>0</v>
      </c>
      <c r="F130" s="223">
        <f t="shared" si="87"/>
        <v>0</v>
      </c>
      <c r="G130" s="223">
        <f t="shared" si="87"/>
        <v>0</v>
      </c>
      <c r="H130" s="223">
        <f t="shared" si="87"/>
        <v>0</v>
      </c>
      <c r="I130" s="223">
        <f t="shared" si="87"/>
        <v>0</v>
      </c>
      <c r="J130" s="223">
        <f t="shared" si="87"/>
        <v>0</v>
      </c>
      <c r="K130" s="223">
        <f t="shared" si="87"/>
        <v>0</v>
      </c>
      <c r="L130" s="223">
        <f t="shared" si="87"/>
        <v>0</v>
      </c>
      <c r="M130" s="223">
        <f t="shared" si="87"/>
        <v>0</v>
      </c>
      <c r="N130" s="223">
        <f t="shared" si="87"/>
        <v>0</v>
      </c>
      <c r="O130" s="185" t="s">
        <v>747</v>
      </c>
      <c r="P130" s="170"/>
      <c r="Q130" s="170"/>
      <c r="R130" s="170"/>
      <c r="S130" s="170"/>
      <c r="T130" s="170"/>
      <c r="U130" s="170"/>
      <c r="V130" s="170"/>
    </row>
    <row r="131" spans="1:22" ht="13.5" x14ac:dyDescent="0.25">
      <c r="A131" s="170"/>
      <c r="B131" s="185" t="str">
        <f t="shared" si="81"/>
        <v/>
      </c>
      <c r="C131" s="223">
        <f t="shared" ref="C131:N131" si="88">IF($B117&lt;&gt;"", (C117*$I63)/C$120,0)</f>
        <v>0</v>
      </c>
      <c r="D131" s="223">
        <f t="shared" si="88"/>
        <v>0</v>
      </c>
      <c r="E131" s="223">
        <f t="shared" si="88"/>
        <v>0</v>
      </c>
      <c r="F131" s="223">
        <f t="shared" si="88"/>
        <v>0</v>
      </c>
      <c r="G131" s="223">
        <f t="shared" si="88"/>
        <v>0</v>
      </c>
      <c r="H131" s="223">
        <f t="shared" si="88"/>
        <v>0</v>
      </c>
      <c r="I131" s="223">
        <f t="shared" si="88"/>
        <v>0</v>
      </c>
      <c r="J131" s="223">
        <f t="shared" si="88"/>
        <v>0</v>
      </c>
      <c r="K131" s="223">
        <f t="shared" si="88"/>
        <v>0</v>
      </c>
      <c r="L131" s="223">
        <f t="shared" si="88"/>
        <v>0</v>
      </c>
      <c r="M131" s="223">
        <f t="shared" si="88"/>
        <v>0</v>
      </c>
      <c r="N131" s="223">
        <f t="shared" si="88"/>
        <v>0</v>
      </c>
      <c r="O131" s="185" t="s">
        <v>747</v>
      </c>
      <c r="P131" s="170"/>
      <c r="Q131" s="170"/>
      <c r="R131" s="170"/>
      <c r="S131" s="170"/>
      <c r="T131" s="170"/>
      <c r="U131" s="170"/>
      <c r="V131" s="170"/>
    </row>
    <row r="132" spans="1:22" ht="13.5" x14ac:dyDescent="0.25">
      <c r="A132" s="170"/>
      <c r="B132" s="185" t="str">
        <f t="shared" si="81"/>
        <v/>
      </c>
      <c r="C132" s="223">
        <f t="shared" ref="C132:N132" si="89">IF($B118&lt;&gt;"", (C118*$I64)/C$120,0)</f>
        <v>0</v>
      </c>
      <c r="D132" s="223">
        <f t="shared" si="89"/>
        <v>0</v>
      </c>
      <c r="E132" s="223">
        <f t="shared" si="89"/>
        <v>0</v>
      </c>
      <c r="F132" s="223">
        <f t="shared" si="89"/>
        <v>0</v>
      </c>
      <c r="G132" s="223">
        <f t="shared" si="89"/>
        <v>0</v>
      </c>
      <c r="H132" s="223">
        <f t="shared" si="89"/>
        <v>0</v>
      </c>
      <c r="I132" s="223">
        <f t="shared" si="89"/>
        <v>0</v>
      </c>
      <c r="J132" s="223">
        <f t="shared" si="89"/>
        <v>0</v>
      </c>
      <c r="K132" s="223">
        <f t="shared" si="89"/>
        <v>0</v>
      </c>
      <c r="L132" s="223">
        <f t="shared" si="89"/>
        <v>0</v>
      </c>
      <c r="M132" s="223">
        <f t="shared" si="89"/>
        <v>0</v>
      </c>
      <c r="N132" s="223">
        <f t="shared" si="89"/>
        <v>0</v>
      </c>
      <c r="O132" s="185" t="s">
        <v>747</v>
      </c>
      <c r="P132" s="170"/>
      <c r="Q132" s="170"/>
      <c r="R132" s="170"/>
      <c r="S132" s="170"/>
      <c r="T132" s="170"/>
      <c r="U132" s="170"/>
      <c r="V132" s="170"/>
    </row>
    <row r="133" spans="1:22" ht="13.5" x14ac:dyDescent="0.25">
      <c r="A133" s="170"/>
      <c r="B133" s="185" t="str">
        <f t="shared" si="81"/>
        <v/>
      </c>
      <c r="C133" s="223">
        <f t="shared" ref="C133:N133" si="90">IF($B119&lt;&gt;"", (C119*$I65)/C$120,0)</f>
        <v>0</v>
      </c>
      <c r="D133" s="223">
        <f t="shared" si="90"/>
        <v>0</v>
      </c>
      <c r="E133" s="223">
        <f t="shared" si="90"/>
        <v>0</v>
      </c>
      <c r="F133" s="223">
        <f t="shared" si="90"/>
        <v>0</v>
      </c>
      <c r="G133" s="223">
        <f t="shared" si="90"/>
        <v>0</v>
      </c>
      <c r="H133" s="223">
        <f t="shared" si="90"/>
        <v>0</v>
      </c>
      <c r="I133" s="223">
        <f t="shared" si="90"/>
        <v>0</v>
      </c>
      <c r="J133" s="223">
        <f t="shared" si="90"/>
        <v>0</v>
      </c>
      <c r="K133" s="223">
        <f t="shared" si="90"/>
        <v>0</v>
      </c>
      <c r="L133" s="223">
        <f t="shared" si="90"/>
        <v>0</v>
      </c>
      <c r="M133" s="223">
        <f t="shared" si="90"/>
        <v>0</v>
      </c>
      <c r="N133" s="223">
        <f t="shared" si="90"/>
        <v>0</v>
      </c>
      <c r="O133" s="185" t="s">
        <v>747</v>
      </c>
      <c r="P133" s="170"/>
      <c r="Q133" s="170"/>
      <c r="R133" s="170"/>
      <c r="S133" s="170"/>
      <c r="T133" s="170"/>
      <c r="U133" s="170"/>
      <c r="V133" s="170"/>
    </row>
    <row r="134" spans="1:22" x14ac:dyDescent="0.2">
      <c r="A134" s="170"/>
      <c r="B134" s="185"/>
      <c r="C134" s="185"/>
      <c r="D134" s="185"/>
      <c r="E134" s="185"/>
      <c r="F134" s="185"/>
      <c r="G134" s="185"/>
      <c r="H134" s="185"/>
      <c r="I134" s="185"/>
      <c r="J134" s="185"/>
      <c r="K134" s="185"/>
      <c r="L134" s="185"/>
      <c r="M134" s="185"/>
      <c r="N134" s="185"/>
      <c r="O134" s="185"/>
      <c r="P134" s="170"/>
      <c r="Q134" s="170"/>
      <c r="R134" s="170"/>
      <c r="S134" s="170"/>
      <c r="T134" s="170"/>
      <c r="U134" s="170"/>
      <c r="V134" s="170"/>
    </row>
    <row r="135" spans="1:22" ht="13.5" x14ac:dyDescent="0.25">
      <c r="A135" s="170"/>
      <c r="B135" s="185" t="s">
        <v>748</v>
      </c>
      <c r="C135" s="224" t="e">
        <f>IF((C46/C38)+((C105-'Input Variables'!$F$28)/(C103-C101))&gt;0,(C46/C38)+((C105-'Input Variables'!$F$28)/(C103-C101)),0)</f>
        <v>#DIV/0!</v>
      </c>
      <c r="D135" s="224" t="e">
        <f>IF((D46/D38)+((D105-'Input Variables'!$F$28)/(D103-D101))&gt;0,(D46/D38)+((D105-'Input Variables'!$F$28)/(D103-D101)),0)</f>
        <v>#DIV/0!</v>
      </c>
      <c r="E135" s="224" t="e">
        <f>IF((E46/E38)+((E105-'Input Variables'!$F$28)/(E103-E101))&gt;0,(E46/E38)+((E105-'Input Variables'!$F$28)/(E103-E101)),0)</f>
        <v>#DIV/0!</v>
      </c>
      <c r="F135" s="224" t="e">
        <f>IF((F46/F38)+((F105-'Input Variables'!$F$28)/(F103-F101))&gt;0,(F46/F38)+((F105-'Input Variables'!$F$28)/(F103-F101)),0)</f>
        <v>#DIV/0!</v>
      </c>
      <c r="G135" s="224" t="e">
        <f>IF((G46/G38)+((G105-'Input Variables'!$F$28)/(G103-G101))&gt;0,(G46/G38)+((G105-'Input Variables'!$F$28)/(G103-G101)),0)</f>
        <v>#DIV/0!</v>
      </c>
      <c r="H135" s="224" t="e">
        <f>IF((H46/H38)+((H105-'Input Variables'!$F$28)/(H103-H101))&gt;0,(H46/H38)+((H105-'Input Variables'!$F$28)/(H103-H101)),0)</f>
        <v>#DIV/0!</v>
      </c>
      <c r="I135" s="224" t="e">
        <f>IF((I46/I38)+((I105-'Input Variables'!$F$28)/(I103-I101))&gt;0,(I46/I38)+((I105-'Input Variables'!$F$28)/(I103-I101)),0)</f>
        <v>#DIV/0!</v>
      </c>
      <c r="J135" s="224" t="e">
        <f>IF((J46/J38)+((J105-'Input Variables'!$F$28)/(J103-J101))&gt;0,(J46/J38)+((J105-'Input Variables'!$F$28)/(J103-J101)),0)</f>
        <v>#DIV/0!</v>
      </c>
      <c r="K135" s="224" t="e">
        <f>IF((K46/K38)+((K105-'Input Variables'!$F$28)/(K103-K101))&gt;0,(K46/K38)+((K105-'Input Variables'!$F$28)/(K103-K101)),0)</f>
        <v>#DIV/0!</v>
      </c>
      <c r="L135" s="224" t="e">
        <f>IF((L46/L38)+((L105-'Input Variables'!$F$28)/(L103-L101))&gt;0,(L46/L38)+((L105-'Input Variables'!$F$28)/(L103-L101)),0)</f>
        <v>#DIV/0!</v>
      </c>
      <c r="M135" s="224" t="e">
        <f>IF((M46/M38)+((M105-'Input Variables'!$F$28)/(M103-M101))&gt;0,(M46/M38)+((M105-'Input Variables'!$F$28)/(M103-M101)),0)</f>
        <v>#DIV/0!</v>
      </c>
      <c r="N135" s="225" t="e">
        <f>IF((N46/N38)+((N105-'Input Variables'!$F$28)/(N103-N101))&gt;0,(N46/N38)+((N105-'Input Variables'!$F$28)/(N103-N101)),0)</f>
        <v>#DIV/0!</v>
      </c>
      <c r="O135" s="185" t="s">
        <v>749</v>
      </c>
      <c r="P135" s="170"/>
      <c r="Q135" s="170"/>
      <c r="R135" s="170"/>
      <c r="S135" s="170"/>
      <c r="T135" s="170"/>
      <c r="U135" s="170"/>
      <c r="V135" s="170"/>
    </row>
    <row r="136" spans="1:22" ht="13.5" x14ac:dyDescent="0.25">
      <c r="A136" s="170"/>
      <c r="B136" s="185" t="s">
        <v>750</v>
      </c>
      <c r="C136" s="226" t="e">
        <f>1/(1+(0.053*C101*'Input Variables'!$F$22))</f>
        <v>#VALUE!</v>
      </c>
      <c r="D136" s="226" t="e">
        <f>1/(1+(0.053*D101*'Input Variables'!$F$22))</f>
        <v>#VALUE!</v>
      </c>
      <c r="E136" s="226" t="e">
        <f>1/(1+(0.053*E101*'Input Variables'!$F$22))</f>
        <v>#VALUE!</v>
      </c>
      <c r="F136" s="226" t="e">
        <f>1/(1+(0.053*F101*'Input Variables'!$F$22))</f>
        <v>#VALUE!</v>
      </c>
      <c r="G136" s="226" t="e">
        <f>1/(1+(0.053*G101*'Input Variables'!$F$22))</f>
        <v>#VALUE!</v>
      </c>
      <c r="H136" s="226" t="e">
        <f>1/(1+(0.053*H101*'Input Variables'!$F$22))</f>
        <v>#VALUE!</v>
      </c>
      <c r="I136" s="226" t="e">
        <f>1/(1+(0.053*I101*'Input Variables'!$F$22))</f>
        <v>#VALUE!</v>
      </c>
      <c r="J136" s="226" t="e">
        <f>1/(1+(0.053*J101*'Input Variables'!$F$22))</f>
        <v>#VALUE!</v>
      </c>
      <c r="K136" s="226" t="e">
        <f>1/(1+(0.053*K101*'Input Variables'!$F$22))</f>
        <v>#VALUE!</v>
      </c>
      <c r="L136" s="226" t="e">
        <f>1/(1+(0.053*L101*'Input Variables'!$F$22))</f>
        <v>#VALUE!</v>
      </c>
      <c r="M136" s="226" t="e">
        <f>1/(1+(0.053*M101*'Input Variables'!$F$22))</f>
        <v>#VALUE!</v>
      </c>
      <c r="N136" s="186" t="e">
        <f>1/(1+(0.053*N101*'Input Variables'!$F$22))</f>
        <v>#VALUE!</v>
      </c>
      <c r="O136" s="185" t="s">
        <v>751</v>
      </c>
      <c r="P136" s="170"/>
      <c r="Q136" s="170"/>
      <c r="R136" s="170"/>
      <c r="S136" s="170"/>
      <c r="T136" s="170"/>
      <c r="U136" s="170"/>
      <c r="V136" s="170"/>
    </row>
    <row r="137" spans="1:22" ht="14.25" x14ac:dyDescent="0.25">
      <c r="A137" s="170"/>
      <c r="B137" s="185" t="s">
        <v>752</v>
      </c>
      <c r="C137" s="227" t="e">
        <f>(C120*C101)/(10.731*C45)</f>
        <v>#DIV/0!</v>
      </c>
      <c r="D137" s="227" t="e">
        <f t="shared" ref="D137:N137" si="91">(D120*D101)/(10.731*D45)</f>
        <v>#DIV/0!</v>
      </c>
      <c r="E137" s="227" t="e">
        <f t="shared" si="91"/>
        <v>#DIV/0!</v>
      </c>
      <c r="F137" s="227" t="e">
        <f t="shared" si="91"/>
        <v>#DIV/0!</v>
      </c>
      <c r="G137" s="227" t="e">
        <f t="shared" si="91"/>
        <v>#DIV/0!</v>
      </c>
      <c r="H137" s="227" t="e">
        <f t="shared" si="91"/>
        <v>#DIV/0!</v>
      </c>
      <c r="I137" s="227" t="e">
        <f t="shared" si="91"/>
        <v>#DIV/0!</v>
      </c>
      <c r="J137" s="227" t="e">
        <f t="shared" si="91"/>
        <v>#DIV/0!</v>
      </c>
      <c r="K137" s="227" t="e">
        <f t="shared" si="91"/>
        <v>#DIV/0!</v>
      </c>
      <c r="L137" s="227" t="e">
        <f t="shared" si="91"/>
        <v>#DIV/0!</v>
      </c>
      <c r="M137" s="227" t="e">
        <f t="shared" si="91"/>
        <v>#DIV/0!</v>
      </c>
      <c r="N137" s="186" t="e">
        <f t="shared" si="91"/>
        <v>#DIV/0!</v>
      </c>
      <c r="O137" s="185" t="s">
        <v>753</v>
      </c>
      <c r="P137" s="170"/>
      <c r="Q137" s="170"/>
      <c r="R137" s="170"/>
      <c r="S137" s="170"/>
      <c r="T137" s="170"/>
      <c r="U137" s="170"/>
      <c r="V137" s="170"/>
    </row>
    <row r="138" spans="1:22" ht="13.5" x14ac:dyDescent="0.25">
      <c r="A138" s="170"/>
      <c r="B138" s="185" t="s">
        <v>754</v>
      </c>
      <c r="C138" s="228">
        <f>IF('Input Variables'!$F$29="N/A", 1, IF(AND(OR('Input Variables'!$F$26&gt;0.03, 'Input Variables'!$F$27&lt;-0.03), 'Input Variables'!$F$15*(('Input Variables'!$F$26+'Input Variables'!$F$30)/('Input Variables'!$F$29+'Input Variables'!$F$30))&gt;1), ((('Input Variables'!$F$29+'Input Variables'!$F$30)/'Input Variables'!$F$15)-'Emissions Calculation'!C101)/('Input Variables'!$F$26+'Input Variables'!$F$30-'Emissions Calculation'!C101), 1))</f>
        <v>1</v>
      </c>
      <c r="D138" s="228">
        <f>IF('Input Variables'!$F$29="N/A", 1, IF(AND(OR('Input Variables'!$F$26&gt;0.03, 'Input Variables'!$F$27&lt;-0.03), 'Input Variables'!$F$15*(('Input Variables'!$F$26+'Input Variables'!$F$30)/('Input Variables'!$F$29+'Input Variables'!$F$30))&gt;1), ((('Input Variables'!$F$29+'Input Variables'!$F$30)/'Input Variables'!$F$15)-'Emissions Calculation'!D101)/('Input Variables'!$F$26+'Input Variables'!$F$30-'Emissions Calculation'!D101), 1))</f>
        <v>1</v>
      </c>
      <c r="E138" s="228">
        <f>IF('Input Variables'!$F$29="N/A", 1, IF(AND(OR('Input Variables'!$F$26&gt;0.03, 'Input Variables'!$F$27&lt;-0.03), 'Input Variables'!$F$15*(('Input Variables'!$F$26+'Input Variables'!$F$30)/('Input Variables'!$F$29+'Input Variables'!$F$30))&gt;1), ((('Input Variables'!$F$29+'Input Variables'!$F$30)/'Input Variables'!$F$15)-'Emissions Calculation'!E101)/('Input Variables'!$F$26+'Input Variables'!$F$30-'Emissions Calculation'!E101), 1))</f>
        <v>1</v>
      </c>
      <c r="F138" s="228">
        <f>IF('Input Variables'!$F$29="N/A", 1, IF(AND(OR('Input Variables'!$F$26&gt;0.03, 'Input Variables'!$F$27&lt;-0.03), 'Input Variables'!$F$15*(('Input Variables'!$F$26+'Input Variables'!$F$30)/('Input Variables'!$F$29+'Input Variables'!$F$30))&gt;1), ((('Input Variables'!$F$29+'Input Variables'!$F$30)/'Input Variables'!$F$15)-'Emissions Calculation'!F101)/('Input Variables'!$F$26+'Input Variables'!$F$30-'Emissions Calculation'!F101), 1))</f>
        <v>1</v>
      </c>
      <c r="G138" s="228">
        <f>IF('Input Variables'!$F$29="N/A", 1, IF(AND(OR('Input Variables'!$F$26&gt;0.03, 'Input Variables'!$F$27&lt;-0.03), 'Input Variables'!$F$15*(('Input Variables'!$F$26+'Input Variables'!$F$30)/('Input Variables'!$F$29+'Input Variables'!$F$30))&gt;1), ((('Input Variables'!$F$29+'Input Variables'!$F$30)/'Input Variables'!$F$15)-'Emissions Calculation'!G101)/('Input Variables'!$F$26+'Input Variables'!$F$30-'Emissions Calculation'!G101), 1))</f>
        <v>1</v>
      </c>
      <c r="H138" s="228">
        <f>IF('Input Variables'!$F$29="N/A", 1, IF(AND(OR('Input Variables'!$F$26&gt;0.03, 'Input Variables'!$F$27&lt;-0.03), 'Input Variables'!$F$15*(('Input Variables'!$F$26+'Input Variables'!$F$30)/('Input Variables'!$F$29+'Input Variables'!$F$30))&gt;1), ((('Input Variables'!$F$29+'Input Variables'!$F$30)/'Input Variables'!$F$15)-'Emissions Calculation'!H101)/('Input Variables'!$F$26+'Input Variables'!$F$30-'Emissions Calculation'!H101), 1))</f>
        <v>1</v>
      </c>
      <c r="I138" s="228">
        <f>IF('Input Variables'!$F$29="N/A", 1, IF(AND(OR('Input Variables'!$F$26&gt;0.03, 'Input Variables'!$F$27&lt;-0.03), 'Input Variables'!$F$15*(('Input Variables'!$F$26+'Input Variables'!$F$30)/('Input Variables'!$F$29+'Input Variables'!$F$30))&gt;1), ((('Input Variables'!$F$29+'Input Variables'!$F$30)/'Input Variables'!$F$15)-'Emissions Calculation'!I101)/('Input Variables'!$F$26+'Input Variables'!$F$30-'Emissions Calculation'!I101), 1))</f>
        <v>1</v>
      </c>
      <c r="J138" s="228">
        <f>IF('Input Variables'!$F$29="N/A", 1, IF(AND(OR('Input Variables'!$F$26&gt;0.03, 'Input Variables'!$F$27&lt;-0.03), 'Input Variables'!$F$15*(('Input Variables'!$F$26+'Input Variables'!$F$30)/('Input Variables'!$F$29+'Input Variables'!$F$30))&gt;1), ((('Input Variables'!$F$29+'Input Variables'!$F$30)/'Input Variables'!$F$15)-'Emissions Calculation'!J101)/('Input Variables'!$F$26+'Input Variables'!$F$30-'Emissions Calculation'!J101), 1))</f>
        <v>1</v>
      </c>
      <c r="K138" s="228">
        <f>IF('Input Variables'!$F$29="N/A", 1, IF(AND(OR('Input Variables'!$F$26&gt;0.03, 'Input Variables'!$F$27&lt;-0.03), 'Input Variables'!$F$15*(('Input Variables'!$F$26+'Input Variables'!$F$30)/('Input Variables'!$F$29+'Input Variables'!$F$30))&gt;1), ((('Input Variables'!$F$29+'Input Variables'!$F$30)/'Input Variables'!$F$15)-'Emissions Calculation'!K101)/('Input Variables'!$F$26+'Input Variables'!$F$30-'Emissions Calculation'!K101), 1))</f>
        <v>1</v>
      </c>
      <c r="L138" s="228">
        <f>IF('Input Variables'!$F$29="N/A", 1, IF(AND(OR('Input Variables'!$F$26&gt;0.03, 'Input Variables'!$F$27&lt;-0.03), 'Input Variables'!$F$15*(('Input Variables'!$F$26+'Input Variables'!$F$30)/('Input Variables'!$F$29+'Input Variables'!$F$30))&gt;1), ((('Input Variables'!$F$29+'Input Variables'!$F$30)/'Input Variables'!$F$15)-'Emissions Calculation'!L101)/('Input Variables'!$F$26+'Input Variables'!$F$30-'Emissions Calculation'!L101), 1))</f>
        <v>1</v>
      </c>
      <c r="M138" s="228">
        <f>IF('Input Variables'!$F$29="N/A", 1, IF(AND(OR('Input Variables'!$F$26&gt;0.03, 'Input Variables'!$F$27&lt;-0.03), 'Input Variables'!$F$15*(('Input Variables'!$F$26+'Input Variables'!$F$30)/('Input Variables'!$F$29+'Input Variables'!$F$30))&gt;1), ((('Input Variables'!$F$29+'Input Variables'!$F$30)/'Input Variables'!$F$15)-'Emissions Calculation'!M101)/('Input Variables'!$F$26+'Input Variables'!$F$30-'Emissions Calculation'!M101), 1))</f>
        <v>1</v>
      </c>
      <c r="N138" s="229">
        <f>IF('Input Variables'!$F$29="N/A", 1, IF(AND(OR('Input Variables'!$F$26&gt;0.03, 'Input Variables'!$F$27&lt;-0.03), 'Input Variables'!$F$15*(('Input Variables'!$F$26+'Input Variables'!$F$30)/('Input Variables'!$F$29+'Input Variables'!$F$30))&gt;1), ((('Input Variables'!$F$29+'Input Variables'!$F$30)/'Input Variables'!$F$15)-'Emissions Calculation'!N101)/('Input Variables'!$F$26+'Input Variables'!$F$30-'Emissions Calculation'!N101), 1))</f>
        <v>1</v>
      </c>
      <c r="O138" s="185" t="s">
        <v>755</v>
      </c>
      <c r="P138" s="170"/>
      <c r="Q138" s="170"/>
      <c r="R138" s="170"/>
      <c r="S138" s="170"/>
      <c r="T138" s="170"/>
      <c r="U138" s="170"/>
      <c r="V138" s="170"/>
    </row>
    <row r="139" spans="1:22" ht="13.5" x14ac:dyDescent="0.25">
      <c r="A139" s="170"/>
      <c r="B139" s="217" t="s">
        <v>756</v>
      </c>
      <c r="C139" s="122" t="str">
        <f>IF('Input Variables'!$F$29&lt;&gt;"N/A", 'Input Variables'!$F$15*(('Input Variables'!$F$26+'Input Variables'!$F$30)/('Input Variables'!$F$29+'Input Variables'!$F$30)), "N/A")</f>
        <v>N/A</v>
      </c>
      <c r="D139" s="122" t="str">
        <f>IF('Input Variables'!$F$29&lt;&gt;"N/A", 'Input Variables'!$F$15*(('Input Variables'!$F$26+'Input Variables'!$F$30)/('Input Variables'!$F$29+'Input Variables'!$F$30)), "N/A")</f>
        <v>N/A</v>
      </c>
      <c r="E139" s="122" t="str">
        <f>IF('Input Variables'!$F$29&lt;&gt;"N/A", 'Input Variables'!$F$15*(('Input Variables'!$F$26+'Input Variables'!$F$30)/('Input Variables'!$F$29+'Input Variables'!$F$30)), "N/A")</f>
        <v>N/A</v>
      </c>
      <c r="F139" s="122" t="str">
        <f>IF('Input Variables'!$F$29&lt;&gt;"N/A", 'Input Variables'!$F$15*(('Input Variables'!$F$26+'Input Variables'!$F$30)/('Input Variables'!$F$29+'Input Variables'!$F$30)), "N/A")</f>
        <v>N/A</v>
      </c>
      <c r="G139" s="122" t="str">
        <f>IF('Input Variables'!$F$29&lt;&gt;"N/A", 'Input Variables'!$F$15*(('Input Variables'!$F$26+'Input Variables'!$F$30)/('Input Variables'!$F$29+'Input Variables'!$F$30)), "N/A")</f>
        <v>N/A</v>
      </c>
      <c r="H139" s="122" t="str">
        <f>IF('Input Variables'!$F$29&lt;&gt;"N/A", 'Input Variables'!$F$15*(('Input Variables'!$F$26+'Input Variables'!$F$30)/('Input Variables'!$F$29+'Input Variables'!$F$30)), "N/A")</f>
        <v>N/A</v>
      </c>
      <c r="I139" s="122" t="str">
        <f>IF('Input Variables'!$F$29&lt;&gt;"N/A", 'Input Variables'!$F$15*(('Input Variables'!$F$26+'Input Variables'!$F$30)/('Input Variables'!$F$29+'Input Variables'!$F$30)), "N/A")</f>
        <v>N/A</v>
      </c>
      <c r="J139" s="122" t="str">
        <f>IF('Input Variables'!$F$29&lt;&gt;"N/A", 'Input Variables'!$F$15*(('Input Variables'!$F$26+'Input Variables'!$F$30)/('Input Variables'!$F$29+'Input Variables'!$F$30)), "N/A")</f>
        <v>N/A</v>
      </c>
      <c r="K139" s="122" t="str">
        <f>IF('Input Variables'!$F$29&lt;&gt;"N/A", 'Input Variables'!$F$15*(('Input Variables'!$F$26+'Input Variables'!$F$30)/('Input Variables'!$F$29+'Input Variables'!$F$30)), "N/A")</f>
        <v>N/A</v>
      </c>
      <c r="L139" s="122" t="str">
        <f>IF('Input Variables'!$F$29&lt;&gt;"N/A", 'Input Variables'!$F$15*(('Input Variables'!$F$26+'Input Variables'!$F$30)/('Input Variables'!$F$29+'Input Variables'!$F$30)), "N/A")</f>
        <v>N/A</v>
      </c>
      <c r="M139" s="122" t="str">
        <f>IF('Input Variables'!$F$29&lt;&gt;"N/A", 'Input Variables'!$F$15*(('Input Variables'!$F$26+'Input Variables'!$F$30)/('Input Variables'!$F$29+'Input Variables'!$F$30)), "N/A")</f>
        <v>N/A</v>
      </c>
      <c r="N139" s="122" t="str">
        <f>IF('Input Variables'!$F$29&lt;&gt;"N/A", 'Input Variables'!$F$15*(('Input Variables'!$F$26+'Input Variables'!$F$30)/('Input Variables'!$F$29+'Input Variables'!$F$30)), "N/A")</f>
        <v>N/A</v>
      </c>
      <c r="O139" s="170"/>
      <c r="P139" s="230"/>
      <c r="Q139" s="170"/>
      <c r="R139" s="170"/>
      <c r="S139" s="170"/>
      <c r="T139" s="170"/>
      <c r="U139" s="170"/>
      <c r="V139" s="170"/>
    </row>
    <row r="141" spans="1:22" x14ac:dyDescent="0.2">
      <c r="A141" s="231"/>
      <c r="B141" s="170"/>
      <c r="C141" s="232" t="s">
        <v>409</v>
      </c>
      <c r="D141" s="232" t="s">
        <v>408</v>
      </c>
      <c r="E141" s="232" t="s">
        <v>407</v>
      </c>
      <c r="F141" s="232" t="s">
        <v>406</v>
      </c>
      <c r="G141" s="232" t="s">
        <v>405</v>
      </c>
      <c r="H141" s="232" t="s">
        <v>404</v>
      </c>
      <c r="I141" s="232" t="s">
        <v>403</v>
      </c>
      <c r="J141" s="232" t="s">
        <v>402</v>
      </c>
      <c r="K141" s="232" t="s">
        <v>401</v>
      </c>
      <c r="L141" s="232" t="s">
        <v>400</v>
      </c>
      <c r="M141" s="232" t="s">
        <v>399</v>
      </c>
      <c r="N141" s="232" t="s">
        <v>398</v>
      </c>
      <c r="O141" s="177" t="s">
        <v>410</v>
      </c>
      <c r="P141" s="170"/>
      <c r="T141" s="170"/>
      <c r="U141" s="170"/>
      <c r="V141" s="170"/>
    </row>
    <row r="142" spans="1:22" ht="13.5" x14ac:dyDescent="0.25">
      <c r="A142" s="231"/>
      <c r="B142" s="233" t="s">
        <v>757</v>
      </c>
      <c r="C142" s="234" t="e">
        <f>('Input Variables'!$F$16/12)*'Input Variables'!$F$15*'Input Variables'!$F$11*'Emissions Calculation'!C137*'Emissions Calculation'!C138</f>
        <v>#DIV/0!</v>
      </c>
      <c r="D142" s="234" t="e">
        <f>('Input Variables'!$F$16/12)*'Input Variables'!$F$15*'Input Variables'!$F$11*'Emissions Calculation'!D137*'Emissions Calculation'!D138</f>
        <v>#DIV/0!</v>
      </c>
      <c r="E142" s="234" t="e">
        <f>('Input Variables'!$F$16/12)*'Input Variables'!$F$15*'Input Variables'!$F$11*'Emissions Calculation'!E137*'Emissions Calculation'!E138</f>
        <v>#DIV/0!</v>
      </c>
      <c r="F142" s="234" t="e">
        <f>('Input Variables'!$F$16/12)*'Input Variables'!$F$15*'Input Variables'!$F$11*'Emissions Calculation'!F137*'Emissions Calculation'!F138</f>
        <v>#DIV/0!</v>
      </c>
      <c r="G142" s="234" t="e">
        <f>('Input Variables'!$F$16/12)*'Input Variables'!$F$15*'Input Variables'!$F$11*'Emissions Calculation'!G137*'Emissions Calculation'!G138</f>
        <v>#DIV/0!</v>
      </c>
      <c r="H142" s="234" t="e">
        <f>('Input Variables'!$F$16/12)*'Input Variables'!$F$15*'Input Variables'!$F$11*'Emissions Calculation'!H137*'Emissions Calculation'!H138</f>
        <v>#DIV/0!</v>
      </c>
      <c r="I142" s="234" t="e">
        <f>('Input Variables'!$F$16/12)*'Input Variables'!$F$15*'Input Variables'!$F$11*'Emissions Calculation'!I137*'Emissions Calculation'!I138</f>
        <v>#DIV/0!</v>
      </c>
      <c r="J142" s="234" t="e">
        <f>('Input Variables'!$F$16/12)*'Input Variables'!$F$15*'Input Variables'!$F$11*'Emissions Calculation'!J137*'Emissions Calculation'!J138</f>
        <v>#DIV/0!</v>
      </c>
      <c r="K142" s="234" t="e">
        <f>('Input Variables'!$F$16/12)*'Input Variables'!$F$15*'Input Variables'!$F$11*'Emissions Calculation'!K137*'Emissions Calculation'!K138</f>
        <v>#DIV/0!</v>
      </c>
      <c r="L142" s="234" t="e">
        <f>('Input Variables'!$F$16/12)*'Input Variables'!$F$15*'Input Variables'!$F$11*'Emissions Calculation'!L137*'Emissions Calculation'!L138</f>
        <v>#DIV/0!</v>
      </c>
      <c r="M142" s="234" t="e">
        <f>('Input Variables'!$F$16/12)*'Input Variables'!$F$15*'Input Variables'!$F$11*'Emissions Calculation'!M137*'Emissions Calculation'!M138</f>
        <v>#DIV/0!</v>
      </c>
      <c r="N142" s="234" t="e">
        <f>('Input Variables'!$F$16/12)*'Input Variables'!$F$15*'Input Variables'!$F$11*'Emissions Calculation'!N137*'Emissions Calculation'!N138</f>
        <v>#DIV/0!</v>
      </c>
      <c r="O142" s="235" t="e">
        <f>SUM(C142:N142)</f>
        <v>#DIV/0!</v>
      </c>
      <c r="P142" s="174" t="s">
        <v>395</v>
      </c>
      <c r="S142" s="170"/>
      <c r="T142" s="170"/>
      <c r="U142" s="170"/>
      <c r="V142" s="170"/>
    </row>
    <row r="143" spans="1:22" ht="13.5" x14ac:dyDescent="0.25">
      <c r="A143" s="170"/>
      <c r="B143" s="63" t="s">
        <v>758</v>
      </c>
      <c r="C143" s="236" t="e">
        <f>(1/12)*365*'Input Variables'!$F$23*'Emissions Calculation'!C137*'Emissions Calculation'!C135*'Emissions Calculation'!C136</f>
        <v>#VALUE!</v>
      </c>
      <c r="D143" s="236" t="e">
        <f>(1/12)*365*'Input Variables'!$F$23*'Emissions Calculation'!D137*'Emissions Calculation'!D135*'Emissions Calculation'!D136</f>
        <v>#VALUE!</v>
      </c>
      <c r="E143" s="236" t="e">
        <f>(1/12)*365*'Input Variables'!$F$23*'Emissions Calculation'!E137*'Emissions Calculation'!E135*'Emissions Calculation'!E136</f>
        <v>#VALUE!</v>
      </c>
      <c r="F143" s="236" t="e">
        <f>(1/12)*365*'Input Variables'!$F$23*'Emissions Calculation'!F137*'Emissions Calculation'!F135*'Emissions Calculation'!F136</f>
        <v>#VALUE!</v>
      </c>
      <c r="G143" s="236" t="e">
        <f>(1/12)*365*'Input Variables'!$F$23*'Emissions Calculation'!G137*'Emissions Calculation'!G135*'Emissions Calculation'!G136</f>
        <v>#VALUE!</v>
      </c>
      <c r="H143" s="236" t="e">
        <f>(1/12)*365*'Input Variables'!$F$23*'Emissions Calculation'!H137*'Emissions Calculation'!H135*'Emissions Calculation'!H136</f>
        <v>#VALUE!</v>
      </c>
      <c r="I143" s="236" t="e">
        <f>(1/12)*365*'Input Variables'!$F$23*'Emissions Calculation'!I137*'Emissions Calculation'!I135*'Emissions Calculation'!I136</f>
        <v>#VALUE!</v>
      </c>
      <c r="J143" s="236" t="e">
        <f>(1/12)*365*'Input Variables'!$F$23*'Emissions Calculation'!J137*'Emissions Calculation'!J135*'Emissions Calculation'!J136</f>
        <v>#VALUE!</v>
      </c>
      <c r="K143" s="236" t="e">
        <f>(1/12)*365*'Input Variables'!$F$23*'Emissions Calculation'!K137*'Emissions Calculation'!K135*'Emissions Calculation'!K136</f>
        <v>#VALUE!</v>
      </c>
      <c r="L143" s="236" t="e">
        <f>(1/12)*365*'Input Variables'!$F$23*'Emissions Calculation'!L137*'Emissions Calculation'!L135*'Emissions Calculation'!L136</f>
        <v>#VALUE!</v>
      </c>
      <c r="M143" s="236" t="e">
        <f>(1/12)*365*'Input Variables'!$F$23*'Emissions Calculation'!M137*'Emissions Calculation'!M135*'Emissions Calculation'!M136</f>
        <v>#VALUE!</v>
      </c>
      <c r="N143" s="236" t="e">
        <f>(1/12)*365*'Input Variables'!$F$23*'Emissions Calculation'!N137*'Emissions Calculation'!N135*'Emissions Calculation'!N136</f>
        <v>#VALUE!</v>
      </c>
      <c r="O143" s="235" t="e">
        <f>SUM(C143:N143)</f>
        <v>#VALUE!</v>
      </c>
      <c r="P143" s="174" t="s">
        <v>395</v>
      </c>
      <c r="S143" s="170"/>
      <c r="T143" s="170"/>
      <c r="U143" s="170"/>
      <c r="V143" s="170"/>
    </row>
    <row r="144" spans="1:22" ht="13.5" x14ac:dyDescent="0.25">
      <c r="A144" s="170"/>
      <c r="B144" s="231" t="s">
        <v>759</v>
      </c>
      <c r="C144" s="237" t="e">
        <f>SUM(C142:C143)</f>
        <v>#DIV/0!</v>
      </c>
      <c r="D144" s="237" t="e">
        <f t="shared" ref="D144:N144" si="92">SUM(D142:D143)</f>
        <v>#DIV/0!</v>
      </c>
      <c r="E144" s="237" t="e">
        <f t="shared" si="92"/>
        <v>#DIV/0!</v>
      </c>
      <c r="F144" s="237" t="e">
        <f t="shared" si="92"/>
        <v>#DIV/0!</v>
      </c>
      <c r="G144" s="237" t="e">
        <f t="shared" si="92"/>
        <v>#DIV/0!</v>
      </c>
      <c r="H144" s="237" t="e">
        <f t="shared" si="92"/>
        <v>#DIV/0!</v>
      </c>
      <c r="I144" s="237" t="e">
        <f t="shared" si="92"/>
        <v>#DIV/0!</v>
      </c>
      <c r="J144" s="237" t="e">
        <f t="shared" si="92"/>
        <v>#DIV/0!</v>
      </c>
      <c r="K144" s="237" t="e">
        <f t="shared" si="92"/>
        <v>#DIV/0!</v>
      </c>
      <c r="L144" s="237" t="e">
        <f t="shared" si="92"/>
        <v>#DIV/0!</v>
      </c>
      <c r="M144" s="237" t="e">
        <f t="shared" si="92"/>
        <v>#DIV/0!</v>
      </c>
      <c r="N144" s="237" t="e">
        <f t="shared" si="92"/>
        <v>#DIV/0!</v>
      </c>
      <c r="O144" s="238" t="e">
        <f>SUM(O142:O143)</f>
        <v>#DIV/0!</v>
      </c>
      <c r="P144" s="239" t="s">
        <v>395</v>
      </c>
      <c r="S144" s="170"/>
      <c r="T144" s="170"/>
      <c r="U144" s="170"/>
      <c r="V144" s="170"/>
    </row>
    <row r="146" spans="2:16" x14ac:dyDescent="0.2">
      <c r="B146" s="168" t="s">
        <v>578</v>
      </c>
    </row>
    <row r="147" spans="2:16" x14ac:dyDescent="0.2">
      <c r="B147" s="55"/>
      <c r="C147" s="240" t="s">
        <v>409</v>
      </c>
      <c r="D147" s="240" t="s">
        <v>408</v>
      </c>
      <c r="E147" s="240" t="s">
        <v>407</v>
      </c>
      <c r="F147" s="240" t="s">
        <v>406</v>
      </c>
      <c r="G147" s="240" t="s">
        <v>405</v>
      </c>
      <c r="H147" s="240" t="s">
        <v>404</v>
      </c>
      <c r="I147" s="240" t="s">
        <v>403</v>
      </c>
      <c r="J147" s="240" t="s">
        <v>402</v>
      </c>
      <c r="K147" s="240" t="s">
        <v>401</v>
      </c>
      <c r="L147" s="240" t="s">
        <v>400</v>
      </c>
      <c r="M147" s="240" t="s">
        <v>399</v>
      </c>
      <c r="N147" s="240" t="s">
        <v>398</v>
      </c>
      <c r="O147" s="241" t="s">
        <v>397</v>
      </c>
      <c r="P147" s="55"/>
    </row>
    <row r="148" spans="2:16" ht="13.5" x14ac:dyDescent="0.25">
      <c r="B148" s="170" t="str">
        <f>IF(AND(G56&lt;&gt;0,C56="Yes"),B56,"")</f>
        <v/>
      </c>
      <c r="C148" s="219" t="str">
        <f>IF(B148&lt;&gt;"", C124*C$144,"")</f>
        <v/>
      </c>
      <c r="D148" s="219" t="str">
        <f t="shared" ref="D148:N148" si="93">IF(C148&lt;&gt;"", D124*D$144,"")</f>
        <v/>
      </c>
      <c r="E148" s="219" t="str">
        <f t="shared" si="93"/>
        <v/>
      </c>
      <c r="F148" s="219" t="str">
        <f t="shared" si="93"/>
        <v/>
      </c>
      <c r="G148" s="219" t="str">
        <f t="shared" si="93"/>
        <v/>
      </c>
      <c r="H148" s="219" t="str">
        <f t="shared" si="93"/>
        <v/>
      </c>
      <c r="I148" s="219" t="str">
        <f t="shared" si="93"/>
        <v/>
      </c>
      <c r="J148" s="219" t="str">
        <f t="shared" si="93"/>
        <v/>
      </c>
      <c r="K148" s="219" t="str">
        <f t="shared" si="93"/>
        <v/>
      </c>
      <c r="L148" s="219" t="str">
        <f t="shared" si="93"/>
        <v/>
      </c>
      <c r="M148" s="219" t="str">
        <f t="shared" si="93"/>
        <v/>
      </c>
      <c r="N148" s="219" t="str">
        <f t="shared" si="93"/>
        <v/>
      </c>
      <c r="O148" s="242">
        <f t="shared" ref="O148:O152" si="94">SUM(C148:N148)</f>
        <v>0</v>
      </c>
      <c r="P148" s="140" t="s">
        <v>760</v>
      </c>
    </row>
    <row r="149" spans="2:16" ht="13.5" x14ac:dyDescent="0.25">
      <c r="B149" s="170" t="str">
        <f t="shared" ref="B149:B157" si="95">IF(AND(G57&lt;&gt;0,C57="Yes"),B57,"")</f>
        <v/>
      </c>
      <c r="C149" s="219" t="str">
        <f>IF(B149&lt;&gt;"", C125*C$144,"")</f>
        <v/>
      </c>
      <c r="D149" s="219" t="str">
        <f t="shared" ref="D149:N149" si="96">IF(C149&lt;&gt;"", D125*D$144,"")</f>
        <v/>
      </c>
      <c r="E149" s="219" t="str">
        <f t="shared" si="96"/>
        <v/>
      </c>
      <c r="F149" s="219" t="str">
        <f t="shared" si="96"/>
        <v/>
      </c>
      <c r="G149" s="219" t="str">
        <f t="shared" si="96"/>
        <v/>
      </c>
      <c r="H149" s="219" t="str">
        <f t="shared" si="96"/>
        <v/>
      </c>
      <c r="I149" s="219" t="str">
        <f t="shared" si="96"/>
        <v/>
      </c>
      <c r="J149" s="219" t="str">
        <f t="shared" si="96"/>
        <v/>
      </c>
      <c r="K149" s="219" t="str">
        <f t="shared" si="96"/>
        <v/>
      </c>
      <c r="L149" s="219" t="str">
        <f t="shared" si="96"/>
        <v/>
      </c>
      <c r="M149" s="219" t="str">
        <f t="shared" si="96"/>
        <v/>
      </c>
      <c r="N149" s="219" t="str">
        <f t="shared" si="96"/>
        <v/>
      </c>
      <c r="O149" s="242">
        <f t="shared" si="94"/>
        <v>0</v>
      </c>
      <c r="P149" s="140" t="s">
        <v>760</v>
      </c>
    </row>
    <row r="150" spans="2:16" ht="13.5" x14ac:dyDescent="0.25">
      <c r="B150" s="170" t="str">
        <f t="shared" si="95"/>
        <v/>
      </c>
      <c r="C150" s="219" t="str">
        <f t="shared" ref="C150:N150" si="97">IF(B150&lt;&gt;"", C126*C$144,"")</f>
        <v/>
      </c>
      <c r="D150" s="219" t="str">
        <f t="shared" si="97"/>
        <v/>
      </c>
      <c r="E150" s="219" t="str">
        <f t="shared" si="97"/>
        <v/>
      </c>
      <c r="F150" s="219" t="str">
        <f t="shared" si="97"/>
        <v/>
      </c>
      <c r="G150" s="219" t="str">
        <f t="shared" si="97"/>
        <v/>
      </c>
      <c r="H150" s="219" t="str">
        <f t="shared" si="97"/>
        <v/>
      </c>
      <c r="I150" s="219" t="str">
        <f t="shared" si="97"/>
        <v/>
      </c>
      <c r="J150" s="219" t="str">
        <f t="shared" si="97"/>
        <v/>
      </c>
      <c r="K150" s="219" t="str">
        <f t="shared" si="97"/>
        <v/>
      </c>
      <c r="L150" s="219" t="str">
        <f t="shared" si="97"/>
        <v/>
      </c>
      <c r="M150" s="219" t="str">
        <f t="shared" si="97"/>
        <v/>
      </c>
      <c r="N150" s="219" t="str">
        <f t="shared" si="97"/>
        <v/>
      </c>
      <c r="O150" s="242">
        <f t="shared" si="94"/>
        <v>0</v>
      </c>
      <c r="P150" s="140" t="s">
        <v>760</v>
      </c>
    </row>
    <row r="151" spans="2:16" ht="13.5" x14ac:dyDescent="0.25">
      <c r="B151" s="170" t="str">
        <f t="shared" si="95"/>
        <v/>
      </c>
      <c r="C151" s="219" t="str">
        <f t="shared" ref="C151:N151" si="98">IF(B151&lt;&gt;"", C127*C$144,"")</f>
        <v/>
      </c>
      <c r="D151" s="219" t="str">
        <f t="shared" si="98"/>
        <v/>
      </c>
      <c r="E151" s="219" t="str">
        <f t="shared" si="98"/>
        <v/>
      </c>
      <c r="F151" s="219" t="str">
        <f t="shared" si="98"/>
        <v/>
      </c>
      <c r="G151" s="219" t="str">
        <f t="shared" si="98"/>
        <v/>
      </c>
      <c r="H151" s="219" t="str">
        <f t="shared" si="98"/>
        <v/>
      </c>
      <c r="I151" s="219" t="str">
        <f t="shared" si="98"/>
        <v/>
      </c>
      <c r="J151" s="219" t="str">
        <f t="shared" si="98"/>
        <v/>
      </c>
      <c r="K151" s="219" t="str">
        <f t="shared" si="98"/>
        <v/>
      </c>
      <c r="L151" s="219" t="str">
        <f t="shared" si="98"/>
        <v/>
      </c>
      <c r="M151" s="219" t="str">
        <f t="shared" si="98"/>
        <v/>
      </c>
      <c r="N151" s="219" t="str">
        <f t="shared" si="98"/>
        <v/>
      </c>
      <c r="O151" s="242">
        <f t="shared" si="94"/>
        <v>0</v>
      </c>
      <c r="P151" s="140" t="s">
        <v>760</v>
      </c>
    </row>
    <row r="152" spans="2:16" ht="13.5" x14ac:dyDescent="0.25">
      <c r="B152" s="170" t="str">
        <f t="shared" si="95"/>
        <v/>
      </c>
      <c r="C152" s="219" t="str">
        <f t="shared" ref="C152:N152" si="99">IF(B152&lt;&gt;"", C128*C$144,"")</f>
        <v/>
      </c>
      <c r="D152" s="219" t="str">
        <f t="shared" si="99"/>
        <v/>
      </c>
      <c r="E152" s="219" t="str">
        <f t="shared" si="99"/>
        <v/>
      </c>
      <c r="F152" s="219" t="str">
        <f t="shared" si="99"/>
        <v/>
      </c>
      <c r="G152" s="219" t="str">
        <f t="shared" si="99"/>
        <v/>
      </c>
      <c r="H152" s="219" t="str">
        <f t="shared" si="99"/>
        <v/>
      </c>
      <c r="I152" s="219" t="str">
        <f t="shared" si="99"/>
        <v/>
      </c>
      <c r="J152" s="219" t="str">
        <f t="shared" si="99"/>
        <v/>
      </c>
      <c r="K152" s="219" t="str">
        <f t="shared" si="99"/>
        <v/>
      </c>
      <c r="L152" s="219" t="str">
        <f t="shared" si="99"/>
        <v/>
      </c>
      <c r="M152" s="219" t="str">
        <f t="shared" si="99"/>
        <v/>
      </c>
      <c r="N152" s="219" t="str">
        <f t="shared" si="99"/>
        <v/>
      </c>
      <c r="O152" s="242">
        <f t="shared" si="94"/>
        <v>0</v>
      </c>
      <c r="P152" s="140" t="s">
        <v>760</v>
      </c>
    </row>
    <row r="153" spans="2:16" ht="13.5" x14ac:dyDescent="0.25">
      <c r="B153" s="170" t="str">
        <f t="shared" si="95"/>
        <v/>
      </c>
      <c r="C153" s="219" t="str">
        <f t="shared" ref="C153:N153" si="100">IF(B153&lt;&gt;"", C129*C$144,"")</f>
        <v/>
      </c>
      <c r="D153" s="219" t="str">
        <f t="shared" si="100"/>
        <v/>
      </c>
      <c r="E153" s="219" t="str">
        <f t="shared" si="100"/>
        <v/>
      </c>
      <c r="F153" s="219" t="str">
        <f t="shared" si="100"/>
        <v/>
      </c>
      <c r="G153" s="219" t="str">
        <f t="shared" si="100"/>
        <v/>
      </c>
      <c r="H153" s="219" t="str">
        <f t="shared" si="100"/>
        <v/>
      </c>
      <c r="I153" s="219" t="str">
        <f t="shared" si="100"/>
        <v/>
      </c>
      <c r="J153" s="219" t="str">
        <f t="shared" si="100"/>
        <v/>
      </c>
      <c r="K153" s="219" t="str">
        <f t="shared" si="100"/>
        <v/>
      </c>
      <c r="L153" s="219" t="str">
        <f t="shared" si="100"/>
        <v/>
      </c>
      <c r="M153" s="219" t="str">
        <f t="shared" si="100"/>
        <v/>
      </c>
      <c r="N153" s="219" t="str">
        <f t="shared" si="100"/>
        <v/>
      </c>
      <c r="O153" s="242">
        <f>SUM(C153:N153)</f>
        <v>0</v>
      </c>
      <c r="P153" s="140" t="s">
        <v>760</v>
      </c>
    </row>
    <row r="154" spans="2:16" ht="13.5" x14ac:dyDescent="0.25">
      <c r="B154" s="170" t="str">
        <f t="shared" si="95"/>
        <v/>
      </c>
      <c r="C154" s="219" t="str">
        <f t="shared" ref="C154:N154" si="101">IF(B154&lt;&gt;"", C130*C$144,"")</f>
        <v/>
      </c>
      <c r="D154" s="219" t="str">
        <f t="shared" si="101"/>
        <v/>
      </c>
      <c r="E154" s="219" t="str">
        <f t="shared" si="101"/>
        <v/>
      </c>
      <c r="F154" s="219" t="str">
        <f t="shared" si="101"/>
        <v/>
      </c>
      <c r="G154" s="219" t="str">
        <f t="shared" si="101"/>
        <v/>
      </c>
      <c r="H154" s="219" t="str">
        <f t="shared" si="101"/>
        <v/>
      </c>
      <c r="I154" s="219" t="str">
        <f t="shared" si="101"/>
        <v/>
      </c>
      <c r="J154" s="219" t="str">
        <f t="shared" si="101"/>
        <v/>
      </c>
      <c r="K154" s="219" t="str">
        <f t="shared" si="101"/>
        <v/>
      </c>
      <c r="L154" s="219" t="str">
        <f t="shared" si="101"/>
        <v/>
      </c>
      <c r="M154" s="219" t="str">
        <f t="shared" si="101"/>
        <v/>
      </c>
      <c r="N154" s="219" t="str">
        <f t="shared" si="101"/>
        <v/>
      </c>
      <c r="O154" s="242">
        <f t="shared" ref="O154:O157" si="102">SUM(C154:N154)</f>
        <v>0</v>
      </c>
      <c r="P154" s="140" t="s">
        <v>760</v>
      </c>
    </row>
    <row r="155" spans="2:16" ht="13.5" x14ac:dyDescent="0.25">
      <c r="B155" s="170" t="str">
        <f t="shared" si="95"/>
        <v/>
      </c>
      <c r="C155" s="219" t="str">
        <f t="shared" ref="C155:N155" si="103">IF(B155&lt;&gt;"", C131*C$144,"")</f>
        <v/>
      </c>
      <c r="D155" s="219" t="str">
        <f t="shared" si="103"/>
        <v/>
      </c>
      <c r="E155" s="219" t="str">
        <f t="shared" si="103"/>
        <v/>
      </c>
      <c r="F155" s="219" t="str">
        <f t="shared" si="103"/>
        <v/>
      </c>
      <c r="G155" s="219" t="str">
        <f t="shared" si="103"/>
        <v/>
      </c>
      <c r="H155" s="219" t="str">
        <f t="shared" si="103"/>
        <v/>
      </c>
      <c r="I155" s="219" t="str">
        <f t="shared" si="103"/>
        <v/>
      </c>
      <c r="J155" s="219" t="str">
        <f t="shared" si="103"/>
        <v/>
      </c>
      <c r="K155" s="219" t="str">
        <f t="shared" si="103"/>
        <v/>
      </c>
      <c r="L155" s="219" t="str">
        <f t="shared" si="103"/>
        <v/>
      </c>
      <c r="M155" s="219" t="str">
        <f t="shared" si="103"/>
        <v/>
      </c>
      <c r="N155" s="219" t="str">
        <f t="shared" si="103"/>
        <v/>
      </c>
      <c r="O155" s="242">
        <f t="shared" si="102"/>
        <v>0</v>
      </c>
      <c r="P155" s="140" t="s">
        <v>760</v>
      </c>
    </row>
    <row r="156" spans="2:16" ht="13.5" x14ac:dyDescent="0.25">
      <c r="B156" s="170" t="str">
        <f t="shared" si="95"/>
        <v/>
      </c>
      <c r="C156" s="219" t="str">
        <f t="shared" ref="C156:N156" si="104">IF(B156&lt;&gt;"", C132*C$144,"")</f>
        <v/>
      </c>
      <c r="D156" s="219" t="str">
        <f t="shared" si="104"/>
        <v/>
      </c>
      <c r="E156" s="219" t="str">
        <f t="shared" si="104"/>
        <v/>
      </c>
      <c r="F156" s="219" t="str">
        <f t="shared" si="104"/>
        <v/>
      </c>
      <c r="G156" s="219" t="str">
        <f t="shared" si="104"/>
        <v/>
      </c>
      <c r="H156" s="219" t="str">
        <f t="shared" si="104"/>
        <v/>
      </c>
      <c r="I156" s="219" t="str">
        <f t="shared" si="104"/>
        <v/>
      </c>
      <c r="J156" s="219" t="str">
        <f t="shared" si="104"/>
        <v/>
      </c>
      <c r="K156" s="219" t="str">
        <f t="shared" si="104"/>
        <v/>
      </c>
      <c r="L156" s="219" t="str">
        <f t="shared" si="104"/>
        <v/>
      </c>
      <c r="M156" s="219" t="str">
        <f t="shared" si="104"/>
        <v/>
      </c>
      <c r="N156" s="219" t="str">
        <f t="shared" si="104"/>
        <v/>
      </c>
      <c r="O156" s="242">
        <f t="shared" si="102"/>
        <v>0</v>
      </c>
      <c r="P156" s="140" t="s">
        <v>760</v>
      </c>
    </row>
    <row r="157" spans="2:16" ht="13.5" x14ac:dyDescent="0.25">
      <c r="B157" s="170" t="str">
        <f t="shared" si="95"/>
        <v/>
      </c>
      <c r="C157" s="219" t="str">
        <f t="shared" ref="C157:N157" si="105">IF(B157&lt;&gt;"", C133*C$144,"")</f>
        <v/>
      </c>
      <c r="D157" s="219" t="str">
        <f t="shared" si="105"/>
        <v/>
      </c>
      <c r="E157" s="219" t="str">
        <f t="shared" si="105"/>
        <v/>
      </c>
      <c r="F157" s="219" t="str">
        <f t="shared" si="105"/>
        <v/>
      </c>
      <c r="G157" s="219" t="str">
        <f t="shared" si="105"/>
        <v/>
      </c>
      <c r="H157" s="219" t="str">
        <f t="shared" si="105"/>
        <v/>
      </c>
      <c r="I157" s="219" t="str">
        <f t="shared" si="105"/>
        <v/>
      </c>
      <c r="J157" s="219" t="str">
        <f t="shared" si="105"/>
        <v/>
      </c>
      <c r="K157" s="219" t="str">
        <f t="shared" si="105"/>
        <v/>
      </c>
      <c r="L157" s="219" t="str">
        <f t="shared" si="105"/>
        <v/>
      </c>
      <c r="M157" s="219" t="str">
        <f t="shared" si="105"/>
        <v/>
      </c>
      <c r="N157" s="219" t="str">
        <f t="shared" si="105"/>
        <v/>
      </c>
      <c r="O157" s="242">
        <f t="shared" si="102"/>
        <v>0</v>
      </c>
      <c r="P157" s="140" t="s">
        <v>760</v>
      </c>
    </row>
    <row r="158" spans="2:16" x14ac:dyDescent="0.2">
      <c r="B158" s="243" t="s">
        <v>396</v>
      </c>
      <c r="C158" s="244">
        <f>SUM(C148:C157)</f>
        <v>0</v>
      </c>
      <c r="D158" s="244">
        <f t="shared" ref="D158:N158" si="106">SUM(D148:D157)</f>
        <v>0</v>
      </c>
      <c r="E158" s="244">
        <f t="shared" si="106"/>
        <v>0</v>
      </c>
      <c r="F158" s="244">
        <f t="shared" si="106"/>
        <v>0</v>
      </c>
      <c r="G158" s="244">
        <f t="shared" si="106"/>
        <v>0</v>
      </c>
      <c r="H158" s="244">
        <f t="shared" si="106"/>
        <v>0</v>
      </c>
      <c r="I158" s="244">
        <f t="shared" si="106"/>
        <v>0</v>
      </c>
      <c r="J158" s="244">
        <f t="shared" si="106"/>
        <v>0</v>
      </c>
      <c r="K158" s="244">
        <f>SUM(K148:K157)</f>
        <v>0</v>
      </c>
      <c r="L158" s="244">
        <f t="shared" si="106"/>
        <v>0</v>
      </c>
      <c r="M158" s="244">
        <f t="shared" si="106"/>
        <v>0</v>
      </c>
      <c r="N158" s="244">
        <f t="shared" si="106"/>
        <v>0</v>
      </c>
      <c r="O158" s="244">
        <f>SUM(O148:O157)</f>
        <v>0</v>
      </c>
      <c r="P158" s="245" t="s">
        <v>395</v>
      </c>
    </row>
    <row r="160" spans="2:16" x14ac:dyDescent="0.2">
      <c r="B160" s="122" t="s">
        <v>648</v>
      </c>
    </row>
    <row r="161" spans="2:2" x14ac:dyDescent="0.2">
      <c r="B161" s="170"/>
    </row>
    <row r="162" spans="2:2" x14ac:dyDescent="0.2">
      <c r="B162" s="185"/>
    </row>
  </sheetData>
  <sheetProtection algorithmName="SHA-512" hashValue="cWicmBap754LcjdwtW0c310Djx1x8QPnOC5/DwXccChv8+OHDGIOXZno7o/4diNo4yA2hZX/5uGlOPPdkRmjRg==" saltValue="buv9yChkI2v3W0LVUD550Q==" spinCount="100000" sheet="1" objects="1" scenarios="1"/>
  <mergeCells count="23">
    <mergeCell ref="K65:M65"/>
    <mergeCell ref="T36:W36"/>
    <mergeCell ref="G55:H55"/>
    <mergeCell ref="G56:H56"/>
    <mergeCell ref="G57:H57"/>
    <mergeCell ref="G63:H63"/>
    <mergeCell ref="K55:M55"/>
    <mergeCell ref="K56:M56"/>
    <mergeCell ref="K57:M57"/>
    <mergeCell ref="K58:M58"/>
    <mergeCell ref="K59:M59"/>
    <mergeCell ref="K60:M60"/>
    <mergeCell ref="K61:M61"/>
    <mergeCell ref="K62:M62"/>
    <mergeCell ref="K63:M63"/>
    <mergeCell ref="K64:M64"/>
    <mergeCell ref="G64:H64"/>
    <mergeCell ref="G65:H65"/>
    <mergeCell ref="G58:H58"/>
    <mergeCell ref="G59:H59"/>
    <mergeCell ref="G60:H60"/>
    <mergeCell ref="G61:H61"/>
    <mergeCell ref="G62:H62"/>
  </mergeCells>
  <conditionalFormatting sqref="B20:C26">
    <cfRule type="expression" dxfId="3" priority="14">
      <formula>IF($C$42=".", TRUE)</formula>
    </cfRule>
  </conditionalFormatting>
  <conditionalFormatting sqref="B20:C26">
    <cfRule type="expression" dxfId="2" priority="15">
      <formula>IF($C$42=".", TRUE)</formula>
    </cfRule>
  </conditionalFormatting>
  <conditionalFormatting sqref="G55">
    <cfRule type="expression" dxfId="1" priority="2">
      <formula>IF($C$39=".", TRUE)</formula>
    </cfRule>
  </conditionalFormatting>
  <conditionalFormatting sqref="G55">
    <cfRule type="expression" dxfId="0" priority="1">
      <formula>IF($C$39=".", TRUE)</formula>
    </cfRule>
  </conditionalFormatting>
  <dataValidations disablePrompts="1" count="1">
    <dataValidation type="decimal" allowBlank="1" showInputMessage="1" showErrorMessage="1" error="Liquid weight fraction must be between 0 and 1" sqref="C20" xr:uid="{00000000-0002-0000-0400-000000000000}">
      <formula1>0</formula1>
      <formula2>1</formula2>
    </dataValidation>
  </dataValidations>
  <pageMargins left="0.7" right="0.7" top="0.75" bottom="0.75" header="0.3" footer="0.3"/>
  <pageSetup scale="39"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66"/>
  <sheetViews>
    <sheetView showGridLines="0" workbookViewId="0">
      <selection activeCell="A3" sqref="A3"/>
    </sheetView>
  </sheetViews>
  <sheetFormatPr defaultRowHeight="12" x14ac:dyDescent="0.2"/>
  <cols>
    <col min="1" max="1" width="24.28515625" style="48" customWidth="1"/>
    <col min="2" max="2" width="5.42578125" style="48" customWidth="1"/>
    <col min="3" max="3" width="14.28515625" style="48" customWidth="1"/>
    <col min="4" max="4" width="12.140625" style="48" customWidth="1"/>
    <col min="5" max="5" width="10.140625" style="48" customWidth="1"/>
    <col min="6" max="6" width="15.42578125" style="48" customWidth="1"/>
    <col min="7" max="7" width="14.5703125" style="48" bestFit="1" customWidth="1"/>
    <col min="8" max="9" width="15.7109375" style="48" customWidth="1"/>
    <col min="10" max="13" width="11.5703125" style="48" customWidth="1"/>
    <col min="14" max="16384" width="9.140625" style="48"/>
  </cols>
  <sheetData>
    <row r="1" spans="1:13" ht="18.75" x14ac:dyDescent="0.3">
      <c r="A1" s="326" t="s">
        <v>394</v>
      </c>
    </row>
    <row r="3" spans="1:13" ht="15" x14ac:dyDescent="0.25">
      <c r="A3" s="327" t="s">
        <v>852</v>
      </c>
    </row>
    <row r="5" spans="1:13" ht="37.5" x14ac:dyDescent="0.2">
      <c r="A5" s="246" t="s">
        <v>393</v>
      </c>
      <c r="B5" s="246"/>
      <c r="C5" s="246" t="s">
        <v>762</v>
      </c>
      <c r="D5" s="246" t="s">
        <v>763</v>
      </c>
      <c r="E5" s="246" t="s">
        <v>764</v>
      </c>
      <c r="F5" s="246" t="s">
        <v>779</v>
      </c>
      <c r="G5" s="246" t="s">
        <v>765</v>
      </c>
      <c r="H5" s="246" t="s">
        <v>780</v>
      </c>
      <c r="I5" s="247"/>
      <c r="J5" s="247"/>
      <c r="K5" s="247"/>
      <c r="L5" s="247"/>
      <c r="M5" s="247"/>
    </row>
    <row r="6" spans="1:13" ht="15" customHeight="1" x14ac:dyDescent="0.25">
      <c r="A6" s="246"/>
      <c r="B6" s="246"/>
      <c r="C6" s="246" t="s">
        <v>766</v>
      </c>
      <c r="D6" s="246" t="s">
        <v>767</v>
      </c>
      <c r="E6" s="246" t="s">
        <v>768</v>
      </c>
      <c r="F6" s="246" t="s">
        <v>392</v>
      </c>
      <c r="G6" s="246" t="s">
        <v>391</v>
      </c>
      <c r="H6" s="246" t="s">
        <v>769</v>
      </c>
      <c r="I6" s="247"/>
      <c r="J6" s="247"/>
      <c r="K6" s="247"/>
      <c r="L6" s="247"/>
      <c r="M6" s="247"/>
    </row>
    <row r="7" spans="1:13" ht="15" customHeight="1" x14ac:dyDescent="0.2">
      <c r="A7" s="246"/>
      <c r="B7" s="246"/>
      <c r="C7" s="246" t="s">
        <v>390</v>
      </c>
      <c r="D7" s="246" t="s">
        <v>390</v>
      </c>
      <c r="E7" s="246" t="s">
        <v>389</v>
      </c>
      <c r="F7" s="246" t="s">
        <v>388</v>
      </c>
      <c r="G7" s="246" t="s">
        <v>761</v>
      </c>
      <c r="H7" s="246" t="s">
        <v>387</v>
      </c>
      <c r="I7" s="247"/>
      <c r="J7" s="247"/>
      <c r="K7" s="247"/>
      <c r="L7" s="247"/>
      <c r="M7" s="247"/>
    </row>
    <row r="8" spans="1:13" ht="15" customHeight="1" x14ac:dyDescent="0.2">
      <c r="A8" s="248" t="s">
        <v>550</v>
      </c>
      <c r="B8" s="248"/>
      <c r="C8" s="127">
        <v>0</v>
      </c>
      <c r="D8" s="127">
        <v>0</v>
      </c>
      <c r="E8" s="127">
        <v>0</v>
      </c>
      <c r="F8" s="127">
        <v>0</v>
      </c>
      <c r="G8" s="127">
        <v>0</v>
      </c>
      <c r="H8" s="127">
        <v>0</v>
      </c>
      <c r="I8" s="249"/>
      <c r="J8" s="249"/>
      <c r="K8" s="249"/>
      <c r="L8" s="249"/>
      <c r="M8" s="249"/>
    </row>
    <row r="9" spans="1:13" x14ac:dyDescent="0.2">
      <c r="A9" s="248" t="s">
        <v>557</v>
      </c>
      <c r="B9" s="248"/>
      <c r="C9" s="127">
        <v>130</v>
      </c>
      <c r="D9" s="127">
        <v>162</v>
      </c>
      <c r="E9" s="250">
        <v>7</v>
      </c>
      <c r="F9" s="251">
        <v>12.39</v>
      </c>
      <c r="G9" s="250">
        <v>8933</v>
      </c>
      <c r="H9" s="251">
        <v>8.0000000000000002E-3</v>
      </c>
      <c r="I9" s="252"/>
      <c r="J9" s="249"/>
      <c r="K9" s="252"/>
      <c r="L9" s="252"/>
      <c r="M9" s="252"/>
    </row>
    <row r="10" spans="1:13" x14ac:dyDescent="0.2">
      <c r="A10" s="248" t="s">
        <v>556</v>
      </c>
      <c r="B10" s="248"/>
      <c r="C10" s="127">
        <v>80</v>
      </c>
      <c r="D10" s="127">
        <v>120</v>
      </c>
      <c r="E10" s="127">
        <v>6.4</v>
      </c>
      <c r="F10" s="127">
        <v>11.368</v>
      </c>
      <c r="G10" s="127">
        <v>5784.3</v>
      </c>
      <c r="H10" s="250">
        <v>1.3</v>
      </c>
      <c r="I10" s="252"/>
      <c r="J10" s="249"/>
      <c r="K10" s="252"/>
      <c r="L10" s="252"/>
      <c r="M10" s="252"/>
    </row>
    <row r="11" spans="1:13" ht="13.5" x14ac:dyDescent="0.2">
      <c r="A11" s="248" t="s">
        <v>554</v>
      </c>
      <c r="B11" s="253" t="s">
        <v>386</v>
      </c>
      <c r="C11" s="127">
        <v>66</v>
      </c>
      <c r="D11" s="127">
        <v>92</v>
      </c>
      <c r="E11" s="127">
        <v>5.6</v>
      </c>
      <c r="F11" s="127">
        <v>11.724</v>
      </c>
      <c r="G11" s="127">
        <v>5237.3</v>
      </c>
      <c r="H11" s="250">
        <v>5.2</v>
      </c>
      <c r="I11" s="252"/>
      <c r="J11" s="249"/>
      <c r="K11" s="252"/>
      <c r="L11" s="252"/>
      <c r="M11" s="252"/>
    </row>
    <row r="12" spans="1:13" x14ac:dyDescent="0.2">
      <c r="A12" s="248" t="s">
        <v>553</v>
      </c>
      <c r="B12" s="248"/>
      <c r="C12" s="127">
        <v>62</v>
      </c>
      <c r="D12" s="127">
        <v>92</v>
      </c>
      <c r="E12" s="127">
        <v>5.6</v>
      </c>
      <c r="F12" s="127">
        <v>11.644</v>
      </c>
      <c r="G12" s="127">
        <v>5043.6000000000004</v>
      </c>
      <c r="H12" s="250">
        <v>7</v>
      </c>
      <c r="I12" s="252"/>
      <c r="J12" s="252"/>
      <c r="K12" s="252"/>
      <c r="L12" s="252"/>
      <c r="M12" s="252"/>
    </row>
    <row r="13" spans="1:13" x14ac:dyDescent="0.2">
      <c r="A13" s="248" t="s">
        <v>555</v>
      </c>
      <c r="B13" s="248"/>
      <c r="C13" s="127">
        <v>68</v>
      </c>
      <c r="D13" s="127">
        <v>92</v>
      </c>
      <c r="E13" s="127">
        <v>5.6</v>
      </c>
      <c r="F13" s="127">
        <v>11.833</v>
      </c>
      <c r="G13" s="127">
        <v>5500.6</v>
      </c>
      <c r="H13" s="250">
        <v>3.5</v>
      </c>
      <c r="I13" s="254"/>
      <c r="J13" s="254"/>
      <c r="K13" s="254"/>
      <c r="L13" s="254"/>
      <c r="M13" s="254"/>
    </row>
    <row r="14" spans="1:13" x14ac:dyDescent="0.2">
      <c r="A14" s="248" t="s">
        <v>558</v>
      </c>
      <c r="B14" s="248"/>
      <c r="C14" s="127">
        <v>130</v>
      </c>
      <c r="D14" s="127">
        <v>188</v>
      </c>
      <c r="E14" s="127">
        <v>7.1</v>
      </c>
      <c r="F14" s="127">
        <v>12.101000000000001</v>
      </c>
      <c r="G14" s="250">
        <v>8907</v>
      </c>
      <c r="H14" s="251">
        <v>6.0000000000000001E-3</v>
      </c>
      <c r="I14" s="254"/>
      <c r="J14" s="254"/>
      <c r="K14" s="254"/>
      <c r="L14" s="254"/>
      <c r="M14" s="254"/>
    </row>
    <row r="15" spans="1:13" ht="13.5" x14ac:dyDescent="0.2">
      <c r="A15" s="248" t="s">
        <v>559</v>
      </c>
      <c r="B15" s="253" t="s">
        <v>385</v>
      </c>
      <c r="C15" s="127">
        <v>130</v>
      </c>
      <c r="D15" s="127">
        <v>387</v>
      </c>
      <c r="E15" s="127">
        <v>7.9</v>
      </c>
      <c r="F15" s="127">
        <v>10.781000000000001</v>
      </c>
      <c r="G15" s="250">
        <v>8933</v>
      </c>
      <c r="H15" s="251">
        <v>2E-3</v>
      </c>
      <c r="I15" s="254"/>
      <c r="J15" s="254"/>
      <c r="K15" s="254"/>
      <c r="L15" s="254"/>
      <c r="M15" s="254"/>
    </row>
    <row r="16" spans="1:13" ht="13.5" x14ac:dyDescent="0.2">
      <c r="A16" s="248" t="s">
        <v>560</v>
      </c>
      <c r="B16" s="253" t="s">
        <v>384</v>
      </c>
      <c r="C16" s="127">
        <v>190</v>
      </c>
      <c r="D16" s="127">
        <v>387</v>
      </c>
      <c r="E16" s="127">
        <v>7.9</v>
      </c>
      <c r="F16" s="127">
        <v>10.103999999999999</v>
      </c>
      <c r="G16" s="127">
        <v>10475.5</v>
      </c>
      <c r="H16" s="255">
        <v>4.0000000000000002E-4</v>
      </c>
      <c r="I16" s="256"/>
      <c r="J16" s="256"/>
      <c r="K16" s="256"/>
      <c r="L16" s="256"/>
      <c r="M16" s="256"/>
    </row>
    <row r="17" spans="1:13" x14ac:dyDescent="0.2">
      <c r="A17" s="75"/>
      <c r="B17" s="75"/>
      <c r="C17" s="75"/>
      <c r="D17" s="75"/>
      <c r="E17" s="75"/>
      <c r="F17" s="75"/>
      <c r="G17" s="75"/>
      <c r="H17" s="75"/>
      <c r="J17" s="75"/>
      <c r="K17" s="75"/>
      <c r="L17" s="75"/>
      <c r="M17" s="75"/>
    </row>
    <row r="18" spans="1:13" ht="13.5" x14ac:dyDescent="0.2">
      <c r="A18" s="61" t="s">
        <v>770</v>
      </c>
    </row>
    <row r="19" spans="1:13" ht="15" customHeight="1" x14ac:dyDescent="0.2">
      <c r="A19" s="394" t="s">
        <v>771</v>
      </c>
      <c r="B19" s="394"/>
      <c r="C19" s="394"/>
      <c r="D19" s="394"/>
      <c r="E19" s="394"/>
      <c r="F19" s="394"/>
      <c r="G19" s="394"/>
      <c r="H19" s="394"/>
      <c r="I19" s="257"/>
      <c r="J19" s="257"/>
      <c r="K19" s="257"/>
      <c r="L19" s="257"/>
      <c r="M19" s="257"/>
    </row>
    <row r="20" spans="1:13" x14ac:dyDescent="0.2">
      <c r="A20" s="394"/>
      <c r="B20" s="394"/>
      <c r="C20" s="394"/>
      <c r="D20" s="394"/>
      <c r="E20" s="394"/>
      <c r="F20" s="394"/>
      <c r="G20" s="394"/>
      <c r="H20" s="394"/>
      <c r="I20" s="257"/>
      <c r="J20" s="257"/>
      <c r="K20" s="257"/>
      <c r="L20" s="257"/>
      <c r="M20" s="257"/>
    </row>
    <row r="21" spans="1:13" x14ac:dyDescent="0.2">
      <c r="A21" s="394"/>
      <c r="B21" s="394"/>
      <c r="C21" s="394"/>
      <c r="D21" s="394"/>
      <c r="E21" s="394"/>
      <c r="F21" s="394"/>
      <c r="G21" s="394"/>
      <c r="H21" s="394"/>
      <c r="I21" s="257"/>
      <c r="J21" s="257"/>
      <c r="K21" s="257"/>
      <c r="L21" s="257"/>
      <c r="M21" s="257"/>
    </row>
    <row r="22" spans="1:13" ht="13.5" x14ac:dyDescent="0.2">
      <c r="A22" s="61" t="s">
        <v>772</v>
      </c>
      <c r="B22" s="257"/>
      <c r="C22" s="257"/>
      <c r="D22" s="257"/>
      <c r="E22" s="257"/>
      <c r="F22" s="257"/>
      <c r="G22" s="257"/>
      <c r="H22" s="96"/>
      <c r="I22" s="96"/>
      <c r="J22" s="96"/>
      <c r="K22" s="96"/>
      <c r="L22" s="96"/>
      <c r="M22" s="96"/>
    </row>
    <row r="23" spans="1:13" ht="13.5" x14ac:dyDescent="0.2">
      <c r="A23" s="61" t="s">
        <v>773</v>
      </c>
      <c r="B23" s="257"/>
      <c r="C23" s="257"/>
      <c r="D23" s="257"/>
      <c r="E23" s="257"/>
      <c r="F23" s="257"/>
      <c r="G23" s="257"/>
      <c r="H23" s="96"/>
      <c r="I23" s="96"/>
      <c r="J23" s="96"/>
      <c r="K23" s="96"/>
      <c r="L23" s="96"/>
      <c r="M23" s="96"/>
    </row>
    <row r="24" spans="1:13" x14ac:dyDescent="0.2">
      <c r="A24" s="61" t="s">
        <v>383</v>
      </c>
      <c r="C24" s="257"/>
      <c r="D24" s="257"/>
      <c r="E24" s="257"/>
      <c r="F24" s="257"/>
      <c r="G24" s="257"/>
      <c r="H24" s="96"/>
      <c r="I24" s="96"/>
      <c r="J24" s="96"/>
      <c r="K24" s="96"/>
      <c r="L24" s="96"/>
      <c r="M24" s="96"/>
    </row>
    <row r="25" spans="1:13" ht="13.5" x14ac:dyDescent="0.2">
      <c r="A25" s="61" t="s">
        <v>774</v>
      </c>
      <c r="C25" s="257"/>
      <c r="D25" s="257"/>
      <c r="E25" s="257"/>
      <c r="F25" s="257"/>
      <c r="G25" s="257"/>
      <c r="H25" s="96"/>
      <c r="I25" s="96"/>
      <c r="J25" s="96"/>
      <c r="K25" s="96"/>
      <c r="L25" s="96"/>
      <c r="M25" s="96"/>
    </row>
    <row r="26" spans="1:13" ht="13.5" x14ac:dyDescent="0.2">
      <c r="A26" s="258" t="s">
        <v>775</v>
      </c>
      <c r="C26" s="96"/>
      <c r="D26" s="96"/>
      <c r="E26" s="96"/>
      <c r="F26" s="96"/>
      <c r="G26" s="96"/>
      <c r="H26" s="96"/>
      <c r="I26" s="96"/>
      <c r="J26" s="96"/>
      <c r="K26" s="96"/>
      <c r="L26" s="96"/>
      <c r="M26" s="96"/>
    </row>
    <row r="27" spans="1:13" ht="15" customHeight="1" x14ac:dyDescent="0.2">
      <c r="A27" s="394" t="s">
        <v>776</v>
      </c>
      <c r="B27" s="394"/>
      <c r="C27" s="394"/>
      <c r="D27" s="394"/>
      <c r="E27" s="394"/>
      <c r="F27" s="394"/>
      <c r="G27" s="394"/>
      <c r="H27" s="394"/>
      <c r="I27" s="257"/>
      <c r="J27" s="257"/>
      <c r="K27" s="257"/>
      <c r="L27" s="257"/>
      <c r="M27" s="257"/>
    </row>
    <row r="28" spans="1:13" x14ac:dyDescent="0.2">
      <c r="A28" s="394"/>
      <c r="B28" s="394"/>
      <c r="C28" s="394"/>
      <c r="D28" s="394"/>
      <c r="E28" s="394"/>
      <c r="F28" s="394"/>
      <c r="G28" s="394"/>
      <c r="H28" s="394"/>
      <c r="I28" s="257"/>
      <c r="J28" s="257"/>
      <c r="K28" s="257"/>
      <c r="L28" s="257"/>
      <c r="M28" s="257"/>
    </row>
    <row r="29" spans="1:13" ht="15" customHeight="1" x14ac:dyDescent="0.2">
      <c r="A29" s="394" t="s">
        <v>777</v>
      </c>
      <c r="B29" s="394"/>
      <c r="C29" s="394"/>
      <c r="D29" s="394"/>
      <c r="E29" s="394"/>
      <c r="F29" s="394"/>
      <c r="G29" s="394"/>
      <c r="H29" s="394"/>
      <c r="I29" s="257"/>
      <c r="J29" s="257"/>
      <c r="K29" s="257"/>
      <c r="L29" s="257"/>
      <c r="M29" s="257"/>
    </row>
    <row r="30" spans="1:13" x14ac:dyDescent="0.2">
      <c r="A30" s="394"/>
      <c r="B30" s="394"/>
      <c r="C30" s="394"/>
      <c r="D30" s="394"/>
      <c r="E30" s="394"/>
      <c r="F30" s="394"/>
      <c r="G30" s="394"/>
      <c r="H30" s="394"/>
      <c r="I30" s="257"/>
      <c r="J30" s="257"/>
      <c r="K30" s="257"/>
      <c r="L30" s="257"/>
      <c r="M30" s="257"/>
    </row>
    <row r="31" spans="1:13" ht="15" customHeight="1" x14ac:dyDescent="0.2">
      <c r="A31" s="394" t="s">
        <v>778</v>
      </c>
      <c r="B31" s="394"/>
      <c r="C31" s="394"/>
      <c r="D31" s="394"/>
      <c r="E31" s="394"/>
      <c r="F31" s="394"/>
      <c r="G31" s="394"/>
      <c r="H31" s="394"/>
      <c r="I31" s="257"/>
      <c r="J31" s="257"/>
      <c r="K31" s="257"/>
      <c r="L31" s="257"/>
      <c r="M31" s="257"/>
    </row>
    <row r="32" spans="1:13" x14ac:dyDescent="0.2">
      <c r="A32" s="394"/>
      <c r="B32" s="394"/>
      <c r="C32" s="394"/>
      <c r="D32" s="394"/>
      <c r="E32" s="394"/>
      <c r="F32" s="394"/>
      <c r="G32" s="394"/>
      <c r="H32" s="394"/>
      <c r="I32" s="257"/>
      <c r="J32" s="257"/>
      <c r="K32" s="257"/>
      <c r="L32" s="257"/>
      <c r="M32" s="257"/>
    </row>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row r="62" ht="18.75" customHeight="1" x14ac:dyDescent="0.2"/>
    <row r="63" ht="18.75" customHeight="1" x14ac:dyDescent="0.2"/>
    <row r="71" ht="17.25" customHeight="1" x14ac:dyDescent="0.2"/>
    <row r="72" ht="15" customHeight="1" x14ac:dyDescent="0.2"/>
    <row r="74" ht="17.25" customHeight="1" x14ac:dyDescent="0.2"/>
    <row r="75" ht="19.5" customHeight="1" x14ac:dyDescent="0.2"/>
    <row r="266" ht="56.25" customHeight="1" x14ac:dyDescent="0.2"/>
  </sheetData>
  <sheetProtection algorithmName="SHA-512" hashValue="kcw5NUieojv+I3ExkJNts/uCNLdvDDIzjyD/7UGSXpl6lwNy6J1LukelPuif4k3etgrRfbg0m1xyD0+Eo5JiGQ==" saltValue="D8zRGvgdModM9wlumxYhLw==" spinCount="100000" sheet="1" objects="1" scenarios="1"/>
  <mergeCells count="4">
    <mergeCell ref="A19:H21"/>
    <mergeCell ref="A27:H28"/>
    <mergeCell ref="A29:H30"/>
    <mergeCell ref="A31:H32"/>
  </mergeCells>
  <pageMargins left="0.7" right="0.7" top="0.75" bottom="0.75" header="0.3" footer="0.3"/>
  <pageSetup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688"/>
  <sheetViews>
    <sheetView showGridLines="0" workbookViewId="0">
      <selection activeCell="A3" sqref="A3"/>
    </sheetView>
  </sheetViews>
  <sheetFormatPr defaultRowHeight="12" x14ac:dyDescent="0.2"/>
  <cols>
    <col min="1" max="1" width="81.140625" style="259" customWidth="1"/>
    <col min="2" max="2" width="17.85546875" style="259" bestFit="1" customWidth="1"/>
    <col min="3" max="3" width="17.42578125" style="259" customWidth="1"/>
    <col min="4" max="4" width="21.42578125" style="259" bestFit="1" customWidth="1"/>
    <col min="5" max="5" width="20.140625" style="259" bestFit="1" customWidth="1"/>
    <col min="6" max="6" width="15.42578125" style="259" bestFit="1" customWidth="1"/>
    <col min="7" max="7" width="21.42578125" style="259" customWidth="1"/>
    <col min="8" max="8" width="15.42578125" style="259" customWidth="1"/>
    <col min="9" max="16384" width="9.140625" style="259"/>
  </cols>
  <sheetData>
    <row r="1" spans="1:5" ht="18.75" x14ac:dyDescent="0.3">
      <c r="A1" s="301" t="s">
        <v>475</v>
      </c>
    </row>
    <row r="3" spans="1:5" ht="14.25" x14ac:dyDescent="0.2">
      <c r="A3" s="302" t="s">
        <v>793</v>
      </c>
    </row>
    <row r="4" spans="1:5" x14ac:dyDescent="0.2">
      <c r="A4" s="476" t="s">
        <v>474</v>
      </c>
      <c r="B4" s="477"/>
      <c r="C4" s="475" t="s">
        <v>781</v>
      </c>
      <c r="D4" s="475"/>
      <c r="E4" s="475"/>
    </row>
    <row r="5" spans="1:5" x14ac:dyDescent="0.2">
      <c r="A5" s="478"/>
      <c r="B5" s="479"/>
      <c r="C5" s="475" t="s">
        <v>473</v>
      </c>
      <c r="D5" s="475"/>
      <c r="E5" s="475"/>
    </row>
    <row r="6" spans="1:5" x14ac:dyDescent="0.2">
      <c r="A6" s="480"/>
      <c r="B6" s="481"/>
      <c r="C6" s="260" t="s">
        <v>472</v>
      </c>
      <c r="D6" s="260" t="s">
        <v>471</v>
      </c>
      <c r="E6" s="260" t="s">
        <v>470</v>
      </c>
    </row>
    <row r="7" spans="1:5" x14ac:dyDescent="0.2">
      <c r="A7" s="261"/>
      <c r="B7" s="262"/>
      <c r="C7" s="260"/>
      <c r="D7" s="260"/>
      <c r="E7" s="260"/>
    </row>
    <row r="8" spans="1:5" x14ac:dyDescent="0.2">
      <c r="A8" s="263" t="s">
        <v>469</v>
      </c>
      <c r="B8" s="264"/>
      <c r="C8" s="260">
        <v>0.17</v>
      </c>
      <c r="D8" s="260">
        <v>0.25</v>
      </c>
      <c r="E8" s="260">
        <v>0.34</v>
      </c>
    </row>
    <row r="9" spans="1:5" x14ac:dyDescent="0.2">
      <c r="A9" s="263" t="s">
        <v>468</v>
      </c>
      <c r="B9" s="264"/>
      <c r="C9" s="260">
        <v>0.39</v>
      </c>
      <c r="D9" s="260">
        <v>0.44</v>
      </c>
      <c r="E9" s="260">
        <v>0.49</v>
      </c>
    </row>
    <row r="10" spans="1:5" x14ac:dyDescent="0.2">
      <c r="A10" s="263" t="s">
        <v>467</v>
      </c>
      <c r="B10" s="264"/>
      <c r="C10" s="265">
        <v>0.6</v>
      </c>
      <c r="D10" s="260">
        <v>0.64</v>
      </c>
      <c r="E10" s="260">
        <v>0.68</v>
      </c>
    </row>
    <row r="11" spans="1:5" x14ac:dyDescent="0.2">
      <c r="A11" s="263" t="s">
        <v>466</v>
      </c>
      <c r="B11" s="264"/>
      <c r="C11" s="260">
        <v>0.35</v>
      </c>
      <c r="D11" s="260">
        <v>0.42</v>
      </c>
      <c r="E11" s="260">
        <v>0.49</v>
      </c>
    </row>
    <row r="12" spans="1:5" ht="13.5" x14ac:dyDescent="0.2">
      <c r="A12" s="263" t="s">
        <v>465</v>
      </c>
      <c r="B12" s="266"/>
      <c r="C12" s="260">
        <v>0.97</v>
      </c>
      <c r="D12" s="260">
        <v>0.97</v>
      </c>
      <c r="E12" s="260">
        <v>0.97</v>
      </c>
    </row>
    <row r="13" spans="1:5" x14ac:dyDescent="0.2">
      <c r="A13" s="263" t="s">
        <v>464</v>
      </c>
      <c r="B13" s="264"/>
      <c r="C13" s="260">
        <v>0.57999999999999996</v>
      </c>
      <c r="D13" s="260">
        <v>0.62</v>
      </c>
      <c r="E13" s="260">
        <v>0.67</v>
      </c>
    </row>
    <row r="14" spans="1:5" x14ac:dyDescent="0.2">
      <c r="A14" s="263" t="s">
        <v>463</v>
      </c>
      <c r="B14" s="264"/>
      <c r="C14" s="260">
        <v>0.54</v>
      </c>
      <c r="D14" s="260">
        <v>0.57999999999999996</v>
      </c>
      <c r="E14" s="260">
        <v>0.63</v>
      </c>
    </row>
    <row r="15" spans="1:5" x14ac:dyDescent="0.2">
      <c r="A15" s="263" t="s">
        <v>462</v>
      </c>
      <c r="B15" s="264"/>
      <c r="C15" s="260">
        <v>0.68</v>
      </c>
      <c r="D15" s="260">
        <v>0.71</v>
      </c>
      <c r="E15" s="260">
        <v>0.74</v>
      </c>
    </row>
    <row r="16" spans="1:5" x14ac:dyDescent="0.2">
      <c r="A16" s="263" t="s">
        <v>461</v>
      </c>
      <c r="B16" s="264"/>
      <c r="C16" s="260">
        <v>0.89</v>
      </c>
      <c r="D16" s="265">
        <v>0.9</v>
      </c>
      <c r="E16" s="260">
        <v>0.91</v>
      </c>
    </row>
    <row r="17" spans="1:5" x14ac:dyDescent="0.2">
      <c r="A17" s="263" t="s">
        <v>460</v>
      </c>
      <c r="B17" s="264"/>
      <c r="C17" s="260">
        <v>0.89</v>
      </c>
      <c r="D17" s="265">
        <v>0.9</v>
      </c>
      <c r="E17" s="260">
        <v>0.91</v>
      </c>
    </row>
    <row r="18" spans="1:5" x14ac:dyDescent="0.2">
      <c r="A18" s="263" t="s">
        <v>459</v>
      </c>
      <c r="B18" s="264"/>
      <c r="C18" s="260">
        <v>0.38</v>
      </c>
      <c r="D18" s="260">
        <v>0.44</v>
      </c>
      <c r="E18" s="265">
        <v>0.5</v>
      </c>
    </row>
    <row r="19" spans="1:5" x14ac:dyDescent="0.2">
      <c r="A19" s="263" t="s">
        <v>458</v>
      </c>
      <c r="B19" s="264"/>
      <c r="C19" s="260">
        <v>0.43</v>
      </c>
      <c r="D19" s="260">
        <v>0.49</v>
      </c>
      <c r="E19" s="260">
        <v>0.55000000000000004</v>
      </c>
    </row>
    <row r="20" spans="1:5" x14ac:dyDescent="0.2">
      <c r="A20" s="263" t="s">
        <v>457</v>
      </c>
      <c r="B20" s="264" t="s">
        <v>456</v>
      </c>
      <c r="C20" s="265">
        <v>0.1</v>
      </c>
      <c r="D20" s="260">
        <v>0.12</v>
      </c>
      <c r="E20" s="260">
        <v>0.15</v>
      </c>
    </row>
    <row r="21" spans="1:5" ht="15" customHeight="1" x14ac:dyDescent="0.2"/>
    <row r="22" spans="1:5" ht="15" customHeight="1" x14ac:dyDescent="0.2">
      <c r="A22" s="259" t="s">
        <v>455</v>
      </c>
    </row>
    <row r="23" spans="1:5" ht="15" customHeight="1" x14ac:dyDescent="0.2">
      <c r="A23" s="123" t="s">
        <v>454</v>
      </c>
    </row>
    <row r="24" spans="1:5" ht="15" customHeight="1" x14ac:dyDescent="0.2">
      <c r="A24" s="123" t="s">
        <v>783</v>
      </c>
    </row>
    <row r="25" spans="1:5" ht="15" customHeight="1" x14ac:dyDescent="0.2">
      <c r="A25" s="465" t="s">
        <v>784</v>
      </c>
      <c r="B25" s="465"/>
      <c r="C25" s="465"/>
      <c r="D25" s="465"/>
      <c r="E25" s="465"/>
    </row>
    <row r="26" spans="1:5" ht="15" customHeight="1" x14ac:dyDescent="0.2">
      <c r="A26" s="465"/>
      <c r="B26" s="465"/>
      <c r="C26" s="465"/>
      <c r="D26" s="465"/>
      <c r="E26" s="465"/>
    </row>
    <row r="27" spans="1:5" ht="15" customHeight="1" x14ac:dyDescent="0.2">
      <c r="A27" s="123" t="s">
        <v>453</v>
      </c>
    </row>
    <row r="28" spans="1:5" ht="15" customHeight="1" x14ac:dyDescent="0.2">
      <c r="A28" s="123" t="s">
        <v>452</v>
      </c>
    </row>
    <row r="29" spans="1:5" ht="15" customHeight="1" x14ac:dyDescent="0.2">
      <c r="A29" s="472" t="s">
        <v>785</v>
      </c>
      <c r="B29" s="472"/>
      <c r="C29" s="472"/>
      <c r="D29" s="472"/>
      <c r="E29" s="472"/>
    </row>
    <row r="30" spans="1:5" ht="15" customHeight="1" x14ac:dyDescent="0.2">
      <c r="A30" s="472"/>
      <c r="B30" s="472"/>
      <c r="C30" s="472"/>
      <c r="D30" s="472"/>
      <c r="E30" s="472"/>
    </row>
    <row r="31" spans="1:5" ht="15" customHeight="1" x14ac:dyDescent="0.2">
      <c r="A31" s="472"/>
      <c r="B31" s="472"/>
      <c r="C31" s="472"/>
      <c r="D31" s="472"/>
      <c r="E31" s="472"/>
    </row>
    <row r="32" spans="1:5" ht="15" customHeight="1" x14ac:dyDescent="0.2">
      <c r="A32" s="472"/>
      <c r="B32" s="472"/>
      <c r="C32" s="472"/>
      <c r="D32" s="472"/>
      <c r="E32" s="472"/>
    </row>
    <row r="34" spans="1:21" ht="15" x14ac:dyDescent="0.25">
      <c r="A34" s="303" t="s">
        <v>794</v>
      </c>
      <c r="B34" s="267"/>
      <c r="C34" s="267"/>
      <c r="D34" s="267">
        <v>4</v>
      </c>
      <c r="E34" s="267">
        <v>5</v>
      </c>
      <c r="F34" s="267">
        <v>6</v>
      </c>
      <c r="G34" s="267">
        <v>7</v>
      </c>
      <c r="H34" s="267">
        <v>8</v>
      </c>
      <c r="I34" s="267">
        <v>9</v>
      </c>
      <c r="J34" s="267">
        <v>10</v>
      </c>
      <c r="K34" s="267">
        <v>11</v>
      </c>
      <c r="L34" s="267">
        <v>12</v>
      </c>
      <c r="M34" s="267">
        <v>13</v>
      </c>
      <c r="N34" s="267">
        <v>14</v>
      </c>
      <c r="O34" s="267">
        <v>15</v>
      </c>
      <c r="P34" s="267"/>
    </row>
    <row r="35" spans="1:21" x14ac:dyDescent="0.2">
      <c r="A35" s="475" t="s">
        <v>428</v>
      </c>
      <c r="B35" s="475" t="s">
        <v>427</v>
      </c>
      <c r="C35" s="475"/>
      <c r="D35" s="475" t="s">
        <v>430</v>
      </c>
      <c r="E35" s="475"/>
      <c r="F35" s="475"/>
      <c r="G35" s="475"/>
      <c r="H35" s="475"/>
      <c r="I35" s="475"/>
      <c r="J35" s="475"/>
      <c r="K35" s="475"/>
      <c r="L35" s="475"/>
      <c r="M35" s="475"/>
      <c r="N35" s="475"/>
      <c r="O35" s="475"/>
      <c r="P35" s="470" t="s">
        <v>429</v>
      </c>
      <c r="Q35" s="475" t="s">
        <v>428</v>
      </c>
      <c r="R35" s="475"/>
      <c r="S35" s="475"/>
      <c r="T35" s="475" t="s">
        <v>427</v>
      </c>
      <c r="U35" s="475"/>
    </row>
    <row r="36" spans="1:21" x14ac:dyDescent="0.2">
      <c r="A36" s="475"/>
      <c r="B36" s="165" t="s">
        <v>417</v>
      </c>
      <c r="C36" s="165" t="s">
        <v>416</v>
      </c>
      <c r="D36" s="260" t="s">
        <v>426</v>
      </c>
      <c r="E36" s="260" t="s">
        <v>425</v>
      </c>
      <c r="F36" s="260" t="s">
        <v>424</v>
      </c>
      <c r="G36" s="260" t="s">
        <v>423</v>
      </c>
      <c r="H36" s="260" t="s">
        <v>405</v>
      </c>
      <c r="I36" s="260" t="s">
        <v>404</v>
      </c>
      <c r="J36" s="260" t="s">
        <v>403</v>
      </c>
      <c r="K36" s="260" t="s">
        <v>422</v>
      </c>
      <c r="L36" s="260" t="s">
        <v>421</v>
      </c>
      <c r="M36" s="260" t="s">
        <v>420</v>
      </c>
      <c r="N36" s="260" t="s">
        <v>419</v>
      </c>
      <c r="O36" s="260" t="s">
        <v>418</v>
      </c>
      <c r="P36" s="471"/>
      <c r="Q36" s="475"/>
      <c r="R36" s="475"/>
      <c r="S36" s="475"/>
      <c r="T36" s="165" t="s">
        <v>417</v>
      </c>
      <c r="U36" s="165" t="s">
        <v>416</v>
      </c>
    </row>
    <row r="37" spans="1:21" ht="18" customHeight="1" x14ac:dyDescent="0.2">
      <c r="A37" s="260"/>
      <c r="B37" s="165"/>
      <c r="C37" s="165"/>
      <c r="D37" s="260"/>
      <c r="E37" s="260"/>
      <c r="F37" s="260"/>
      <c r="G37" s="260"/>
      <c r="H37" s="260"/>
      <c r="I37" s="260"/>
      <c r="J37" s="260"/>
      <c r="K37" s="260"/>
      <c r="L37" s="260"/>
      <c r="M37" s="260"/>
      <c r="N37" s="260"/>
      <c r="O37" s="260"/>
      <c r="P37" s="268"/>
      <c r="Q37" s="260"/>
      <c r="R37" s="260"/>
      <c r="S37" s="260"/>
      <c r="T37" s="165"/>
      <c r="U37" s="165"/>
    </row>
    <row r="38" spans="1:21" ht="18" customHeight="1" x14ac:dyDescent="0.25">
      <c r="A38" s="269" t="s">
        <v>448</v>
      </c>
      <c r="B38" s="165" t="s">
        <v>786</v>
      </c>
      <c r="C38" s="165" t="s">
        <v>782</v>
      </c>
      <c r="D38" s="270">
        <v>2.6</v>
      </c>
      <c r="E38" s="270">
        <v>7.1</v>
      </c>
      <c r="F38" s="270">
        <v>18.2</v>
      </c>
      <c r="G38" s="270">
        <v>30.7</v>
      </c>
      <c r="H38" s="270">
        <v>41.4</v>
      </c>
      <c r="I38" s="270">
        <v>50.6</v>
      </c>
      <c r="J38" s="270">
        <v>55.9</v>
      </c>
      <c r="K38" s="270">
        <v>55.4</v>
      </c>
      <c r="L38" s="270">
        <v>47.2</v>
      </c>
      <c r="M38" s="270">
        <v>35.700000000000003</v>
      </c>
      <c r="N38" s="270">
        <v>23</v>
      </c>
      <c r="O38" s="270">
        <v>9.4</v>
      </c>
      <c r="P38" s="270">
        <v>31.4</v>
      </c>
      <c r="Q38" s="483" t="s">
        <v>447</v>
      </c>
      <c r="R38" s="483"/>
      <c r="S38" s="483"/>
      <c r="T38" s="165" t="s">
        <v>786</v>
      </c>
      <c r="U38" s="165" t="s">
        <v>782</v>
      </c>
    </row>
    <row r="39" spans="1:21" ht="18" customHeight="1" x14ac:dyDescent="0.25">
      <c r="A39" s="269" t="s">
        <v>446</v>
      </c>
      <c r="B39" s="165" t="s">
        <v>786</v>
      </c>
      <c r="C39" s="165" t="s">
        <v>782</v>
      </c>
      <c r="D39" s="270">
        <v>-4.5</v>
      </c>
      <c r="E39" s="270">
        <v>0.3</v>
      </c>
      <c r="F39" s="270">
        <v>13.7</v>
      </c>
      <c r="G39" s="270">
        <v>28.4</v>
      </c>
      <c r="H39" s="270">
        <v>39.799999999999997</v>
      </c>
      <c r="I39" s="270">
        <v>50</v>
      </c>
      <c r="J39" s="270">
        <v>53.4</v>
      </c>
      <c r="K39" s="270">
        <v>51.8</v>
      </c>
      <c r="L39" s="270">
        <v>43.2</v>
      </c>
      <c r="M39" s="270">
        <v>32.5</v>
      </c>
      <c r="N39" s="270">
        <v>19.399999999999999</v>
      </c>
      <c r="O39" s="270">
        <v>3.7</v>
      </c>
      <c r="P39" s="270">
        <v>27.6</v>
      </c>
      <c r="Q39" s="483" t="s">
        <v>445</v>
      </c>
      <c r="R39" s="483"/>
      <c r="S39" s="483"/>
      <c r="T39" s="165" t="s">
        <v>786</v>
      </c>
      <c r="U39" s="165" t="s">
        <v>782</v>
      </c>
    </row>
    <row r="40" spans="1:21" ht="18" customHeight="1" x14ac:dyDescent="0.25">
      <c r="A40" s="271" t="s">
        <v>444</v>
      </c>
      <c r="B40" s="165" t="s">
        <v>786</v>
      </c>
      <c r="C40" s="165" t="s">
        <v>782</v>
      </c>
      <c r="D40" s="270">
        <v>8.3000000000000007</v>
      </c>
      <c r="E40" s="270">
        <v>13.6</v>
      </c>
      <c r="F40" s="270">
        <v>24.6</v>
      </c>
      <c r="G40" s="270">
        <v>37.9</v>
      </c>
      <c r="H40" s="270">
        <v>49.6</v>
      </c>
      <c r="I40" s="270">
        <v>59.7</v>
      </c>
      <c r="J40" s="270">
        <v>64.5</v>
      </c>
      <c r="K40" s="270">
        <v>62.5</v>
      </c>
      <c r="L40" s="270">
        <v>53.3</v>
      </c>
      <c r="M40" s="270">
        <v>40.9</v>
      </c>
      <c r="N40" s="270">
        <v>27.5</v>
      </c>
      <c r="O40" s="270">
        <v>14.4</v>
      </c>
      <c r="P40" s="270">
        <v>38.1</v>
      </c>
      <c r="Q40" s="482" t="s">
        <v>443</v>
      </c>
      <c r="R40" s="482"/>
      <c r="S40" s="482"/>
      <c r="T40" s="165" t="s">
        <v>786</v>
      </c>
      <c r="U40" s="165" t="s">
        <v>782</v>
      </c>
    </row>
    <row r="41" spans="1:21" ht="18" customHeight="1" x14ac:dyDescent="0.25">
      <c r="A41" s="271" t="s">
        <v>442</v>
      </c>
      <c r="B41" s="165" t="s">
        <v>786</v>
      </c>
      <c r="C41" s="165" t="s">
        <v>782</v>
      </c>
      <c r="D41" s="270">
        <v>7.3</v>
      </c>
      <c r="E41" s="270">
        <v>12.2</v>
      </c>
      <c r="F41" s="270">
        <v>23.6</v>
      </c>
      <c r="G41" s="270">
        <v>36</v>
      </c>
      <c r="H41" s="270">
        <v>47.4</v>
      </c>
      <c r="I41" s="270">
        <v>57.5</v>
      </c>
      <c r="J41" s="270">
        <v>60.7</v>
      </c>
      <c r="K41" s="270">
        <v>58.8</v>
      </c>
      <c r="L41" s="270">
        <v>50.1</v>
      </c>
      <c r="M41" s="270">
        <v>38.6</v>
      </c>
      <c r="N41" s="270">
        <v>26.2</v>
      </c>
      <c r="O41" s="270">
        <v>13.3</v>
      </c>
      <c r="P41" s="270">
        <v>36</v>
      </c>
      <c r="Q41" s="482" t="s">
        <v>441</v>
      </c>
      <c r="R41" s="482"/>
      <c r="S41" s="482"/>
      <c r="T41" s="165" t="s">
        <v>786</v>
      </c>
      <c r="U41" s="165" t="s">
        <v>782</v>
      </c>
    </row>
    <row r="42" spans="1:21" ht="18" customHeight="1" x14ac:dyDescent="0.25">
      <c r="A42" s="271" t="s">
        <v>440</v>
      </c>
      <c r="B42" s="165" t="s">
        <v>786</v>
      </c>
      <c r="C42" s="165" t="s">
        <v>782</v>
      </c>
      <c r="D42" s="270">
        <v>2.8</v>
      </c>
      <c r="E42" s="270">
        <v>7.8</v>
      </c>
      <c r="F42" s="270">
        <v>20.100000000000001</v>
      </c>
      <c r="G42" s="270">
        <v>33.1</v>
      </c>
      <c r="H42" s="270">
        <v>44.5</v>
      </c>
      <c r="I42" s="270">
        <v>54.8</v>
      </c>
      <c r="J42" s="270">
        <v>58.6</v>
      </c>
      <c r="K42" s="270">
        <v>56.5</v>
      </c>
      <c r="L42" s="270">
        <v>47.6</v>
      </c>
      <c r="M42" s="270">
        <v>35.9</v>
      </c>
      <c r="N42" s="270">
        <v>23.1</v>
      </c>
      <c r="O42" s="270">
        <v>9.6</v>
      </c>
      <c r="P42" s="270">
        <v>32.9</v>
      </c>
      <c r="Q42" s="482" t="s">
        <v>439</v>
      </c>
      <c r="R42" s="482"/>
      <c r="S42" s="482"/>
      <c r="T42" s="165" t="s">
        <v>786</v>
      </c>
      <c r="U42" s="165" t="s">
        <v>782</v>
      </c>
    </row>
    <row r="43" spans="1:21" ht="18" customHeight="1" x14ac:dyDescent="0.25">
      <c r="A43" s="271" t="s">
        <v>438</v>
      </c>
      <c r="B43" s="165" t="s">
        <v>786</v>
      </c>
      <c r="C43" s="165" t="s">
        <v>782</v>
      </c>
      <c r="D43" s="270">
        <v>7.8</v>
      </c>
      <c r="E43" s="270">
        <v>12.9</v>
      </c>
      <c r="F43" s="270">
        <v>24.1</v>
      </c>
      <c r="G43" s="270">
        <v>35.700000000000003</v>
      </c>
      <c r="H43" s="270">
        <v>47.4</v>
      </c>
      <c r="I43" s="270">
        <v>57.7</v>
      </c>
      <c r="J43" s="270">
        <v>61</v>
      </c>
      <c r="K43" s="270">
        <v>58.6</v>
      </c>
      <c r="L43" s="270">
        <v>48.9</v>
      </c>
      <c r="M43" s="270">
        <v>37.700000000000003</v>
      </c>
      <c r="N43" s="270">
        <v>25.5</v>
      </c>
      <c r="O43" s="270">
        <v>13.5</v>
      </c>
      <c r="P43" s="270">
        <v>35.9</v>
      </c>
      <c r="Q43" s="482" t="s">
        <v>437</v>
      </c>
      <c r="R43" s="482"/>
      <c r="S43" s="482"/>
      <c r="T43" s="165" t="s">
        <v>786</v>
      </c>
      <c r="U43" s="165" t="s">
        <v>782</v>
      </c>
    </row>
    <row r="44" spans="1:21" ht="18" customHeight="1" x14ac:dyDescent="0.25">
      <c r="A44" s="271" t="s">
        <v>436</v>
      </c>
      <c r="B44" s="165" t="s">
        <v>786</v>
      </c>
      <c r="C44" s="165" t="s">
        <v>782</v>
      </c>
      <c r="D44" s="270">
        <v>0.3</v>
      </c>
      <c r="E44" s="270">
        <v>5.7</v>
      </c>
      <c r="F44" s="270">
        <v>19.3</v>
      </c>
      <c r="G44" s="270">
        <v>33.5</v>
      </c>
      <c r="H44" s="270">
        <v>45.3</v>
      </c>
      <c r="I44" s="270">
        <v>56</v>
      </c>
      <c r="J44" s="270">
        <v>59.6</v>
      </c>
      <c r="K44" s="270">
        <v>57.8</v>
      </c>
      <c r="L44" s="270">
        <v>48.6</v>
      </c>
      <c r="M44" s="270">
        <v>36.1</v>
      </c>
      <c r="N44" s="270">
        <v>21.6</v>
      </c>
      <c r="O44" s="270">
        <v>7.9</v>
      </c>
      <c r="P44" s="270">
        <v>32.6</v>
      </c>
      <c r="Q44" s="482" t="s">
        <v>435</v>
      </c>
      <c r="R44" s="482"/>
      <c r="S44" s="482"/>
      <c r="T44" s="165" t="s">
        <v>786</v>
      </c>
      <c r="U44" s="165" t="s">
        <v>782</v>
      </c>
    </row>
    <row r="45" spans="1:21" ht="18" customHeight="1" x14ac:dyDescent="0.25">
      <c r="A45" s="271" t="s">
        <v>434</v>
      </c>
      <c r="B45" s="165" t="s">
        <v>786</v>
      </c>
      <c r="C45" s="165" t="s">
        <v>782</v>
      </c>
      <c r="D45" s="270">
        <v>7.9</v>
      </c>
      <c r="E45" s="270">
        <v>13.1</v>
      </c>
      <c r="F45" s="270">
        <v>23.5</v>
      </c>
      <c r="G45" s="270">
        <v>35.4</v>
      </c>
      <c r="H45" s="270">
        <v>47.2</v>
      </c>
      <c r="I45" s="270">
        <v>57.9</v>
      </c>
      <c r="J45" s="270">
        <v>62.5</v>
      </c>
      <c r="K45" s="270">
        <v>60.6</v>
      </c>
      <c r="L45" s="270">
        <v>50.6</v>
      </c>
      <c r="M45" s="270">
        <v>37.799999999999997</v>
      </c>
      <c r="N45" s="270">
        <v>24.2</v>
      </c>
      <c r="O45" s="270">
        <v>12.7</v>
      </c>
      <c r="P45" s="270">
        <v>36.1</v>
      </c>
      <c r="Q45" s="482" t="s">
        <v>433</v>
      </c>
      <c r="R45" s="482"/>
      <c r="S45" s="482"/>
      <c r="T45" s="165" t="s">
        <v>786</v>
      </c>
      <c r="U45" s="165" t="s">
        <v>782</v>
      </c>
    </row>
    <row r="46" spans="1:21" ht="18" customHeight="1" x14ac:dyDescent="0.25">
      <c r="A46" s="271" t="s">
        <v>432</v>
      </c>
      <c r="B46" s="165" t="s">
        <v>786</v>
      </c>
      <c r="C46" s="165" t="s">
        <v>782</v>
      </c>
      <c r="D46" s="270">
        <v>9.9</v>
      </c>
      <c r="E46" s="270">
        <v>15</v>
      </c>
      <c r="F46" s="270">
        <v>25.7</v>
      </c>
      <c r="G46" s="270">
        <v>38.700000000000003</v>
      </c>
      <c r="H46" s="270">
        <v>49.5</v>
      </c>
      <c r="I46" s="270">
        <v>59.6</v>
      </c>
      <c r="J46" s="270">
        <v>63.6</v>
      </c>
      <c r="K46" s="270">
        <v>61.9</v>
      </c>
      <c r="L46" s="270">
        <v>53.2</v>
      </c>
      <c r="M46" s="270">
        <v>41.6</v>
      </c>
      <c r="N46" s="270">
        <v>29.3</v>
      </c>
      <c r="O46" s="270">
        <v>16.5</v>
      </c>
      <c r="P46" s="270">
        <v>38.700000000000003</v>
      </c>
      <c r="Q46" s="482" t="s">
        <v>431</v>
      </c>
      <c r="R46" s="482"/>
      <c r="S46" s="482"/>
      <c r="T46" s="165" t="s">
        <v>786</v>
      </c>
      <c r="U46" s="165" t="s">
        <v>782</v>
      </c>
    </row>
    <row r="47" spans="1:21" ht="18" customHeight="1" x14ac:dyDescent="0.25">
      <c r="A47" s="269" t="s">
        <v>448</v>
      </c>
      <c r="B47" s="165" t="s">
        <v>787</v>
      </c>
      <c r="C47" s="165" t="s">
        <v>782</v>
      </c>
      <c r="D47" s="270">
        <v>18.5</v>
      </c>
      <c r="E47" s="270">
        <v>23.9</v>
      </c>
      <c r="F47" s="270">
        <v>34.299999999999997</v>
      </c>
      <c r="G47" s="270">
        <v>48</v>
      </c>
      <c r="H47" s="270">
        <v>61</v>
      </c>
      <c r="I47" s="270">
        <v>69.8</v>
      </c>
      <c r="J47" s="270">
        <v>74.7</v>
      </c>
      <c r="K47" s="270">
        <v>73.599999999999994</v>
      </c>
      <c r="L47" s="270">
        <v>64.7</v>
      </c>
      <c r="M47" s="270">
        <v>51</v>
      </c>
      <c r="N47" s="270">
        <v>35.6</v>
      </c>
      <c r="O47" s="270">
        <v>23</v>
      </c>
      <c r="P47" s="272">
        <v>48.2</v>
      </c>
      <c r="Q47" s="483" t="s">
        <v>447</v>
      </c>
      <c r="R47" s="483"/>
      <c r="S47" s="483"/>
      <c r="T47" s="165" t="s">
        <v>787</v>
      </c>
      <c r="U47" s="165" t="s">
        <v>782</v>
      </c>
    </row>
    <row r="48" spans="1:21" ht="18" customHeight="1" x14ac:dyDescent="0.25">
      <c r="A48" s="269" t="s">
        <v>446</v>
      </c>
      <c r="B48" s="165" t="s">
        <v>787</v>
      </c>
      <c r="C48" s="165" t="s">
        <v>782</v>
      </c>
      <c r="D48" s="270">
        <v>15</v>
      </c>
      <c r="E48" s="270">
        <v>21.9</v>
      </c>
      <c r="F48" s="270">
        <v>34.5</v>
      </c>
      <c r="G48" s="270">
        <v>50.4</v>
      </c>
      <c r="H48" s="270">
        <v>63.3</v>
      </c>
      <c r="I48" s="270">
        <v>72.400000000000006</v>
      </c>
      <c r="J48" s="270">
        <v>76.2</v>
      </c>
      <c r="K48" s="270">
        <v>75</v>
      </c>
      <c r="L48" s="270">
        <v>65.400000000000006</v>
      </c>
      <c r="M48" s="270">
        <v>50.6</v>
      </c>
      <c r="N48" s="270">
        <v>33.799999999999997</v>
      </c>
      <c r="O48" s="270">
        <v>20</v>
      </c>
      <c r="P48" s="272">
        <v>48.2</v>
      </c>
      <c r="Q48" s="483" t="s">
        <v>445</v>
      </c>
      <c r="R48" s="483"/>
      <c r="S48" s="483"/>
      <c r="T48" s="165" t="s">
        <v>787</v>
      </c>
      <c r="U48" s="165" t="s">
        <v>782</v>
      </c>
    </row>
    <row r="49" spans="1:21" ht="18" customHeight="1" x14ac:dyDescent="0.25">
      <c r="A49" s="271" t="s">
        <v>444</v>
      </c>
      <c r="B49" s="165" t="s">
        <v>787</v>
      </c>
      <c r="C49" s="165" t="s">
        <v>782</v>
      </c>
      <c r="D49" s="270">
        <v>22.8</v>
      </c>
      <c r="E49" s="270">
        <v>28.5</v>
      </c>
      <c r="F49" s="270">
        <v>40.6</v>
      </c>
      <c r="G49" s="270">
        <v>56.7</v>
      </c>
      <c r="H49" s="270">
        <v>68.3</v>
      </c>
      <c r="I49" s="270">
        <v>77.8</v>
      </c>
      <c r="J49" s="270">
        <v>81.900000000000006</v>
      </c>
      <c r="K49" s="270">
        <v>79.8</v>
      </c>
      <c r="L49" s="270">
        <v>71.5</v>
      </c>
      <c r="M49" s="270">
        <v>57.8</v>
      </c>
      <c r="N49" s="270">
        <v>41</v>
      </c>
      <c r="O49" s="270">
        <v>27.7</v>
      </c>
      <c r="P49" s="270">
        <v>54.5</v>
      </c>
      <c r="Q49" s="482" t="s">
        <v>443</v>
      </c>
      <c r="R49" s="482"/>
      <c r="S49" s="482"/>
      <c r="T49" s="165" t="s">
        <v>787</v>
      </c>
      <c r="U49" s="165" t="s">
        <v>782</v>
      </c>
    </row>
    <row r="50" spans="1:21" ht="18" customHeight="1" x14ac:dyDescent="0.25">
      <c r="A50" s="271" t="s">
        <v>442</v>
      </c>
      <c r="B50" s="165" t="s">
        <v>787</v>
      </c>
      <c r="C50" s="165" t="s">
        <v>782</v>
      </c>
      <c r="D50" s="270">
        <v>21.8</v>
      </c>
      <c r="E50" s="270">
        <v>26.8</v>
      </c>
      <c r="F50" s="270">
        <v>39.1</v>
      </c>
      <c r="G50" s="270">
        <v>55.3</v>
      </c>
      <c r="H50" s="270">
        <v>67</v>
      </c>
      <c r="I50" s="270">
        <v>76.400000000000006</v>
      </c>
      <c r="J50" s="270">
        <v>79</v>
      </c>
      <c r="K50" s="270">
        <v>77</v>
      </c>
      <c r="L50" s="270">
        <v>70.3</v>
      </c>
      <c r="M50" s="270">
        <v>57.4</v>
      </c>
      <c r="N50" s="270">
        <v>40.700000000000003</v>
      </c>
      <c r="O50" s="270">
        <v>27.1</v>
      </c>
      <c r="P50" s="270">
        <v>53.2</v>
      </c>
      <c r="Q50" s="482" t="s">
        <v>441</v>
      </c>
      <c r="R50" s="482"/>
      <c r="S50" s="482"/>
      <c r="T50" s="165" t="s">
        <v>787</v>
      </c>
      <c r="U50" s="165" t="s">
        <v>782</v>
      </c>
    </row>
    <row r="51" spans="1:21" ht="18" customHeight="1" x14ac:dyDescent="0.25">
      <c r="A51" s="271" t="s">
        <v>440</v>
      </c>
      <c r="B51" s="165" t="s">
        <v>787</v>
      </c>
      <c r="C51" s="165" t="s">
        <v>782</v>
      </c>
      <c r="D51" s="270">
        <v>20.399999999999999</v>
      </c>
      <c r="E51" s="270">
        <v>26.3</v>
      </c>
      <c r="F51" s="270">
        <v>38.200000000000003</v>
      </c>
      <c r="G51" s="270">
        <v>55</v>
      </c>
      <c r="H51" s="270">
        <v>67.599999999999994</v>
      </c>
      <c r="I51" s="270">
        <v>76.400000000000006</v>
      </c>
      <c r="J51" s="270">
        <v>80.7</v>
      </c>
      <c r="K51" s="270">
        <v>78.8</v>
      </c>
      <c r="L51" s="270">
        <v>70.3</v>
      </c>
      <c r="M51" s="270">
        <v>56.2</v>
      </c>
      <c r="N51" s="270">
        <v>38.9</v>
      </c>
      <c r="O51" s="270">
        <v>25.4</v>
      </c>
      <c r="P51" s="270">
        <v>52.9</v>
      </c>
      <c r="Q51" s="482" t="s">
        <v>439</v>
      </c>
      <c r="R51" s="482"/>
      <c r="S51" s="482"/>
      <c r="T51" s="165" t="s">
        <v>787</v>
      </c>
      <c r="U51" s="165" t="s">
        <v>782</v>
      </c>
    </row>
    <row r="52" spans="1:21" ht="18" customHeight="1" x14ac:dyDescent="0.25">
      <c r="A52" s="271" t="s">
        <v>438</v>
      </c>
      <c r="B52" s="165" t="s">
        <v>787</v>
      </c>
      <c r="C52" s="165" t="s">
        <v>782</v>
      </c>
      <c r="D52" s="270">
        <v>23.6</v>
      </c>
      <c r="E52" s="270">
        <v>29</v>
      </c>
      <c r="F52" s="270">
        <v>41.6</v>
      </c>
      <c r="G52" s="270">
        <v>57.7</v>
      </c>
      <c r="H52" s="270">
        <v>68.900000000000006</v>
      </c>
      <c r="I52" s="270">
        <v>78.5</v>
      </c>
      <c r="J52" s="270">
        <v>81.599999999999994</v>
      </c>
      <c r="K52" s="270">
        <v>79.400000000000006</v>
      </c>
      <c r="L52" s="270">
        <v>72.900000000000006</v>
      </c>
      <c r="M52" s="270">
        <v>59.8</v>
      </c>
      <c r="N52" s="270">
        <v>42.9</v>
      </c>
      <c r="O52" s="270">
        <v>28.7</v>
      </c>
      <c r="P52" s="270">
        <v>55.4</v>
      </c>
      <c r="Q52" s="482" t="s">
        <v>437</v>
      </c>
      <c r="R52" s="482"/>
      <c r="S52" s="482"/>
      <c r="T52" s="165" t="s">
        <v>787</v>
      </c>
      <c r="U52" s="165" t="s">
        <v>782</v>
      </c>
    </row>
    <row r="53" spans="1:21" ht="18" customHeight="1" x14ac:dyDescent="0.25">
      <c r="A53" s="271" t="s">
        <v>436</v>
      </c>
      <c r="B53" s="165" t="s">
        <v>787</v>
      </c>
      <c r="C53" s="165" t="s">
        <v>782</v>
      </c>
      <c r="D53" s="270">
        <v>16.7</v>
      </c>
      <c r="E53" s="270">
        <v>22.7</v>
      </c>
      <c r="F53" s="270">
        <v>35.200000000000003</v>
      </c>
      <c r="G53" s="270">
        <v>54.3</v>
      </c>
      <c r="H53" s="270">
        <v>67.599999999999994</v>
      </c>
      <c r="I53" s="270">
        <v>76.3</v>
      </c>
      <c r="J53" s="270">
        <v>80.5</v>
      </c>
      <c r="K53" s="270">
        <v>80</v>
      </c>
      <c r="L53" s="270">
        <v>70.8</v>
      </c>
      <c r="M53" s="270">
        <v>55.2</v>
      </c>
      <c r="N53" s="270">
        <v>37.1</v>
      </c>
      <c r="O53" s="270">
        <v>22.7</v>
      </c>
      <c r="P53" s="270">
        <v>51.6</v>
      </c>
      <c r="Q53" s="482" t="s">
        <v>435</v>
      </c>
      <c r="R53" s="482"/>
      <c r="S53" s="482"/>
      <c r="T53" s="165" t="s">
        <v>787</v>
      </c>
      <c r="U53" s="165" t="s">
        <v>782</v>
      </c>
    </row>
    <row r="54" spans="1:21" ht="18" customHeight="1" x14ac:dyDescent="0.25">
      <c r="A54" s="271" t="s">
        <v>434</v>
      </c>
      <c r="B54" s="165" t="s">
        <v>787</v>
      </c>
      <c r="C54" s="165" t="s">
        <v>782</v>
      </c>
      <c r="D54" s="270">
        <v>25.2</v>
      </c>
      <c r="E54" s="270">
        <v>31.2</v>
      </c>
      <c r="F54" s="270">
        <v>42.5</v>
      </c>
      <c r="G54" s="270">
        <v>57.5</v>
      </c>
      <c r="H54" s="270">
        <v>68.900000000000006</v>
      </c>
      <c r="I54" s="270">
        <v>78.400000000000006</v>
      </c>
      <c r="J54" s="270">
        <v>82.9</v>
      </c>
      <c r="K54" s="270">
        <v>81</v>
      </c>
      <c r="L54" s="270">
        <v>73.2</v>
      </c>
      <c r="M54" s="270">
        <v>59.6</v>
      </c>
      <c r="N54" s="270">
        <v>42.7</v>
      </c>
      <c r="O54" s="270">
        <v>29.4</v>
      </c>
      <c r="P54" s="270">
        <v>56</v>
      </c>
      <c r="Q54" s="482" t="s">
        <v>433</v>
      </c>
      <c r="R54" s="482"/>
      <c r="S54" s="482"/>
      <c r="T54" s="165" t="s">
        <v>787</v>
      </c>
      <c r="U54" s="165" t="s">
        <v>782</v>
      </c>
    </row>
    <row r="55" spans="1:21" ht="18" customHeight="1" x14ac:dyDescent="0.25">
      <c r="A55" s="271" t="s">
        <v>432</v>
      </c>
      <c r="B55" s="165" t="s">
        <v>787</v>
      </c>
      <c r="C55" s="165" t="s">
        <v>782</v>
      </c>
      <c r="D55" s="270">
        <v>25.6</v>
      </c>
      <c r="E55" s="270">
        <v>31.4</v>
      </c>
      <c r="F55" s="270">
        <v>43.7</v>
      </c>
      <c r="G55" s="270">
        <v>58.7</v>
      </c>
      <c r="H55" s="270">
        <v>70.099999999999994</v>
      </c>
      <c r="I55" s="270">
        <v>79.5</v>
      </c>
      <c r="J55" s="270">
        <v>83.2</v>
      </c>
      <c r="K55" s="270">
        <v>81</v>
      </c>
      <c r="L55" s="270">
        <v>73.2</v>
      </c>
      <c r="M55" s="270">
        <v>60</v>
      </c>
      <c r="N55" s="270">
        <v>43.8</v>
      </c>
      <c r="O55" s="270">
        <v>30.4</v>
      </c>
      <c r="P55" s="270">
        <v>56.7</v>
      </c>
      <c r="Q55" s="482" t="s">
        <v>431</v>
      </c>
      <c r="R55" s="482"/>
      <c r="S55" s="482"/>
      <c r="T55" s="165" t="s">
        <v>787</v>
      </c>
      <c r="U55" s="165" t="s">
        <v>782</v>
      </c>
    </row>
    <row r="56" spans="1:21" ht="18" customHeight="1" x14ac:dyDescent="0.2">
      <c r="A56" s="269" t="s">
        <v>448</v>
      </c>
      <c r="B56" s="165" t="s">
        <v>451</v>
      </c>
      <c r="C56" s="165" t="s">
        <v>450</v>
      </c>
      <c r="D56" s="270">
        <v>10.5</v>
      </c>
      <c r="E56" s="270">
        <v>10.3</v>
      </c>
      <c r="F56" s="270">
        <v>10.5</v>
      </c>
      <c r="G56" s="270">
        <v>11</v>
      </c>
      <c r="H56" s="270">
        <v>10.7</v>
      </c>
      <c r="I56" s="270">
        <v>9.4</v>
      </c>
      <c r="J56" s="270">
        <v>8.6999999999999993</v>
      </c>
      <c r="K56" s="270">
        <v>8.6999999999999993</v>
      </c>
      <c r="L56" s="270">
        <v>9.6</v>
      </c>
      <c r="M56" s="270">
        <v>10.5</v>
      </c>
      <c r="N56" s="270">
        <v>10.7</v>
      </c>
      <c r="O56" s="270">
        <v>10.3</v>
      </c>
      <c r="P56" s="270">
        <v>10.1</v>
      </c>
      <c r="Q56" s="483" t="s">
        <v>447</v>
      </c>
      <c r="R56" s="483"/>
      <c r="S56" s="483"/>
      <c r="T56" s="165" t="s">
        <v>451</v>
      </c>
      <c r="U56" s="165" t="s">
        <v>450</v>
      </c>
    </row>
    <row r="57" spans="1:21" ht="18" customHeight="1" x14ac:dyDescent="0.2">
      <c r="A57" s="269" t="s">
        <v>446</v>
      </c>
      <c r="B57" s="165" t="s">
        <v>451</v>
      </c>
      <c r="C57" s="165" t="s">
        <v>450</v>
      </c>
      <c r="D57" s="270">
        <v>7.8</v>
      </c>
      <c r="E57" s="270">
        <v>7.8</v>
      </c>
      <c r="F57" s="270">
        <v>8.5</v>
      </c>
      <c r="G57" s="270">
        <v>8.5</v>
      </c>
      <c r="H57" s="270">
        <v>8.6999999999999993</v>
      </c>
      <c r="I57" s="270">
        <v>7.6</v>
      </c>
      <c r="J57" s="270">
        <v>6.9</v>
      </c>
      <c r="K57" s="270">
        <v>6.7</v>
      </c>
      <c r="L57" s="270">
        <v>7.6</v>
      </c>
      <c r="M57" s="270">
        <v>8.3000000000000007</v>
      </c>
      <c r="N57" s="270">
        <v>8.3000000000000007</v>
      </c>
      <c r="O57" s="270">
        <v>7.6</v>
      </c>
      <c r="P57" s="270">
        <v>7.8</v>
      </c>
      <c r="Q57" s="483" t="s">
        <v>445</v>
      </c>
      <c r="R57" s="483"/>
      <c r="S57" s="483"/>
      <c r="T57" s="165" t="s">
        <v>451</v>
      </c>
      <c r="U57" s="165" t="s">
        <v>450</v>
      </c>
    </row>
    <row r="58" spans="1:21" ht="18" customHeight="1" x14ac:dyDescent="0.2">
      <c r="A58" s="271" t="s">
        <v>444</v>
      </c>
      <c r="B58" s="165" t="s">
        <v>451</v>
      </c>
      <c r="C58" s="165" t="s">
        <v>450</v>
      </c>
      <c r="D58" s="270">
        <v>9.4</v>
      </c>
      <c r="E58" s="270">
        <v>9.4</v>
      </c>
      <c r="F58" s="270">
        <v>9.8000000000000007</v>
      </c>
      <c r="G58" s="270">
        <v>10.7</v>
      </c>
      <c r="H58" s="270">
        <v>10.3</v>
      </c>
      <c r="I58" s="270">
        <v>9.1999999999999993</v>
      </c>
      <c r="J58" s="270">
        <v>8.5</v>
      </c>
      <c r="K58" s="270">
        <v>8.3000000000000007</v>
      </c>
      <c r="L58" s="270">
        <v>9.1999999999999993</v>
      </c>
      <c r="M58" s="270">
        <v>9.8000000000000007</v>
      </c>
      <c r="N58" s="270">
        <v>9.6</v>
      </c>
      <c r="O58" s="270">
        <v>9.1999999999999993</v>
      </c>
      <c r="P58" s="270">
        <v>9.4</v>
      </c>
      <c r="Q58" s="482" t="s">
        <v>443</v>
      </c>
      <c r="R58" s="482"/>
      <c r="S58" s="482"/>
      <c r="T58" s="165" t="s">
        <v>451</v>
      </c>
      <c r="U58" s="165" t="s">
        <v>450</v>
      </c>
    </row>
    <row r="59" spans="1:21" ht="18" customHeight="1" x14ac:dyDescent="0.2">
      <c r="A59" s="271" t="s">
        <v>442</v>
      </c>
      <c r="B59" s="165" t="s">
        <v>451</v>
      </c>
      <c r="C59" s="165" t="s">
        <v>450</v>
      </c>
      <c r="D59" s="270">
        <v>13</v>
      </c>
      <c r="E59" s="270">
        <v>13</v>
      </c>
      <c r="F59" s="270">
        <v>13</v>
      </c>
      <c r="G59" s="270">
        <v>13.4</v>
      </c>
      <c r="H59" s="270">
        <v>12.8</v>
      </c>
      <c r="I59" s="270">
        <v>10.7</v>
      </c>
      <c r="J59" s="270">
        <v>9.6</v>
      </c>
      <c r="K59" s="270">
        <v>8.9</v>
      </c>
      <c r="L59" s="270">
        <v>10.3</v>
      </c>
      <c r="M59" s="270">
        <v>11.6</v>
      </c>
      <c r="N59" s="270">
        <v>12.8</v>
      </c>
      <c r="O59" s="270">
        <v>13</v>
      </c>
      <c r="P59" s="270">
        <v>11.9</v>
      </c>
      <c r="Q59" s="482" t="s">
        <v>441</v>
      </c>
      <c r="R59" s="482"/>
      <c r="S59" s="482"/>
      <c r="T59" s="165" t="s">
        <v>451</v>
      </c>
      <c r="U59" s="165" t="s">
        <v>450</v>
      </c>
    </row>
    <row r="60" spans="1:21" ht="18" customHeight="1" x14ac:dyDescent="0.2">
      <c r="A60" s="271" t="s">
        <v>440</v>
      </c>
      <c r="B60" s="165" t="s">
        <v>451</v>
      </c>
      <c r="C60" s="165" t="s">
        <v>450</v>
      </c>
      <c r="D60" s="270">
        <v>8.3000000000000007</v>
      </c>
      <c r="E60" s="270">
        <v>8.3000000000000007</v>
      </c>
      <c r="F60" s="270">
        <v>8.6999999999999993</v>
      </c>
      <c r="G60" s="270">
        <v>9.4</v>
      </c>
      <c r="H60" s="270">
        <v>9.1999999999999993</v>
      </c>
      <c r="I60" s="270">
        <v>7.8</v>
      </c>
      <c r="J60" s="270">
        <v>6.7</v>
      </c>
      <c r="K60" s="270">
        <v>6.5</v>
      </c>
      <c r="L60" s="270">
        <v>7.4</v>
      </c>
      <c r="M60" s="270">
        <v>8.5</v>
      </c>
      <c r="N60" s="270">
        <v>8.5</v>
      </c>
      <c r="O60" s="270">
        <v>8.3000000000000007</v>
      </c>
      <c r="P60" s="270">
        <v>8.1</v>
      </c>
      <c r="Q60" s="482" t="s">
        <v>439</v>
      </c>
      <c r="R60" s="482"/>
      <c r="S60" s="482"/>
      <c r="T60" s="165" t="s">
        <v>451</v>
      </c>
      <c r="U60" s="165" t="s">
        <v>450</v>
      </c>
    </row>
    <row r="61" spans="1:21" ht="18" customHeight="1" x14ac:dyDescent="0.2">
      <c r="A61" s="271" t="s">
        <v>438</v>
      </c>
      <c r="B61" s="165" t="s">
        <v>451</v>
      </c>
      <c r="C61" s="165" t="s">
        <v>450</v>
      </c>
      <c r="D61" s="270">
        <v>12.3</v>
      </c>
      <c r="E61" s="270">
        <v>12.3</v>
      </c>
      <c r="F61" s="270">
        <v>12.5</v>
      </c>
      <c r="G61" s="270">
        <v>13.2</v>
      </c>
      <c r="H61" s="270">
        <v>12.3</v>
      </c>
      <c r="I61" s="270">
        <v>10.3</v>
      </c>
      <c r="J61" s="270">
        <v>8.6999999999999993</v>
      </c>
      <c r="K61" s="270">
        <v>7.8</v>
      </c>
      <c r="L61" s="270">
        <v>9.1999999999999993</v>
      </c>
      <c r="M61" s="270">
        <v>11</v>
      </c>
      <c r="N61" s="270">
        <v>11.9</v>
      </c>
      <c r="O61" s="270">
        <v>11.9</v>
      </c>
      <c r="P61" s="270">
        <v>11.2</v>
      </c>
      <c r="Q61" s="482" t="s">
        <v>437</v>
      </c>
      <c r="R61" s="482"/>
      <c r="S61" s="482"/>
      <c r="T61" s="165" t="s">
        <v>451</v>
      </c>
      <c r="U61" s="165" t="s">
        <v>450</v>
      </c>
    </row>
    <row r="62" spans="1:21" ht="18" customHeight="1" x14ac:dyDescent="0.2">
      <c r="A62" s="271" t="s">
        <v>436</v>
      </c>
      <c r="B62" s="165" t="s">
        <v>451</v>
      </c>
      <c r="C62" s="165" t="s">
        <v>450</v>
      </c>
      <c r="D62" s="270">
        <v>11</v>
      </c>
      <c r="E62" s="270">
        <v>11.4</v>
      </c>
      <c r="F62" s="270">
        <v>12.1</v>
      </c>
      <c r="G62" s="270">
        <v>12.3</v>
      </c>
      <c r="H62" s="270">
        <v>12.3</v>
      </c>
      <c r="I62" s="270">
        <v>10.3</v>
      </c>
      <c r="J62" s="270">
        <v>9.1999999999999993</v>
      </c>
      <c r="K62" s="270">
        <v>9.6</v>
      </c>
      <c r="L62" s="270">
        <v>10.5</v>
      </c>
      <c r="M62" s="270">
        <v>11.4</v>
      </c>
      <c r="N62" s="270">
        <v>11.4</v>
      </c>
      <c r="O62" s="270">
        <v>11.2</v>
      </c>
      <c r="P62" s="270">
        <v>11</v>
      </c>
      <c r="Q62" s="482" t="s">
        <v>435</v>
      </c>
      <c r="R62" s="482"/>
      <c r="S62" s="482"/>
      <c r="T62" s="165" t="s">
        <v>451</v>
      </c>
      <c r="U62" s="165" t="s">
        <v>450</v>
      </c>
    </row>
    <row r="63" spans="1:21" ht="18" customHeight="1" x14ac:dyDescent="0.2">
      <c r="A63" s="271" t="s">
        <v>434</v>
      </c>
      <c r="B63" s="165" t="s">
        <v>451</v>
      </c>
      <c r="C63" s="165" t="s">
        <v>450</v>
      </c>
      <c r="D63" s="270">
        <v>10.1</v>
      </c>
      <c r="E63" s="270">
        <v>10.3</v>
      </c>
      <c r="F63" s="270">
        <v>11.2</v>
      </c>
      <c r="G63" s="270">
        <v>11.9</v>
      </c>
      <c r="H63" s="270">
        <v>11.2</v>
      </c>
      <c r="I63" s="270">
        <v>9.8000000000000007</v>
      </c>
      <c r="J63" s="270">
        <v>9.1999999999999993</v>
      </c>
      <c r="K63" s="270">
        <v>8.6999999999999993</v>
      </c>
      <c r="L63" s="270">
        <v>9.6</v>
      </c>
      <c r="M63" s="270">
        <v>9.8000000000000007</v>
      </c>
      <c r="N63" s="270">
        <v>10.1</v>
      </c>
      <c r="O63" s="270">
        <v>9.8000000000000007</v>
      </c>
      <c r="P63" s="270">
        <v>10.1</v>
      </c>
      <c r="Q63" s="482" t="s">
        <v>433</v>
      </c>
      <c r="R63" s="482"/>
      <c r="S63" s="482"/>
      <c r="T63" s="165" t="s">
        <v>451</v>
      </c>
      <c r="U63" s="165" t="s">
        <v>450</v>
      </c>
    </row>
    <row r="64" spans="1:21" ht="18" customHeight="1" x14ac:dyDescent="0.2">
      <c r="A64" s="271" t="s">
        <v>432</v>
      </c>
      <c r="B64" s="165" t="s">
        <v>451</v>
      </c>
      <c r="C64" s="165" t="s">
        <v>450</v>
      </c>
      <c r="D64" s="270">
        <v>8.6999999999999993</v>
      </c>
      <c r="E64" s="270">
        <v>8.9</v>
      </c>
      <c r="F64" s="270">
        <v>9.1999999999999993</v>
      </c>
      <c r="G64" s="270">
        <v>9.8000000000000007</v>
      </c>
      <c r="H64" s="270">
        <v>9.1999999999999993</v>
      </c>
      <c r="I64" s="270">
        <v>8.1</v>
      </c>
      <c r="J64" s="270">
        <v>7.6</v>
      </c>
      <c r="K64" s="270">
        <v>7.4</v>
      </c>
      <c r="L64" s="270">
        <v>8.3000000000000007</v>
      </c>
      <c r="M64" s="270">
        <v>9.1999999999999993</v>
      </c>
      <c r="N64" s="270">
        <v>9.4</v>
      </c>
      <c r="O64" s="270">
        <v>8.6999999999999993</v>
      </c>
      <c r="P64" s="270">
        <v>8.6999999999999993</v>
      </c>
      <c r="Q64" s="482" t="s">
        <v>431</v>
      </c>
      <c r="R64" s="482"/>
      <c r="S64" s="482"/>
      <c r="T64" s="165" t="s">
        <v>451</v>
      </c>
      <c r="U64" s="165" t="s">
        <v>450</v>
      </c>
    </row>
    <row r="65" spans="1:21" ht="18" customHeight="1" x14ac:dyDescent="0.2">
      <c r="A65" s="269" t="s">
        <v>448</v>
      </c>
      <c r="B65" s="165" t="s">
        <v>449</v>
      </c>
      <c r="C65" s="165" t="s">
        <v>788</v>
      </c>
      <c r="D65" s="273">
        <v>461</v>
      </c>
      <c r="E65" s="273">
        <v>707</v>
      </c>
      <c r="F65" s="273">
        <v>1083</v>
      </c>
      <c r="G65" s="273">
        <v>1499</v>
      </c>
      <c r="H65" s="273">
        <v>1770</v>
      </c>
      <c r="I65" s="273">
        <v>1844</v>
      </c>
      <c r="J65" s="273">
        <v>1899</v>
      </c>
      <c r="K65" s="273">
        <v>1627</v>
      </c>
      <c r="L65" s="273">
        <v>1179</v>
      </c>
      <c r="M65" s="273">
        <v>724</v>
      </c>
      <c r="N65" s="273">
        <v>441</v>
      </c>
      <c r="O65" s="273">
        <v>365</v>
      </c>
      <c r="P65" s="273">
        <v>1133</v>
      </c>
      <c r="Q65" s="483" t="s">
        <v>447</v>
      </c>
      <c r="R65" s="483"/>
      <c r="S65" s="483"/>
      <c r="T65" s="165" t="s">
        <v>449</v>
      </c>
      <c r="U65" s="165" t="s">
        <v>788</v>
      </c>
    </row>
    <row r="66" spans="1:21" ht="18" customHeight="1" x14ac:dyDescent="0.2">
      <c r="A66" s="269" t="s">
        <v>446</v>
      </c>
      <c r="B66" s="165" t="s">
        <v>449</v>
      </c>
      <c r="C66" s="165" t="s">
        <v>788</v>
      </c>
      <c r="D66" s="273">
        <v>402</v>
      </c>
      <c r="E66" s="273">
        <v>667</v>
      </c>
      <c r="F66" s="273">
        <v>1041</v>
      </c>
      <c r="G66" s="273">
        <v>1501</v>
      </c>
      <c r="H66" s="273">
        <v>1708</v>
      </c>
      <c r="I66" s="273">
        <v>1788</v>
      </c>
      <c r="J66" s="273">
        <v>1807</v>
      </c>
      <c r="K66" s="273">
        <v>1574</v>
      </c>
      <c r="L66" s="273">
        <v>1102</v>
      </c>
      <c r="M66" s="273">
        <v>657</v>
      </c>
      <c r="N66" s="273">
        <v>375</v>
      </c>
      <c r="O66" s="273">
        <v>300</v>
      </c>
      <c r="P66" s="273">
        <v>1077</v>
      </c>
      <c r="Q66" s="483" t="s">
        <v>445</v>
      </c>
      <c r="R66" s="483"/>
      <c r="S66" s="483"/>
      <c r="T66" s="165" t="s">
        <v>449</v>
      </c>
      <c r="U66" s="165" t="s">
        <v>788</v>
      </c>
    </row>
    <row r="67" spans="1:21" ht="18" customHeight="1" x14ac:dyDescent="0.2">
      <c r="A67" s="271" t="s">
        <v>444</v>
      </c>
      <c r="B67" s="165" t="s">
        <v>449</v>
      </c>
      <c r="C67" s="165" t="s">
        <v>788</v>
      </c>
      <c r="D67" s="273">
        <v>490</v>
      </c>
      <c r="E67" s="273">
        <v>752</v>
      </c>
      <c r="F67" s="273">
        <v>1116</v>
      </c>
      <c r="G67" s="273">
        <v>1476</v>
      </c>
      <c r="H67" s="273">
        <v>1712</v>
      </c>
      <c r="I67" s="273">
        <v>1856</v>
      </c>
      <c r="J67" s="273">
        <v>1930</v>
      </c>
      <c r="K67" s="273">
        <v>1655</v>
      </c>
      <c r="L67" s="273">
        <v>1265</v>
      </c>
      <c r="M67" s="273">
        <v>814</v>
      </c>
      <c r="N67" s="273">
        <v>501</v>
      </c>
      <c r="O67" s="273">
        <v>389</v>
      </c>
      <c r="P67" s="273">
        <v>1163</v>
      </c>
      <c r="Q67" s="482" t="s">
        <v>443</v>
      </c>
      <c r="R67" s="482"/>
      <c r="S67" s="482"/>
      <c r="T67" s="165" t="s">
        <v>449</v>
      </c>
      <c r="U67" s="165" t="s">
        <v>788</v>
      </c>
    </row>
    <row r="68" spans="1:21" ht="18" customHeight="1" x14ac:dyDescent="0.2">
      <c r="A68" s="271" t="s">
        <v>442</v>
      </c>
      <c r="B68" s="165" t="s">
        <v>449</v>
      </c>
      <c r="C68" s="165" t="s">
        <v>788</v>
      </c>
      <c r="D68" s="273">
        <v>474</v>
      </c>
      <c r="E68" s="273">
        <v>708</v>
      </c>
      <c r="F68" s="273">
        <v>1106</v>
      </c>
      <c r="G68" s="273">
        <v>1489</v>
      </c>
      <c r="H68" s="273">
        <v>1709</v>
      </c>
      <c r="I68" s="273">
        <v>1891</v>
      </c>
      <c r="J68" s="273">
        <v>1955</v>
      </c>
      <c r="K68" s="273">
        <v>1664</v>
      </c>
      <c r="L68" s="273">
        <v>1286</v>
      </c>
      <c r="M68" s="273">
        <v>848</v>
      </c>
      <c r="N68" s="273">
        <v>513</v>
      </c>
      <c r="O68" s="273">
        <v>384</v>
      </c>
      <c r="P68" s="273">
        <v>1169</v>
      </c>
      <c r="Q68" s="482" t="s">
        <v>441</v>
      </c>
      <c r="R68" s="482"/>
      <c r="S68" s="482"/>
      <c r="T68" s="165" t="s">
        <v>449</v>
      </c>
      <c r="U68" s="165" t="s">
        <v>788</v>
      </c>
    </row>
    <row r="69" spans="1:21" ht="18" customHeight="1" x14ac:dyDescent="0.2">
      <c r="A69" s="271" t="s">
        <v>440</v>
      </c>
      <c r="B69" s="165" t="s">
        <v>449</v>
      </c>
      <c r="C69" s="165" t="s">
        <v>788</v>
      </c>
      <c r="D69" s="273">
        <v>453</v>
      </c>
      <c r="E69" s="273">
        <v>700</v>
      </c>
      <c r="F69" s="273">
        <v>1094</v>
      </c>
      <c r="G69" s="273">
        <v>1527</v>
      </c>
      <c r="H69" s="273">
        <v>1754</v>
      </c>
      <c r="I69" s="273">
        <v>1906</v>
      </c>
      <c r="J69" s="273">
        <v>1967</v>
      </c>
      <c r="K69" s="273">
        <v>1669</v>
      </c>
      <c r="L69" s="273">
        <v>1259</v>
      </c>
      <c r="M69" s="273">
        <v>802</v>
      </c>
      <c r="N69" s="273">
        <v>481</v>
      </c>
      <c r="O69" s="273">
        <v>367</v>
      </c>
      <c r="P69" s="273">
        <v>1165</v>
      </c>
      <c r="Q69" s="482" t="s">
        <v>439</v>
      </c>
      <c r="R69" s="482"/>
      <c r="S69" s="482"/>
      <c r="T69" s="165" t="s">
        <v>449</v>
      </c>
      <c r="U69" s="165" t="s">
        <v>788</v>
      </c>
    </row>
    <row r="70" spans="1:21" ht="18" customHeight="1" x14ac:dyDescent="0.2">
      <c r="A70" s="271" t="s">
        <v>438</v>
      </c>
      <c r="B70" s="165" t="s">
        <v>449</v>
      </c>
      <c r="C70" s="165" t="s">
        <v>788</v>
      </c>
      <c r="D70" s="273">
        <v>469</v>
      </c>
      <c r="E70" s="273">
        <v>722</v>
      </c>
      <c r="F70" s="273">
        <v>1111</v>
      </c>
      <c r="G70" s="273">
        <v>1479</v>
      </c>
      <c r="H70" s="273">
        <v>1707</v>
      </c>
      <c r="I70" s="273">
        <v>1902</v>
      </c>
      <c r="J70" s="273">
        <v>1944</v>
      </c>
      <c r="K70" s="273">
        <v>1678</v>
      </c>
      <c r="L70" s="273">
        <v>1308</v>
      </c>
      <c r="M70" s="273">
        <v>878</v>
      </c>
      <c r="N70" s="273">
        <v>538</v>
      </c>
      <c r="O70" s="273">
        <v>388</v>
      </c>
      <c r="P70" s="273">
        <v>1177</v>
      </c>
      <c r="Q70" s="482" t="s">
        <v>437</v>
      </c>
      <c r="R70" s="482"/>
      <c r="S70" s="482"/>
      <c r="T70" s="165" t="s">
        <v>449</v>
      </c>
      <c r="U70" s="165" t="s">
        <v>788</v>
      </c>
    </row>
    <row r="71" spans="1:21" ht="18" customHeight="1" x14ac:dyDescent="0.2">
      <c r="A71" s="271" t="s">
        <v>436</v>
      </c>
      <c r="B71" s="165" t="s">
        <v>449</v>
      </c>
      <c r="C71" s="165" t="s">
        <v>788</v>
      </c>
      <c r="D71" s="273">
        <v>383</v>
      </c>
      <c r="E71" s="273">
        <v>606</v>
      </c>
      <c r="F71" s="273">
        <v>1023</v>
      </c>
      <c r="G71" s="273">
        <v>1562</v>
      </c>
      <c r="H71" s="273">
        <v>1804</v>
      </c>
      <c r="I71" s="273">
        <v>1914</v>
      </c>
      <c r="J71" s="273">
        <v>1984</v>
      </c>
      <c r="K71" s="273">
        <v>1716</v>
      </c>
      <c r="L71" s="273">
        <v>1261</v>
      </c>
      <c r="M71" s="273">
        <v>785</v>
      </c>
      <c r="N71" s="273">
        <v>445</v>
      </c>
      <c r="O71" s="273">
        <v>313</v>
      </c>
      <c r="P71" s="273">
        <v>1149</v>
      </c>
      <c r="Q71" s="482" t="s">
        <v>435</v>
      </c>
      <c r="R71" s="482"/>
      <c r="S71" s="482"/>
      <c r="T71" s="165" t="s">
        <v>449</v>
      </c>
      <c r="U71" s="165" t="s">
        <v>788</v>
      </c>
    </row>
    <row r="72" spans="1:21" ht="18" customHeight="1" x14ac:dyDescent="0.2">
      <c r="A72" s="271" t="s">
        <v>434</v>
      </c>
      <c r="B72" s="165" t="s">
        <v>449</v>
      </c>
      <c r="C72" s="165" t="s">
        <v>788</v>
      </c>
      <c r="D72" s="273">
        <v>507</v>
      </c>
      <c r="E72" s="273">
        <v>777</v>
      </c>
      <c r="F72" s="273">
        <v>1169</v>
      </c>
      <c r="G72" s="273">
        <v>1523</v>
      </c>
      <c r="H72" s="273">
        <v>1751</v>
      </c>
      <c r="I72" s="273">
        <v>1979</v>
      </c>
      <c r="J72" s="273">
        <v>2046</v>
      </c>
      <c r="K72" s="273">
        <v>1762</v>
      </c>
      <c r="L72" s="273">
        <v>1393</v>
      </c>
      <c r="M72" s="273">
        <v>947</v>
      </c>
      <c r="N72" s="273">
        <v>576</v>
      </c>
      <c r="O72" s="273">
        <v>442</v>
      </c>
      <c r="P72" s="273">
        <v>1239</v>
      </c>
      <c r="Q72" s="482" t="s">
        <v>433</v>
      </c>
      <c r="R72" s="482"/>
      <c r="S72" s="482"/>
      <c r="T72" s="165" t="s">
        <v>449</v>
      </c>
      <c r="U72" s="165" t="s">
        <v>788</v>
      </c>
    </row>
    <row r="73" spans="1:21" ht="18" customHeight="1" x14ac:dyDescent="0.2">
      <c r="A73" s="271" t="s">
        <v>432</v>
      </c>
      <c r="B73" s="165" t="s">
        <v>449</v>
      </c>
      <c r="C73" s="165" t="s">
        <v>788</v>
      </c>
      <c r="D73" s="273">
        <v>507</v>
      </c>
      <c r="E73" s="273">
        <v>767</v>
      </c>
      <c r="F73" s="273">
        <v>1131</v>
      </c>
      <c r="G73" s="273">
        <v>1445</v>
      </c>
      <c r="H73" s="273">
        <v>1723</v>
      </c>
      <c r="I73" s="273">
        <v>1887</v>
      </c>
      <c r="J73" s="273">
        <v>1895</v>
      </c>
      <c r="K73" s="273">
        <v>1615</v>
      </c>
      <c r="L73" s="273">
        <v>1260</v>
      </c>
      <c r="M73" s="273">
        <v>829</v>
      </c>
      <c r="N73" s="273">
        <v>512</v>
      </c>
      <c r="O73" s="273">
        <v>397</v>
      </c>
      <c r="P73" s="273">
        <v>1164</v>
      </c>
      <c r="Q73" s="482" t="s">
        <v>431</v>
      </c>
      <c r="R73" s="482"/>
      <c r="S73" s="482"/>
      <c r="T73" s="165" t="s">
        <v>449</v>
      </c>
      <c r="U73" s="165" t="s">
        <v>788</v>
      </c>
    </row>
    <row r="74" spans="1:21" ht="18" customHeight="1" x14ac:dyDescent="0.25">
      <c r="A74" s="269" t="s">
        <v>448</v>
      </c>
      <c r="B74" s="165" t="s">
        <v>690</v>
      </c>
      <c r="C74" s="165" t="s">
        <v>387</v>
      </c>
      <c r="D74" s="260"/>
      <c r="E74" s="260"/>
      <c r="F74" s="260"/>
      <c r="G74" s="260"/>
      <c r="H74" s="260"/>
      <c r="I74" s="260"/>
      <c r="J74" s="260"/>
      <c r="K74" s="260"/>
      <c r="L74" s="260"/>
      <c r="M74" s="260"/>
      <c r="N74" s="260"/>
      <c r="O74" s="260"/>
      <c r="P74" s="274">
        <v>13.95</v>
      </c>
      <c r="Q74" s="483" t="s">
        <v>447</v>
      </c>
      <c r="R74" s="483"/>
      <c r="S74" s="483"/>
      <c r="T74" s="165" t="s">
        <v>690</v>
      </c>
      <c r="U74" s="165" t="s">
        <v>387</v>
      </c>
    </row>
    <row r="75" spans="1:21" ht="18" customHeight="1" x14ac:dyDescent="0.25">
      <c r="A75" s="269" t="s">
        <v>446</v>
      </c>
      <c r="B75" s="165" t="s">
        <v>690</v>
      </c>
      <c r="C75" s="165" t="s">
        <v>387</v>
      </c>
      <c r="D75" s="260"/>
      <c r="E75" s="260"/>
      <c r="F75" s="260"/>
      <c r="G75" s="260"/>
      <c r="H75" s="260"/>
      <c r="I75" s="260"/>
      <c r="J75" s="260"/>
      <c r="K75" s="260"/>
      <c r="L75" s="260"/>
      <c r="M75" s="260"/>
      <c r="N75" s="260"/>
      <c r="O75" s="260"/>
      <c r="P75" s="274">
        <v>14.08</v>
      </c>
      <c r="Q75" s="483" t="s">
        <v>445</v>
      </c>
      <c r="R75" s="483"/>
      <c r="S75" s="483"/>
      <c r="T75" s="165" t="s">
        <v>690</v>
      </c>
      <c r="U75" s="165" t="s">
        <v>387</v>
      </c>
    </row>
    <row r="76" spans="1:21" ht="18" customHeight="1" x14ac:dyDescent="0.25">
      <c r="A76" s="271" t="s">
        <v>444</v>
      </c>
      <c r="B76" s="165" t="s">
        <v>690</v>
      </c>
      <c r="C76" s="165" t="s">
        <v>387</v>
      </c>
      <c r="D76" s="260"/>
      <c r="E76" s="260"/>
      <c r="F76" s="260"/>
      <c r="G76" s="260"/>
      <c r="H76" s="260"/>
      <c r="I76" s="260"/>
      <c r="J76" s="260"/>
      <c r="K76" s="260"/>
      <c r="L76" s="260"/>
      <c r="M76" s="260"/>
      <c r="N76" s="260"/>
      <c r="O76" s="260"/>
      <c r="P76" s="274">
        <v>14.26</v>
      </c>
      <c r="Q76" s="482" t="s">
        <v>443</v>
      </c>
      <c r="R76" s="482"/>
      <c r="S76" s="482"/>
      <c r="T76" s="165" t="s">
        <v>690</v>
      </c>
      <c r="U76" s="165" t="s">
        <v>387</v>
      </c>
    </row>
    <row r="77" spans="1:21" ht="18" customHeight="1" x14ac:dyDescent="0.25">
      <c r="A77" s="271" t="s">
        <v>442</v>
      </c>
      <c r="B77" s="165" t="s">
        <v>690</v>
      </c>
      <c r="C77" s="165" t="s">
        <v>387</v>
      </c>
      <c r="D77" s="260"/>
      <c r="E77" s="260"/>
      <c r="F77" s="260"/>
      <c r="G77" s="260"/>
      <c r="H77" s="260"/>
      <c r="I77" s="260"/>
      <c r="J77" s="260"/>
      <c r="K77" s="260"/>
      <c r="L77" s="260"/>
      <c r="M77" s="260"/>
      <c r="N77" s="260"/>
      <c r="O77" s="260"/>
      <c r="P77" s="274">
        <v>14.01</v>
      </c>
      <c r="Q77" s="482" t="s">
        <v>441</v>
      </c>
      <c r="R77" s="482"/>
      <c r="S77" s="482"/>
      <c r="T77" s="165" t="s">
        <v>690</v>
      </c>
      <c r="U77" s="165" t="s">
        <v>387</v>
      </c>
    </row>
    <row r="78" spans="1:21" ht="18" customHeight="1" x14ac:dyDescent="0.25">
      <c r="A78" s="271" t="s">
        <v>440</v>
      </c>
      <c r="B78" s="165" t="s">
        <v>690</v>
      </c>
      <c r="C78" s="165" t="s">
        <v>387</v>
      </c>
      <c r="D78" s="260"/>
      <c r="E78" s="260"/>
      <c r="F78" s="260"/>
      <c r="G78" s="260"/>
      <c r="H78" s="260"/>
      <c r="I78" s="260"/>
      <c r="J78" s="260"/>
      <c r="K78" s="260"/>
      <c r="L78" s="260"/>
      <c r="M78" s="260"/>
      <c r="N78" s="260"/>
      <c r="O78" s="260"/>
      <c r="P78" s="274">
        <v>14.16</v>
      </c>
      <c r="Q78" s="482" t="s">
        <v>439</v>
      </c>
      <c r="R78" s="482"/>
      <c r="S78" s="482"/>
      <c r="T78" s="165" t="s">
        <v>690</v>
      </c>
      <c r="U78" s="165" t="s">
        <v>387</v>
      </c>
    </row>
    <row r="79" spans="1:21" ht="18" customHeight="1" x14ac:dyDescent="0.25">
      <c r="A79" s="271" t="s">
        <v>438</v>
      </c>
      <c r="B79" s="165" t="s">
        <v>690</v>
      </c>
      <c r="C79" s="165" t="s">
        <v>387</v>
      </c>
      <c r="D79" s="260"/>
      <c r="E79" s="260"/>
      <c r="F79" s="260"/>
      <c r="G79" s="260"/>
      <c r="H79" s="260"/>
      <c r="I79" s="260"/>
      <c r="J79" s="260"/>
      <c r="K79" s="260"/>
      <c r="L79" s="260"/>
      <c r="M79" s="260"/>
      <c r="N79" s="260"/>
      <c r="O79" s="260"/>
      <c r="P79" s="274">
        <v>14.07</v>
      </c>
      <c r="Q79" s="482" t="s">
        <v>437</v>
      </c>
      <c r="R79" s="482"/>
      <c r="S79" s="482"/>
      <c r="T79" s="165" t="s">
        <v>690</v>
      </c>
      <c r="U79" s="165" t="s">
        <v>387</v>
      </c>
    </row>
    <row r="80" spans="1:21" ht="18" customHeight="1" x14ac:dyDescent="0.25">
      <c r="A80" s="271" t="s">
        <v>436</v>
      </c>
      <c r="B80" s="165" t="s">
        <v>690</v>
      </c>
      <c r="C80" s="165" t="s">
        <v>387</v>
      </c>
      <c r="D80" s="260"/>
      <c r="E80" s="260"/>
      <c r="F80" s="260"/>
      <c r="G80" s="260"/>
      <c r="H80" s="260"/>
      <c r="I80" s="260"/>
      <c r="J80" s="260"/>
      <c r="K80" s="260"/>
      <c r="L80" s="260"/>
      <c r="M80" s="260"/>
      <c r="N80" s="260"/>
      <c r="O80" s="260"/>
      <c r="P80" s="274">
        <v>14.23</v>
      </c>
      <c r="Q80" s="482" t="s">
        <v>435</v>
      </c>
      <c r="R80" s="482"/>
      <c r="S80" s="482"/>
      <c r="T80" s="165" t="s">
        <v>690</v>
      </c>
      <c r="U80" s="165" t="s">
        <v>387</v>
      </c>
    </row>
    <row r="81" spans="1:21" ht="18" customHeight="1" x14ac:dyDescent="0.25">
      <c r="A81" s="271" t="s">
        <v>434</v>
      </c>
      <c r="B81" s="165" t="s">
        <v>690</v>
      </c>
      <c r="C81" s="165" t="s">
        <v>387</v>
      </c>
      <c r="D81" s="260"/>
      <c r="E81" s="260"/>
      <c r="F81" s="260"/>
      <c r="G81" s="260"/>
      <c r="H81" s="260"/>
      <c r="I81" s="260"/>
      <c r="J81" s="260"/>
      <c r="K81" s="260"/>
      <c r="L81" s="260"/>
      <c r="M81" s="260"/>
      <c r="N81" s="260"/>
      <c r="O81" s="260"/>
      <c r="P81" s="274">
        <v>13.95</v>
      </c>
      <c r="Q81" s="482" t="s">
        <v>433</v>
      </c>
      <c r="R81" s="482"/>
      <c r="S81" s="482"/>
      <c r="T81" s="165" t="s">
        <v>690</v>
      </c>
      <c r="U81" s="165" t="s">
        <v>387</v>
      </c>
    </row>
    <row r="82" spans="1:21" ht="18" customHeight="1" x14ac:dyDescent="0.25">
      <c r="A82" s="271" t="s">
        <v>432</v>
      </c>
      <c r="B82" s="165" t="s">
        <v>690</v>
      </c>
      <c r="C82" s="165" t="s">
        <v>387</v>
      </c>
      <c r="D82" s="260"/>
      <c r="E82" s="260"/>
      <c r="F82" s="260"/>
      <c r="G82" s="260"/>
      <c r="H82" s="260"/>
      <c r="I82" s="260"/>
      <c r="J82" s="260"/>
      <c r="K82" s="260"/>
      <c r="L82" s="260"/>
      <c r="M82" s="260"/>
      <c r="N82" s="260"/>
      <c r="O82" s="260"/>
      <c r="P82" s="274">
        <v>14.36</v>
      </c>
      <c r="Q82" s="482" t="s">
        <v>431</v>
      </c>
      <c r="R82" s="482"/>
      <c r="S82" s="482"/>
      <c r="T82" s="165" t="s">
        <v>690</v>
      </c>
      <c r="U82" s="165" t="s">
        <v>387</v>
      </c>
    </row>
    <row r="83" spans="1:21" x14ac:dyDescent="0.2">
      <c r="A83" s="475" t="s">
        <v>428</v>
      </c>
      <c r="B83" s="475" t="s">
        <v>427</v>
      </c>
      <c r="C83" s="475"/>
      <c r="D83" s="475" t="s">
        <v>430</v>
      </c>
      <c r="E83" s="475"/>
      <c r="F83" s="475"/>
      <c r="G83" s="475"/>
      <c r="H83" s="475"/>
      <c r="I83" s="475"/>
      <c r="J83" s="475"/>
      <c r="K83" s="475"/>
      <c r="L83" s="475"/>
      <c r="M83" s="475"/>
      <c r="N83" s="475"/>
      <c r="O83" s="475"/>
      <c r="P83" s="470" t="s">
        <v>429</v>
      </c>
      <c r="Q83" s="475" t="s">
        <v>428</v>
      </c>
      <c r="R83" s="475"/>
      <c r="S83" s="475"/>
      <c r="T83" s="475" t="s">
        <v>427</v>
      </c>
      <c r="U83" s="475"/>
    </row>
    <row r="84" spans="1:21" x14ac:dyDescent="0.2">
      <c r="A84" s="475"/>
      <c r="B84" s="165" t="s">
        <v>417</v>
      </c>
      <c r="C84" s="165" t="s">
        <v>416</v>
      </c>
      <c r="D84" s="260" t="s">
        <v>426</v>
      </c>
      <c r="E84" s="260" t="s">
        <v>425</v>
      </c>
      <c r="F84" s="260" t="s">
        <v>424</v>
      </c>
      <c r="G84" s="260" t="s">
        <v>423</v>
      </c>
      <c r="H84" s="260" t="s">
        <v>405</v>
      </c>
      <c r="I84" s="260" t="s">
        <v>404</v>
      </c>
      <c r="J84" s="260" t="s">
        <v>403</v>
      </c>
      <c r="K84" s="260" t="s">
        <v>422</v>
      </c>
      <c r="L84" s="260" t="s">
        <v>421</v>
      </c>
      <c r="M84" s="260" t="s">
        <v>420</v>
      </c>
      <c r="N84" s="260" t="s">
        <v>419</v>
      </c>
      <c r="O84" s="260" t="s">
        <v>418</v>
      </c>
      <c r="P84" s="471"/>
      <c r="Q84" s="475"/>
      <c r="R84" s="475"/>
      <c r="S84" s="475"/>
      <c r="T84" s="165" t="s">
        <v>417</v>
      </c>
      <c r="U84" s="165" t="s">
        <v>416</v>
      </c>
    </row>
    <row r="86" spans="1:21" ht="17.25" customHeight="1" x14ac:dyDescent="0.2">
      <c r="A86" s="472" t="s">
        <v>789</v>
      </c>
      <c r="B86" s="472"/>
      <c r="C86" s="472"/>
      <c r="D86" s="472"/>
      <c r="E86" s="472"/>
      <c r="F86" s="472"/>
      <c r="G86" s="472"/>
      <c r="H86" s="472"/>
      <c r="I86" s="472"/>
      <c r="J86" s="472"/>
    </row>
    <row r="87" spans="1:21" x14ac:dyDescent="0.2">
      <c r="A87" s="472"/>
      <c r="B87" s="472"/>
      <c r="C87" s="472"/>
      <c r="D87" s="472"/>
      <c r="E87" s="472"/>
      <c r="F87" s="472"/>
      <c r="G87" s="472"/>
      <c r="H87" s="472"/>
      <c r="I87" s="472"/>
      <c r="J87" s="472"/>
    </row>
    <row r="88" spans="1:21" ht="13.5" x14ac:dyDescent="0.25">
      <c r="A88" s="259" t="s">
        <v>790</v>
      </c>
    </row>
    <row r="89" spans="1:21" ht="13.5" x14ac:dyDescent="0.25">
      <c r="A89" s="259" t="s">
        <v>791</v>
      </c>
    </row>
    <row r="90" spans="1:21" x14ac:dyDescent="0.2">
      <c r="A90" s="259" t="s">
        <v>415</v>
      </c>
    </row>
    <row r="91" spans="1:21" x14ac:dyDescent="0.2">
      <c r="A91" s="259" t="s">
        <v>414</v>
      </c>
    </row>
    <row r="92" spans="1:21" ht="13.5" x14ac:dyDescent="0.25">
      <c r="A92" s="259" t="s">
        <v>792</v>
      </c>
    </row>
    <row r="94" spans="1:21" x14ac:dyDescent="0.2">
      <c r="A94" s="275"/>
      <c r="B94" s="117"/>
      <c r="C94" s="117"/>
      <c r="D94" s="117"/>
      <c r="E94" s="117"/>
      <c r="F94" s="123"/>
      <c r="G94" s="123"/>
      <c r="H94" s="123"/>
      <c r="I94" s="123"/>
      <c r="J94" s="123"/>
      <c r="K94" s="123"/>
      <c r="L94" s="123"/>
      <c r="M94" s="123"/>
    </row>
    <row r="95" spans="1:21" x14ac:dyDescent="0.2">
      <c r="A95" s="473"/>
      <c r="B95" s="473"/>
      <c r="C95" s="364"/>
      <c r="D95" s="364"/>
      <c r="E95" s="364"/>
      <c r="F95" s="364"/>
      <c r="G95" s="364"/>
      <c r="H95" s="364"/>
      <c r="I95" s="123"/>
      <c r="J95" s="123"/>
      <c r="K95" s="123"/>
      <c r="L95" s="123"/>
      <c r="M95" s="123"/>
    </row>
    <row r="96" spans="1:21" x14ac:dyDescent="0.2">
      <c r="A96" s="473"/>
      <c r="B96" s="473"/>
      <c r="C96" s="276"/>
      <c r="D96" s="276"/>
      <c r="E96" s="276"/>
      <c r="F96" s="276"/>
      <c r="G96" s="276"/>
      <c r="H96" s="276"/>
      <c r="I96" s="123"/>
      <c r="J96" s="123"/>
      <c r="K96" s="123"/>
      <c r="L96" s="123"/>
      <c r="M96" s="123"/>
    </row>
    <row r="97" spans="1:13" x14ac:dyDescent="0.2">
      <c r="A97" s="473"/>
      <c r="B97" s="473"/>
      <c r="C97" s="276"/>
      <c r="D97" s="276"/>
      <c r="E97" s="276"/>
      <c r="F97" s="276"/>
      <c r="G97" s="276"/>
      <c r="H97" s="276"/>
      <c r="I97" s="123"/>
      <c r="J97" s="123"/>
      <c r="K97" s="123"/>
      <c r="L97" s="123"/>
      <c r="M97" s="123"/>
    </row>
    <row r="98" spans="1:13" x14ac:dyDescent="0.2">
      <c r="A98" s="277"/>
      <c r="B98" s="277"/>
      <c r="C98" s="276"/>
      <c r="D98" s="276"/>
      <c r="E98" s="276"/>
      <c r="F98" s="276"/>
      <c r="G98" s="276"/>
      <c r="H98" s="276"/>
      <c r="I98" s="123"/>
      <c r="J98" s="123"/>
      <c r="K98" s="123"/>
      <c r="L98" s="123"/>
      <c r="M98" s="123"/>
    </row>
    <row r="99" spans="1:13" ht="13.5" x14ac:dyDescent="0.2">
      <c r="A99" s="278"/>
      <c r="B99" s="279"/>
      <c r="C99" s="280"/>
      <c r="D99" s="280"/>
      <c r="E99" s="280"/>
      <c r="F99" s="280"/>
      <c r="G99" s="280"/>
      <c r="H99" s="280"/>
      <c r="I99" s="123"/>
      <c r="J99" s="123"/>
      <c r="K99" s="123"/>
      <c r="L99" s="123"/>
      <c r="M99" s="123"/>
    </row>
    <row r="100" spans="1:13" x14ac:dyDescent="0.2">
      <c r="A100" s="278"/>
      <c r="B100" s="278"/>
      <c r="C100" s="280"/>
      <c r="D100" s="280"/>
      <c r="E100" s="280"/>
      <c r="F100" s="281"/>
      <c r="G100" s="280"/>
      <c r="H100" s="280"/>
      <c r="I100" s="123"/>
      <c r="J100" s="123"/>
      <c r="K100" s="123"/>
      <c r="L100" s="123"/>
      <c r="M100" s="123"/>
    </row>
    <row r="101" spans="1:13" x14ac:dyDescent="0.2">
      <c r="A101" s="278"/>
      <c r="B101" s="278"/>
      <c r="C101" s="280"/>
      <c r="D101" s="280"/>
      <c r="E101" s="281"/>
      <c r="F101" s="280"/>
      <c r="G101" s="280"/>
      <c r="H101" s="281"/>
      <c r="I101" s="123"/>
      <c r="J101" s="123"/>
      <c r="K101" s="123"/>
      <c r="L101" s="123"/>
      <c r="M101" s="123"/>
    </row>
    <row r="102" spans="1:13" x14ac:dyDescent="0.2">
      <c r="A102" s="278"/>
      <c r="B102" s="278"/>
      <c r="C102" s="280"/>
      <c r="D102" s="280"/>
      <c r="E102" s="280"/>
      <c r="F102" s="281"/>
      <c r="G102" s="280"/>
      <c r="H102" s="280"/>
      <c r="I102" s="123"/>
      <c r="J102" s="123"/>
      <c r="K102" s="123"/>
      <c r="L102" s="123"/>
      <c r="M102" s="123"/>
    </row>
    <row r="103" spans="1:13" x14ac:dyDescent="0.2">
      <c r="A103" s="278"/>
      <c r="B103" s="278"/>
      <c r="C103" s="280"/>
      <c r="D103" s="280"/>
      <c r="E103" s="280"/>
      <c r="F103" s="280"/>
      <c r="G103" s="280"/>
      <c r="H103" s="280"/>
      <c r="I103" s="123"/>
      <c r="J103" s="123"/>
      <c r="K103" s="123"/>
      <c r="L103" s="123"/>
      <c r="M103" s="123"/>
    </row>
    <row r="104" spans="1:13" x14ac:dyDescent="0.2">
      <c r="A104" s="278"/>
      <c r="B104" s="278"/>
      <c r="C104" s="280"/>
      <c r="D104" s="280"/>
      <c r="E104" s="280"/>
      <c r="F104" s="280"/>
      <c r="G104" s="280"/>
      <c r="H104" s="280"/>
      <c r="I104" s="123"/>
      <c r="J104" s="123"/>
      <c r="K104" s="123"/>
      <c r="L104" s="123"/>
      <c r="M104" s="123"/>
    </row>
    <row r="105" spans="1:13" ht="13.5" x14ac:dyDescent="0.2">
      <c r="A105" s="278"/>
      <c r="B105" s="279"/>
      <c r="C105" s="280"/>
      <c r="D105" s="280"/>
      <c r="E105" s="281"/>
      <c r="F105" s="280"/>
      <c r="G105" s="280"/>
      <c r="H105" s="281"/>
      <c r="I105" s="123"/>
      <c r="J105" s="123"/>
      <c r="K105" s="123"/>
      <c r="L105" s="123"/>
      <c r="M105" s="123"/>
    </row>
    <row r="106" spans="1:13" x14ac:dyDescent="0.2">
      <c r="A106" s="278"/>
      <c r="B106" s="278"/>
      <c r="C106" s="280"/>
      <c r="D106" s="280"/>
      <c r="E106" s="281"/>
      <c r="F106" s="280"/>
      <c r="G106" s="280"/>
      <c r="H106" s="281"/>
      <c r="I106" s="123"/>
      <c r="J106" s="123"/>
      <c r="K106" s="123"/>
      <c r="L106" s="123"/>
      <c r="M106" s="123"/>
    </row>
    <row r="107" spans="1:13" x14ac:dyDescent="0.2">
      <c r="A107" s="278"/>
      <c r="B107" s="278"/>
      <c r="C107" s="280"/>
      <c r="D107" s="280"/>
      <c r="E107" s="280"/>
      <c r="F107" s="280"/>
      <c r="G107" s="280"/>
      <c r="H107" s="280"/>
      <c r="I107" s="123"/>
      <c r="J107" s="123"/>
      <c r="K107" s="123"/>
      <c r="L107" s="123"/>
      <c r="M107" s="123"/>
    </row>
    <row r="108" spans="1:13" ht="13.5" x14ac:dyDescent="0.2">
      <c r="A108" s="278"/>
      <c r="B108" s="278"/>
      <c r="C108" s="280"/>
      <c r="D108" s="280"/>
      <c r="E108" s="281"/>
      <c r="F108" s="282"/>
      <c r="G108" s="282"/>
      <c r="H108" s="283"/>
      <c r="I108" s="284" t="s">
        <v>386</v>
      </c>
      <c r="J108" s="123"/>
      <c r="K108" s="123"/>
      <c r="L108" s="123"/>
      <c r="M108" s="123"/>
    </row>
    <row r="109" spans="1:13" x14ac:dyDescent="0.2">
      <c r="A109" s="278"/>
      <c r="B109" s="278"/>
      <c r="C109" s="280"/>
      <c r="D109" s="280"/>
      <c r="E109" s="280"/>
      <c r="F109" s="282"/>
      <c r="G109" s="282"/>
      <c r="H109" s="282"/>
      <c r="I109" s="123"/>
      <c r="J109" s="123"/>
      <c r="K109" s="123"/>
      <c r="L109" s="123"/>
      <c r="M109" s="123"/>
    </row>
    <row r="110" spans="1:13" x14ac:dyDescent="0.2">
      <c r="A110" s="278"/>
      <c r="B110" s="278"/>
      <c r="C110" s="280"/>
      <c r="D110" s="280"/>
      <c r="E110" s="280"/>
      <c r="F110" s="282"/>
      <c r="G110" s="282"/>
      <c r="H110" s="282"/>
      <c r="I110" s="123"/>
      <c r="J110" s="123"/>
      <c r="K110" s="123"/>
      <c r="L110" s="123"/>
      <c r="M110" s="123"/>
    </row>
    <row r="111" spans="1:13" x14ac:dyDescent="0.2">
      <c r="A111" s="123"/>
      <c r="B111" s="123"/>
      <c r="C111" s="123"/>
      <c r="D111" s="123"/>
      <c r="E111" s="123"/>
      <c r="F111" s="123"/>
      <c r="G111" s="123"/>
      <c r="H111" s="123"/>
      <c r="I111" s="123"/>
      <c r="J111" s="123"/>
      <c r="K111" s="123"/>
      <c r="L111" s="123"/>
      <c r="M111" s="123"/>
    </row>
    <row r="112" spans="1:13" x14ac:dyDescent="0.2">
      <c r="A112" s="465"/>
      <c r="B112" s="465"/>
      <c r="C112" s="465"/>
      <c r="D112" s="465"/>
      <c r="E112" s="465"/>
    </row>
    <row r="113" spans="1:12" x14ac:dyDescent="0.2">
      <c r="A113" s="465"/>
      <c r="B113" s="465"/>
      <c r="C113" s="465"/>
      <c r="D113" s="465"/>
      <c r="E113" s="465"/>
    </row>
    <row r="114" spans="1:12" x14ac:dyDescent="0.2">
      <c r="A114" s="465"/>
      <c r="B114" s="465"/>
      <c r="C114" s="465"/>
      <c r="D114" s="465"/>
      <c r="E114" s="465"/>
    </row>
    <row r="115" spans="1:12" x14ac:dyDescent="0.2">
      <c r="A115" s="465"/>
      <c r="B115" s="465"/>
      <c r="C115" s="465"/>
      <c r="D115" s="465"/>
      <c r="E115" s="465"/>
    </row>
    <row r="116" spans="1:12" x14ac:dyDescent="0.2">
      <c r="A116" s="472"/>
      <c r="B116" s="472"/>
      <c r="C116" s="472"/>
      <c r="D116" s="472"/>
      <c r="E116" s="472"/>
    </row>
    <row r="117" spans="1:12" x14ac:dyDescent="0.2">
      <c r="A117" s="472"/>
      <c r="B117" s="472"/>
      <c r="C117" s="472"/>
      <c r="D117" s="472"/>
      <c r="E117" s="472"/>
    </row>
    <row r="118" spans="1:12" ht="15" customHeight="1" x14ac:dyDescent="0.2">
      <c r="A118" s="465"/>
      <c r="B118" s="465"/>
      <c r="C118" s="465"/>
      <c r="D118" s="465"/>
      <c r="E118" s="465"/>
    </row>
    <row r="119" spans="1:12" ht="15" customHeight="1" x14ac:dyDescent="0.2">
      <c r="A119" s="465"/>
      <c r="B119" s="465"/>
      <c r="C119" s="465"/>
      <c r="D119" s="465"/>
      <c r="E119" s="465"/>
    </row>
    <row r="120" spans="1:12" ht="15" customHeight="1" x14ac:dyDescent="0.2">
      <c r="A120" s="465"/>
      <c r="B120" s="465"/>
      <c r="C120" s="465"/>
      <c r="D120" s="465"/>
      <c r="E120" s="465"/>
    </row>
    <row r="121" spans="1:12" ht="15" customHeight="1" x14ac:dyDescent="0.2">
      <c r="A121" s="465"/>
      <c r="B121" s="465"/>
      <c r="C121" s="465"/>
      <c r="D121" s="465"/>
      <c r="E121" s="465"/>
    </row>
    <row r="123" spans="1:12" x14ac:dyDescent="0.2">
      <c r="A123" s="285"/>
      <c r="B123" s="285"/>
      <c r="C123" s="285"/>
      <c r="D123" s="285"/>
      <c r="E123" s="285"/>
      <c r="F123" s="123"/>
      <c r="G123" s="123"/>
      <c r="H123" s="123"/>
      <c r="I123" s="123"/>
      <c r="J123" s="123"/>
      <c r="K123" s="123"/>
      <c r="L123" s="123"/>
    </row>
    <row r="124" spans="1:12" x14ac:dyDescent="0.2">
      <c r="A124" s="364"/>
      <c r="B124" s="364"/>
      <c r="C124" s="364"/>
      <c r="D124" s="364"/>
      <c r="E124" s="364"/>
      <c r="F124" s="123"/>
      <c r="G124" s="123"/>
      <c r="H124" s="123"/>
      <c r="I124" s="123"/>
      <c r="J124" s="123"/>
      <c r="K124" s="123"/>
      <c r="L124" s="123"/>
    </row>
    <row r="125" spans="1:12" x14ac:dyDescent="0.2">
      <c r="A125" s="364"/>
      <c r="B125" s="364"/>
      <c r="C125" s="276"/>
      <c r="D125" s="276"/>
      <c r="E125" s="276"/>
      <c r="F125" s="123"/>
      <c r="G125" s="123"/>
      <c r="H125" s="123"/>
      <c r="I125" s="123"/>
      <c r="J125" s="123"/>
      <c r="K125" s="123"/>
      <c r="L125" s="123"/>
    </row>
    <row r="126" spans="1:12" x14ac:dyDescent="0.2">
      <c r="A126" s="123"/>
      <c r="B126" s="123"/>
      <c r="C126" s="276"/>
      <c r="D126" s="276"/>
      <c r="E126" s="276"/>
      <c r="F126" s="123"/>
      <c r="G126" s="123"/>
      <c r="H126" s="123"/>
      <c r="I126" s="123"/>
      <c r="J126" s="123"/>
      <c r="K126" s="123"/>
      <c r="L126" s="123"/>
    </row>
    <row r="127" spans="1:12" x14ac:dyDescent="0.2">
      <c r="A127" s="123"/>
      <c r="B127" s="123"/>
      <c r="C127" s="276"/>
      <c r="D127" s="276"/>
      <c r="E127" s="276"/>
      <c r="F127" s="123"/>
      <c r="G127" s="123"/>
      <c r="H127" s="123"/>
      <c r="I127" s="123"/>
      <c r="J127" s="123"/>
      <c r="K127" s="123"/>
      <c r="L127" s="123"/>
    </row>
    <row r="128" spans="1:12" x14ac:dyDescent="0.2">
      <c r="A128" s="123"/>
      <c r="B128" s="123"/>
      <c r="C128" s="286"/>
      <c r="D128" s="287"/>
      <c r="E128" s="288"/>
      <c r="F128" s="123"/>
      <c r="G128" s="123"/>
      <c r="H128" s="123"/>
      <c r="I128" s="123"/>
      <c r="J128" s="123"/>
      <c r="K128" s="123"/>
      <c r="L128" s="123"/>
    </row>
    <row r="129" spans="1:12" x14ac:dyDescent="0.2">
      <c r="A129" s="123"/>
      <c r="B129" s="123"/>
      <c r="C129" s="123"/>
      <c r="D129" s="123"/>
      <c r="E129" s="123"/>
      <c r="F129" s="123"/>
      <c r="G129" s="123"/>
      <c r="H129" s="123"/>
      <c r="I129" s="123"/>
      <c r="J129" s="123"/>
      <c r="K129" s="123"/>
      <c r="L129" s="123"/>
    </row>
    <row r="130" spans="1:12" x14ac:dyDescent="0.2">
      <c r="A130" s="465"/>
      <c r="B130" s="465"/>
      <c r="C130" s="465"/>
      <c r="D130" s="465"/>
      <c r="E130" s="465"/>
      <c r="F130" s="123"/>
      <c r="G130" s="123"/>
      <c r="H130" s="123"/>
      <c r="I130" s="123"/>
      <c r="J130" s="123"/>
      <c r="K130" s="123"/>
      <c r="L130" s="123"/>
    </row>
    <row r="131" spans="1:12" x14ac:dyDescent="0.2">
      <c r="A131" s="465"/>
      <c r="B131" s="465"/>
      <c r="C131" s="465"/>
      <c r="D131" s="465"/>
      <c r="E131" s="465"/>
      <c r="F131" s="123"/>
      <c r="G131" s="123"/>
      <c r="H131" s="123"/>
      <c r="I131" s="123"/>
      <c r="J131" s="123"/>
      <c r="K131" s="123"/>
      <c r="L131" s="123"/>
    </row>
    <row r="132" spans="1:12" x14ac:dyDescent="0.2">
      <c r="A132" s="123"/>
      <c r="B132" s="123"/>
      <c r="C132" s="123"/>
      <c r="D132" s="123"/>
      <c r="E132" s="123"/>
      <c r="F132" s="123"/>
      <c r="G132" s="123"/>
      <c r="H132" s="123"/>
      <c r="I132" s="123"/>
      <c r="J132" s="123"/>
      <c r="K132" s="123"/>
      <c r="L132" s="123"/>
    </row>
    <row r="133" spans="1:12" x14ac:dyDescent="0.2">
      <c r="A133" s="275"/>
      <c r="B133" s="117"/>
      <c r="C133" s="117"/>
      <c r="D133" s="117"/>
      <c r="E133" s="123"/>
      <c r="F133" s="289"/>
      <c r="G133" s="123"/>
      <c r="H133" s="123"/>
      <c r="I133" s="123"/>
      <c r="J133" s="123"/>
      <c r="K133" s="123"/>
      <c r="L133" s="123"/>
    </row>
    <row r="134" spans="1:12" x14ac:dyDescent="0.2">
      <c r="A134" s="474"/>
      <c r="B134" s="474"/>
      <c r="C134" s="474"/>
      <c r="D134" s="276"/>
      <c r="E134" s="123"/>
      <c r="F134" s="123"/>
      <c r="G134" s="123"/>
      <c r="H134" s="123"/>
      <c r="I134" s="123"/>
      <c r="J134" s="123"/>
      <c r="K134" s="123"/>
      <c r="L134" s="123"/>
    </row>
    <row r="135" spans="1:12" x14ac:dyDescent="0.2">
      <c r="A135" s="474"/>
      <c r="B135" s="474"/>
      <c r="C135" s="474"/>
      <c r="D135" s="276"/>
      <c r="E135" s="123"/>
      <c r="F135" s="123"/>
      <c r="G135" s="123"/>
      <c r="H135" s="123"/>
      <c r="I135" s="123"/>
      <c r="J135" s="123"/>
      <c r="K135" s="123"/>
      <c r="L135" s="123"/>
    </row>
    <row r="136" spans="1:12" x14ac:dyDescent="0.2">
      <c r="A136" s="123"/>
      <c r="B136" s="276"/>
      <c r="C136" s="290"/>
      <c r="D136" s="276"/>
      <c r="E136" s="123"/>
      <c r="F136" s="123"/>
      <c r="G136" s="123"/>
      <c r="H136" s="123"/>
      <c r="I136" s="123"/>
      <c r="J136" s="123"/>
      <c r="K136" s="123"/>
      <c r="L136" s="123"/>
    </row>
    <row r="137" spans="1:12" x14ac:dyDescent="0.2">
      <c r="A137" s="123"/>
      <c r="B137" s="276"/>
      <c r="C137" s="290"/>
      <c r="D137" s="276"/>
      <c r="E137" s="123"/>
      <c r="F137" s="123"/>
      <c r="G137" s="123"/>
      <c r="H137" s="123"/>
      <c r="I137" s="123"/>
      <c r="J137" s="123"/>
      <c r="K137" s="123"/>
      <c r="L137" s="123"/>
    </row>
    <row r="138" spans="1:12" x14ac:dyDescent="0.2">
      <c r="A138" s="123"/>
      <c r="B138" s="276"/>
      <c r="C138" s="290"/>
      <c r="D138" s="276"/>
      <c r="E138" s="123"/>
      <c r="F138" s="123"/>
      <c r="G138" s="123"/>
      <c r="H138" s="123"/>
      <c r="I138" s="123"/>
      <c r="J138" s="123"/>
      <c r="K138" s="123"/>
      <c r="L138" s="123"/>
    </row>
    <row r="139" spans="1:12" x14ac:dyDescent="0.2">
      <c r="A139" s="123"/>
      <c r="B139" s="276"/>
      <c r="C139" s="290"/>
      <c r="D139" s="276"/>
      <c r="E139" s="123"/>
      <c r="F139" s="123"/>
      <c r="G139" s="123"/>
      <c r="H139" s="123"/>
      <c r="I139" s="123"/>
      <c r="J139" s="123"/>
      <c r="K139" s="123"/>
      <c r="L139" s="123"/>
    </row>
    <row r="140" spans="1:12" x14ac:dyDescent="0.2">
      <c r="A140" s="123"/>
      <c r="B140" s="276"/>
      <c r="C140" s="290"/>
      <c r="D140" s="276"/>
      <c r="E140" s="123"/>
      <c r="F140" s="123"/>
      <c r="G140" s="123"/>
      <c r="H140" s="123"/>
      <c r="I140" s="123"/>
      <c r="J140" s="123"/>
      <c r="K140" s="123"/>
      <c r="L140" s="123"/>
    </row>
    <row r="141" spans="1:12" x14ac:dyDescent="0.2">
      <c r="A141" s="123"/>
      <c r="B141" s="276"/>
      <c r="C141" s="290"/>
      <c r="D141" s="276"/>
      <c r="E141" s="123"/>
      <c r="F141" s="123"/>
      <c r="G141" s="123"/>
      <c r="H141" s="123"/>
      <c r="I141" s="123"/>
      <c r="J141" s="123"/>
      <c r="K141" s="123"/>
      <c r="L141" s="123"/>
    </row>
    <row r="142" spans="1:12" x14ac:dyDescent="0.2">
      <c r="A142" s="123"/>
      <c r="B142" s="276"/>
      <c r="C142" s="290"/>
      <c r="D142" s="276"/>
      <c r="E142" s="123"/>
      <c r="F142" s="123"/>
      <c r="G142" s="123"/>
      <c r="H142" s="123"/>
      <c r="I142" s="123"/>
      <c r="J142" s="123"/>
      <c r="K142" s="123"/>
      <c r="L142" s="123"/>
    </row>
    <row r="143" spans="1:12" x14ac:dyDescent="0.2">
      <c r="A143" s="123"/>
      <c r="B143" s="276"/>
      <c r="C143" s="290"/>
      <c r="D143" s="276"/>
      <c r="E143" s="123"/>
      <c r="F143" s="123"/>
      <c r="G143" s="123"/>
      <c r="H143" s="123"/>
      <c r="I143" s="123"/>
      <c r="J143" s="123"/>
      <c r="K143" s="123"/>
      <c r="L143" s="123"/>
    </row>
    <row r="144" spans="1:12" x14ac:dyDescent="0.2">
      <c r="A144" s="123"/>
      <c r="B144" s="276"/>
      <c r="C144" s="290"/>
      <c r="D144" s="276"/>
      <c r="E144" s="123"/>
      <c r="F144" s="123"/>
      <c r="G144" s="123"/>
      <c r="H144" s="123"/>
      <c r="I144" s="123"/>
      <c r="J144" s="123"/>
      <c r="K144" s="123"/>
      <c r="L144" s="123"/>
    </row>
    <row r="145" spans="1:12" x14ac:dyDescent="0.2">
      <c r="A145" s="123"/>
      <c r="B145" s="276"/>
      <c r="C145" s="290"/>
      <c r="D145" s="276"/>
      <c r="E145" s="123"/>
      <c r="F145" s="123"/>
      <c r="G145" s="123"/>
      <c r="H145" s="123"/>
      <c r="I145" s="123"/>
      <c r="J145" s="123"/>
      <c r="K145" s="123"/>
      <c r="L145" s="123"/>
    </row>
    <row r="146" spans="1:12" x14ac:dyDescent="0.2">
      <c r="A146" s="123"/>
      <c r="B146" s="276"/>
      <c r="C146" s="290"/>
      <c r="D146" s="276"/>
      <c r="E146" s="123"/>
      <c r="F146" s="123"/>
      <c r="G146" s="123"/>
      <c r="H146" s="123"/>
      <c r="I146" s="123"/>
      <c r="J146" s="123"/>
      <c r="K146" s="123"/>
      <c r="L146" s="123"/>
    </row>
    <row r="147" spans="1:12" x14ac:dyDescent="0.2">
      <c r="A147" s="123"/>
      <c r="B147" s="276"/>
      <c r="C147" s="290"/>
      <c r="D147" s="276"/>
      <c r="E147" s="123"/>
      <c r="F147" s="123"/>
      <c r="G147" s="123"/>
      <c r="H147" s="123"/>
      <c r="I147" s="123"/>
      <c r="J147" s="123"/>
      <c r="K147" s="123"/>
      <c r="L147" s="123"/>
    </row>
    <row r="148" spans="1:12" x14ac:dyDescent="0.2">
      <c r="A148" s="123"/>
      <c r="B148" s="276"/>
      <c r="C148" s="290"/>
      <c r="D148" s="276"/>
      <c r="E148" s="123"/>
      <c r="F148" s="123"/>
      <c r="G148" s="123"/>
      <c r="H148" s="123"/>
      <c r="I148" s="123"/>
      <c r="J148" s="123"/>
      <c r="K148" s="123"/>
      <c r="L148" s="123"/>
    </row>
    <row r="149" spans="1:12" x14ac:dyDescent="0.2">
      <c r="A149" s="123"/>
      <c r="B149" s="276"/>
      <c r="C149" s="290"/>
      <c r="D149" s="276"/>
      <c r="E149" s="123"/>
      <c r="F149" s="123"/>
      <c r="G149" s="123"/>
      <c r="H149" s="123"/>
      <c r="I149" s="123"/>
      <c r="J149" s="123"/>
      <c r="K149" s="123"/>
      <c r="L149" s="123"/>
    </row>
    <row r="150" spans="1:12" x14ac:dyDescent="0.2">
      <c r="A150" s="123"/>
      <c r="B150" s="276"/>
      <c r="C150" s="290"/>
      <c r="D150" s="276"/>
      <c r="E150" s="123"/>
      <c r="F150" s="123"/>
      <c r="G150" s="123"/>
      <c r="H150" s="123"/>
      <c r="I150" s="123"/>
      <c r="J150" s="123"/>
      <c r="K150" s="123"/>
      <c r="L150" s="123"/>
    </row>
    <row r="151" spans="1:12" x14ac:dyDescent="0.2">
      <c r="A151" s="123"/>
      <c r="B151" s="276"/>
      <c r="C151" s="123"/>
      <c r="D151" s="123"/>
      <c r="E151" s="123"/>
      <c r="F151" s="123"/>
      <c r="G151" s="123"/>
      <c r="H151" s="123"/>
      <c r="I151" s="123"/>
      <c r="J151" s="123"/>
      <c r="K151" s="123"/>
      <c r="L151" s="123"/>
    </row>
    <row r="152" spans="1:12" x14ac:dyDescent="0.2">
      <c r="A152" s="465"/>
      <c r="B152" s="465"/>
      <c r="C152" s="465"/>
      <c r="D152" s="465"/>
      <c r="E152" s="123"/>
      <c r="F152" s="123"/>
      <c r="G152" s="123"/>
      <c r="H152" s="123"/>
      <c r="I152" s="123"/>
      <c r="J152" s="123"/>
      <c r="K152" s="123"/>
      <c r="L152" s="123"/>
    </row>
    <row r="153" spans="1:12" x14ac:dyDescent="0.2">
      <c r="A153" s="465"/>
      <c r="B153" s="465"/>
      <c r="C153" s="465"/>
      <c r="D153" s="465"/>
      <c r="E153" s="123"/>
      <c r="F153" s="123"/>
      <c r="G153" s="123"/>
      <c r="H153" s="123"/>
      <c r="I153" s="123"/>
      <c r="J153" s="123"/>
      <c r="K153" s="123"/>
      <c r="L153" s="123"/>
    </row>
    <row r="154" spans="1:12" x14ac:dyDescent="0.2">
      <c r="A154" s="465"/>
      <c r="B154" s="465"/>
      <c r="C154" s="465"/>
      <c r="D154" s="465"/>
      <c r="E154" s="123"/>
      <c r="F154" s="123"/>
      <c r="G154" s="123"/>
      <c r="H154" s="123"/>
      <c r="I154" s="123"/>
      <c r="J154" s="123"/>
      <c r="K154" s="123"/>
      <c r="L154" s="123"/>
    </row>
    <row r="155" spans="1:12" x14ac:dyDescent="0.2">
      <c r="A155" s="123"/>
      <c r="B155" s="123"/>
      <c r="C155" s="123"/>
      <c r="D155" s="123"/>
      <c r="E155" s="123"/>
      <c r="F155" s="123"/>
      <c r="G155" s="123"/>
      <c r="H155" s="123"/>
      <c r="I155" s="123"/>
      <c r="J155" s="123"/>
      <c r="K155" s="123"/>
      <c r="L155" s="123"/>
    </row>
    <row r="156" spans="1:12" x14ac:dyDescent="0.2">
      <c r="A156" s="275"/>
      <c r="B156" s="117"/>
      <c r="C156" s="117"/>
      <c r="D156" s="117"/>
      <c r="E156" s="117"/>
      <c r="F156" s="117"/>
      <c r="G156" s="117"/>
      <c r="H156" s="123"/>
      <c r="I156" s="123"/>
      <c r="J156" s="123"/>
      <c r="K156" s="123"/>
      <c r="L156" s="123"/>
    </row>
    <row r="157" spans="1:12" ht="15" customHeight="1" x14ac:dyDescent="0.2">
      <c r="A157" s="474"/>
      <c r="B157" s="474"/>
      <c r="C157" s="364"/>
      <c r="D157" s="364"/>
      <c r="E157" s="364"/>
      <c r="F157" s="364"/>
      <c r="G157" s="364"/>
      <c r="H157" s="473"/>
      <c r="I157" s="123"/>
      <c r="J157" s="123"/>
      <c r="K157" s="123"/>
      <c r="L157" s="123"/>
    </row>
    <row r="158" spans="1:12" x14ac:dyDescent="0.2">
      <c r="A158" s="474"/>
      <c r="B158" s="474"/>
      <c r="C158" s="364"/>
      <c r="D158" s="364"/>
      <c r="E158" s="364"/>
      <c r="F158" s="364"/>
      <c r="G158" s="276"/>
      <c r="H158" s="473"/>
      <c r="I158" s="123"/>
      <c r="J158" s="123"/>
      <c r="K158" s="123"/>
      <c r="L158" s="123"/>
    </row>
    <row r="159" spans="1:12" x14ac:dyDescent="0.2">
      <c r="A159" s="474"/>
      <c r="B159" s="474"/>
      <c r="C159" s="364"/>
      <c r="D159" s="364"/>
      <c r="E159" s="364"/>
      <c r="F159" s="364"/>
      <c r="G159" s="276"/>
      <c r="H159" s="473"/>
      <c r="I159" s="123"/>
      <c r="J159" s="123"/>
      <c r="K159" s="123"/>
      <c r="L159" s="123"/>
    </row>
    <row r="160" spans="1:12" x14ac:dyDescent="0.2">
      <c r="A160" s="291"/>
      <c r="B160" s="291"/>
      <c r="C160" s="123"/>
      <c r="D160" s="123"/>
      <c r="E160" s="123"/>
      <c r="F160" s="123"/>
      <c r="G160" s="123"/>
      <c r="H160" s="474"/>
      <c r="I160" s="123"/>
      <c r="J160" s="123"/>
      <c r="K160" s="123"/>
      <c r="L160" s="123"/>
    </row>
    <row r="161" spans="1:12" x14ac:dyDescent="0.2">
      <c r="A161" s="291"/>
      <c r="B161" s="291"/>
      <c r="C161" s="123"/>
      <c r="D161" s="123"/>
      <c r="E161" s="123"/>
      <c r="F161" s="123"/>
      <c r="G161" s="123"/>
      <c r="H161" s="474"/>
      <c r="I161" s="123"/>
      <c r="J161" s="123"/>
      <c r="K161" s="123"/>
      <c r="L161" s="123"/>
    </row>
    <row r="162" spans="1:12" ht="13.5" x14ac:dyDescent="0.2">
      <c r="A162" s="292"/>
      <c r="B162" s="284"/>
      <c r="C162" s="123"/>
      <c r="D162" s="123"/>
      <c r="E162" s="123"/>
      <c r="F162" s="123"/>
      <c r="G162" s="123"/>
      <c r="H162" s="474"/>
      <c r="I162" s="123"/>
      <c r="J162" s="123"/>
      <c r="K162" s="123"/>
      <c r="L162" s="123"/>
    </row>
    <row r="163" spans="1:12" ht="13.5" x14ac:dyDescent="0.2">
      <c r="A163" s="292"/>
      <c r="B163" s="123"/>
      <c r="C163" s="123"/>
      <c r="D163" s="284"/>
      <c r="E163" s="123"/>
      <c r="F163" s="123"/>
      <c r="G163" s="123"/>
      <c r="H163" s="474"/>
      <c r="I163" s="123"/>
      <c r="J163" s="123"/>
      <c r="K163" s="123"/>
      <c r="L163" s="123"/>
    </row>
    <row r="164" spans="1:12" x14ac:dyDescent="0.2">
      <c r="A164" s="292"/>
      <c r="B164" s="292"/>
      <c r="C164" s="123"/>
      <c r="D164" s="123"/>
      <c r="E164" s="123"/>
      <c r="F164" s="123"/>
      <c r="G164" s="123"/>
      <c r="H164" s="474"/>
      <c r="I164" s="123"/>
      <c r="J164" s="123"/>
      <c r="K164" s="123"/>
      <c r="L164" s="123"/>
    </row>
    <row r="165" spans="1:12" x14ac:dyDescent="0.2">
      <c r="A165" s="292"/>
      <c r="B165" s="292"/>
      <c r="C165" s="123"/>
      <c r="D165" s="123"/>
      <c r="E165" s="123"/>
      <c r="F165" s="123"/>
      <c r="G165" s="123"/>
      <c r="H165" s="474"/>
      <c r="I165" s="123"/>
      <c r="J165" s="123"/>
      <c r="K165" s="123"/>
      <c r="L165" s="123"/>
    </row>
    <row r="166" spans="1:12" ht="18" customHeight="1" x14ac:dyDescent="0.2">
      <c r="A166" s="291"/>
      <c r="B166" s="284"/>
      <c r="C166" s="123"/>
      <c r="D166" s="123"/>
      <c r="E166" s="123"/>
      <c r="F166" s="123"/>
      <c r="G166" s="123"/>
      <c r="H166" s="473"/>
      <c r="I166" s="123"/>
      <c r="J166" s="123"/>
      <c r="K166" s="123"/>
      <c r="L166" s="123"/>
    </row>
    <row r="167" spans="1:12" ht="13.5" x14ac:dyDescent="0.2">
      <c r="A167" s="291"/>
      <c r="B167" s="284"/>
      <c r="C167" s="123"/>
      <c r="D167" s="123"/>
      <c r="E167" s="123"/>
      <c r="F167" s="123"/>
      <c r="G167" s="123"/>
      <c r="H167" s="473"/>
      <c r="I167" s="123"/>
      <c r="J167" s="123"/>
      <c r="K167" s="123"/>
      <c r="L167" s="123"/>
    </row>
    <row r="168" spans="1:12" ht="13.5" x14ac:dyDescent="0.2">
      <c r="A168" s="292"/>
      <c r="B168" s="292"/>
      <c r="C168" s="123"/>
      <c r="D168" s="123"/>
      <c r="E168" s="123"/>
      <c r="F168" s="284"/>
      <c r="G168" s="123"/>
      <c r="H168" s="473"/>
      <c r="I168" s="123"/>
      <c r="J168" s="123"/>
      <c r="K168" s="123"/>
      <c r="L168" s="123"/>
    </row>
    <row r="169" spans="1:12" ht="13.5" x14ac:dyDescent="0.2">
      <c r="A169" s="292"/>
      <c r="B169" s="292"/>
      <c r="C169" s="123"/>
      <c r="D169" s="123"/>
      <c r="E169" s="123"/>
      <c r="F169" s="284"/>
      <c r="G169" s="123"/>
      <c r="H169" s="473"/>
      <c r="I169" s="123"/>
      <c r="J169" s="123"/>
      <c r="K169" s="123"/>
      <c r="L169" s="123"/>
    </row>
    <row r="170" spans="1:12" ht="13.5" x14ac:dyDescent="0.2">
      <c r="A170" s="292"/>
      <c r="B170" s="292"/>
      <c r="C170" s="123"/>
      <c r="D170" s="123"/>
      <c r="E170" s="123"/>
      <c r="F170" s="284"/>
      <c r="G170" s="123"/>
      <c r="H170" s="473"/>
      <c r="I170" s="123"/>
      <c r="J170" s="123"/>
      <c r="K170" s="123"/>
      <c r="L170" s="123"/>
    </row>
    <row r="171" spans="1:12" ht="13.5" x14ac:dyDescent="0.2">
      <c r="A171" s="292"/>
      <c r="B171" s="284"/>
      <c r="C171" s="123"/>
      <c r="D171" s="123"/>
      <c r="E171" s="123"/>
      <c r="F171" s="284"/>
      <c r="G171" s="123"/>
      <c r="H171" s="473"/>
      <c r="I171" s="123"/>
      <c r="J171" s="123"/>
      <c r="K171" s="123"/>
      <c r="L171" s="123"/>
    </row>
    <row r="172" spans="1:12" ht="13.5" x14ac:dyDescent="0.2">
      <c r="A172" s="292"/>
      <c r="B172" s="292"/>
      <c r="C172" s="123"/>
      <c r="D172" s="123"/>
      <c r="E172" s="123"/>
      <c r="F172" s="284"/>
      <c r="G172" s="123"/>
      <c r="H172" s="473"/>
      <c r="I172" s="123"/>
      <c r="J172" s="123"/>
      <c r="K172" s="123"/>
      <c r="L172" s="123"/>
    </row>
    <row r="173" spans="1:12" x14ac:dyDescent="0.2">
      <c r="A173" s="292"/>
      <c r="B173" s="292"/>
      <c r="C173" s="123"/>
      <c r="D173" s="123"/>
      <c r="E173" s="123"/>
      <c r="F173" s="123"/>
      <c r="G173" s="123"/>
      <c r="H173" s="473"/>
      <c r="I173" s="123"/>
      <c r="J173" s="123"/>
      <c r="K173" s="123"/>
      <c r="L173" s="123"/>
    </row>
    <row r="174" spans="1:12" ht="45" customHeight="1" x14ac:dyDescent="0.2">
      <c r="A174" s="291"/>
      <c r="B174" s="284"/>
      <c r="C174" s="123"/>
      <c r="D174" s="123"/>
      <c r="E174" s="123"/>
      <c r="F174" s="123"/>
      <c r="G174" s="123"/>
      <c r="H174" s="473"/>
      <c r="I174" s="123"/>
      <c r="J174" s="123"/>
      <c r="K174" s="123"/>
      <c r="L174" s="123"/>
    </row>
    <row r="175" spans="1:12" ht="13.5" x14ac:dyDescent="0.2">
      <c r="A175" s="291"/>
      <c r="B175" s="284"/>
      <c r="C175" s="123"/>
      <c r="D175" s="123"/>
      <c r="E175" s="123"/>
      <c r="F175" s="123"/>
      <c r="G175" s="123"/>
      <c r="H175" s="473"/>
      <c r="I175" s="123"/>
      <c r="J175" s="123"/>
      <c r="K175" s="123"/>
      <c r="L175" s="123"/>
    </row>
    <row r="176" spans="1:12" ht="13.5" x14ac:dyDescent="0.2">
      <c r="A176" s="292"/>
      <c r="B176" s="284"/>
      <c r="C176" s="123"/>
      <c r="D176" s="123"/>
      <c r="E176" s="123"/>
      <c r="F176" s="123"/>
      <c r="G176" s="123"/>
      <c r="H176" s="473"/>
      <c r="I176" s="123"/>
      <c r="J176" s="123"/>
      <c r="K176" s="123"/>
      <c r="L176" s="123"/>
    </row>
    <row r="177" spans="1:12" x14ac:dyDescent="0.2">
      <c r="A177" s="292"/>
      <c r="B177" s="292"/>
      <c r="C177" s="123"/>
      <c r="D177" s="123"/>
      <c r="E177" s="123"/>
      <c r="F177" s="123"/>
      <c r="G177" s="123"/>
      <c r="H177" s="473"/>
      <c r="I177" s="123"/>
      <c r="J177" s="123"/>
      <c r="K177" s="123"/>
      <c r="L177" s="123"/>
    </row>
    <row r="178" spans="1:12" x14ac:dyDescent="0.2">
      <c r="A178" s="292"/>
      <c r="B178" s="292"/>
      <c r="C178" s="123"/>
      <c r="D178" s="123"/>
      <c r="E178" s="123"/>
      <c r="F178" s="123"/>
      <c r="G178" s="123"/>
      <c r="H178" s="473"/>
      <c r="I178" s="123"/>
      <c r="J178" s="123"/>
      <c r="K178" s="123"/>
      <c r="L178" s="123"/>
    </row>
    <row r="179" spans="1:12" x14ac:dyDescent="0.2">
      <c r="A179" s="292"/>
      <c r="B179" s="292"/>
      <c r="C179" s="123"/>
      <c r="D179" s="123"/>
      <c r="E179" s="123"/>
      <c r="F179" s="123"/>
      <c r="G179" s="123"/>
      <c r="H179" s="473"/>
      <c r="I179" s="123"/>
      <c r="J179" s="123"/>
      <c r="K179" s="123"/>
      <c r="L179" s="123"/>
    </row>
    <row r="180" spans="1:12" x14ac:dyDescent="0.2">
      <c r="A180" s="292"/>
      <c r="B180" s="292"/>
      <c r="C180" s="123"/>
      <c r="D180" s="123"/>
      <c r="E180" s="123"/>
      <c r="F180" s="123"/>
      <c r="G180" s="123"/>
      <c r="H180" s="473"/>
      <c r="I180" s="123"/>
      <c r="J180" s="123"/>
      <c r="K180" s="123"/>
      <c r="L180" s="123"/>
    </row>
    <row r="181" spans="1:12" x14ac:dyDescent="0.2">
      <c r="A181" s="292"/>
      <c r="B181" s="292"/>
      <c r="C181" s="123"/>
      <c r="D181" s="123"/>
      <c r="E181" s="123"/>
      <c r="F181" s="123"/>
      <c r="G181" s="123"/>
      <c r="H181" s="473"/>
      <c r="I181" s="123"/>
      <c r="J181" s="123"/>
      <c r="K181" s="123"/>
      <c r="L181" s="123"/>
    </row>
    <row r="182" spans="1:12" ht="13.5" x14ac:dyDescent="0.2">
      <c r="A182" s="292"/>
      <c r="B182" s="284"/>
      <c r="C182" s="123"/>
      <c r="D182" s="123"/>
      <c r="E182" s="123"/>
      <c r="F182" s="123"/>
      <c r="G182" s="123"/>
      <c r="H182" s="473"/>
      <c r="I182" s="123"/>
      <c r="J182" s="123"/>
      <c r="K182" s="123"/>
      <c r="L182" s="123"/>
    </row>
    <row r="183" spans="1:12" x14ac:dyDescent="0.2">
      <c r="A183" s="292"/>
      <c r="B183" s="292"/>
      <c r="C183" s="123"/>
      <c r="D183" s="123"/>
      <c r="E183" s="123"/>
      <c r="F183" s="123"/>
      <c r="G183" s="123"/>
      <c r="H183" s="473"/>
      <c r="I183" s="123"/>
      <c r="J183" s="123"/>
      <c r="K183" s="123"/>
      <c r="L183" s="123"/>
    </row>
    <row r="184" spans="1:12" x14ac:dyDescent="0.2">
      <c r="A184" s="292"/>
      <c r="B184" s="292"/>
      <c r="C184" s="123"/>
      <c r="D184" s="123"/>
      <c r="E184" s="123"/>
      <c r="F184" s="123"/>
      <c r="G184" s="123"/>
      <c r="H184" s="473"/>
      <c r="I184" s="123"/>
      <c r="J184" s="123"/>
      <c r="K184" s="123"/>
      <c r="L184" s="123"/>
    </row>
    <row r="185" spans="1:12" x14ac:dyDescent="0.2">
      <c r="A185" s="292"/>
      <c r="B185" s="292"/>
      <c r="C185" s="123"/>
      <c r="D185" s="123"/>
      <c r="E185" s="123"/>
      <c r="F185" s="123"/>
      <c r="G185" s="123"/>
      <c r="H185" s="473"/>
      <c r="I185" s="123"/>
      <c r="J185" s="123"/>
      <c r="K185" s="123"/>
      <c r="L185" s="123"/>
    </row>
    <row r="186" spans="1:12" ht="13.5" x14ac:dyDescent="0.2">
      <c r="A186" s="292"/>
      <c r="B186" s="284"/>
      <c r="C186" s="123"/>
      <c r="D186" s="123"/>
      <c r="E186" s="123"/>
      <c r="F186" s="123"/>
      <c r="G186" s="123"/>
      <c r="H186" s="473"/>
      <c r="I186" s="123"/>
      <c r="J186" s="123"/>
      <c r="K186" s="123"/>
      <c r="L186" s="123"/>
    </row>
    <row r="187" spans="1:12" ht="13.5" x14ac:dyDescent="0.2">
      <c r="A187" s="292"/>
      <c r="B187" s="284"/>
      <c r="C187" s="123"/>
      <c r="D187" s="123"/>
      <c r="E187" s="123"/>
      <c r="F187" s="123"/>
      <c r="G187" s="123"/>
      <c r="H187" s="473"/>
      <c r="I187" s="123"/>
      <c r="J187" s="123"/>
      <c r="K187" s="123"/>
      <c r="L187" s="123"/>
    </row>
    <row r="188" spans="1:12" ht="13.5" x14ac:dyDescent="0.2">
      <c r="A188" s="292"/>
      <c r="B188" s="284"/>
      <c r="C188" s="123"/>
      <c r="D188" s="123"/>
      <c r="E188" s="123"/>
      <c r="F188" s="123"/>
      <c r="G188" s="123"/>
      <c r="H188" s="473"/>
      <c r="I188" s="123"/>
      <c r="J188" s="123"/>
      <c r="K188" s="123"/>
      <c r="L188" s="123"/>
    </row>
    <row r="189" spans="1:12" ht="13.5" x14ac:dyDescent="0.2">
      <c r="A189" s="292"/>
      <c r="B189" s="284"/>
      <c r="C189" s="123"/>
      <c r="D189" s="123"/>
      <c r="E189" s="123"/>
      <c r="F189" s="123"/>
      <c r="G189" s="123"/>
      <c r="H189" s="473"/>
      <c r="I189" s="123"/>
      <c r="J189" s="123"/>
      <c r="K189" s="123"/>
      <c r="L189" s="123"/>
    </row>
    <row r="190" spans="1:12" x14ac:dyDescent="0.2">
      <c r="A190" s="291"/>
      <c r="B190" s="291"/>
      <c r="C190" s="123"/>
      <c r="D190" s="123"/>
      <c r="E190" s="123"/>
      <c r="F190" s="123"/>
      <c r="G190" s="123"/>
      <c r="H190" s="474"/>
      <c r="I190" s="123"/>
      <c r="J190" s="123"/>
      <c r="K190" s="123"/>
      <c r="L190" s="123"/>
    </row>
    <row r="191" spans="1:12" x14ac:dyDescent="0.2">
      <c r="A191" s="291"/>
      <c r="B191" s="291"/>
      <c r="C191" s="123"/>
      <c r="D191" s="123"/>
      <c r="E191" s="123"/>
      <c r="F191" s="123"/>
      <c r="G191" s="123"/>
      <c r="H191" s="474"/>
      <c r="I191" s="123"/>
      <c r="J191" s="123"/>
      <c r="K191" s="123"/>
      <c r="L191" s="123"/>
    </row>
    <row r="192" spans="1:12" ht="13.5" x14ac:dyDescent="0.2">
      <c r="A192" s="292"/>
      <c r="B192" s="284"/>
      <c r="C192" s="123"/>
      <c r="D192" s="284"/>
      <c r="E192" s="123"/>
      <c r="F192" s="123"/>
      <c r="G192" s="123"/>
      <c r="H192" s="474"/>
      <c r="I192" s="123"/>
      <c r="J192" s="123"/>
      <c r="K192" s="123"/>
      <c r="L192" s="123"/>
    </row>
    <row r="193" spans="1:12" x14ac:dyDescent="0.2">
      <c r="A193" s="292"/>
      <c r="B193" s="292"/>
      <c r="C193" s="123"/>
      <c r="D193" s="123"/>
      <c r="E193" s="123"/>
      <c r="F193" s="123"/>
      <c r="G193" s="123"/>
      <c r="H193" s="474"/>
      <c r="I193" s="123"/>
      <c r="J193" s="123"/>
      <c r="K193" s="123"/>
      <c r="L193" s="123"/>
    </row>
    <row r="194" spans="1:12" x14ac:dyDescent="0.2">
      <c r="A194" s="292"/>
      <c r="B194" s="292"/>
      <c r="C194" s="123"/>
      <c r="D194" s="123"/>
      <c r="E194" s="123"/>
      <c r="F194" s="123"/>
      <c r="G194" s="123"/>
      <c r="H194" s="474"/>
      <c r="I194" s="123"/>
      <c r="J194" s="123"/>
      <c r="K194" s="123"/>
      <c r="L194" s="123"/>
    </row>
    <row r="195" spans="1:12" x14ac:dyDescent="0.2">
      <c r="A195" s="292"/>
      <c r="B195" s="292"/>
      <c r="C195" s="123"/>
      <c r="D195" s="123"/>
      <c r="E195" s="123"/>
      <c r="F195" s="123"/>
      <c r="G195" s="123"/>
      <c r="H195" s="474"/>
      <c r="I195" s="123"/>
      <c r="J195" s="123"/>
      <c r="K195" s="123"/>
      <c r="L195" s="123"/>
    </row>
    <row r="196" spans="1:12" x14ac:dyDescent="0.2">
      <c r="A196" s="291"/>
      <c r="B196" s="291"/>
      <c r="C196" s="123"/>
      <c r="D196" s="123"/>
      <c r="E196" s="123"/>
      <c r="F196" s="123"/>
      <c r="G196" s="123"/>
      <c r="H196" s="474"/>
      <c r="I196" s="123"/>
      <c r="J196" s="123"/>
      <c r="K196" s="123"/>
      <c r="L196" s="123"/>
    </row>
    <row r="197" spans="1:12" x14ac:dyDescent="0.2">
      <c r="A197" s="291"/>
      <c r="B197" s="291"/>
      <c r="C197" s="123"/>
      <c r="D197" s="123"/>
      <c r="E197" s="123"/>
      <c r="F197" s="123"/>
      <c r="G197" s="123"/>
      <c r="H197" s="474"/>
      <c r="I197" s="123"/>
      <c r="J197" s="123"/>
      <c r="K197" s="123"/>
      <c r="L197" s="123"/>
    </row>
    <row r="198" spans="1:12" ht="13.5" x14ac:dyDescent="0.2">
      <c r="A198" s="292"/>
      <c r="B198" s="284"/>
      <c r="C198" s="123"/>
      <c r="D198" s="123"/>
      <c r="E198" s="123"/>
      <c r="F198" s="123"/>
      <c r="G198" s="123"/>
      <c r="H198" s="474"/>
      <c r="I198" s="123"/>
      <c r="J198" s="123"/>
      <c r="K198" s="123"/>
      <c r="L198" s="123"/>
    </row>
    <row r="199" spans="1:12" x14ac:dyDescent="0.2">
      <c r="A199" s="292"/>
      <c r="B199" s="292"/>
      <c r="C199" s="123"/>
      <c r="D199" s="123"/>
      <c r="E199" s="123"/>
      <c r="F199" s="123"/>
      <c r="G199" s="123"/>
      <c r="H199" s="474"/>
      <c r="I199" s="123"/>
      <c r="J199" s="123"/>
      <c r="K199" s="123"/>
      <c r="L199" s="123"/>
    </row>
    <row r="200" spans="1:12" ht="13.5" x14ac:dyDescent="0.2">
      <c r="A200" s="292"/>
      <c r="B200" s="284"/>
      <c r="C200" s="123"/>
      <c r="D200" s="123"/>
      <c r="E200" s="123"/>
      <c r="F200" s="284"/>
      <c r="G200" s="123"/>
      <c r="H200" s="474"/>
      <c r="I200" s="123"/>
      <c r="J200" s="123"/>
      <c r="K200" s="123"/>
      <c r="L200" s="123"/>
    </row>
    <row r="201" spans="1:12" ht="13.5" x14ac:dyDescent="0.2">
      <c r="A201" s="292"/>
      <c r="B201" s="284"/>
      <c r="C201" s="123"/>
      <c r="D201" s="123"/>
      <c r="E201" s="123"/>
      <c r="F201" s="123"/>
      <c r="G201" s="123"/>
      <c r="H201" s="474"/>
      <c r="I201" s="123"/>
      <c r="J201" s="123"/>
      <c r="K201" s="123"/>
      <c r="L201" s="123"/>
    </row>
    <row r="202" spans="1:12" ht="18" customHeight="1" x14ac:dyDescent="0.2">
      <c r="A202" s="291"/>
      <c r="B202" s="291"/>
      <c r="C202" s="123"/>
      <c r="D202" s="123"/>
      <c r="E202" s="123"/>
      <c r="F202" s="123"/>
      <c r="G202" s="123"/>
      <c r="H202" s="473"/>
      <c r="I202" s="123"/>
      <c r="J202" s="123"/>
      <c r="K202" s="123"/>
      <c r="L202" s="123"/>
    </row>
    <row r="203" spans="1:12" x14ac:dyDescent="0.2">
      <c r="A203" s="291"/>
      <c r="B203" s="291"/>
      <c r="C203" s="123"/>
      <c r="D203" s="123"/>
      <c r="E203" s="123"/>
      <c r="F203" s="123"/>
      <c r="G203" s="123"/>
      <c r="H203" s="473"/>
      <c r="I203" s="123"/>
      <c r="J203" s="123"/>
      <c r="K203" s="123"/>
      <c r="L203" s="123"/>
    </row>
    <row r="204" spans="1:12" x14ac:dyDescent="0.2">
      <c r="A204" s="292"/>
      <c r="B204" s="292"/>
      <c r="C204" s="123"/>
      <c r="D204" s="123"/>
      <c r="E204" s="123"/>
      <c r="F204" s="123"/>
      <c r="G204" s="125"/>
      <c r="H204" s="473"/>
      <c r="I204" s="123"/>
      <c r="J204" s="123"/>
      <c r="K204" s="123"/>
      <c r="L204" s="123"/>
    </row>
    <row r="205" spans="1:12" ht="13.5" x14ac:dyDescent="0.2">
      <c r="A205" s="292"/>
      <c r="B205" s="284"/>
      <c r="C205" s="123"/>
      <c r="D205" s="284"/>
      <c r="E205" s="123"/>
      <c r="F205" s="123"/>
      <c r="G205" s="123"/>
      <c r="H205" s="473"/>
      <c r="I205" s="123"/>
      <c r="J205" s="123"/>
      <c r="K205" s="123"/>
      <c r="L205" s="123"/>
    </row>
    <row r="206" spans="1:12" ht="13.5" x14ac:dyDescent="0.2">
      <c r="A206" s="292"/>
      <c r="B206" s="284"/>
      <c r="C206" s="123"/>
      <c r="D206" s="123"/>
      <c r="E206" s="123"/>
      <c r="F206" s="123"/>
      <c r="G206" s="125"/>
      <c r="H206" s="473"/>
      <c r="I206" s="123"/>
      <c r="J206" s="123"/>
      <c r="K206" s="123"/>
      <c r="L206" s="123"/>
    </row>
    <row r="207" spans="1:12" ht="13.5" x14ac:dyDescent="0.2">
      <c r="A207" s="292"/>
      <c r="B207" s="284"/>
      <c r="C207" s="123"/>
      <c r="D207" s="284"/>
      <c r="E207" s="123"/>
      <c r="F207" s="123"/>
      <c r="G207" s="123"/>
      <c r="H207" s="473"/>
      <c r="I207" s="123"/>
      <c r="J207" s="123"/>
      <c r="K207" s="123"/>
      <c r="L207" s="123"/>
    </row>
    <row r="208" spans="1:12" ht="13.5" x14ac:dyDescent="0.2">
      <c r="A208" s="292"/>
      <c r="B208" s="284"/>
      <c r="C208" s="123"/>
      <c r="D208" s="284"/>
      <c r="E208" s="123"/>
      <c r="F208" s="123"/>
      <c r="G208" s="123"/>
      <c r="H208" s="473"/>
      <c r="I208" s="123"/>
      <c r="J208" s="123"/>
      <c r="K208" s="123"/>
      <c r="L208" s="123"/>
    </row>
    <row r="209" spans="1:12" ht="18" customHeight="1" x14ac:dyDescent="0.2">
      <c r="A209" s="293"/>
      <c r="B209" s="292"/>
      <c r="C209" s="123"/>
      <c r="D209" s="123"/>
      <c r="E209" s="123"/>
      <c r="F209" s="123"/>
      <c r="G209" s="123"/>
      <c r="H209" s="473"/>
      <c r="I209" s="123"/>
      <c r="J209" s="123"/>
      <c r="K209" s="123"/>
      <c r="L209" s="123"/>
    </row>
    <row r="210" spans="1:12" x14ac:dyDescent="0.2">
      <c r="A210" s="293"/>
      <c r="B210" s="292"/>
      <c r="C210" s="123"/>
      <c r="D210" s="123"/>
      <c r="E210" s="123"/>
      <c r="F210" s="123"/>
      <c r="G210" s="123"/>
      <c r="H210" s="473"/>
      <c r="I210" s="123"/>
      <c r="J210" s="123"/>
      <c r="K210" s="123"/>
      <c r="L210" s="123"/>
    </row>
    <row r="211" spans="1:12" ht="13.5" x14ac:dyDescent="0.2">
      <c r="A211" s="292"/>
      <c r="B211" s="284"/>
      <c r="C211" s="123"/>
      <c r="D211" s="123"/>
      <c r="E211" s="123"/>
      <c r="F211" s="284"/>
      <c r="G211" s="123"/>
      <c r="H211" s="473"/>
      <c r="I211" s="123"/>
      <c r="J211" s="123"/>
      <c r="K211" s="123"/>
      <c r="L211" s="123"/>
    </row>
    <row r="212" spans="1:12" ht="13.5" x14ac:dyDescent="0.2">
      <c r="A212" s="292"/>
      <c r="B212" s="284"/>
      <c r="C212" s="123"/>
      <c r="D212" s="123"/>
      <c r="E212" s="123"/>
      <c r="F212" s="123"/>
      <c r="G212" s="123"/>
      <c r="H212" s="473"/>
      <c r="I212" s="123"/>
      <c r="J212" s="123"/>
      <c r="K212" s="123"/>
      <c r="L212" s="123"/>
    </row>
    <row r="213" spans="1:12" ht="33" customHeight="1" x14ac:dyDescent="0.2">
      <c r="A213" s="293"/>
      <c r="B213" s="293"/>
      <c r="C213" s="123"/>
      <c r="D213" s="123"/>
      <c r="E213" s="123"/>
      <c r="F213" s="123"/>
      <c r="G213" s="123"/>
      <c r="H213" s="473"/>
      <c r="I213" s="123"/>
      <c r="J213" s="123"/>
      <c r="K213" s="123"/>
      <c r="L213" s="123"/>
    </row>
    <row r="214" spans="1:12" x14ac:dyDescent="0.2">
      <c r="A214" s="293"/>
      <c r="B214" s="293"/>
      <c r="C214" s="123"/>
      <c r="D214" s="123"/>
      <c r="E214" s="123"/>
      <c r="F214" s="123"/>
      <c r="G214" s="123"/>
      <c r="H214" s="473"/>
      <c r="I214" s="123"/>
      <c r="J214" s="123"/>
      <c r="K214" s="123"/>
      <c r="L214" s="123"/>
    </row>
    <row r="215" spans="1:12" ht="13.5" x14ac:dyDescent="0.2">
      <c r="A215" s="292"/>
      <c r="B215" s="284"/>
      <c r="C215" s="123"/>
      <c r="D215" s="123"/>
      <c r="E215" s="123"/>
      <c r="F215" s="284"/>
      <c r="G215" s="123"/>
      <c r="H215" s="473"/>
      <c r="I215" s="123"/>
      <c r="J215" s="123"/>
      <c r="K215" s="123"/>
      <c r="L215" s="123"/>
    </row>
    <row r="216" spans="1:12" x14ac:dyDescent="0.2">
      <c r="A216" s="292"/>
      <c r="B216" s="292"/>
      <c r="C216" s="123"/>
      <c r="D216" s="123"/>
      <c r="E216" s="123"/>
      <c r="F216" s="123"/>
      <c r="G216" s="123"/>
      <c r="H216" s="473"/>
      <c r="I216" s="123"/>
      <c r="J216" s="123"/>
      <c r="K216" s="123"/>
      <c r="L216" s="123"/>
    </row>
    <row r="217" spans="1:12" x14ac:dyDescent="0.2">
      <c r="A217" s="292"/>
      <c r="B217" s="292"/>
      <c r="C217" s="123"/>
      <c r="D217" s="123"/>
      <c r="E217" s="123"/>
      <c r="F217" s="123"/>
      <c r="G217" s="123"/>
      <c r="H217" s="473"/>
      <c r="I217" s="123"/>
      <c r="J217" s="123"/>
      <c r="K217" s="123"/>
      <c r="L217" s="123"/>
    </row>
    <row r="218" spans="1:12" ht="13.5" x14ac:dyDescent="0.2">
      <c r="A218" s="293"/>
      <c r="B218" s="284"/>
      <c r="C218" s="123"/>
      <c r="D218" s="123"/>
      <c r="E218" s="123"/>
      <c r="F218" s="123"/>
      <c r="G218" s="123"/>
      <c r="H218" s="474"/>
      <c r="I218" s="123"/>
      <c r="J218" s="123"/>
      <c r="K218" s="123"/>
      <c r="L218" s="123"/>
    </row>
    <row r="219" spans="1:12" ht="13.5" x14ac:dyDescent="0.2">
      <c r="A219" s="293"/>
      <c r="B219" s="284"/>
      <c r="C219" s="123"/>
      <c r="D219" s="123"/>
      <c r="E219" s="123"/>
      <c r="F219" s="123"/>
      <c r="G219" s="123"/>
      <c r="H219" s="474"/>
      <c r="I219" s="123"/>
      <c r="J219" s="123"/>
      <c r="K219" s="123"/>
      <c r="L219" s="123"/>
    </row>
    <row r="220" spans="1:12" x14ac:dyDescent="0.2">
      <c r="A220" s="292"/>
      <c r="B220" s="292"/>
      <c r="C220" s="123"/>
      <c r="D220" s="123"/>
      <c r="E220" s="123"/>
      <c r="F220" s="123"/>
      <c r="G220" s="125"/>
      <c r="H220" s="474"/>
      <c r="I220" s="123"/>
      <c r="J220" s="123"/>
      <c r="K220" s="123"/>
      <c r="L220" s="123"/>
    </row>
    <row r="221" spans="1:12" ht="13.5" x14ac:dyDescent="0.2">
      <c r="A221" s="292"/>
      <c r="B221" s="284"/>
      <c r="C221" s="123"/>
      <c r="D221" s="123"/>
      <c r="E221" s="126"/>
      <c r="F221" s="123"/>
      <c r="G221" s="125"/>
      <c r="H221" s="474"/>
      <c r="I221" s="123"/>
      <c r="J221" s="123"/>
      <c r="K221" s="123"/>
      <c r="L221" s="123"/>
    </row>
    <row r="222" spans="1:12" ht="13.5" x14ac:dyDescent="0.2">
      <c r="A222" s="292"/>
      <c r="B222" s="284"/>
      <c r="C222" s="123"/>
      <c r="D222" s="123"/>
      <c r="E222" s="126"/>
      <c r="F222" s="123"/>
      <c r="G222" s="125"/>
      <c r="H222" s="474"/>
      <c r="I222" s="123"/>
      <c r="J222" s="123"/>
      <c r="K222" s="123"/>
      <c r="L222" s="123"/>
    </row>
    <row r="223" spans="1:12" ht="17.25" customHeight="1" x14ac:dyDescent="0.2">
      <c r="A223" s="293"/>
      <c r="B223" s="293"/>
      <c r="C223" s="123"/>
      <c r="D223" s="123"/>
      <c r="E223" s="123"/>
      <c r="F223" s="123"/>
      <c r="G223" s="123"/>
      <c r="H223" s="474"/>
      <c r="I223" s="123"/>
      <c r="J223" s="123"/>
      <c r="K223" s="123"/>
      <c r="L223" s="123"/>
    </row>
    <row r="224" spans="1:12" x14ac:dyDescent="0.2">
      <c r="A224" s="293"/>
      <c r="B224" s="293"/>
      <c r="C224" s="123"/>
      <c r="D224" s="123"/>
      <c r="E224" s="123"/>
      <c r="F224" s="123"/>
      <c r="G224" s="123"/>
      <c r="H224" s="474"/>
      <c r="I224" s="123"/>
      <c r="J224" s="123"/>
      <c r="K224" s="123"/>
      <c r="L224" s="123"/>
    </row>
    <row r="225" spans="1:12" ht="13.5" x14ac:dyDescent="0.2">
      <c r="A225" s="292"/>
      <c r="B225" s="284"/>
      <c r="C225" s="123"/>
      <c r="D225" s="123"/>
      <c r="E225" s="123"/>
      <c r="F225" s="284"/>
      <c r="G225" s="123"/>
      <c r="H225" s="474"/>
      <c r="I225" s="123"/>
      <c r="J225" s="123"/>
      <c r="K225" s="123"/>
      <c r="L225" s="123"/>
    </row>
    <row r="226" spans="1:12" ht="13.5" x14ac:dyDescent="0.2">
      <c r="A226" s="292"/>
      <c r="B226" s="292"/>
      <c r="C226" s="123"/>
      <c r="D226" s="123"/>
      <c r="E226" s="123"/>
      <c r="F226" s="284"/>
      <c r="G226" s="123"/>
      <c r="H226" s="474"/>
      <c r="I226" s="123"/>
      <c r="J226" s="123"/>
      <c r="K226" s="123"/>
      <c r="L226" s="123"/>
    </row>
    <row r="227" spans="1:12" ht="13.5" x14ac:dyDescent="0.2">
      <c r="A227" s="292"/>
      <c r="B227" s="292"/>
      <c r="C227" s="123"/>
      <c r="D227" s="123"/>
      <c r="E227" s="123"/>
      <c r="F227" s="284"/>
      <c r="G227" s="123"/>
      <c r="H227" s="474"/>
      <c r="I227" s="123"/>
      <c r="J227" s="123"/>
      <c r="K227" s="123"/>
      <c r="L227" s="123"/>
    </row>
    <row r="228" spans="1:12" ht="13.5" x14ac:dyDescent="0.2">
      <c r="A228" s="292"/>
      <c r="B228" s="292"/>
      <c r="C228" s="123"/>
      <c r="D228" s="123"/>
      <c r="E228" s="123"/>
      <c r="F228" s="284"/>
      <c r="G228" s="123"/>
      <c r="H228" s="474"/>
      <c r="I228" s="123"/>
      <c r="J228" s="123"/>
      <c r="K228" s="123"/>
      <c r="L228" s="123"/>
    </row>
    <row r="229" spans="1:12" ht="13.5" x14ac:dyDescent="0.2">
      <c r="A229" s="292"/>
      <c r="B229" s="292"/>
      <c r="C229" s="123"/>
      <c r="D229" s="123"/>
      <c r="E229" s="123"/>
      <c r="F229" s="284"/>
      <c r="G229" s="123"/>
      <c r="H229" s="474"/>
      <c r="I229" s="123"/>
      <c r="J229" s="123"/>
      <c r="K229" s="123"/>
      <c r="L229" s="123"/>
    </row>
    <row r="230" spans="1:12" x14ac:dyDescent="0.2">
      <c r="A230" s="292"/>
      <c r="B230" s="292"/>
      <c r="C230" s="123"/>
      <c r="D230" s="123"/>
      <c r="E230" s="123"/>
      <c r="F230" s="123"/>
      <c r="G230" s="123"/>
      <c r="H230" s="474"/>
      <c r="I230" s="123"/>
      <c r="J230" s="123"/>
      <c r="K230" s="123"/>
      <c r="L230" s="123"/>
    </row>
    <row r="231" spans="1:12" x14ac:dyDescent="0.2">
      <c r="A231" s="123"/>
      <c r="B231" s="123"/>
      <c r="C231" s="123"/>
      <c r="D231" s="123"/>
      <c r="E231" s="123"/>
      <c r="F231" s="123"/>
      <c r="G231" s="294"/>
      <c r="H231" s="123"/>
      <c r="I231" s="123"/>
      <c r="J231" s="123"/>
      <c r="K231" s="123"/>
      <c r="L231" s="123"/>
    </row>
    <row r="232" spans="1:12" x14ac:dyDescent="0.2">
      <c r="A232" s="469"/>
      <c r="B232" s="469"/>
      <c r="C232" s="469"/>
      <c r="D232" s="469"/>
      <c r="E232" s="469"/>
      <c r="F232" s="469"/>
      <c r="G232" s="469"/>
      <c r="H232" s="123"/>
      <c r="I232" s="123"/>
      <c r="J232" s="123"/>
      <c r="K232" s="123"/>
      <c r="L232" s="123"/>
    </row>
    <row r="233" spans="1:12" x14ac:dyDescent="0.2">
      <c r="A233" s="123"/>
      <c r="B233" s="123"/>
      <c r="C233" s="123"/>
      <c r="D233" s="123"/>
      <c r="E233" s="123"/>
      <c r="F233" s="123"/>
      <c r="G233" s="294"/>
      <c r="H233" s="123"/>
      <c r="I233" s="123"/>
      <c r="J233" s="123"/>
      <c r="K233" s="123"/>
      <c r="L233" s="123"/>
    </row>
    <row r="234" spans="1:12" x14ac:dyDescent="0.2">
      <c r="A234" s="465"/>
      <c r="B234" s="465"/>
      <c r="C234" s="465"/>
      <c r="D234" s="465"/>
      <c r="E234" s="465"/>
      <c r="F234" s="465"/>
      <c r="G234" s="465"/>
      <c r="H234" s="123"/>
      <c r="I234" s="123"/>
      <c r="J234" s="123"/>
      <c r="K234" s="123"/>
      <c r="L234" s="123"/>
    </row>
    <row r="235" spans="1:12" x14ac:dyDescent="0.2">
      <c r="A235" s="465"/>
      <c r="B235" s="465"/>
      <c r="C235" s="465"/>
      <c r="D235" s="465"/>
      <c r="E235" s="465"/>
      <c r="F235" s="465"/>
      <c r="G235" s="465"/>
      <c r="H235" s="123"/>
      <c r="I235" s="123"/>
      <c r="J235" s="123"/>
      <c r="K235" s="123"/>
      <c r="L235" s="123"/>
    </row>
    <row r="236" spans="1:12" x14ac:dyDescent="0.2">
      <c r="A236" s="123"/>
      <c r="B236" s="123"/>
      <c r="C236" s="123"/>
      <c r="D236" s="123"/>
      <c r="E236" s="123"/>
      <c r="F236" s="123"/>
      <c r="G236" s="294"/>
      <c r="H236" s="123"/>
      <c r="I236" s="123"/>
      <c r="J236" s="123"/>
      <c r="K236" s="123"/>
      <c r="L236" s="123"/>
    </row>
    <row r="237" spans="1:12" x14ac:dyDescent="0.2">
      <c r="A237" s="123"/>
      <c r="B237" s="123"/>
      <c r="C237" s="123"/>
      <c r="D237" s="123"/>
      <c r="E237" s="123"/>
      <c r="F237" s="123"/>
      <c r="G237" s="294"/>
      <c r="H237" s="123"/>
      <c r="I237" s="123"/>
      <c r="J237" s="123"/>
      <c r="K237" s="123"/>
      <c r="L237" s="123"/>
    </row>
    <row r="238" spans="1:12" x14ac:dyDescent="0.2">
      <c r="A238" s="123"/>
      <c r="B238" s="123"/>
      <c r="C238" s="123"/>
      <c r="D238" s="123"/>
      <c r="E238" s="123"/>
      <c r="F238" s="123"/>
      <c r="G238" s="294"/>
      <c r="H238" s="123"/>
      <c r="I238" s="123"/>
      <c r="J238" s="123"/>
      <c r="K238" s="123"/>
      <c r="L238" s="123"/>
    </row>
    <row r="239" spans="1:12" x14ac:dyDescent="0.2">
      <c r="A239" s="465"/>
      <c r="B239" s="465"/>
      <c r="C239" s="465"/>
      <c r="D239" s="465"/>
      <c r="E239" s="465"/>
      <c r="F239" s="465"/>
      <c r="G239" s="465"/>
      <c r="H239" s="123"/>
      <c r="I239" s="123"/>
      <c r="J239" s="123"/>
      <c r="K239" s="123"/>
      <c r="L239" s="123"/>
    </row>
    <row r="240" spans="1:12" x14ac:dyDescent="0.2">
      <c r="A240" s="465"/>
      <c r="B240" s="465"/>
      <c r="C240" s="465"/>
      <c r="D240" s="465"/>
      <c r="E240" s="465"/>
      <c r="F240" s="465"/>
      <c r="G240" s="465"/>
      <c r="H240" s="123"/>
      <c r="I240" s="123"/>
      <c r="J240" s="123"/>
      <c r="K240" s="123"/>
      <c r="L240" s="123"/>
    </row>
    <row r="241" spans="1:12" x14ac:dyDescent="0.2">
      <c r="A241" s="465"/>
      <c r="B241" s="465"/>
      <c r="C241" s="465"/>
      <c r="D241" s="465"/>
      <c r="E241" s="465"/>
      <c r="F241" s="465"/>
      <c r="G241" s="465"/>
      <c r="H241" s="123"/>
      <c r="I241" s="123"/>
      <c r="J241" s="123"/>
      <c r="K241" s="123"/>
      <c r="L241" s="123"/>
    </row>
    <row r="242" spans="1:12" x14ac:dyDescent="0.2">
      <c r="A242" s="465"/>
      <c r="B242" s="465"/>
      <c r="C242" s="465"/>
      <c r="D242" s="465"/>
      <c r="E242" s="465"/>
      <c r="F242" s="465"/>
      <c r="G242" s="465"/>
      <c r="H242" s="123"/>
      <c r="I242" s="123"/>
      <c r="J242" s="123"/>
      <c r="K242" s="123"/>
      <c r="L242" s="123"/>
    </row>
    <row r="243" spans="1:12" x14ac:dyDescent="0.2">
      <c r="A243" s="465"/>
      <c r="B243" s="465"/>
      <c r="C243" s="465"/>
      <c r="D243" s="465"/>
      <c r="E243" s="465"/>
      <c r="F243" s="465"/>
      <c r="G243" s="465"/>
      <c r="H243" s="123"/>
      <c r="I243" s="123"/>
      <c r="J243" s="123"/>
      <c r="K243" s="123"/>
      <c r="L243" s="123"/>
    </row>
    <row r="244" spans="1:12" x14ac:dyDescent="0.2">
      <c r="A244" s="465"/>
      <c r="B244" s="465"/>
      <c r="C244" s="465"/>
      <c r="D244" s="465"/>
      <c r="E244" s="465"/>
      <c r="F244" s="465"/>
      <c r="G244" s="465"/>
      <c r="H244" s="123"/>
      <c r="I244" s="123"/>
      <c r="J244" s="123"/>
      <c r="K244" s="123"/>
      <c r="L244" s="123"/>
    </row>
    <row r="245" spans="1:12" x14ac:dyDescent="0.2">
      <c r="A245" s="465"/>
      <c r="B245" s="465"/>
      <c r="C245" s="465"/>
      <c r="D245" s="465"/>
      <c r="E245" s="465"/>
      <c r="F245" s="465"/>
      <c r="G245" s="465"/>
      <c r="H245" s="123"/>
      <c r="I245" s="123"/>
      <c r="J245" s="123"/>
      <c r="K245" s="123"/>
      <c r="L245" s="123"/>
    </row>
    <row r="246" spans="1:12" x14ac:dyDescent="0.2">
      <c r="A246" s="465"/>
      <c r="B246" s="465"/>
      <c r="C246" s="465"/>
      <c r="D246" s="465"/>
      <c r="E246" s="465"/>
      <c r="F246" s="465"/>
      <c r="G246" s="465"/>
      <c r="H246" s="123"/>
      <c r="I246" s="123"/>
      <c r="J246" s="123"/>
      <c r="K246" s="123"/>
      <c r="L246" s="123"/>
    </row>
    <row r="247" spans="1:12" x14ac:dyDescent="0.2">
      <c r="A247" s="123"/>
      <c r="B247" s="123"/>
      <c r="C247" s="123"/>
      <c r="D247" s="123"/>
      <c r="E247" s="123"/>
      <c r="F247" s="123"/>
      <c r="G247" s="294"/>
      <c r="H247" s="123"/>
      <c r="I247" s="123"/>
      <c r="J247" s="123"/>
      <c r="K247" s="123"/>
      <c r="L247" s="123"/>
    </row>
    <row r="248" spans="1:12" x14ac:dyDescent="0.2">
      <c r="A248" s="123"/>
      <c r="B248" s="123"/>
      <c r="C248" s="123"/>
      <c r="D248" s="123"/>
      <c r="E248" s="123"/>
      <c r="F248" s="123"/>
      <c r="G248" s="294"/>
      <c r="H248" s="123"/>
      <c r="I248" s="123"/>
      <c r="J248" s="123"/>
      <c r="K248" s="123"/>
      <c r="L248" s="123"/>
    </row>
    <row r="249" spans="1:12" x14ac:dyDescent="0.2">
      <c r="A249" s="123"/>
      <c r="B249" s="123"/>
      <c r="C249" s="123"/>
      <c r="D249" s="123"/>
      <c r="E249" s="123"/>
      <c r="F249" s="123"/>
      <c r="G249" s="294"/>
      <c r="H249" s="123"/>
      <c r="I249" s="123"/>
      <c r="J249" s="123"/>
      <c r="K249" s="123"/>
      <c r="L249" s="123"/>
    </row>
    <row r="250" spans="1:12" x14ac:dyDescent="0.2">
      <c r="A250" s="123"/>
      <c r="B250" s="123"/>
      <c r="C250" s="123"/>
      <c r="D250" s="123"/>
      <c r="E250" s="123"/>
      <c r="F250" s="123"/>
      <c r="G250" s="294"/>
      <c r="H250" s="123"/>
      <c r="I250" s="123"/>
      <c r="J250" s="123"/>
      <c r="K250" s="123"/>
      <c r="L250" s="123"/>
    </row>
    <row r="251" spans="1:12" x14ac:dyDescent="0.2">
      <c r="A251" s="123"/>
      <c r="B251" s="123"/>
      <c r="C251" s="123"/>
      <c r="D251" s="123"/>
      <c r="E251" s="123"/>
      <c r="F251" s="123"/>
      <c r="G251" s="294"/>
      <c r="H251" s="123"/>
      <c r="I251" s="123"/>
      <c r="J251" s="123"/>
      <c r="K251" s="123"/>
      <c r="L251" s="123"/>
    </row>
    <row r="252" spans="1:12" x14ac:dyDescent="0.2">
      <c r="A252" s="123"/>
      <c r="B252" s="123"/>
      <c r="C252" s="123"/>
      <c r="D252" s="123"/>
      <c r="E252" s="123"/>
      <c r="F252" s="123"/>
      <c r="G252" s="294"/>
      <c r="H252" s="123"/>
      <c r="I252" s="123"/>
      <c r="J252" s="123"/>
      <c r="K252" s="123"/>
      <c r="L252" s="123"/>
    </row>
    <row r="253" spans="1:12" x14ac:dyDescent="0.2">
      <c r="A253" s="123"/>
      <c r="B253" s="123"/>
      <c r="C253" s="123"/>
      <c r="D253" s="123"/>
      <c r="E253" s="123"/>
      <c r="F253" s="123"/>
      <c r="G253" s="123"/>
      <c r="H253" s="123"/>
      <c r="I253" s="123"/>
      <c r="J253" s="123"/>
      <c r="K253" s="123"/>
      <c r="L253" s="123"/>
    </row>
    <row r="254" spans="1:12" x14ac:dyDescent="0.2">
      <c r="A254" s="467"/>
      <c r="B254" s="467"/>
      <c r="C254" s="467"/>
      <c r="D254" s="467"/>
      <c r="E254" s="123"/>
      <c r="F254" s="123"/>
      <c r="G254" s="123"/>
      <c r="H254" s="123"/>
      <c r="I254" s="123"/>
      <c r="J254" s="123"/>
      <c r="K254" s="123"/>
      <c r="L254" s="123"/>
    </row>
    <row r="255" spans="1:12" s="297" customFormat="1" x14ac:dyDescent="0.2">
      <c r="A255" s="295"/>
      <c r="B255" s="468"/>
      <c r="C255" s="468"/>
      <c r="D255" s="295"/>
      <c r="E255" s="296"/>
      <c r="F255" s="296"/>
      <c r="G255" s="296"/>
      <c r="H255" s="296"/>
      <c r="I255" s="296"/>
      <c r="J255" s="296"/>
      <c r="K255" s="296"/>
      <c r="L255" s="296"/>
    </row>
    <row r="256" spans="1:12" s="297" customFormat="1" x14ac:dyDescent="0.2">
      <c r="A256" s="295"/>
      <c r="B256" s="464"/>
      <c r="C256" s="464"/>
      <c r="D256" s="295"/>
      <c r="E256" s="296"/>
      <c r="F256" s="296"/>
      <c r="G256" s="296"/>
      <c r="H256" s="296"/>
      <c r="I256" s="296"/>
      <c r="J256" s="296"/>
      <c r="K256" s="296"/>
      <c r="L256" s="296"/>
    </row>
    <row r="257" spans="1:12" s="297" customFormat="1" x14ac:dyDescent="0.2">
      <c r="A257" s="296"/>
      <c r="B257" s="464"/>
      <c r="C257" s="464"/>
      <c r="D257" s="298"/>
      <c r="E257" s="296"/>
      <c r="F257" s="296"/>
      <c r="G257" s="296"/>
      <c r="H257" s="296"/>
      <c r="I257" s="296"/>
      <c r="J257" s="296"/>
      <c r="K257" s="296"/>
      <c r="L257" s="296"/>
    </row>
    <row r="258" spans="1:12" s="297" customFormat="1" x14ac:dyDescent="0.2">
      <c r="A258" s="296"/>
      <c r="B258" s="298"/>
      <c r="C258" s="298"/>
      <c r="D258" s="298"/>
      <c r="E258" s="296"/>
      <c r="F258" s="296"/>
      <c r="G258" s="296"/>
      <c r="H258" s="296"/>
      <c r="I258" s="296"/>
      <c r="J258" s="296"/>
      <c r="K258" s="296"/>
      <c r="L258" s="296"/>
    </row>
    <row r="259" spans="1:12" s="297" customFormat="1" x14ac:dyDescent="0.2">
      <c r="A259" s="296"/>
      <c r="B259" s="298"/>
      <c r="C259" s="298"/>
      <c r="D259" s="298"/>
      <c r="E259" s="296"/>
      <c r="F259" s="296"/>
      <c r="G259" s="296"/>
      <c r="H259" s="296"/>
      <c r="I259" s="296"/>
      <c r="J259" s="296"/>
      <c r="K259" s="296"/>
      <c r="L259" s="296"/>
    </row>
    <row r="260" spans="1:12" s="297" customFormat="1" x14ac:dyDescent="0.2">
      <c r="A260" s="296"/>
      <c r="B260" s="298"/>
      <c r="C260" s="298"/>
      <c r="D260" s="298"/>
      <c r="E260" s="296"/>
      <c r="F260" s="296"/>
      <c r="G260" s="296"/>
      <c r="H260" s="296"/>
      <c r="I260" s="296"/>
      <c r="J260" s="296"/>
      <c r="K260" s="296"/>
      <c r="L260" s="296"/>
    </row>
    <row r="261" spans="1:12" s="297" customFormat="1" x14ac:dyDescent="0.2">
      <c r="A261" s="296"/>
      <c r="B261" s="298"/>
      <c r="C261" s="298"/>
      <c r="D261" s="298"/>
      <c r="E261" s="296"/>
      <c r="F261" s="296"/>
      <c r="G261" s="296"/>
      <c r="H261" s="296"/>
      <c r="I261" s="296"/>
      <c r="J261" s="296"/>
      <c r="K261" s="296"/>
      <c r="L261" s="296"/>
    </row>
    <row r="262" spans="1:12" x14ac:dyDescent="0.2">
      <c r="A262" s="123"/>
      <c r="B262" s="123"/>
      <c r="C262" s="123"/>
      <c r="D262" s="123"/>
      <c r="E262" s="123"/>
      <c r="F262" s="123"/>
      <c r="G262" s="123"/>
      <c r="H262" s="123"/>
      <c r="I262" s="123"/>
      <c r="J262" s="123"/>
      <c r="K262" s="123"/>
      <c r="L262" s="123"/>
    </row>
    <row r="263" spans="1:12" x14ac:dyDescent="0.2">
      <c r="A263" s="285"/>
      <c r="B263" s="285"/>
      <c r="C263" s="285"/>
      <c r="D263" s="123"/>
      <c r="E263" s="123"/>
      <c r="F263" s="123"/>
      <c r="G263" s="123"/>
      <c r="H263" s="123"/>
      <c r="I263" s="123"/>
      <c r="J263" s="123"/>
      <c r="K263" s="123"/>
      <c r="L263" s="123"/>
    </row>
    <row r="264" spans="1:12" x14ac:dyDescent="0.2">
      <c r="A264" s="466"/>
      <c r="B264" s="364"/>
      <c r="C264" s="364"/>
      <c r="D264" s="123"/>
      <c r="E264" s="123"/>
      <c r="F264" s="123"/>
      <c r="G264" s="123"/>
      <c r="H264" s="123"/>
      <c r="I264" s="123"/>
      <c r="J264" s="123"/>
      <c r="K264" s="123"/>
      <c r="L264" s="123"/>
    </row>
    <row r="265" spans="1:12" x14ac:dyDescent="0.2">
      <c r="A265" s="466"/>
      <c r="B265" s="364"/>
      <c r="C265" s="364"/>
      <c r="D265" s="123"/>
      <c r="E265" s="123"/>
      <c r="F265" s="123"/>
      <c r="G265" s="123"/>
      <c r="H265" s="123"/>
      <c r="I265" s="123"/>
      <c r="J265" s="123"/>
      <c r="K265" s="123"/>
      <c r="L265" s="123"/>
    </row>
    <row r="266" spans="1:12" x14ac:dyDescent="0.2">
      <c r="A266" s="123"/>
      <c r="B266" s="123"/>
      <c r="C266" s="123"/>
      <c r="D266" s="123"/>
      <c r="E266" s="123"/>
      <c r="F266" s="123"/>
      <c r="G266" s="123"/>
      <c r="H266" s="123"/>
      <c r="I266" s="123"/>
      <c r="J266" s="123"/>
      <c r="K266" s="123"/>
      <c r="L266" s="123"/>
    </row>
    <row r="267" spans="1:12" x14ac:dyDescent="0.2">
      <c r="A267" s="123"/>
      <c r="B267" s="123"/>
      <c r="C267" s="123"/>
      <c r="D267" s="123"/>
      <c r="E267" s="123"/>
      <c r="F267" s="123"/>
      <c r="G267" s="123"/>
      <c r="H267" s="123"/>
      <c r="I267" s="123"/>
      <c r="J267" s="123"/>
      <c r="K267" s="123"/>
      <c r="L267" s="123"/>
    </row>
    <row r="268" spans="1:12" ht="13.5" x14ac:dyDescent="0.2">
      <c r="A268" s="278"/>
      <c r="B268" s="126"/>
      <c r="C268" s="284"/>
      <c r="D268" s="123"/>
      <c r="E268" s="123"/>
      <c r="F268" s="123"/>
      <c r="G268" s="123"/>
      <c r="H268" s="123"/>
      <c r="I268" s="123"/>
      <c r="J268" s="123"/>
      <c r="K268" s="123"/>
      <c r="L268" s="123"/>
    </row>
    <row r="269" spans="1:12" x14ac:dyDescent="0.2">
      <c r="A269" s="278"/>
      <c r="B269" s="123"/>
      <c r="C269" s="123"/>
      <c r="D269" s="123"/>
      <c r="E269" s="123"/>
      <c r="F269" s="123"/>
      <c r="G269" s="123"/>
      <c r="H269" s="123"/>
      <c r="I269" s="123"/>
      <c r="J269" s="123"/>
      <c r="K269" s="123"/>
      <c r="L269" s="123"/>
    </row>
    <row r="270" spans="1:12" x14ac:dyDescent="0.2">
      <c r="A270" s="278"/>
      <c r="B270" s="123"/>
      <c r="C270" s="123"/>
      <c r="D270" s="123"/>
      <c r="E270" s="123"/>
      <c r="F270" s="123"/>
      <c r="G270" s="123"/>
      <c r="H270" s="123"/>
      <c r="I270" s="123"/>
      <c r="J270" s="123"/>
      <c r="K270" s="123"/>
      <c r="L270" s="123"/>
    </row>
    <row r="271" spans="1:12" x14ac:dyDescent="0.2">
      <c r="A271" s="278"/>
      <c r="B271" s="123"/>
      <c r="C271" s="123"/>
      <c r="D271" s="123"/>
      <c r="E271" s="123"/>
      <c r="F271" s="123"/>
      <c r="G271" s="123"/>
      <c r="H271" s="123"/>
      <c r="I271" s="123"/>
      <c r="J271" s="123"/>
      <c r="K271" s="123"/>
      <c r="L271" s="123"/>
    </row>
    <row r="272" spans="1:12" x14ac:dyDescent="0.2">
      <c r="A272" s="278"/>
      <c r="B272" s="123"/>
      <c r="C272" s="123"/>
      <c r="D272" s="123"/>
      <c r="E272" s="123"/>
      <c r="F272" s="123"/>
      <c r="G272" s="123"/>
      <c r="H272" s="123"/>
      <c r="I272" s="123"/>
      <c r="J272" s="123"/>
      <c r="K272" s="123"/>
      <c r="L272" s="123"/>
    </row>
    <row r="273" spans="1:12" x14ac:dyDescent="0.2">
      <c r="A273" s="123"/>
      <c r="B273" s="123"/>
      <c r="C273" s="123"/>
      <c r="D273" s="123"/>
      <c r="E273" s="123"/>
      <c r="F273" s="123"/>
      <c r="G273" s="123"/>
      <c r="H273" s="123"/>
      <c r="I273" s="123"/>
      <c r="J273" s="123"/>
      <c r="K273" s="123"/>
      <c r="L273" s="123"/>
    </row>
    <row r="274" spans="1:12" x14ac:dyDescent="0.2">
      <c r="A274" s="290"/>
      <c r="B274" s="123"/>
      <c r="C274" s="123"/>
      <c r="D274" s="123"/>
      <c r="E274" s="123"/>
      <c r="F274" s="123"/>
      <c r="G274" s="123"/>
      <c r="H274" s="123"/>
      <c r="I274" s="123"/>
      <c r="J274" s="123"/>
      <c r="K274" s="123"/>
      <c r="L274" s="123"/>
    </row>
    <row r="275" spans="1:12" x14ac:dyDescent="0.2">
      <c r="A275" s="290"/>
      <c r="B275" s="123"/>
      <c r="C275" s="123"/>
      <c r="D275" s="123"/>
      <c r="E275" s="123"/>
      <c r="F275" s="123"/>
      <c r="G275" s="123"/>
      <c r="H275" s="123"/>
      <c r="I275" s="123"/>
      <c r="J275" s="123"/>
      <c r="K275" s="123"/>
      <c r="L275" s="123"/>
    </row>
    <row r="276" spans="1:12" x14ac:dyDescent="0.2">
      <c r="A276" s="465"/>
      <c r="B276" s="465"/>
      <c r="C276" s="465"/>
      <c r="D276" s="123"/>
      <c r="E276" s="123"/>
      <c r="F276" s="123"/>
      <c r="G276" s="123"/>
      <c r="H276" s="123"/>
      <c r="I276" s="123"/>
      <c r="J276" s="123"/>
      <c r="K276" s="123"/>
      <c r="L276" s="123"/>
    </row>
    <row r="277" spans="1:12" x14ac:dyDescent="0.2">
      <c r="A277" s="465"/>
      <c r="B277" s="465"/>
      <c r="C277" s="465"/>
      <c r="D277" s="123"/>
      <c r="E277" s="123"/>
      <c r="F277" s="123"/>
      <c r="G277" s="123"/>
      <c r="H277" s="123"/>
      <c r="I277" s="123"/>
      <c r="J277" s="123"/>
      <c r="K277" s="123"/>
      <c r="L277" s="123"/>
    </row>
    <row r="278" spans="1:12" x14ac:dyDescent="0.2">
      <c r="A278" s="290"/>
      <c r="B278" s="123"/>
      <c r="C278" s="123"/>
      <c r="D278" s="123"/>
      <c r="E278" s="123"/>
      <c r="F278" s="123"/>
      <c r="G278" s="123"/>
      <c r="H278" s="123"/>
      <c r="I278" s="123"/>
      <c r="J278" s="123"/>
      <c r="K278" s="123"/>
      <c r="L278" s="123"/>
    </row>
    <row r="279" spans="1:12" x14ac:dyDescent="0.2">
      <c r="A279" s="123"/>
      <c r="B279" s="299"/>
      <c r="C279" s="123"/>
      <c r="D279" s="123"/>
      <c r="E279" s="123"/>
      <c r="F279" s="123"/>
      <c r="G279" s="123"/>
      <c r="H279" s="123"/>
      <c r="I279" s="123"/>
      <c r="J279" s="123"/>
      <c r="K279" s="123"/>
      <c r="L279" s="123"/>
    </row>
    <row r="280" spans="1:12" x14ac:dyDescent="0.2">
      <c r="A280" s="299"/>
      <c r="B280" s="299"/>
      <c r="C280" s="123"/>
      <c r="D280" s="123"/>
      <c r="E280" s="123"/>
      <c r="F280" s="123"/>
      <c r="G280" s="123"/>
      <c r="H280" s="123"/>
      <c r="I280" s="123"/>
      <c r="J280" s="123"/>
      <c r="K280" s="123"/>
      <c r="L280" s="123"/>
    </row>
    <row r="281" spans="1:12" x14ac:dyDescent="0.2">
      <c r="A281" s="291"/>
      <c r="B281" s="291"/>
      <c r="C281" s="123"/>
      <c r="D281" s="123"/>
      <c r="E281" s="123"/>
      <c r="F281" s="123"/>
      <c r="G281" s="123"/>
      <c r="H281" s="123"/>
      <c r="I281" s="123"/>
      <c r="J281" s="123"/>
      <c r="K281" s="123"/>
      <c r="L281" s="123"/>
    </row>
    <row r="282" spans="1:12" x14ac:dyDescent="0.2">
      <c r="A282" s="291"/>
      <c r="B282" s="291"/>
      <c r="C282" s="123"/>
      <c r="D282" s="123"/>
      <c r="E282" s="123"/>
      <c r="F282" s="123"/>
      <c r="G282" s="123"/>
      <c r="H282" s="123"/>
      <c r="I282" s="123"/>
      <c r="J282" s="123"/>
      <c r="K282" s="123"/>
      <c r="L282" s="123"/>
    </row>
    <row r="283" spans="1:12" x14ac:dyDescent="0.2">
      <c r="A283" s="291"/>
      <c r="B283" s="291"/>
      <c r="C283" s="123"/>
      <c r="D283" s="123"/>
      <c r="E283" s="123"/>
      <c r="F283" s="123"/>
      <c r="G283" s="123"/>
      <c r="H283" s="123"/>
      <c r="I283" s="123"/>
      <c r="J283" s="123"/>
      <c r="K283" s="123"/>
      <c r="L283" s="123"/>
    </row>
    <row r="284" spans="1:12" x14ac:dyDescent="0.2">
      <c r="A284" s="291"/>
      <c r="B284" s="300"/>
      <c r="C284" s="123"/>
      <c r="D284" s="123"/>
      <c r="E284" s="123"/>
      <c r="F284" s="123"/>
      <c r="G284" s="123"/>
      <c r="H284" s="123"/>
      <c r="I284" s="123"/>
      <c r="J284" s="123"/>
      <c r="K284" s="123"/>
      <c r="L284" s="123"/>
    </row>
    <row r="285" spans="1:12" x14ac:dyDescent="0.2">
      <c r="A285" s="291"/>
      <c r="B285" s="300"/>
      <c r="C285" s="123"/>
      <c r="D285" s="123"/>
      <c r="E285" s="123"/>
      <c r="F285" s="123"/>
      <c r="G285" s="123"/>
      <c r="H285" s="123"/>
      <c r="I285" s="123"/>
      <c r="J285" s="123"/>
      <c r="K285" s="123"/>
      <c r="L285" s="123"/>
    </row>
    <row r="286" spans="1:12" x14ac:dyDescent="0.2">
      <c r="A286" s="123"/>
      <c r="B286" s="123"/>
      <c r="C286" s="123"/>
      <c r="D286" s="123"/>
      <c r="E286" s="123"/>
      <c r="F286" s="123"/>
      <c r="G286" s="123"/>
      <c r="H286" s="123"/>
      <c r="I286" s="123"/>
      <c r="J286" s="123"/>
      <c r="K286" s="123"/>
      <c r="L286" s="123"/>
    </row>
    <row r="287" spans="1:12" x14ac:dyDescent="0.2">
      <c r="A287" s="275"/>
      <c r="B287" s="123"/>
      <c r="C287" s="123"/>
      <c r="D287" s="123"/>
      <c r="E287" s="123"/>
      <c r="F287" s="123"/>
      <c r="G287" s="123"/>
      <c r="H287" s="123"/>
      <c r="I287" s="123"/>
      <c r="J287" s="123"/>
      <c r="K287" s="123"/>
      <c r="L287" s="123"/>
    </row>
    <row r="288" spans="1:12" x14ac:dyDescent="0.2">
      <c r="A288" s="276"/>
      <c r="B288" s="276"/>
      <c r="C288" s="123"/>
      <c r="D288" s="123"/>
      <c r="E288" s="123"/>
      <c r="F288" s="123"/>
      <c r="G288" s="123"/>
      <c r="H288" s="123"/>
      <c r="I288" s="123"/>
      <c r="J288" s="123"/>
      <c r="K288" s="123"/>
      <c r="L288" s="123"/>
    </row>
    <row r="289" spans="1:12" x14ac:dyDescent="0.2">
      <c r="A289" s="276"/>
      <c r="B289" s="276"/>
      <c r="C289" s="123"/>
      <c r="D289" s="123"/>
      <c r="E289" s="123"/>
      <c r="F289" s="123"/>
      <c r="G289" s="123"/>
      <c r="H289" s="123"/>
      <c r="I289" s="123"/>
      <c r="J289" s="123"/>
      <c r="K289" s="123"/>
      <c r="L289" s="123"/>
    </row>
    <row r="290" spans="1:12" x14ac:dyDescent="0.2">
      <c r="A290" s="276"/>
      <c r="B290" s="276"/>
      <c r="C290" s="123"/>
      <c r="D290" s="123"/>
      <c r="E290" s="123"/>
      <c r="F290" s="123"/>
      <c r="G290" s="123"/>
      <c r="H290" s="123"/>
      <c r="I290" s="123"/>
      <c r="J290" s="123"/>
      <c r="K290" s="123"/>
      <c r="L290" s="123"/>
    </row>
    <row r="291" spans="1:12" x14ac:dyDescent="0.2">
      <c r="A291" s="276"/>
      <c r="B291" s="276"/>
      <c r="C291" s="123"/>
      <c r="D291" s="123"/>
      <c r="E291" s="123"/>
      <c r="F291" s="123"/>
      <c r="G291" s="123"/>
      <c r="H291" s="123"/>
      <c r="I291" s="123"/>
      <c r="J291" s="123"/>
      <c r="K291" s="123"/>
      <c r="L291" s="123"/>
    </row>
    <row r="292" spans="1:12" x14ac:dyDescent="0.2">
      <c r="A292" s="276"/>
      <c r="B292" s="276"/>
      <c r="C292" s="123"/>
      <c r="D292" s="123"/>
      <c r="E292" s="123"/>
      <c r="F292" s="123"/>
      <c r="G292" s="123"/>
      <c r="H292" s="123"/>
      <c r="I292" s="123"/>
      <c r="J292" s="123"/>
      <c r="K292" s="123"/>
      <c r="L292" s="123"/>
    </row>
    <row r="293" spans="1:12" x14ac:dyDescent="0.2">
      <c r="A293" s="276"/>
      <c r="B293" s="276"/>
      <c r="C293" s="123"/>
      <c r="D293" s="123"/>
      <c r="E293" s="123"/>
      <c r="F293" s="123"/>
      <c r="G293" s="123"/>
      <c r="H293" s="123"/>
      <c r="I293" s="123"/>
      <c r="J293" s="123"/>
      <c r="K293" s="123"/>
      <c r="L293" s="123"/>
    </row>
    <row r="294" spans="1:12" x14ac:dyDescent="0.2">
      <c r="A294" s="276"/>
      <c r="B294" s="276"/>
      <c r="C294" s="123"/>
      <c r="D294" s="123"/>
      <c r="E294" s="123"/>
      <c r="F294" s="123"/>
      <c r="G294" s="123"/>
      <c r="H294" s="123"/>
      <c r="I294" s="123"/>
      <c r="J294" s="123"/>
      <c r="K294" s="123"/>
      <c r="L294" s="123"/>
    </row>
    <row r="295" spans="1:12" x14ac:dyDescent="0.2">
      <c r="A295" s="276"/>
      <c r="B295" s="276"/>
      <c r="C295" s="123"/>
      <c r="D295" s="123"/>
      <c r="E295" s="123"/>
      <c r="F295" s="123"/>
      <c r="G295" s="123"/>
      <c r="H295" s="123"/>
      <c r="I295" s="123"/>
      <c r="J295" s="123"/>
      <c r="K295" s="123"/>
      <c r="L295" s="123"/>
    </row>
    <row r="296" spans="1:12" x14ac:dyDescent="0.2">
      <c r="A296" s="276"/>
      <c r="B296" s="276"/>
      <c r="C296" s="123"/>
      <c r="D296" s="123"/>
      <c r="E296" s="123"/>
      <c r="F296" s="123"/>
      <c r="G296" s="123"/>
      <c r="H296" s="123"/>
      <c r="I296" s="123"/>
      <c r="J296" s="123"/>
      <c r="K296" s="123"/>
      <c r="L296" s="123"/>
    </row>
    <row r="297" spans="1:12" x14ac:dyDescent="0.2">
      <c r="A297" s="276"/>
      <c r="B297" s="276"/>
      <c r="C297" s="123"/>
      <c r="D297" s="123"/>
      <c r="E297" s="123"/>
      <c r="F297" s="123"/>
      <c r="G297" s="123"/>
      <c r="H297" s="123"/>
      <c r="I297" s="123"/>
      <c r="J297" s="123"/>
      <c r="K297" s="123"/>
      <c r="L297" s="123"/>
    </row>
    <row r="298" spans="1:12" x14ac:dyDescent="0.2">
      <c r="A298" s="276"/>
      <c r="B298" s="276"/>
      <c r="C298" s="123"/>
      <c r="D298" s="123"/>
      <c r="E298" s="123"/>
      <c r="F298" s="123"/>
      <c r="G298" s="123"/>
      <c r="H298" s="123"/>
      <c r="I298" s="123"/>
      <c r="J298" s="123"/>
      <c r="K298" s="123"/>
      <c r="L298" s="123"/>
    </row>
    <row r="299" spans="1:12" x14ac:dyDescent="0.2">
      <c r="A299" s="276"/>
      <c r="B299" s="276"/>
      <c r="C299" s="123"/>
      <c r="D299" s="123"/>
      <c r="E299" s="123"/>
      <c r="F299" s="123"/>
      <c r="G299" s="123"/>
      <c r="H299" s="123"/>
      <c r="I299" s="123"/>
      <c r="J299" s="123"/>
      <c r="K299" s="123"/>
      <c r="L299" s="123"/>
    </row>
    <row r="300" spans="1:12" x14ac:dyDescent="0.2">
      <c r="A300" s="276"/>
      <c r="B300" s="276"/>
      <c r="C300" s="123"/>
      <c r="D300" s="123"/>
      <c r="E300" s="123"/>
      <c r="F300" s="123"/>
      <c r="G300" s="123"/>
      <c r="H300" s="123"/>
      <c r="I300" s="123"/>
      <c r="J300" s="123"/>
      <c r="K300" s="123"/>
      <c r="L300" s="123"/>
    </row>
    <row r="301" spans="1:12" x14ac:dyDescent="0.2">
      <c r="A301" s="276"/>
      <c r="B301" s="276"/>
      <c r="C301" s="123"/>
      <c r="D301" s="123"/>
      <c r="E301" s="123"/>
      <c r="F301" s="123"/>
      <c r="G301" s="123"/>
      <c r="H301" s="123"/>
      <c r="I301" s="123"/>
      <c r="J301" s="123"/>
      <c r="K301" s="123"/>
      <c r="L301" s="123"/>
    </row>
    <row r="302" spans="1:12" x14ac:dyDescent="0.2">
      <c r="A302" s="276"/>
      <c r="B302" s="276"/>
      <c r="C302" s="123"/>
      <c r="D302" s="123"/>
      <c r="E302" s="123"/>
      <c r="F302" s="123"/>
      <c r="G302" s="123"/>
      <c r="H302" s="123"/>
      <c r="I302" s="123"/>
      <c r="J302" s="123"/>
      <c r="K302" s="123"/>
      <c r="L302" s="123"/>
    </row>
    <row r="303" spans="1:12" x14ac:dyDescent="0.2">
      <c r="A303" s="276"/>
      <c r="B303" s="276"/>
      <c r="C303" s="123"/>
      <c r="D303" s="123"/>
      <c r="E303" s="123"/>
      <c r="F303" s="123"/>
      <c r="G303" s="123"/>
      <c r="H303" s="123"/>
      <c r="I303" s="123"/>
      <c r="J303" s="123"/>
      <c r="K303" s="123"/>
      <c r="L303" s="123"/>
    </row>
    <row r="304" spans="1:12" x14ac:dyDescent="0.2">
      <c r="A304" s="276"/>
      <c r="B304" s="276"/>
      <c r="C304" s="123"/>
      <c r="D304" s="123"/>
      <c r="E304" s="123"/>
      <c r="F304" s="123"/>
      <c r="G304" s="123"/>
      <c r="H304" s="123"/>
      <c r="I304" s="123"/>
      <c r="J304" s="123"/>
      <c r="K304" s="123"/>
      <c r="L304" s="123"/>
    </row>
    <row r="305" spans="1:12" x14ac:dyDescent="0.2">
      <c r="A305" s="276"/>
      <c r="B305" s="276"/>
      <c r="C305" s="123"/>
      <c r="D305" s="123"/>
      <c r="E305" s="123"/>
      <c r="F305" s="123"/>
      <c r="G305" s="123"/>
      <c r="H305" s="123"/>
      <c r="I305" s="123"/>
      <c r="J305" s="123"/>
      <c r="K305" s="123"/>
      <c r="L305" s="123"/>
    </row>
    <row r="306" spans="1:12" x14ac:dyDescent="0.2">
      <c r="A306" s="276"/>
      <c r="B306" s="276"/>
      <c r="C306" s="123"/>
      <c r="D306" s="123"/>
      <c r="E306" s="123"/>
      <c r="F306" s="123"/>
      <c r="G306" s="123"/>
      <c r="H306" s="123"/>
      <c r="I306" s="123"/>
      <c r="J306" s="123"/>
      <c r="K306" s="123"/>
      <c r="L306" s="123"/>
    </row>
    <row r="307" spans="1:12" x14ac:dyDescent="0.2">
      <c r="A307" s="276"/>
      <c r="B307" s="276"/>
      <c r="C307" s="123"/>
      <c r="D307" s="123"/>
      <c r="E307" s="123"/>
      <c r="F307" s="123"/>
      <c r="G307" s="123"/>
      <c r="H307" s="123"/>
      <c r="I307" s="123"/>
      <c r="J307" s="123"/>
      <c r="K307" s="123"/>
      <c r="L307" s="123"/>
    </row>
    <row r="308" spans="1:12" x14ac:dyDescent="0.2">
      <c r="A308" s="276"/>
      <c r="B308" s="276"/>
      <c r="C308" s="123"/>
      <c r="D308" s="123"/>
      <c r="E308" s="123"/>
      <c r="F308" s="123"/>
      <c r="G308" s="123"/>
      <c r="H308" s="123"/>
      <c r="I308" s="123"/>
      <c r="J308" s="123"/>
      <c r="K308" s="123"/>
      <c r="L308" s="123"/>
    </row>
    <row r="309" spans="1:12" x14ac:dyDescent="0.2">
      <c r="A309" s="276"/>
      <c r="B309" s="276"/>
      <c r="C309" s="123"/>
      <c r="D309" s="123"/>
      <c r="E309" s="123"/>
      <c r="F309" s="123"/>
      <c r="G309" s="123"/>
      <c r="H309" s="123"/>
      <c r="I309" s="123"/>
      <c r="J309" s="123"/>
      <c r="K309" s="123"/>
      <c r="L309" s="123"/>
    </row>
    <row r="310" spans="1:12" x14ac:dyDescent="0.2">
      <c r="A310" s="276"/>
      <c r="B310" s="276"/>
      <c r="C310" s="123"/>
      <c r="D310" s="123"/>
      <c r="E310" s="123"/>
      <c r="F310" s="123"/>
      <c r="G310" s="123"/>
      <c r="H310" s="123"/>
      <c r="I310" s="123"/>
      <c r="J310" s="123"/>
      <c r="K310" s="123"/>
      <c r="L310" s="123"/>
    </row>
    <row r="311" spans="1:12" x14ac:dyDescent="0.2">
      <c r="A311" s="276"/>
      <c r="B311" s="276"/>
      <c r="C311" s="123"/>
      <c r="D311" s="123"/>
      <c r="E311" s="123"/>
      <c r="F311" s="123"/>
      <c r="G311" s="123"/>
      <c r="H311" s="123"/>
      <c r="I311" s="123"/>
      <c r="J311" s="123"/>
      <c r="K311" s="123"/>
      <c r="L311" s="123"/>
    </row>
    <row r="312" spans="1:12" x14ac:dyDescent="0.2">
      <c r="A312" s="276"/>
      <c r="B312" s="276"/>
      <c r="C312" s="123"/>
      <c r="D312" s="123"/>
      <c r="E312" s="123"/>
      <c r="F312" s="123"/>
      <c r="G312" s="123"/>
      <c r="H312" s="123"/>
      <c r="I312" s="123"/>
      <c r="J312" s="123"/>
      <c r="K312" s="123"/>
      <c r="L312" s="123"/>
    </row>
    <row r="313" spans="1:12" x14ac:dyDescent="0.2">
      <c r="A313" s="276"/>
      <c r="B313" s="276"/>
      <c r="C313" s="123"/>
      <c r="D313" s="123"/>
      <c r="E313" s="123"/>
      <c r="F313" s="123"/>
      <c r="G313" s="123"/>
      <c r="H313" s="123"/>
      <c r="I313" s="123"/>
      <c r="J313" s="123"/>
      <c r="K313" s="123"/>
      <c r="L313" s="123"/>
    </row>
    <row r="314" spans="1:12" x14ac:dyDescent="0.2">
      <c r="A314" s="276"/>
      <c r="B314" s="276"/>
      <c r="C314" s="123"/>
      <c r="D314" s="123"/>
      <c r="E314" s="123"/>
      <c r="F314" s="123"/>
      <c r="G314" s="123"/>
      <c r="H314" s="123"/>
      <c r="I314" s="123"/>
      <c r="J314" s="123"/>
      <c r="K314" s="123"/>
      <c r="L314" s="123"/>
    </row>
    <row r="315" spans="1:12" x14ac:dyDescent="0.2">
      <c r="A315" s="276"/>
      <c r="B315" s="276"/>
      <c r="C315" s="123"/>
      <c r="D315" s="123"/>
      <c r="E315" s="123"/>
      <c r="F315" s="123"/>
      <c r="G315" s="123"/>
      <c r="H315" s="123"/>
      <c r="I315" s="123"/>
      <c r="J315" s="123"/>
      <c r="K315" s="123"/>
      <c r="L315" s="123"/>
    </row>
    <row r="316" spans="1:12" x14ac:dyDescent="0.2">
      <c r="A316" s="276"/>
      <c r="B316" s="276"/>
      <c r="C316" s="123"/>
      <c r="D316" s="123"/>
      <c r="E316" s="123"/>
      <c r="F316" s="123"/>
      <c r="G316" s="123"/>
      <c r="H316" s="123"/>
      <c r="I316" s="123"/>
      <c r="J316" s="123"/>
      <c r="K316" s="123"/>
      <c r="L316" s="123"/>
    </row>
    <row r="317" spans="1:12" x14ac:dyDescent="0.2">
      <c r="A317" s="276"/>
      <c r="B317" s="276"/>
      <c r="C317" s="123"/>
      <c r="D317" s="123"/>
      <c r="E317" s="123"/>
      <c r="F317" s="123"/>
      <c r="G317" s="123"/>
      <c r="H317" s="123"/>
      <c r="I317" s="123"/>
      <c r="J317" s="123"/>
      <c r="K317" s="123"/>
      <c r="L317" s="123"/>
    </row>
    <row r="318" spans="1:12" x14ac:dyDescent="0.2">
      <c r="A318" s="276"/>
      <c r="B318" s="276"/>
      <c r="C318" s="123"/>
      <c r="D318" s="123"/>
      <c r="E318" s="123"/>
      <c r="F318" s="123"/>
      <c r="G318" s="123"/>
      <c r="H318" s="123"/>
      <c r="I318" s="123"/>
      <c r="J318" s="123"/>
      <c r="K318" s="123"/>
      <c r="L318" s="123"/>
    </row>
    <row r="319" spans="1:12" x14ac:dyDescent="0.2">
      <c r="A319" s="276"/>
      <c r="B319" s="276"/>
      <c r="C319" s="123"/>
      <c r="D319" s="123"/>
      <c r="E319" s="123"/>
      <c r="F319" s="123"/>
      <c r="G319" s="123"/>
      <c r="H319" s="123"/>
      <c r="I319" s="123"/>
      <c r="J319" s="123"/>
      <c r="K319" s="123"/>
      <c r="L319" s="123"/>
    </row>
    <row r="320" spans="1:12" x14ac:dyDescent="0.2">
      <c r="A320" s="276"/>
      <c r="B320" s="276"/>
      <c r="C320" s="123"/>
      <c r="D320" s="123"/>
      <c r="E320" s="123"/>
      <c r="F320" s="123"/>
      <c r="G320" s="123"/>
      <c r="H320" s="123"/>
      <c r="I320" s="123"/>
      <c r="J320" s="123"/>
      <c r="K320" s="123"/>
      <c r="L320" s="123"/>
    </row>
    <row r="321" spans="1:12" x14ac:dyDescent="0.2">
      <c r="A321" s="276"/>
      <c r="B321" s="276"/>
      <c r="C321" s="123"/>
      <c r="D321" s="123"/>
      <c r="E321" s="123"/>
      <c r="F321" s="123"/>
      <c r="G321" s="123"/>
      <c r="H321" s="123"/>
      <c r="I321" s="123"/>
      <c r="J321" s="123"/>
      <c r="K321" s="123"/>
      <c r="L321" s="123"/>
    </row>
    <row r="322" spans="1:12" x14ac:dyDescent="0.2">
      <c r="A322" s="276"/>
      <c r="B322" s="276"/>
      <c r="C322" s="123"/>
      <c r="D322" s="123"/>
      <c r="E322" s="123"/>
      <c r="F322" s="123"/>
      <c r="G322" s="123"/>
      <c r="H322" s="123"/>
      <c r="I322" s="123"/>
      <c r="J322" s="123"/>
      <c r="K322" s="123"/>
      <c r="L322" s="123"/>
    </row>
    <row r="323" spans="1:12" x14ac:dyDescent="0.2">
      <c r="A323" s="276"/>
      <c r="B323" s="276"/>
      <c r="C323" s="123"/>
      <c r="D323" s="123"/>
      <c r="E323" s="123"/>
      <c r="F323" s="123"/>
      <c r="G323" s="123"/>
      <c r="H323" s="123"/>
      <c r="I323" s="123"/>
      <c r="J323" s="123"/>
      <c r="K323" s="123"/>
      <c r="L323" s="123"/>
    </row>
    <row r="324" spans="1:12" x14ac:dyDescent="0.2">
      <c r="A324" s="276"/>
      <c r="B324" s="276"/>
      <c r="C324" s="123"/>
      <c r="D324" s="123"/>
      <c r="E324" s="123"/>
      <c r="F324" s="123"/>
      <c r="G324" s="123"/>
      <c r="H324" s="123"/>
      <c r="I324" s="123"/>
      <c r="J324" s="123"/>
      <c r="K324" s="123"/>
      <c r="L324" s="123"/>
    </row>
    <row r="325" spans="1:12" x14ac:dyDescent="0.2">
      <c r="A325" s="276"/>
      <c r="B325" s="276"/>
      <c r="C325" s="123"/>
      <c r="D325" s="123"/>
      <c r="E325" s="123"/>
      <c r="F325" s="123"/>
      <c r="G325" s="123"/>
      <c r="H325" s="123"/>
      <c r="I325" s="123"/>
      <c r="J325" s="123"/>
      <c r="K325" s="123"/>
      <c r="L325" s="123"/>
    </row>
    <row r="326" spans="1:12" x14ac:dyDescent="0.2">
      <c r="A326" s="276"/>
      <c r="B326" s="276"/>
      <c r="C326" s="123"/>
      <c r="D326" s="123"/>
      <c r="E326" s="123"/>
      <c r="F326" s="123"/>
      <c r="G326" s="123"/>
      <c r="H326" s="123"/>
      <c r="I326" s="123"/>
      <c r="J326" s="123"/>
      <c r="K326" s="123"/>
      <c r="L326" s="123"/>
    </row>
    <row r="327" spans="1:12" x14ac:dyDescent="0.2">
      <c r="A327" s="276"/>
      <c r="B327" s="276"/>
      <c r="C327" s="123"/>
      <c r="D327" s="123"/>
      <c r="E327" s="123"/>
      <c r="F327" s="123"/>
      <c r="G327" s="123"/>
      <c r="H327" s="123"/>
      <c r="I327" s="123"/>
      <c r="J327" s="123"/>
      <c r="K327" s="123"/>
      <c r="L327" s="123"/>
    </row>
    <row r="328" spans="1:12" x14ac:dyDescent="0.2">
      <c r="A328" s="276"/>
      <c r="B328" s="276"/>
      <c r="C328" s="123"/>
      <c r="D328" s="123"/>
      <c r="E328" s="123"/>
      <c r="F328" s="123"/>
      <c r="G328" s="123"/>
      <c r="H328" s="123"/>
      <c r="I328" s="123"/>
      <c r="J328" s="123"/>
      <c r="K328" s="123"/>
      <c r="L328" s="123"/>
    </row>
    <row r="329" spans="1:12" x14ac:dyDescent="0.2">
      <c r="A329" s="276"/>
      <c r="B329" s="276"/>
      <c r="C329" s="123"/>
      <c r="D329" s="123"/>
      <c r="E329" s="123"/>
      <c r="F329" s="123"/>
      <c r="G329" s="123"/>
      <c r="H329" s="123"/>
      <c r="I329" s="123"/>
      <c r="J329" s="123"/>
      <c r="K329" s="123"/>
      <c r="L329" s="123"/>
    </row>
    <row r="330" spans="1:12" x14ac:dyDescent="0.2">
      <c r="A330" s="276"/>
      <c r="B330" s="276"/>
      <c r="C330" s="123"/>
      <c r="D330" s="123"/>
      <c r="E330" s="123"/>
      <c r="F330" s="123"/>
      <c r="G330" s="123"/>
      <c r="H330" s="123"/>
      <c r="I330" s="123"/>
      <c r="J330" s="123"/>
      <c r="K330" s="123"/>
      <c r="L330" s="123"/>
    </row>
    <row r="331" spans="1:12" x14ac:dyDescent="0.2">
      <c r="A331" s="276"/>
      <c r="B331" s="276"/>
      <c r="C331" s="123"/>
      <c r="D331" s="123"/>
      <c r="E331" s="123"/>
      <c r="F331" s="123"/>
      <c r="G331" s="123"/>
      <c r="H331" s="123"/>
      <c r="I331" s="123"/>
      <c r="J331" s="123"/>
      <c r="K331" s="123"/>
      <c r="L331" s="123"/>
    </row>
    <row r="332" spans="1:12" x14ac:dyDescent="0.2">
      <c r="A332" s="276"/>
      <c r="B332" s="276"/>
      <c r="C332" s="123"/>
      <c r="D332" s="123"/>
      <c r="E332" s="123"/>
      <c r="F332" s="123"/>
      <c r="G332" s="123"/>
      <c r="H332" s="123"/>
      <c r="I332" s="123"/>
      <c r="J332" s="123"/>
      <c r="K332" s="123"/>
      <c r="L332" s="123"/>
    </row>
    <row r="333" spans="1:12" x14ac:dyDescent="0.2">
      <c r="A333" s="276"/>
      <c r="B333" s="276"/>
      <c r="C333" s="123"/>
      <c r="D333" s="123"/>
      <c r="E333" s="123"/>
      <c r="F333" s="123"/>
      <c r="G333" s="123"/>
      <c r="H333" s="123"/>
      <c r="I333" s="123"/>
      <c r="J333" s="123"/>
      <c r="K333" s="123"/>
      <c r="L333" s="123"/>
    </row>
    <row r="334" spans="1:12" x14ac:dyDescent="0.2">
      <c r="A334" s="276"/>
      <c r="B334" s="276"/>
      <c r="C334" s="123"/>
      <c r="D334" s="123"/>
      <c r="E334" s="123"/>
      <c r="F334" s="123"/>
      <c r="G334" s="123"/>
      <c r="H334" s="123"/>
      <c r="I334" s="123"/>
      <c r="J334" s="123"/>
      <c r="K334" s="123"/>
      <c r="L334" s="123"/>
    </row>
    <row r="335" spans="1:12" x14ac:dyDescent="0.2">
      <c r="A335" s="276"/>
      <c r="B335" s="276"/>
      <c r="C335" s="123"/>
      <c r="D335" s="123"/>
      <c r="E335" s="123"/>
      <c r="F335" s="123"/>
      <c r="G335" s="123"/>
      <c r="H335" s="123"/>
      <c r="I335" s="123"/>
      <c r="J335" s="123"/>
      <c r="K335" s="123"/>
      <c r="L335" s="123"/>
    </row>
    <row r="336" spans="1:12" x14ac:dyDescent="0.2">
      <c r="A336" s="276"/>
      <c r="B336" s="276"/>
      <c r="C336" s="123"/>
      <c r="D336" s="123"/>
      <c r="E336" s="123"/>
      <c r="F336" s="123"/>
      <c r="G336" s="123"/>
      <c r="H336" s="123"/>
      <c r="I336" s="123"/>
      <c r="J336" s="123"/>
      <c r="K336" s="123"/>
      <c r="L336" s="123"/>
    </row>
    <row r="337" spans="1:12" x14ac:dyDescent="0.2">
      <c r="A337" s="276"/>
      <c r="B337" s="276"/>
      <c r="C337" s="123"/>
      <c r="D337" s="123"/>
      <c r="E337" s="123"/>
      <c r="F337" s="123"/>
      <c r="G337" s="123"/>
      <c r="H337" s="123"/>
      <c r="I337" s="123"/>
      <c r="J337" s="123"/>
      <c r="K337" s="123"/>
      <c r="L337" s="123"/>
    </row>
    <row r="338" spans="1:12" x14ac:dyDescent="0.2">
      <c r="A338" s="276"/>
      <c r="B338" s="276"/>
      <c r="C338" s="123"/>
      <c r="D338" s="123"/>
      <c r="E338" s="123"/>
      <c r="F338" s="123"/>
      <c r="G338" s="123"/>
      <c r="H338" s="123"/>
      <c r="I338" s="123"/>
      <c r="J338" s="123"/>
      <c r="K338" s="123"/>
      <c r="L338" s="123"/>
    </row>
    <row r="339" spans="1:12" x14ac:dyDescent="0.2">
      <c r="A339" s="276"/>
      <c r="B339" s="276"/>
      <c r="C339" s="123"/>
      <c r="D339" s="123"/>
      <c r="E339" s="123"/>
      <c r="F339" s="123"/>
      <c r="G339" s="123"/>
      <c r="H339" s="123"/>
      <c r="I339" s="123"/>
      <c r="J339" s="123"/>
      <c r="K339" s="123"/>
      <c r="L339" s="123"/>
    </row>
    <row r="340" spans="1:12" x14ac:dyDescent="0.2">
      <c r="A340" s="276"/>
      <c r="B340" s="276"/>
      <c r="C340" s="123"/>
      <c r="D340" s="123"/>
      <c r="E340" s="123"/>
      <c r="F340" s="123"/>
      <c r="G340" s="123"/>
      <c r="H340" s="123"/>
      <c r="I340" s="123"/>
      <c r="J340" s="123"/>
      <c r="K340" s="123"/>
      <c r="L340" s="123"/>
    </row>
    <row r="341" spans="1:12" x14ac:dyDescent="0.2">
      <c r="A341" s="276"/>
      <c r="B341" s="276"/>
      <c r="C341" s="123"/>
      <c r="D341" s="123"/>
      <c r="E341" s="123"/>
      <c r="F341" s="123"/>
      <c r="G341" s="123"/>
      <c r="H341" s="123"/>
      <c r="I341" s="123"/>
      <c r="J341" s="123"/>
      <c r="K341" s="123"/>
      <c r="L341" s="123"/>
    </row>
    <row r="342" spans="1:12" x14ac:dyDescent="0.2">
      <c r="A342" s="276"/>
      <c r="B342" s="276"/>
      <c r="C342" s="123"/>
      <c r="D342" s="123"/>
      <c r="E342" s="123"/>
      <c r="F342" s="123"/>
      <c r="G342" s="123"/>
      <c r="H342" s="123"/>
      <c r="I342" s="123"/>
      <c r="J342" s="123"/>
      <c r="K342" s="123"/>
      <c r="L342" s="123"/>
    </row>
    <row r="343" spans="1:12" x14ac:dyDescent="0.2">
      <c r="A343" s="276"/>
      <c r="B343" s="276"/>
      <c r="C343" s="123"/>
      <c r="D343" s="123"/>
      <c r="E343" s="123"/>
      <c r="F343" s="123"/>
      <c r="G343" s="123"/>
      <c r="H343" s="123"/>
      <c r="I343" s="123"/>
      <c r="J343" s="123"/>
      <c r="K343" s="123"/>
      <c r="L343" s="123"/>
    </row>
    <row r="344" spans="1:12" x14ac:dyDescent="0.2">
      <c r="A344" s="276"/>
      <c r="B344" s="276"/>
      <c r="C344" s="123"/>
      <c r="D344" s="123"/>
      <c r="E344" s="123"/>
      <c r="F344" s="123"/>
      <c r="G344" s="123"/>
      <c r="H344" s="123"/>
      <c r="I344" s="123"/>
      <c r="J344" s="123"/>
      <c r="K344" s="123"/>
      <c r="L344" s="123"/>
    </row>
    <row r="345" spans="1:12" x14ac:dyDescent="0.2">
      <c r="A345" s="276"/>
      <c r="B345" s="276"/>
      <c r="C345" s="123"/>
      <c r="D345" s="123"/>
      <c r="E345" s="123"/>
      <c r="F345" s="123"/>
      <c r="G345" s="123"/>
      <c r="H345" s="123"/>
      <c r="I345" s="123"/>
      <c r="J345" s="123"/>
      <c r="K345" s="123"/>
      <c r="L345" s="123"/>
    </row>
    <row r="346" spans="1:12" x14ac:dyDescent="0.2">
      <c r="A346" s="276"/>
      <c r="B346" s="276"/>
      <c r="C346" s="123"/>
      <c r="D346" s="123"/>
      <c r="E346" s="123"/>
      <c r="F346" s="123"/>
      <c r="G346" s="123"/>
      <c r="H346" s="123"/>
      <c r="I346" s="123"/>
      <c r="J346" s="123"/>
      <c r="K346" s="123"/>
      <c r="L346" s="123"/>
    </row>
    <row r="347" spans="1:12" x14ac:dyDescent="0.2">
      <c r="A347" s="276"/>
      <c r="B347" s="276"/>
      <c r="C347" s="123"/>
      <c r="D347" s="123"/>
      <c r="E347" s="123"/>
      <c r="F347" s="123"/>
      <c r="G347" s="123"/>
      <c r="H347" s="123"/>
      <c r="I347" s="123"/>
      <c r="J347" s="123"/>
      <c r="K347" s="123"/>
      <c r="L347" s="123"/>
    </row>
    <row r="348" spans="1:12" x14ac:dyDescent="0.2">
      <c r="A348" s="276"/>
      <c r="B348" s="276"/>
      <c r="C348" s="123"/>
      <c r="D348" s="123"/>
      <c r="E348" s="123"/>
      <c r="F348" s="123"/>
      <c r="G348" s="123"/>
      <c r="H348" s="123"/>
      <c r="I348" s="123"/>
      <c r="J348" s="123"/>
      <c r="K348" s="123"/>
      <c r="L348" s="123"/>
    </row>
    <row r="349" spans="1:12" x14ac:dyDescent="0.2">
      <c r="A349" s="276"/>
      <c r="B349" s="276"/>
      <c r="C349" s="123"/>
      <c r="D349" s="123"/>
      <c r="E349" s="123"/>
      <c r="F349" s="123"/>
      <c r="G349" s="123"/>
      <c r="H349" s="123"/>
      <c r="I349" s="123"/>
      <c r="J349" s="123"/>
      <c r="K349" s="123"/>
      <c r="L349" s="123"/>
    </row>
    <row r="350" spans="1:12" x14ac:dyDescent="0.2">
      <c r="A350" s="276"/>
      <c r="B350" s="276"/>
      <c r="C350" s="123"/>
      <c r="D350" s="123"/>
      <c r="E350" s="123"/>
      <c r="F350" s="123"/>
      <c r="G350" s="123"/>
      <c r="H350" s="123"/>
      <c r="I350" s="123"/>
      <c r="J350" s="123"/>
      <c r="K350" s="123"/>
      <c r="L350" s="123"/>
    </row>
    <row r="351" spans="1:12" x14ac:dyDescent="0.2">
      <c r="A351" s="276"/>
      <c r="B351" s="276"/>
      <c r="C351" s="123"/>
      <c r="D351" s="123"/>
      <c r="E351" s="123"/>
      <c r="F351" s="123"/>
      <c r="G351" s="123"/>
      <c r="H351" s="123"/>
      <c r="I351" s="123"/>
      <c r="J351" s="123"/>
      <c r="K351" s="123"/>
      <c r="L351" s="123"/>
    </row>
    <row r="352" spans="1:12" x14ac:dyDescent="0.2">
      <c r="A352" s="276"/>
      <c r="B352" s="276"/>
      <c r="C352" s="123"/>
      <c r="D352" s="123"/>
      <c r="E352" s="123"/>
      <c r="F352" s="123"/>
      <c r="G352" s="123"/>
      <c r="H352" s="123"/>
      <c r="I352" s="123"/>
      <c r="J352" s="123"/>
      <c r="K352" s="123"/>
      <c r="L352" s="123"/>
    </row>
    <row r="353" spans="1:12" x14ac:dyDescent="0.2">
      <c r="A353" s="276"/>
      <c r="B353" s="276"/>
      <c r="C353" s="123"/>
      <c r="D353" s="123"/>
      <c r="E353" s="123"/>
      <c r="F353" s="123"/>
      <c r="G353" s="123"/>
      <c r="H353" s="123"/>
      <c r="I353" s="123"/>
      <c r="J353" s="123"/>
      <c r="K353" s="123"/>
      <c r="L353" s="123"/>
    </row>
    <row r="354" spans="1:12" x14ac:dyDescent="0.2">
      <c r="A354" s="276"/>
      <c r="B354" s="276"/>
      <c r="C354" s="123"/>
      <c r="D354" s="123"/>
      <c r="E354" s="123"/>
      <c r="F354" s="123"/>
      <c r="G354" s="123"/>
      <c r="H354" s="123"/>
      <c r="I354" s="123"/>
      <c r="J354" s="123"/>
      <c r="K354" s="123"/>
      <c r="L354" s="123"/>
    </row>
    <row r="355" spans="1:12" x14ac:dyDescent="0.2">
      <c r="A355" s="276"/>
      <c r="B355" s="276"/>
      <c r="C355" s="123"/>
      <c r="D355" s="123"/>
      <c r="E355" s="123"/>
      <c r="F355" s="123"/>
      <c r="G355" s="123"/>
      <c r="H355" s="123"/>
      <c r="I355" s="123"/>
      <c r="J355" s="123"/>
      <c r="K355" s="123"/>
      <c r="L355" s="123"/>
    </row>
    <row r="356" spans="1:12" x14ac:dyDescent="0.2">
      <c r="A356" s="276"/>
      <c r="B356" s="276"/>
      <c r="C356" s="123"/>
      <c r="D356" s="123"/>
      <c r="E356" s="123"/>
      <c r="F356" s="123"/>
      <c r="G356" s="123"/>
      <c r="H356" s="123"/>
      <c r="I356" s="123"/>
      <c r="J356" s="123"/>
      <c r="K356" s="123"/>
      <c r="L356" s="123"/>
    </row>
    <row r="357" spans="1:12" x14ac:dyDescent="0.2">
      <c r="A357" s="276"/>
      <c r="B357" s="276"/>
      <c r="C357" s="123"/>
      <c r="D357" s="123"/>
      <c r="E357" s="123"/>
      <c r="F357" s="123"/>
      <c r="G357" s="123"/>
      <c r="H357" s="123"/>
      <c r="I357" s="123"/>
      <c r="J357" s="123"/>
      <c r="K357" s="123"/>
      <c r="L357" s="123"/>
    </row>
    <row r="358" spans="1:12" x14ac:dyDescent="0.2">
      <c r="A358" s="276"/>
      <c r="B358" s="276"/>
      <c r="C358" s="123"/>
      <c r="D358" s="123"/>
      <c r="E358" s="123"/>
      <c r="F358" s="123"/>
      <c r="G358" s="123"/>
      <c r="H358" s="123"/>
      <c r="I358" s="123"/>
      <c r="J358" s="123"/>
      <c r="K358" s="123"/>
      <c r="L358" s="123"/>
    </row>
    <row r="359" spans="1:12" x14ac:dyDescent="0.2">
      <c r="A359" s="276"/>
      <c r="B359" s="276"/>
      <c r="C359" s="123"/>
      <c r="D359" s="123"/>
      <c r="E359" s="123"/>
      <c r="F359" s="123"/>
      <c r="G359" s="123"/>
      <c r="H359" s="123"/>
      <c r="I359" s="123"/>
      <c r="J359" s="123"/>
      <c r="K359" s="123"/>
      <c r="L359" s="123"/>
    </row>
    <row r="360" spans="1:12" x14ac:dyDescent="0.2">
      <c r="A360" s="276"/>
      <c r="B360" s="276"/>
      <c r="C360" s="123"/>
      <c r="D360" s="123"/>
      <c r="E360" s="123"/>
      <c r="F360" s="123"/>
      <c r="G360" s="123"/>
      <c r="H360" s="123"/>
      <c r="I360" s="123"/>
      <c r="J360" s="123"/>
      <c r="K360" s="123"/>
      <c r="L360" s="123"/>
    </row>
    <row r="361" spans="1:12" x14ac:dyDescent="0.2">
      <c r="A361" s="276"/>
      <c r="B361" s="276"/>
      <c r="C361" s="123"/>
      <c r="D361" s="123"/>
      <c r="E361" s="123"/>
      <c r="F361" s="123"/>
      <c r="G361" s="123"/>
      <c r="H361" s="123"/>
      <c r="I361" s="123"/>
      <c r="J361" s="123"/>
      <c r="K361" s="123"/>
      <c r="L361" s="123"/>
    </row>
    <row r="362" spans="1:12" x14ac:dyDescent="0.2">
      <c r="A362" s="276"/>
      <c r="B362" s="276"/>
      <c r="C362" s="123"/>
      <c r="D362" s="123"/>
      <c r="E362" s="123"/>
      <c r="F362" s="123"/>
      <c r="G362" s="123"/>
      <c r="H362" s="123"/>
      <c r="I362" s="123"/>
      <c r="J362" s="123"/>
      <c r="K362" s="123"/>
      <c r="L362" s="123"/>
    </row>
    <row r="363" spans="1:12" x14ac:dyDescent="0.2">
      <c r="A363" s="276"/>
      <c r="B363" s="276"/>
      <c r="C363" s="123"/>
      <c r="D363" s="123"/>
      <c r="E363" s="123"/>
      <c r="F363" s="123"/>
      <c r="G363" s="123"/>
      <c r="H363" s="123"/>
      <c r="I363" s="123"/>
      <c r="J363" s="123"/>
      <c r="K363" s="123"/>
      <c r="L363" s="123"/>
    </row>
    <row r="364" spans="1:12" x14ac:dyDescent="0.2">
      <c r="A364" s="276"/>
      <c r="B364" s="276"/>
      <c r="C364" s="123"/>
      <c r="D364" s="123"/>
      <c r="E364" s="123"/>
      <c r="F364" s="123"/>
      <c r="G364" s="123"/>
      <c r="H364" s="123"/>
      <c r="I364" s="123"/>
      <c r="J364" s="123"/>
      <c r="K364" s="123"/>
      <c r="L364" s="123"/>
    </row>
    <row r="365" spans="1:12" x14ac:dyDescent="0.2">
      <c r="A365" s="276"/>
      <c r="B365" s="276"/>
      <c r="C365" s="123"/>
      <c r="D365" s="123"/>
      <c r="E365" s="123"/>
      <c r="F365" s="123"/>
      <c r="G365" s="123"/>
      <c r="H365" s="123"/>
      <c r="I365" s="123"/>
      <c r="J365" s="123"/>
      <c r="K365" s="123"/>
      <c r="L365" s="123"/>
    </row>
    <row r="366" spans="1:12" x14ac:dyDescent="0.2">
      <c r="A366" s="276"/>
      <c r="B366" s="276"/>
      <c r="C366" s="123"/>
      <c r="D366" s="123"/>
      <c r="E366" s="123"/>
      <c r="F366" s="123"/>
      <c r="G366" s="123"/>
      <c r="H366" s="123"/>
      <c r="I366" s="123"/>
      <c r="J366" s="123"/>
      <c r="K366" s="123"/>
      <c r="L366" s="123"/>
    </row>
    <row r="367" spans="1:12" x14ac:dyDescent="0.2">
      <c r="A367" s="276"/>
      <c r="B367" s="276"/>
      <c r="C367" s="123"/>
      <c r="D367" s="123"/>
      <c r="E367" s="123"/>
      <c r="F367" s="123"/>
      <c r="G367" s="123"/>
      <c r="H367" s="123"/>
      <c r="I367" s="123"/>
      <c r="J367" s="123"/>
      <c r="K367" s="123"/>
      <c r="L367" s="123"/>
    </row>
    <row r="368" spans="1:12" x14ac:dyDescent="0.2">
      <c r="A368" s="276"/>
      <c r="B368" s="276"/>
      <c r="C368" s="123"/>
      <c r="D368" s="123"/>
      <c r="E368" s="123"/>
      <c r="F368" s="123"/>
      <c r="G368" s="123"/>
      <c r="H368" s="123"/>
      <c r="I368" s="123"/>
      <c r="J368" s="123"/>
      <c r="K368" s="123"/>
      <c r="L368" s="123"/>
    </row>
    <row r="369" spans="1:12" x14ac:dyDescent="0.2">
      <c r="A369" s="276"/>
      <c r="B369" s="276"/>
      <c r="C369" s="123"/>
      <c r="D369" s="123"/>
      <c r="E369" s="123"/>
      <c r="F369" s="123"/>
      <c r="G369" s="123"/>
      <c r="H369" s="123"/>
      <c r="I369" s="123"/>
      <c r="J369" s="123"/>
      <c r="K369" s="123"/>
      <c r="L369" s="123"/>
    </row>
    <row r="370" spans="1:12" x14ac:dyDescent="0.2">
      <c r="A370" s="276"/>
      <c r="B370" s="276"/>
      <c r="C370" s="123"/>
      <c r="D370" s="123"/>
      <c r="E370" s="123"/>
      <c r="F370" s="123"/>
      <c r="G370" s="123"/>
      <c r="H370" s="123"/>
      <c r="I370" s="123"/>
      <c r="J370" s="123"/>
      <c r="K370" s="123"/>
      <c r="L370" s="123"/>
    </row>
    <row r="371" spans="1:12" x14ac:dyDescent="0.2">
      <c r="A371" s="276"/>
      <c r="B371" s="276"/>
      <c r="C371" s="123"/>
      <c r="D371" s="123"/>
      <c r="E371" s="123"/>
      <c r="F371" s="123"/>
      <c r="G371" s="123"/>
      <c r="H371" s="123"/>
      <c r="I371" s="123"/>
      <c r="J371" s="123"/>
      <c r="K371" s="123"/>
      <c r="L371" s="123"/>
    </row>
    <row r="372" spans="1:12" x14ac:dyDescent="0.2">
      <c r="A372" s="276"/>
      <c r="B372" s="276"/>
      <c r="C372" s="123"/>
      <c r="D372" s="123"/>
      <c r="E372" s="123"/>
      <c r="F372" s="123"/>
      <c r="G372" s="123"/>
      <c r="H372" s="123"/>
      <c r="I372" s="123"/>
      <c r="J372" s="123"/>
      <c r="K372" s="123"/>
      <c r="L372" s="123"/>
    </row>
    <row r="373" spans="1:12" x14ac:dyDescent="0.2">
      <c r="A373" s="276"/>
      <c r="B373" s="276"/>
      <c r="C373" s="123"/>
      <c r="D373" s="123"/>
      <c r="E373" s="123"/>
      <c r="F373" s="123"/>
      <c r="G373" s="123"/>
      <c r="H373" s="123"/>
      <c r="I373" s="123"/>
      <c r="J373" s="123"/>
      <c r="K373" s="123"/>
      <c r="L373" s="123"/>
    </row>
    <row r="374" spans="1:12" x14ac:dyDescent="0.2">
      <c r="A374" s="276"/>
      <c r="B374" s="276"/>
      <c r="C374" s="123"/>
      <c r="D374" s="123"/>
      <c r="E374" s="123"/>
      <c r="F374" s="123"/>
      <c r="G374" s="123"/>
      <c r="H374" s="123"/>
      <c r="I374" s="123"/>
      <c r="J374" s="123"/>
      <c r="K374" s="123"/>
      <c r="L374" s="123"/>
    </row>
    <row r="375" spans="1:12" x14ac:dyDescent="0.2">
      <c r="A375" s="276"/>
      <c r="B375" s="276"/>
      <c r="C375" s="123"/>
      <c r="D375" s="123"/>
      <c r="E375" s="123"/>
      <c r="F375" s="123"/>
      <c r="G375" s="123"/>
      <c r="H375" s="123"/>
      <c r="I375" s="123"/>
      <c r="J375" s="123"/>
      <c r="K375" s="123"/>
      <c r="L375" s="123"/>
    </row>
    <row r="376" spans="1:12" x14ac:dyDescent="0.2">
      <c r="A376" s="276"/>
      <c r="B376" s="276"/>
      <c r="C376" s="123"/>
      <c r="D376" s="123"/>
      <c r="E376" s="123"/>
      <c r="F376" s="123"/>
      <c r="G376" s="123"/>
      <c r="H376" s="123"/>
      <c r="I376" s="123"/>
      <c r="J376" s="123"/>
      <c r="K376" s="123"/>
      <c r="L376" s="123"/>
    </row>
    <row r="377" spans="1:12" x14ac:dyDescent="0.2">
      <c r="A377" s="276"/>
      <c r="B377" s="276"/>
      <c r="C377" s="123"/>
      <c r="D377" s="123"/>
      <c r="E377" s="123"/>
      <c r="F377" s="123"/>
      <c r="G377" s="123"/>
      <c r="H377" s="123"/>
      <c r="I377" s="123"/>
      <c r="J377" s="123"/>
      <c r="K377" s="123"/>
      <c r="L377" s="123"/>
    </row>
    <row r="378" spans="1:12" x14ac:dyDescent="0.2">
      <c r="A378" s="276"/>
      <c r="B378" s="276"/>
      <c r="C378" s="123"/>
      <c r="D378" s="123"/>
      <c r="E378" s="123"/>
      <c r="F378" s="123"/>
      <c r="G378" s="123"/>
      <c r="H378" s="123"/>
      <c r="I378" s="123"/>
      <c r="J378" s="123"/>
      <c r="K378" s="123"/>
      <c r="L378" s="123"/>
    </row>
    <row r="379" spans="1:12" x14ac:dyDescent="0.2">
      <c r="A379" s="276"/>
      <c r="B379" s="276"/>
      <c r="C379" s="123"/>
      <c r="D379" s="123"/>
      <c r="E379" s="123"/>
      <c r="F379" s="123"/>
      <c r="G379" s="123"/>
      <c r="H379" s="123"/>
      <c r="I379" s="123"/>
      <c r="J379" s="123"/>
      <c r="K379" s="123"/>
      <c r="L379" s="123"/>
    </row>
    <row r="380" spans="1:12" x14ac:dyDescent="0.2">
      <c r="A380" s="276"/>
      <c r="B380" s="276"/>
      <c r="C380" s="123"/>
      <c r="D380" s="123"/>
      <c r="E380" s="123"/>
      <c r="F380" s="123"/>
      <c r="G380" s="123"/>
      <c r="H380" s="123"/>
      <c r="I380" s="123"/>
      <c r="J380" s="123"/>
      <c r="K380" s="123"/>
      <c r="L380" s="123"/>
    </row>
    <row r="381" spans="1:12" x14ac:dyDescent="0.2">
      <c r="A381" s="276"/>
      <c r="B381" s="276"/>
      <c r="C381" s="123"/>
      <c r="D381" s="123"/>
      <c r="E381" s="123"/>
      <c r="F381" s="123"/>
      <c r="G381" s="123"/>
      <c r="H381" s="123"/>
      <c r="I381" s="123"/>
      <c r="J381" s="123"/>
      <c r="K381" s="123"/>
      <c r="L381" s="123"/>
    </row>
    <row r="382" spans="1:12" x14ac:dyDescent="0.2">
      <c r="A382" s="276"/>
      <c r="B382" s="276"/>
      <c r="C382" s="123"/>
      <c r="D382" s="123"/>
      <c r="E382" s="123"/>
      <c r="F382" s="123"/>
      <c r="G382" s="123"/>
      <c r="H382" s="123"/>
      <c r="I382" s="123"/>
      <c r="J382" s="123"/>
      <c r="K382" s="123"/>
      <c r="L382" s="123"/>
    </row>
    <row r="383" spans="1:12" x14ac:dyDescent="0.2">
      <c r="A383" s="276"/>
      <c r="B383" s="276"/>
      <c r="C383" s="123"/>
      <c r="D383" s="123"/>
      <c r="E383" s="123"/>
      <c r="F383" s="123"/>
      <c r="G383" s="123"/>
      <c r="H383" s="123"/>
      <c r="I383" s="123"/>
      <c r="J383" s="123"/>
      <c r="K383" s="123"/>
      <c r="L383" s="123"/>
    </row>
    <row r="384" spans="1:12" x14ac:dyDescent="0.2">
      <c r="A384" s="276"/>
      <c r="B384" s="276"/>
      <c r="C384" s="123"/>
      <c r="D384" s="123"/>
      <c r="E384" s="123"/>
      <c r="F384" s="123"/>
      <c r="G384" s="123"/>
      <c r="H384" s="123"/>
      <c r="I384" s="123"/>
      <c r="J384" s="123"/>
      <c r="K384" s="123"/>
      <c r="L384" s="123"/>
    </row>
    <row r="385" spans="1:12" x14ac:dyDescent="0.2">
      <c r="A385" s="276"/>
      <c r="B385" s="276"/>
      <c r="C385" s="123"/>
      <c r="D385" s="123"/>
      <c r="E385" s="123"/>
      <c r="F385" s="123"/>
      <c r="G385" s="123"/>
      <c r="H385" s="123"/>
      <c r="I385" s="123"/>
      <c r="J385" s="123"/>
      <c r="K385" s="123"/>
      <c r="L385" s="123"/>
    </row>
    <row r="386" spans="1:12" x14ac:dyDescent="0.2">
      <c r="A386" s="276"/>
      <c r="B386" s="276"/>
      <c r="C386" s="123"/>
      <c r="D386" s="123"/>
      <c r="E386" s="123"/>
      <c r="F386" s="123"/>
      <c r="G386" s="123"/>
      <c r="H386" s="123"/>
      <c r="I386" s="123"/>
      <c r="J386" s="123"/>
      <c r="K386" s="123"/>
      <c r="L386" s="123"/>
    </row>
    <row r="387" spans="1:12" x14ac:dyDescent="0.2">
      <c r="A387" s="276"/>
      <c r="B387" s="276"/>
      <c r="C387" s="123"/>
      <c r="D387" s="123"/>
      <c r="E387" s="123"/>
      <c r="F387" s="123"/>
      <c r="G387" s="123"/>
      <c r="H387" s="123"/>
      <c r="I387" s="123"/>
      <c r="J387" s="123"/>
      <c r="K387" s="123"/>
      <c r="L387" s="123"/>
    </row>
    <row r="388" spans="1:12" x14ac:dyDescent="0.2">
      <c r="A388" s="276"/>
      <c r="B388" s="276"/>
      <c r="C388" s="123"/>
      <c r="D388" s="123"/>
      <c r="E388" s="123"/>
      <c r="F388" s="123"/>
      <c r="G388" s="123"/>
      <c r="H388" s="123"/>
      <c r="I388" s="123"/>
      <c r="J388" s="123"/>
      <c r="K388" s="123"/>
      <c r="L388" s="123"/>
    </row>
    <row r="389" spans="1:12" x14ac:dyDescent="0.2">
      <c r="A389" s="276"/>
      <c r="B389" s="276"/>
      <c r="C389" s="123"/>
      <c r="D389" s="123"/>
      <c r="E389" s="123"/>
      <c r="F389" s="123"/>
      <c r="G389" s="123"/>
      <c r="H389" s="123"/>
      <c r="I389" s="123"/>
      <c r="J389" s="123"/>
      <c r="K389" s="123"/>
      <c r="L389" s="123"/>
    </row>
    <row r="390" spans="1:12" x14ac:dyDescent="0.2">
      <c r="A390" s="276"/>
      <c r="B390" s="276"/>
      <c r="C390" s="123"/>
      <c r="D390" s="123"/>
      <c r="E390" s="123"/>
      <c r="F390" s="123"/>
      <c r="G390" s="123"/>
      <c r="H390" s="123"/>
      <c r="I390" s="123"/>
      <c r="J390" s="123"/>
      <c r="K390" s="123"/>
      <c r="L390" s="123"/>
    </row>
    <row r="391" spans="1:12" x14ac:dyDescent="0.2">
      <c r="A391" s="276"/>
      <c r="B391" s="276"/>
      <c r="C391" s="123"/>
      <c r="D391" s="123"/>
      <c r="E391" s="123"/>
      <c r="F391" s="123"/>
      <c r="G391" s="123"/>
      <c r="H391" s="123"/>
      <c r="I391" s="123"/>
      <c r="J391" s="123"/>
      <c r="K391" s="123"/>
      <c r="L391" s="123"/>
    </row>
    <row r="392" spans="1:12" x14ac:dyDescent="0.2">
      <c r="A392" s="276"/>
      <c r="B392" s="276"/>
      <c r="C392" s="123"/>
      <c r="D392" s="123"/>
      <c r="E392" s="123"/>
      <c r="F392" s="123"/>
      <c r="G392" s="123"/>
      <c r="H392" s="123"/>
      <c r="I392" s="123"/>
      <c r="J392" s="123"/>
      <c r="K392" s="123"/>
      <c r="L392" s="123"/>
    </row>
    <row r="393" spans="1:12" x14ac:dyDescent="0.2">
      <c r="A393" s="276"/>
      <c r="B393" s="276"/>
      <c r="C393" s="123"/>
      <c r="D393" s="123"/>
      <c r="E393" s="123"/>
      <c r="F393" s="123"/>
      <c r="G393" s="123"/>
      <c r="H393" s="123"/>
      <c r="I393" s="123"/>
      <c r="J393" s="123"/>
      <c r="K393" s="123"/>
      <c r="L393" s="123"/>
    </row>
    <row r="394" spans="1:12" x14ac:dyDescent="0.2">
      <c r="A394" s="276"/>
      <c r="B394" s="276"/>
      <c r="C394" s="123"/>
      <c r="D394" s="123"/>
      <c r="E394" s="123"/>
      <c r="F394" s="123"/>
      <c r="G394" s="123"/>
      <c r="H394" s="123"/>
      <c r="I394" s="123"/>
      <c r="J394" s="123"/>
      <c r="K394" s="123"/>
      <c r="L394" s="123"/>
    </row>
    <row r="395" spans="1:12" x14ac:dyDescent="0.2">
      <c r="A395" s="276"/>
      <c r="B395" s="276"/>
      <c r="C395" s="123"/>
      <c r="D395" s="123"/>
      <c r="E395" s="123"/>
      <c r="F395" s="123"/>
      <c r="G395" s="123"/>
      <c r="H395" s="123"/>
      <c r="I395" s="123"/>
      <c r="J395" s="123"/>
      <c r="K395" s="123"/>
      <c r="L395" s="123"/>
    </row>
    <row r="396" spans="1:12" x14ac:dyDescent="0.2">
      <c r="A396" s="276"/>
      <c r="B396" s="276"/>
      <c r="C396" s="123"/>
      <c r="D396" s="123"/>
      <c r="E396" s="123"/>
      <c r="F396" s="123"/>
      <c r="G396" s="123"/>
      <c r="H396" s="123"/>
      <c r="I396" s="123"/>
      <c r="J396" s="123"/>
      <c r="K396" s="123"/>
      <c r="L396" s="123"/>
    </row>
    <row r="397" spans="1:12" x14ac:dyDescent="0.2">
      <c r="A397" s="276"/>
      <c r="B397" s="276"/>
      <c r="C397" s="123"/>
      <c r="D397" s="123"/>
      <c r="E397" s="123"/>
      <c r="F397" s="123"/>
      <c r="G397" s="123"/>
      <c r="H397" s="123"/>
      <c r="I397" s="123"/>
      <c r="J397" s="123"/>
      <c r="K397" s="123"/>
      <c r="L397" s="123"/>
    </row>
    <row r="398" spans="1:12" x14ac:dyDescent="0.2">
      <c r="A398" s="276"/>
      <c r="B398" s="276"/>
      <c r="C398" s="123"/>
      <c r="D398" s="123"/>
      <c r="E398" s="123"/>
      <c r="F398" s="123"/>
      <c r="G398" s="123"/>
      <c r="H398" s="123"/>
      <c r="I398" s="123"/>
      <c r="J398" s="123"/>
      <c r="K398" s="123"/>
      <c r="L398" s="123"/>
    </row>
    <row r="399" spans="1:12" x14ac:dyDescent="0.2">
      <c r="A399" s="276"/>
      <c r="B399" s="276"/>
      <c r="C399" s="123"/>
      <c r="D399" s="123"/>
      <c r="E399" s="123"/>
      <c r="F399" s="123"/>
      <c r="G399" s="123"/>
      <c r="H399" s="123"/>
      <c r="I399" s="123"/>
      <c r="J399" s="123"/>
      <c r="K399" s="123"/>
      <c r="L399" s="123"/>
    </row>
    <row r="400" spans="1:12" x14ac:dyDescent="0.2">
      <c r="A400" s="276"/>
      <c r="B400" s="276"/>
      <c r="C400" s="123"/>
      <c r="D400" s="123"/>
      <c r="E400" s="123"/>
      <c r="F400" s="123"/>
      <c r="G400" s="123"/>
      <c r="H400" s="123"/>
      <c r="I400" s="123"/>
      <c r="J400" s="123"/>
      <c r="K400" s="123"/>
      <c r="L400" s="123"/>
    </row>
    <row r="401" spans="1:12" x14ac:dyDescent="0.2">
      <c r="A401" s="276"/>
      <c r="B401" s="276"/>
      <c r="C401" s="123"/>
      <c r="D401" s="123"/>
      <c r="E401" s="123"/>
      <c r="F401" s="123"/>
      <c r="G401" s="123"/>
      <c r="H401" s="123"/>
      <c r="I401" s="123"/>
      <c r="J401" s="123"/>
      <c r="K401" s="123"/>
      <c r="L401" s="123"/>
    </row>
    <row r="402" spans="1:12" x14ac:dyDescent="0.2">
      <c r="A402" s="276"/>
      <c r="B402" s="276"/>
      <c r="C402" s="123"/>
      <c r="D402" s="123"/>
      <c r="E402" s="123"/>
      <c r="F402" s="123"/>
      <c r="G402" s="123"/>
      <c r="H402" s="123"/>
      <c r="I402" s="123"/>
      <c r="J402" s="123"/>
      <c r="K402" s="123"/>
      <c r="L402" s="123"/>
    </row>
    <row r="403" spans="1:12" x14ac:dyDescent="0.2">
      <c r="A403" s="276"/>
      <c r="B403" s="276"/>
      <c r="C403" s="123"/>
      <c r="D403" s="123"/>
      <c r="E403" s="123"/>
      <c r="F403" s="123"/>
      <c r="G403" s="123"/>
      <c r="H403" s="123"/>
      <c r="I403" s="123"/>
      <c r="J403" s="123"/>
      <c r="K403" s="123"/>
      <c r="L403" s="123"/>
    </row>
    <row r="404" spans="1:12" x14ac:dyDescent="0.2">
      <c r="A404" s="276"/>
      <c r="B404" s="276"/>
      <c r="C404" s="123"/>
      <c r="D404" s="123"/>
      <c r="E404" s="123"/>
      <c r="F404" s="123"/>
      <c r="G404" s="123"/>
      <c r="H404" s="123"/>
      <c r="I404" s="123"/>
      <c r="J404" s="123"/>
      <c r="K404" s="123"/>
      <c r="L404" s="123"/>
    </row>
    <row r="405" spans="1:12" x14ac:dyDescent="0.2">
      <c r="A405" s="276"/>
      <c r="B405" s="276"/>
      <c r="C405" s="123"/>
      <c r="D405" s="123"/>
      <c r="E405" s="123"/>
      <c r="F405" s="123"/>
      <c r="G405" s="123"/>
      <c r="H405" s="123"/>
      <c r="I405" s="123"/>
      <c r="J405" s="123"/>
      <c r="K405" s="123"/>
      <c r="L405" s="123"/>
    </row>
    <row r="406" spans="1:12" x14ac:dyDescent="0.2">
      <c r="A406" s="276"/>
      <c r="B406" s="276"/>
      <c r="C406" s="123"/>
      <c r="D406" s="123"/>
      <c r="E406" s="123"/>
      <c r="F406" s="123"/>
      <c r="G406" s="123"/>
      <c r="H406" s="123"/>
      <c r="I406" s="123"/>
      <c r="J406" s="123"/>
      <c r="K406" s="123"/>
      <c r="L406" s="123"/>
    </row>
    <row r="407" spans="1:12" x14ac:dyDescent="0.2">
      <c r="A407" s="276"/>
      <c r="B407" s="276"/>
      <c r="C407" s="123"/>
      <c r="D407" s="123"/>
      <c r="E407" s="123"/>
      <c r="F407" s="123"/>
      <c r="G407" s="123"/>
      <c r="H407" s="123"/>
      <c r="I407" s="123"/>
      <c r="J407" s="123"/>
      <c r="K407" s="123"/>
      <c r="L407" s="123"/>
    </row>
    <row r="408" spans="1:12" x14ac:dyDescent="0.2">
      <c r="A408" s="276"/>
      <c r="B408" s="276"/>
      <c r="C408" s="123"/>
      <c r="D408" s="123"/>
      <c r="E408" s="123"/>
      <c r="F408" s="123"/>
      <c r="G408" s="123"/>
      <c r="H408" s="123"/>
      <c r="I408" s="123"/>
      <c r="J408" s="123"/>
      <c r="K408" s="123"/>
      <c r="L408" s="123"/>
    </row>
    <row r="409" spans="1:12" x14ac:dyDescent="0.2">
      <c r="A409" s="276"/>
      <c r="B409" s="276"/>
      <c r="C409" s="123"/>
      <c r="D409" s="123"/>
      <c r="E409" s="123"/>
      <c r="F409" s="123"/>
      <c r="G409" s="123"/>
      <c r="H409" s="123"/>
      <c r="I409" s="123"/>
      <c r="J409" s="123"/>
      <c r="K409" s="123"/>
      <c r="L409" s="123"/>
    </row>
    <row r="410" spans="1:12" x14ac:dyDescent="0.2">
      <c r="A410" s="276"/>
      <c r="B410" s="276"/>
      <c r="C410" s="123"/>
      <c r="D410" s="123"/>
      <c r="E410" s="123"/>
      <c r="F410" s="123"/>
      <c r="G410" s="123"/>
      <c r="H410" s="123"/>
      <c r="I410" s="123"/>
      <c r="J410" s="123"/>
      <c r="K410" s="123"/>
      <c r="L410" s="123"/>
    </row>
    <row r="411" spans="1:12" x14ac:dyDescent="0.2">
      <c r="A411" s="276"/>
      <c r="B411" s="276"/>
      <c r="C411" s="123"/>
      <c r="D411" s="123"/>
      <c r="E411" s="123"/>
      <c r="F411" s="123"/>
      <c r="G411" s="123"/>
      <c r="H411" s="123"/>
      <c r="I411" s="123"/>
      <c r="J411" s="123"/>
      <c r="K411" s="123"/>
      <c r="L411" s="123"/>
    </row>
    <row r="412" spans="1:12" x14ac:dyDescent="0.2">
      <c r="A412" s="276"/>
      <c r="B412" s="276"/>
      <c r="C412" s="123"/>
      <c r="D412" s="123"/>
      <c r="E412" s="123"/>
      <c r="F412" s="123"/>
      <c r="G412" s="123"/>
      <c r="H412" s="123"/>
      <c r="I412" s="123"/>
      <c r="J412" s="123"/>
      <c r="K412" s="123"/>
      <c r="L412" s="123"/>
    </row>
    <row r="413" spans="1:12" x14ac:dyDescent="0.2">
      <c r="A413" s="276"/>
      <c r="B413" s="276"/>
      <c r="C413" s="123"/>
      <c r="D413" s="123"/>
      <c r="E413" s="123"/>
      <c r="F413" s="123"/>
      <c r="G413" s="123"/>
      <c r="H413" s="123"/>
      <c r="I413" s="123"/>
      <c r="J413" s="123"/>
      <c r="K413" s="123"/>
      <c r="L413" s="123"/>
    </row>
    <row r="414" spans="1:12" x14ac:dyDescent="0.2">
      <c r="A414" s="276"/>
      <c r="B414" s="276"/>
      <c r="C414" s="123"/>
      <c r="D414" s="123"/>
      <c r="E414" s="123"/>
      <c r="F414" s="123"/>
      <c r="G414" s="123"/>
      <c r="H414" s="123"/>
      <c r="I414" s="123"/>
      <c r="J414" s="123"/>
      <c r="K414" s="123"/>
      <c r="L414" s="123"/>
    </row>
    <row r="415" spans="1:12" x14ac:dyDescent="0.2">
      <c r="A415" s="276"/>
      <c r="B415" s="276"/>
      <c r="C415" s="123"/>
      <c r="D415" s="123"/>
      <c r="E415" s="123"/>
      <c r="F415" s="123"/>
      <c r="G415" s="123"/>
      <c r="H415" s="123"/>
      <c r="I415" s="123"/>
      <c r="J415" s="123"/>
      <c r="K415" s="123"/>
      <c r="L415" s="123"/>
    </row>
    <row r="416" spans="1:12" x14ac:dyDescent="0.2">
      <c r="A416" s="276"/>
      <c r="B416" s="276"/>
      <c r="C416" s="123"/>
      <c r="D416" s="123"/>
      <c r="E416" s="123"/>
      <c r="F416" s="123"/>
      <c r="G416" s="123"/>
      <c r="H416" s="123"/>
      <c r="I416" s="123"/>
      <c r="J416" s="123"/>
      <c r="K416" s="123"/>
      <c r="L416" s="123"/>
    </row>
    <row r="417" spans="1:12" x14ac:dyDescent="0.2">
      <c r="A417" s="276"/>
      <c r="B417" s="276"/>
      <c r="C417" s="123"/>
      <c r="D417" s="123"/>
      <c r="E417" s="123"/>
      <c r="F417" s="123"/>
      <c r="G417" s="123"/>
      <c r="H417" s="123"/>
      <c r="I417" s="123"/>
      <c r="J417" s="123"/>
      <c r="K417" s="123"/>
      <c r="L417" s="123"/>
    </row>
    <row r="418" spans="1:12" x14ac:dyDescent="0.2">
      <c r="A418" s="276"/>
      <c r="B418" s="276"/>
      <c r="C418" s="123"/>
      <c r="D418" s="123"/>
      <c r="E418" s="123"/>
      <c r="F418" s="123"/>
      <c r="G418" s="123"/>
      <c r="H418" s="123"/>
      <c r="I418" s="123"/>
      <c r="J418" s="123"/>
      <c r="K418" s="123"/>
      <c r="L418" s="123"/>
    </row>
    <row r="419" spans="1:12" x14ac:dyDescent="0.2">
      <c r="A419" s="276"/>
      <c r="B419" s="276"/>
      <c r="C419" s="123"/>
      <c r="D419" s="123"/>
      <c r="E419" s="123"/>
      <c r="F419" s="123"/>
      <c r="G419" s="123"/>
      <c r="H419" s="123"/>
      <c r="I419" s="123"/>
      <c r="J419" s="123"/>
      <c r="K419" s="123"/>
      <c r="L419" s="123"/>
    </row>
    <row r="420" spans="1:12" x14ac:dyDescent="0.2">
      <c r="A420" s="276"/>
      <c r="B420" s="276"/>
      <c r="C420" s="123"/>
      <c r="D420" s="123"/>
      <c r="E420" s="123"/>
      <c r="F420" s="123"/>
      <c r="G420" s="123"/>
      <c r="H420" s="123"/>
      <c r="I420" s="123"/>
      <c r="J420" s="123"/>
      <c r="K420" s="123"/>
      <c r="L420" s="123"/>
    </row>
    <row r="421" spans="1:12" x14ac:dyDescent="0.2">
      <c r="A421" s="276"/>
      <c r="B421" s="276"/>
      <c r="C421" s="123"/>
      <c r="D421" s="123"/>
      <c r="E421" s="123"/>
      <c r="F421" s="123"/>
      <c r="G421" s="123"/>
      <c r="H421" s="123"/>
      <c r="I421" s="123"/>
      <c r="J421" s="123"/>
      <c r="K421" s="123"/>
      <c r="L421" s="123"/>
    </row>
    <row r="422" spans="1:12" x14ac:dyDescent="0.2">
      <c r="A422" s="276"/>
      <c r="B422" s="276"/>
      <c r="C422" s="123"/>
      <c r="D422" s="123"/>
      <c r="E422" s="123"/>
      <c r="F422" s="123"/>
      <c r="G422" s="123"/>
      <c r="H422" s="123"/>
      <c r="I422" s="123"/>
      <c r="J422" s="123"/>
      <c r="K422" s="123"/>
      <c r="L422" s="123"/>
    </row>
    <row r="423" spans="1:12" x14ac:dyDescent="0.2">
      <c r="A423" s="276"/>
      <c r="B423" s="276"/>
      <c r="C423" s="123"/>
      <c r="D423" s="123"/>
      <c r="E423" s="123"/>
      <c r="F423" s="123"/>
      <c r="G423" s="123"/>
      <c r="H423" s="123"/>
      <c r="I423" s="123"/>
      <c r="J423" s="123"/>
      <c r="K423" s="123"/>
      <c r="L423" s="123"/>
    </row>
    <row r="424" spans="1:12" x14ac:dyDescent="0.2">
      <c r="A424" s="276"/>
      <c r="B424" s="276"/>
      <c r="C424" s="123"/>
      <c r="D424" s="123"/>
      <c r="E424" s="123"/>
      <c r="F424" s="123"/>
      <c r="G424" s="123"/>
      <c r="H424" s="123"/>
      <c r="I424" s="123"/>
      <c r="J424" s="123"/>
      <c r="K424" s="123"/>
      <c r="L424" s="123"/>
    </row>
    <row r="425" spans="1:12" x14ac:dyDescent="0.2">
      <c r="A425" s="276"/>
      <c r="B425" s="276"/>
      <c r="C425" s="123"/>
      <c r="D425" s="123"/>
      <c r="E425" s="123"/>
      <c r="F425" s="123"/>
      <c r="G425" s="123"/>
      <c r="H425" s="123"/>
      <c r="I425" s="123"/>
      <c r="J425" s="123"/>
      <c r="K425" s="123"/>
      <c r="L425" s="123"/>
    </row>
    <row r="426" spans="1:12" x14ac:dyDescent="0.2">
      <c r="A426" s="276"/>
      <c r="B426" s="276"/>
      <c r="C426" s="123"/>
      <c r="D426" s="123"/>
      <c r="E426" s="123"/>
      <c r="F426" s="123"/>
      <c r="G426" s="123"/>
      <c r="H426" s="123"/>
      <c r="I426" s="123"/>
      <c r="J426" s="123"/>
      <c r="K426" s="123"/>
      <c r="L426" s="123"/>
    </row>
    <row r="427" spans="1:12" x14ac:dyDescent="0.2">
      <c r="A427" s="276"/>
      <c r="B427" s="276"/>
      <c r="C427" s="123"/>
      <c r="D427" s="123"/>
      <c r="E427" s="123"/>
      <c r="F427" s="123"/>
      <c r="G427" s="123"/>
      <c r="H427" s="123"/>
      <c r="I427" s="123"/>
      <c r="J427" s="123"/>
      <c r="K427" s="123"/>
      <c r="L427" s="123"/>
    </row>
    <row r="428" spans="1:12" x14ac:dyDescent="0.2">
      <c r="A428" s="276"/>
      <c r="B428" s="276"/>
      <c r="C428" s="123"/>
      <c r="D428" s="123"/>
      <c r="E428" s="123"/>
      <c r="F428" s="123"/>
      <c r="G428" s="123"/>
      <c r="H428" s="123"/>
      <c r="I428" s="123"/>
      <c r="J428" s="123"/>
      <c r="K428" s="123"/>
      <c r="L428" s="123"/>
    </row>
    <row r="429" spans="1:12" x14ac:dyDescent="0.2">
      <c r="A429" s="276"/>
      <c r="B429" s="276"/>
      <c r="C429" s="123"/>
      <c r="D429" s="123"/>
      <c r="E429" s="123"/>
      <c r="F429" s="123"/>
      <c r="G429" s="123"/>
      <c r="H429" s="123"/>
      <c r="I429" s="123"/>
      <c r="J429" s="123"/>
      <c r="K429" s="123"/>
      <c r="L429" s="123"/>
    </row>
    <row r="430" spans="1:12" x14ac:dyDescent="0.2">
      <c r="A430" s="276"/>
      <c r="B430" s="276"/>
      <c r="C430" s="123"/>
      <c r="D430" s="123"/>
      <c r="E430" s="123"/>
      <c r="F430" s="123"/>
      <c r="G430" s="123"/>
      <c r="H430" s="123"/>
      <c r="I430" s="123"/>
      <c r="J430" s="123"/>
      <c r="K430" s="123"/>
      <c r="L430" s="123"/>
    </row>
    <row r="431" spans="1:12" x14ac:dyDescent="0.2">
      <c r="A431" s="276"/>
      <c r="B431" s="276"/>
      <c r="C431" s="123"/>
      <c r="D431" s="123"/>
      <c r="E431" s="123"/>
      <c r="F431" s="123"/>
      <c r="G431" s="123"/>
      <c r="H431" s="123"/>
      <c r="I431" s="123"/>
      <c r="J431" s="123"/>
      <c r="K431" s="123"/>
      <c r="L431" s="123"/>
    </row>
    <row r="432" spans="1:12" x14ac:dyDescent="0.2">
      <c r="A432" s="276"/>
      <c r="B432" s="276"/>
      <c r="C432" s="123"/>
      <c r="D432" s="123"/>
      <c r="E432" s="123"/>
      <c r="F432" s="123"/>
      <c r="G432" s="123"/>
      <c r="H432" s="123"/>
      <c r="I432" s="123"/>
      <c r="J432" s="123"/>
      <c r="K432" s="123"/>
      <c r="L432" s="123"/>
    </row>
    <row r="433" spans="1:12" x14ac:dyDescent="0.2">
      <c r="A433" s="276"/>
      <c r="B433" s="276"/>
      <c r="C433" s="123"/>
      <c r="D433" s="123"/>
      <c r="E433" s="123"/>
      <c r="F433" s="123"/>
      <c r="G433" s="123"/>
      <c r="H433" s="123"/>
      <c r="I433" s="123"/>
      <c r="J433" s="123"/>
      <c r="K433" s="123"/>
      <c r="L433" s="123"/>
    </row>
    <row r="434" spans="1:12" x14ac:dyDescent="0.2">
      <c r="A434" s="276"/>
      <c r="B434" s="276"/>
      <c r="C434" s="123"/>
      <c r="D434" s="123"/>
      <c r="E434" s="123"/>
      <c r="F434" s="123"/>
      <c r="G434" s="123"/>
      <c r="H434" s="123"/>
      <c r="I434" s="123"/>
      <c r="J434" s="123"/>
      <c r="K434" s="123"/>
      <c r="L434" s="123"/>
    </row>
    <row r="435" spans="1:12" x14ac:dyDescent="0.2">
      <c r="A435" s="276"/>
      <c r="B435" s="276"/>
      <c r="C435" s="123"/>
      <c r="D435" s="123"/>
      <c r="E435" s="123"/>
      <c r="F435" s="123"/>
      <c r="G435" s="123"/>
      <c r="H435" s="123"/>
      <c r="I435" s="123"/>
      <c r="J435" s="123"/>
      <c r="K435" s="123"/>
      <c r="L435" s="123"/>
    </row>
    <row r="436" spans="1:12" x14ac:dyDescent="0.2">
      <c r="A436" s="276"/>
      <c r="B436" s="276"/>
      <c r="C436" s="123"/>
      <c r="D436" s="123"/>
      <c r="E436" s="123"/>
      <c r="F436" s="123"/>
      <c r="G436" s="123"/>
      <c r="H436" s="123"/>
      <c r="I436" s="123"/>
      <c r="J436" s="123"/>
      <c r="K436" s="123"/>
      <c r="L436" s="123"/>
    </row>
    <row r="437" spans="1:12" x14ac:dyDescent="0.2">
      <c r="A437" s="276"/>
      <c r="B437" s="276"/>
      <c r="C437" s="123"/>
      <c r="D437" s="123"/>
      <c r="E437" s="123"/>
      <c r="F437" s="123"/>
      <c r="G437" s="123"/>
      <c r="H437" s="123"/>
      <c r="I437" s="123"/>
      <c r="J437" s="123"/>
      <c r="K437" s="123"/>
      <c r="L437" s="123"/>
    </row>
    <row r="438" spans="1:12" x14ac:dyDescent="0.2">
      <c r="A438" s="276"/>
      <c r="B438" s="276"/>
      <c r="C438" s="123"/>
      <c r="D438" s="123"/>
      <c r="E438" s="123"/>
      <c r="F438" s="123"/>
      <c r="G438" s="123"/>
      <c r="H438" s="123"/>
      <c r="I438" s="123"/>
      <c r="J438" s="123"/>
      <c r="K438" s="123"/>
      <c r="L438" s="123"/>
    </row>
    <row r="439" spans="1:12" x14ac:dyDescent="0.2">
      <c r="A439" s="276"/>
      <c r="B439" s="276"/>
      <c r="C439" s="123"/>
      <c r="D439" s="123"/>
      <c r="E439" s="123"/>
      <c r="F439" s="123"/>
      <c r="G439" s="123"/>
      <c r="H439" s="123"/>
      <c r="I439" s="123"/>
      <c r="J439" s="123"/>
      <c r="K439" s="123"/>
      <c r="L439" s="123"/>
    </row>
    <row r="440" spans="1:12" x14ac:dyDescent="0.2">
      <c r="A440" s="276"/>
      <c r="B440" s="276"/>
      <c r="C440" s="123"/>
      <c r="D440" s="123"/>
      <c r="E440" s="123"/>
      <c r="F440" s="123"/>
      <c r="G440" s="123"/>
      <c r="H440" s="123"/>
      <c r="I440" s="123"/>
      <c r="J440" s="123"/>
      <c r="K440" s="123"/>
      <c r="L440" s="123"/>
    </row>
    <row r="441" spans="1:12" x14ac:dyDescent="0.2">
      <c r="A441" s="276"/>
      <c r="B441" s="276"/>
      <c r="C441" s="123"/>
      <c r="D441" s="123"/>
      <c r="E441" s="123"/>
      <c r="F441" s="123"/>
      <c r="G441" s="123"/>
      <c r="H441" s="123"/>
      <c r="I441" s="123"/>
      <c r="J441" s="123"/>
      <c r="K441" s="123"/>
      <c r="L441" s="123"/>
    </row>
    <row r="442" spans="1:12" x14ac:dyDescent="0.2">
      <c r="A442" s="276"/>
      <c r="B442" s="276"/>
      <c r="C442" s="123"/>
      <c r="D442" s="123"/>
      <c r="E442" s="123"/>
      <c r="F442" s="123"/>
      <c r="G442" s="123"/>
      <c r="H442" s="123"/>
      <c r="I442" s="123"/>
      <c r="J442" s="123"/>
      <c r="K442" s="123"/>
      <c r="L442" s="123"/>
    </row>
    <row r="443" spans="1:12" x14ac:dyDescent="0.2">
      <c r="A443" s="276"/>
      <c r="B443" s="276"/>
      <c r="C443" s="123"/>
      <c r="D443" s="123"/>
      <c r="E443" s="123"/>
      <c r="F443" s="123"/>
      <c r="G443" s="123"/>
      <c r="H443" s="123"/>
      <c r="I443" s="123"/>
      <c r="J443" s="123"/>
      <c r="K443" s="123"/>
      <c r="L443" s="123"/>
    </row>
    <row r="444" spans="1:12" x14ac:dyDescent="0.2">
      <c r="A444" s="276"/>
      <c r="B444" s="276"/>
      <c r="C444" s="123"/>
      <c r="D444" s="123"/>
      <c r="E444" s="123"/>
      <c r="F444" s="123"/>
      <c r="G444" s="123"/>
      <c r="H444" s="123"/>
      <c r="I444" s="123"/>
      <c r="J444" s="123"/>
      <c r="K444" s="123"/>
      <c r="L444" s="123"/>
    </row>
    <row r="445" spans="1:12" x14ac:dyDescent="0.2">
      <c r="A445" s="276"/>
      <c r="B445" s="276"/>
      <c r="C445" s="123"/>
      <c r="D445" s="123"/>
      <c r="E445" s="123"/>
      <c r="F445" s="123"/>
      <c r="G445" s="123"/>
      <c r="H445" s="123"/>
      <c r="I445" s="123"/>
      <c r="J445" s="123"/>
      <c r="K445" s="123"/>
      <c r="L445" s="123"/>
    </row>
    <row r="446" spans="1:12" x14ac:dyDescent="0.2">
      <c r="A446" s="276"/>
      <c r="B446" s="276"/>
      <c r="C446" s="123"/>
      <c r="D446" s="123"/>
      <c r="E446" s="123"/>
      <c r="F446" s="123"/>
      <c r="G446" s="123"/>
      <c r="H446" s="123"/>
      <c r="I446" s="123"/>
      <c r="J446" s="123"/>
      <c r="K446" s="123"/>
      <c r="L446" s="123"/>
    </row>
    <row r="447" spans="1:12" x14ac:dyDescent="0.2">
      <c r="A447" s="276"/>
      <c r="B447" s="276"/>
      <c r="C447" s="123"/>
      <c r="D447" s="123"/>
      <c r="E447" s="123"/>
      <c r="F447" s="123"/>
      <c r="G447" s="123"/>
      <c r="H447" s="123"/>
      <c r="I447" s="123"/>
      <c r="J447" s="123"/>
      <c r="K447" s="123"/>
      <c r="L447" s="123"/>
    </row>
    <row r="448" spans="1:12" x14ac:dyDescent="0.2">
      <c r="A448" s="276"/>
      <c r="B448" s="276"/>
      <c r="C448" s="123"/>
      <c r="D448" s="123"/>
      <c r="E448" s="123"/>
      <c r="F448" s="123"/>
      <c r="G448" s="123"/>
      <c r="H448" s="123"/>
      <c r="I448" s="123"/>
      <c r="J448" s="123"/>
      <c r="K448" s="123"/>
      <c r="L448" s="123"/>
    </row>
    <row r="449" spans="1:12" x14ac:dyDescent="0.2">
      <c r="A449" s="276"/>
      <c r="B449" s="276"/>
      <c r="C449" s="123"/>
      <c r="D449" s="123"/>
      <c r="E449" s="123"/>
      <c r="F449" s="123"/>
      <c r="G449" s="123"/>
      <c r="H449" s="123"/>
      <c r="I449" s="123"/>
      <c r="J449" s="123"/>
      <c r="K449" s="123"/>
      <c r="L449" s="123"/>
    </row>
    <row r="450" spans="1:12" x14ac:dyDescent="0.2">
      <c r="A450" s="276"/>
      <c r="B450" s="276"/>
      <c r="C450" s="123"/>
      <c r="D450" s="123"/>
      <c r="E450" s="123"/>
      <c r="F450" s="123"/>
      <c r="G450" s="123"/>
      <c r="H450" s="123"/>
      <c r="I450" s="123"/>
      <c r="J450" s="123"/>
      <c r="K450" s="123"/>
      <c r="L450" s="123"/>
    </row>
    <row r="451" spans="1:12" x14ac:dyDescent="0.2">
      <c r="A451" s="276"/>
      <c r="B451" s="276"/>
      <c r="C451" s="123"/>
      <c r="D451" s="123"/>
      <c r="E451" s="123"/>
      <c r="F451" s="123"/>
      <c r="G451" s="123"/>
      <c r="H451" s="123"/>
      <c r="I451" s="123"/>
      <c r="J451" s="123"/>
      <c r="K451" s="123"/>
      <c r="L451" s="123"/>
    </row>
    <row r="452" spans="1:12" x14ac:dyDescent="0.2">
      <c r="A452" s="276"/>
      <c r="B452" s="276"/>
      <c r="C452" s="123"/>
      <c r="D452" s="123"/>
      <c r="E452" s="123"/>
      <c r="F452" s="123"/>
      <c r="G452" s="123"/>
      <c r="H452" s="123"/>
      <c r="I452" s="123"/>
      <c r="J452" s="123"/>
      <c r="K452" s="123"/>
      <c r="L452" s="123"/>
    </row>
    <row r="453" spans="1:12" x14ac:dyDescent="0.2">
      <c r="A453" s="276"/>
      <c r="B453" s="276"/>
      <c r="C453" s="123"/>
      <c r="D453" s="123"/>
      <c r="E453" s="123"/>
      <c r="F453" s="123"/>
      <c r="G453" s="123"/>
      <c r="H453" s="123"/>
      <c r="I453" s="123"/>
      <c r="J453" s="123"/>
      <c r="K453" s="123"/>
      <c r="L453" s="123"/>
    </row>
    <row r="454" spans="1:12" x14ac:dyDescent="0.2">
      <c r="A454" s="276"/>
      <c r="B454" s="276"/>
      <c r="C454" s="123"/>
      <c r="D454" s="123"/>
      <c r="E454" s="123"/>
      <c r="F454" s="123"/>
      <c r="G454" s="123"/>
      <c r="H454" s="123"/>
      <c r="I454" s="123"/>
      <c r="J454" s="123"/>
      <c r="K454" s="123"/>
      <c r="L454" s="123"/>
    </row>
    <row r="455" spans="1:12" x14ac:dyDescent="0.2">
      <c r="A455" s="276"/>
      <c r="B455" s="276"/>
      <c r="C455" s="123"/>
      <c r="D455" s="123"/>
      <c r="E455" s="123"/>
      <c r="F455" s="123"/>
      <c r="G455" s="123"/>
      <c r="H455" s="123"/>
      <c r="I455" s="123"/>
      <c r="J455" s="123"/>
      <c r="K455" s="123"/>
      <c r="L455" s="123"/>
    </row>
    <row r="456" spans="1:12" x14ac:dyDescent="0.2">
      <c r="A456" s="276"/>
      <c r="B456" s="276"/>
      <c r="C456" s="123"/>
      <c r="D456" s="123"/>
      <c r="E456" s="123"/>
      <c r="F456" s="123"/>
      <c r="G456" s="123"/>
      <c r="H456" s="123"/>
      <c r="I456" s="123"/>
      <c r="J456" s="123"/>
      <c r="K456" s="123"/>
      <c r="L456" s="123"/>
    </row>
    <row r="457" spans="1:12" x14ac:dyDescent="0.2">
      <c r="A457" s="276"/>
      <c r="B457" s="276"/>
      <c r="C457" s="123"/>
      <c r="D457" s="123"/>
      <c r="E457" s="123"/>
      <c r="F457" s="123"/>
      <c r="G457" s="123"/>
      <c r="H457" s="123"/>
      <c r="I457" s="123"/>
      <c r="J457" s="123"/>
      <c r="K457" s="123"/>
      <c r="L457" s="123"/>
    </row>
    <row r="458" spans="1:12" x14ac:dyDescent="0.2">
      <c r="A458" s="276"/>
      <c r="B458" s="276"/>
      <c r="C458" s="123"/>
      <c r="D458" s="123"/>
      <c r="E458" s="123"/>
      <c r="F458" s="123"/>
      <c r="G458" s="123"/>
      <c r="H458" s="123"/>
      <c r="I458" s="123"/>
      <c r="J458" s="123"/>
      <c r="K458" s="123"/>
      <c r="L458" s="123"/>
    </row>
    <row r="459" spans="1:12" x14ac:dyDescent="0.2">
      <c r="A459" s="276"/>
      <c r="B459" s="276"/>
      <c r="C459" s="123"/>
      <c r="D459" s="123"/>
      <c r="E459" s="123"/>
      <c r="F459" s="123"/>
      <c r="G459" s="123"/>
      <c r="H459" s="123"/>
      <c r="I459" s="123"/>
      <c r="J459" s="123"/>
      <c r="K459" s="123"/>
      <c r="L459" s="123"/>
    </row>
    <row r="460" spans="1:12" x14ac:dyDescent="0.2">
      <c r="A460" s="276"/>
      <c r="B460" s="276"/>
      <c r="C460" s="123"/>
      <c r="D460" s="123"/>
      <c r="E460" s="123"/>
      <c r="F460" s="123"/>
      <c r="G460" s="123"/>
      <c r="H460" s="123"/>
      <c r="I460" s="123"/>
      <c r="J460" s="123"/>
      <c r="K460" s="123"/>
      <c r="L460" s="123"/>
    </row>
    <row r="461" spans="1:12" x14ac:dyDescent="0.2">
      <c r="A461" s="276"/>
      <c r="B461" s="276"/>
      <c r="C461" s="123"/>
      <c r="D461" s="123"/>
      <c r="E461" s="123"/>
      <c r="F461" s="123"/>
      <c r="G461" s="123"/>
      <c r="H461" s="123"/>
      <c r="I461" s="123"/>
      <c r="J461" s="123"/>
      <c r="K461" s="123"/>
      <c r="L461" s="123"/>
    </row>
    <row r="462" spans="1:12" x14ac:dyDescent="0.2">
      <c r="A462" s="276"/>
      <c r="B462" s="276"/>
      <c r="C462" s="123"/>
      <c r="D462" s="123"/>
      <c r="E462" s="123"/>
      <c r="F462" s="123"/>
      <c r="G462" s="123"/>
      <c r="H462" s="123"/>
      <c r="I462" s="123"/>
      <c r="J462" s="123"/>
      <c r="K462" s="123"/>
      <c r="L462" s="123"/>
    </row>
    <row r="463" spans="1:12" x14ac:dyDescent="0.2">
      <c r="A463" s="276"/>
      <c r="B463" s="276"/>
      <c r="C463" s="123"/>
      <c r="D463" s="123"/>
      <c r="E463" s="123"/>
      <c r="F463" s="123"/>
      <c r="G463" s="123"/>
      <c r="H463" s="123"/>
      <c r="I463" s="123"/>
      <c r="J463" s="123"/>
      <c r="K463" s="123"/>
      <c r="L463" s="123"/>
    </row>
    <row r="464" spans="1:12" x14ac:dyDescent="0.2">
      <c r="A464" s="276"/>
      <c r="B464" s="276"/>
      <c r="C464" s="123"/>
      <c r="D464" s="123"/>
      <c r="E464" s="123"/>
      <c r="F464" s="123"/>
      <c r="G464" s="123"/>
      <c r="H464" s="123"/>
      <c r="I464" s="123"/>
      <c r="J464" s="123"/>
      <c r="K464" s="123"/>
      <c r="L464" s="123"/>
    </row>
    <row r="465" spans="1:12" x14ac:dyDescent="0.2">
      <c r="A465" s="276"/>
      <c r="B465" s="276"/>
      <c r="C465" s="123"/>
      <c r="D465" s="123"/>
      <c r="E465" s="123"/>
      <c r="F465" s="123"/>
      <c r="G465" s="123"/>
      <c r="H465" s="123"/>
      <c r="I465" s="123"/>
      <c r="J465" s="123"/>
      <c r="K465" s="123"/>
      <c r="L465" s="123"/>
    </row>
    <row r="466" spans="1:12" x14ac:dyDescent="0.2">
      <c r="A466" s="276"/>
      <c r="B466" s="276"/>
      <c r="C466" s="123"/>
      <c r="D466" s="123"/>
      <c r="E466" s="123"/>
      <c r="F466" s="123"/>
      <c r="G466" s="123"/>
      <c r="H466" s="123"/>
      <c r="I466" s="123"/>
      <c r="J466" s="123"/>
      <c r="K466" s="123"/>
      <c r="L466" s="123"/>
    </row>
    <row r="467" spans="1:12" x14ac:dyDescent="0.2">
      <c r="A467" s="276"/>
      <c r="B467" s="276"/>
      <c r="C467" s="123"/>
      <c r="D467" s="123"/>
      <c r="E467" s="123"/>
      <c r="F467" s="123"/>
      <c r="G467" s="123"/>
      <c r="H467" s="123"/>
      <c r="I467" s="123"/>
      <c r="J467" s="123"/>
      <c r="K467" s="123"/>
      <c r="L467" s="123"/>
    </row>
    <row r="468" spans="1:12" x14ac:dyDescent="0.2">
      <c r="A468" s="276"/>
      <c r="B468" s="276"/>
      <c r="C468" s="123"/>
      <c r="D468" s="123"/>
      <c r="E468" s="123"/>
      <c r="F468" s="123"/>
      <c r="G468" s="123"/>
      <c r="H468" s="123"/>
      <c r="I468" s="123"/>
      <c r="J468" s="123"/>
      <c r="K468" s="123"/>
      <c r="L468" s="123"/>
    </row>
    <row r="469" spans="1:12" x14ac:dyDescent="0.2">
      <c r="A469" s="276"/>
      <c r="B469" s="276"/>
      <c r="C469" s="123"/>
      <c r="D469" s="123"/>
      <c r="E469" s="123"/>
      <c r="F469" s="123"/>
      <c r="G469" s="123"/>
      <c r="H469" s="123"/>
      <c r="I469" s="123"/>
      <c r="J469" s="123"/>
      <c r="K469" s="123"/>
      <c r="L469" s="123"/>
    </row>
    <row r="470" spans="1:12" x14ac:dyDescent="0.2">
      <c r="A470" s="276"/>
      <c r="B470" s="276"/>
      <c r="C470" s="123"/>
      <c r="D470" s="123"/>
      <c r="E470" s="123"/>
      <c r="F470" s="123"/>
      <c r="G470" s="123"/>
      <c r="H470" s="123"/>
      <c r="I470" s="123"/>
      <c r="J470" s="123"/>
      <c r="K470" s="123"/>
      <c r="L470" s="123"/>
    </row>
    <row r="471" spans="1:12" x14ac:dyDescent="0.2">
      <c r="A471" s="276"/>
      <c r="B471" s="276"/>
      <c r="C471" s="123"/>
      <c r="D471" s="123"/>
      <c r="E471" s="123"/>
      <c r="F471" s="123"/>
      <c r="G471" s="123"/>
      <c r="H471" s="123"/>
      <c r="I471" s="123"/>
      <c r="J471" s="123"/>
      <c r="K471" s="123"/>
      <c r="L471" s="123"/>
    </row>
    <row r="472" spans="1:12" x14ac:dyDescent="0.2">
      <c r="A472" s="276"/>
      <c r="B472" s="276"/>
      <c r="C472" s="123"/>
      <c r="D472" s="123"/>
      <c r="E472" s="123"/>
      <c r="F472" s="123"/>
      <c r="G472" s="123"/>
      <c r="H472" s="123"/>
      <c r="I472" s="123"/>
      <c r="J472" s="123"/>
      <c r="K472" s="123"/>
      <c r="L472" s="123"/>
    </row>
    <row r="473" spans="1:12" x14ac:dyDescent="0.2">
      <c r="A473" s="276"/>
      <c r="B473" s="276"/>
      <c r="C473" s="123"/>
      <c r="D473" s="123"/>
      <c r="E473" s="123"/>
      <c r="F473" s="123"/>
      <c r="G473" s="123"/>
      <c r="H473" s="123"/>
      <c r="I473" s="123"/>
      <c r="J473" s="123"/>
      <c r="K473" s="123"/>
      <c r="L473" s="123"/>
    </row>
    <row r="474" spans="1:12" x14ac:dyDescent="0.2">
      <c r="A474" s="276"/>
      <c r="B474" s="276"/>
      <c r="C474" s="123"/>
      <c r="D474" s="123"/>
      <c r="E474" s="123"/>
      <c r="F474" s="123"/>
      <c r="G474" s="123"/>
      <c r="H474" s="123"/>
      <c r="I474" s="123"/>
      <c r="J474" s="123"/>
      <c r="K474" s="123"/>
      <c r="L474" s="123"/>
    </row>
    <row r="475" spans="1:12" x14ac:dyDescent="0.2">
      <c r="A475" s="276"/>
      <c r="B475" s="276"/>
      <c r="C475" s="123"/>
      <c r="D475" s="123"/>
      <c r="E475" s="123"/>
      <c r="F475" s="123"/>
      <c r="G475" s="123"/>
      <c r="H475" s="123"/>
      <c r="I475" s="123"/>
      <c r="J475" s="123"/>
      <c r="K475" s="123"/>
      <c r="L475" s="123"/>
    </row>
    <row r="476" spans="1:12" x14ac:dyDescent="0.2">
      <c r="A476" s="276"/>
      <c r="B476" s="276"/>
      <c r="C476" s="123"/>
      <c r="D476" s="123"/>
      <c r="E476" s="123"/>
      <c r="F476" s="123"/>
      <c r="G476" s="123"/>
      <c r="H476" s="123"/>
      <c r="I476" s="123"/>
      <c r="J476" s="123"/>
      <c r="K476" s="123"/>
      <c r="L476" s="123"/>
    </row>
    <row r="477" spans="1:12" x14ac:dyDescent="0.2">
      <c r="A477" s="276"/>
      <c r="B477" s="276"/>
      <c r="C477" s="123"/>
      <c r="D477" s="123"/>
      <c r="E477" s="123"/>
      <c r="F477" s="123"/>
      <c r="G477" s="123"/>
      <c r="H477" s="123"/>
      <c r="I477" s="123"/>
      <c r="J477" s="123"/>
      <c r="K477" s="123"/>
      <c r="L477" s="123"/>
    </row>
    <row r="478" spans="1:12" x14ac:dyDescent="0.2">
      <c r="A478" s="276"/>
      <c r="B478" s="276"/>
      <c r="C478" s="123"/>
      <c r="D478" s="123"/>
      <c r="E478" s="123"/>
      <c r="F478" s="123"/>
      <c r="G478" s="123"/>
      <c r="H478" s="123"/>
      <c r="I478" s="123"/>
      <c r="J478" s="123"/>
      <c r="K478" s="123"/>
      <c r="L478" s="123"/>
    </row>
    <row r="479" spans="1:12" x14ac:dyDescent="0.2">
      <c r="A479" s="276"/>
      <c r="B479" s="276"/>
      <c r="C479" s="123"/>
      <c r="D479" s="123"/>
      <c r="E479" s="123"/>
      <c r="F479" s="123"/>
      <c r="G479" s="123"/>
      <c r="H479" s="123"/>
      <c r="I479" s="123"/>
      <c r="J479" s="123"/>
      <c r="K479" s="123"/>
      <c r="L479" s="123"/>
    </row>
    <row r="480" spans="1:12" x14ac:dyDescent="0.2">
      <c r="A480" s="276"/>
      <c r="B480" s="276"/>
      <c r="C480" s="123"/>
      <c r="D480" s="123"/>
      <c r="E480" s="123"/>
      <c r="F480" s="123"/>
      <c r="G480" s="123"/>
      <c r="H480" s="123"/>
      <c r="I480" s="123"/>
      <c r="J480" s="123"/>
      <c r="K480" s="123"/>
      <c r="L480" s="123"/>
    </row>
    <row r="481" spans="1:12" x14ac:dyDescent="0.2">
      <c r="A481" s="276"/>
      <c r="B481" s="276"/>
      <c r="C481" s="123"/>
      <c r="D481" s="123"/>
      <c r="E481" s="123"/>
      <c r="F481" s="123"/>
      <c r="G481" s="123"/>
      <c r="H481" s="123"/>
      <c r="I481" s="123"/>
      <c r="J481" s="123"/>
      <c r="K481" s="123"/>
      <c r="L481" s="123"/>
    </row>
    <row r="482" spans="1:12" x14ac:dyDescent="0.2">
      <c r="A482" s="276"/>
      <c r="B482" s="276"/>
      <c r="C482" s="123"/>
      <c r="D482" s="123"/>
      <c r="E482" s="123"/>
      <c r="F482" s="123"/>
      <c r="G482" s="123"/>
      <c r="H482" s="123"/>
      <c r="I482" s="123"/>
      <c r="J482" s="123"/>
      <c r="K482" s="123"/>
      <c r="L482" s="123"/>
    </row>
    <row r="483" spans="1:12" x14ac:dyDescent="0.2">
      <c r="A483" s="276"/>
      <c r="B483" s="276"/>
      <c r="C483" s="123"/>
      <c r="D483" s="123"/>
      <c r="E483" s="123"/>
      <c r="F483" s="123"/>
      <c r="G483" s="123"/>
      <c r="H483" s="123"/>
      <c r="I483" s="123"/>
      <c r="J483" s="123"/>
      <c r="K483" s="123"/>
      <c r="L483" s="123"/>
    </row>
    <row r="484" spans="1:12" x14ac:dyDescent="0.2">
      <c r="A484" s="276"/>
      <c r="B484" s="276"/>
      <c r="C484" s="123"/>
      <c r="D484" s="123"/>
      <c r="E484" s="123"/>
      <c r="F484" s="123"/>
      <c r="G484" s="123"/>
      <c r="H484" s="123"/>
      <c r="I484" s="123"/>
      <c r="J484" s="123"/>
      <c r="K484" s="123"/>
      <c r="L484" s="123"/>
    </row>
    <row r="485" spans="1:12" x14ac:dyDescent="0.2">
      <c r="A485" s="276"/>
      <c r="B485" s="276"/>
      <c r="C485" s="123"/>
      <c r="D485" s="123"/>
      <c r="E485" s="123"/>
      <c r="F485" s="123"/>
      <c r="G485" s="123"/>
      <c r="H485" s="123"/>
      <c r="I485" s="123"/>
      <c r="J485" s="123"/>
      <c r="K485" s="123"/>
      <c r="L485" s="123"/>
    </row>
    <row r="486" spans="1:12" x14ac:dyDescent="0.2">
      <c r="A486" s="276"/>
      <c r="B486" s="276"/>
      <c r="C486" s="123"/>
      <c r="D486" s="123"/>
      <c r="E486" s="123"/>
      <c r="F486" s="123"/>
      <c r="G486" s="123"/>
      <c r="H486" s="123"/>
      <c r="I486" s="123"/>
      <c r="J486" s="123"/>
      <c r="K486" s="123"/>
      <c r="L486" s="123"/>
    </row>
    <row r="487" spans="1:12" x14ac:dyDescent="0.2">
      <c r="A487" s="276"/>
      <c r="B487" s="276"/>
      <c r="C487" s="123"/>
      <c r="D487" s="123"/>
      <c r="E487" s="123"/>
      <c r="F487" s="123"/>
      <c r="G487" s="123"/>
      <c r="H487" s="123"/>
      <c r="I487" s="123"/>
      <c r="J487" s="123"/>
      <c r="K487" s="123"/>
      <c r="L487" s="123"/>
    </row>
    <row r="488" spans="1:12" x14ac:dyDescent="0.2">
      <c r="A488" s="276"/>
      <c r="B488" s="276"/>
      <c r="C488" s="123"/>
      <c r="D488" s="123"/>
      <c r="E488" s="123"/>
      <c r="F488" s="123"/>
      <c r="G488" s="123"/>
      <c r="H488" s="123"/>
      <c r="I488" s="123"/>
      <c r="J488" s="123"/>
      <c r="K488" s="123"/>
      <c r="L488" s="123"/>
    </row>
    <row r="489" spans="1:12" x14ac:dyDescent="0.2">
      <c r="A489" s="276"/>
      <c r="B489" s="276"/>
      <c r="C489" s="123"/>
      <c r="D489" s="123"/>
      <c r="E489" s="123"/>
      <c r="F489" s="123"/>
      <c r="G489" s="123"/>
      <c r="H489" s="123"/>
      <c r="I489" s="123"/>
      <c r="J489" s="123"/>
      <c r="K489" s="123"/>
      <c r="L489" s="123"/>
    </row>
    <row r="490" spans="1:12" x14ac:dyDescent="0.2">
      <c r="A490" s="276"/>
      <c r="B490" s="276"/>
      <c r="C490" s="123"/>
      <c r="D490" s="123"/>
      <c r="E490" s="123"/>
      <c r="F490" s="123"/>
      <c r="G490" s="123"/>
      <c r="H490" s="123"/>
      <c r="I490" s="123"/>
      <c r="J490" s="123"/>
      <c r="K490" s="123"/>
      <c r="L490" s="123"/>
    </row>
    <row r="491" spans="1:12" x14ac:dyDescent="0.2">
      <c r="A491" s="276"/>
      <c r="B491" s="276"/>
      <c r="C491" s="123"/>
      <c r="D491" s="123"/>
      <c r="E491" s="123"/>
      <c r="F491" s="123"/>
      <c r="G491" s="123"/>
      <c r="H491" s="123"/>
      <c r="I491" s="123"/>
      <c r="J491" s="123"/>
      <c r="K491" s="123"/>
      <c r="L491" s="123"/>
    </row>
    <row r="492" spans="1:12" x14ac:dyDescent="0.2">
      <c r="A492" s="276"/>
      <c r="B492" s="276"/>
      <c r="C492" s="123"/>
      <c r="D492" s="123"/>
      <c r="E492" s="123"/>
      <c r="F492" s="123"/>
      <c r="G492" s="123"/>
      <c r="H492" s="123"/>
      <c r="I492" s="123"/>
      <c r="J492" s="123"/>
      <c r="K492" s="123"/>
      <c r="L492" s="123"/>
    </row>
    <row r="493" spans="1:12" x14ac:dyDescent="0.2">
      <c r="A493" s="276"/>
      <c r="B493" s="276"/>
      <c r="C493" s="123"/>
      <c r="D493" s="123"/>
      <c r="E493" s="123"/>
      <c r="F493" s="123"/>
      <c r="G493" s="123"/>
      <c r="H493" s="123"/>
      <c r="I493" s="123"/>
      <c r="J493" s="123"/>
      <c r="K493" s="123"/>
      <c r="L493" s="123"/>
    </row>
    <row r="494" spans="1:12" x14ac:dyDescent="0.2">
      <c r="A494" s="276"/>
      <c r="B494" s="276"/>
      <c r="C494" s="123"/>
      <c r="D494" s="123"/>
      <c r="E494" s="123"/>
      <c r="F494" s="123"/>
      <c r="G494" s="123"/>
      <c r="H494" s="123"/>
      <c r="I494" s="123"/>
      <c r="J494" s="123"/>
      <c r="K494" s="123"/>
      <c r="L494" s="123"/>
    </row>
    <row r="495" spans="1:12" x14ac:dyDescent="0.2">
      <c r="A495" s="276"/>
      <c r="B495" s="276"/>
      <c r="C495" s="123"/>
      <c r="D495" s="123"/>
      <c r="E495" s="123"/>
      <c r="F495" s="123"/>
      <c r="G495" s="123"/>
      <c r="H495" s="123"/>
      <c r="I495" s="123"/>
      <c r="J495" s="123"/>
      <c r="K495" s="123"/>
      <c r="L495" s="123"/>
    </row>
    <row r="496" spans="1:12" x14ac:dyDescent="0.2">
      <c r="A496" s="276"/>
      <c r="B496" s="276"/>
      <c r="C496" s="123"/>
      <c r="D496" s="123"/>
      <c r="E496" s="123"/>
      <c r="F496" s="123"/>
      <c r="G496" s="123"/>
      <c r="H496" s="123"/>
      <c r="I496" s="123"/>
      <c r="J496" s="123"/>
      <c r="K496" s="123"/>
      <c r="L496" s="123"/>
    </row>
    <row r="497" spans="1:12" x14ac:dyDescent="0.2">
      <c r="A497" s="276"/>
      <c r="B497" s="276"/>
      <c r="C497" s="123"/>
      <c r="D497" s="123"/>
      <c r="E497" s="123"/>
      <c r="F497" s="123"/>
      <c r="G497" s="123"/>
      <c r="H497" s="123"/>
      <c r="I497" s="123"/>
      <c r="J497" s="123"/>
      <c r="K497" s="123"/>
      <c r="L497" s="123"/>
    </row>
    <row r="498" spans="1:12" x14ac:dyDescent="0.2">
      <c r="A498" s="276"/>
      <c r="B498" s="276"/>
      <c r="C498" s="123"/>
      <c r="D498" s="123"/>
      <c r="E498" s="123"/>
      <c r="F498" s="123"/>
      <c r="G498" s="123"/>
      <c r="H498" s="123"/>
      <c r="I498" s="123"/>
      <c r="J498" s="123"/>
      <c r="K498" s="123"/>
      <c r="L498" s="123"/>
    </row>
    <row r="499" spans="1:12" x14ac:dyDescent="0.2">
      <c r="A499" s="276"/>
      <c r="B499" s="276"/>
      <c r="C499" s="123"/>
      <c r="D499" s="123"/>
      <c r="E499" s="123"/>
      <c r="F499" s="123"/>
      <c r="G499" s="123"/>
      <c r="H499" s="123"/>
      <c r="I499" s="123"/>
      <c r="J499" s="123"/>
      <c r="K499" s="123"/>
      <c r="L499" s="123"/>
    </row>
    <row r="500" spans="1:12" x14ac:dyDescent="0.2">
      <c r="A500" s="276"/>
      <c r="B500" s="276"/>
      <c r="C500" s="123"/>
      <c r="D500" s="123"/>
      <c r="E500" s="123"/>
      <c r="F500" s="123"/>
      <c r="G500" s="123"/>
      <c r="H500" s="123"/>
      <c r="I500" s="123"/>
      <c r="J500" s="123"/>
      <c r="K500" s="123"/>
      <c r="L500" s="123"/>
    </row>
    <row r="501" spans="1:12" x14ac:dyDescent="0.2">
      <c r="A501" s="276"/>
      <c r="B501" s="276"/>
      <c r="C501" s="123"/>
      <c r="D501" s="123"/>
      <c r="E501" s="123"/>
      <c r="F501" s="123"/>
      <c r="G501" s="123"/>
      <c r="H501" s="123"/>
      <c r="I501" s="123"/>
      <c r="J501" s="123"/>
      <c r="K501" s="123"/>
      <c r="L501" s="123"/>
    </row>
    <row r="502" spans="1:12" x14ac:dyDescent="0.2">
      <c r="A502" s="276"/>
      <c r="B502" s="276"/>
      <c r="C502" s="123"/>
      <c r="D502" s="123"/>
      <c r="E502" s="123"/>
      <c r="F502" s="123"/>
      <c r="G502" s="123"/>
      <c r="H502" s="123"/>
      <c r="I502" s="123"/>
      <c r="J502" s="123"/>
      <c r="K502" s="123"/>
      <c r="L502" s="123"/>
    </row>
    <row r="503" spans="1:12" x14ac:dyDescent="0.2">
      <c r="A503" s="276"/>
      <c r="B503" s="276"/>
      <c r="C503" s="123"/>
      <c r="D503" s="123"/>
      <c r="E503" s="123"/>
      <c r="F503" s="123"/>
      <c r="G503" s="123"/>
      <c r="H503" s="123"/>
      <c r="I503" s="123"/>
      <c r="J503" s="123"/>
      <c r="K503" s="123"/>
      <c r="L503" s="123"/>
    </row>
    <row r="504" spans="1:12" x14ac:dyDescent="0.2">
      <c r="A504" s="276"/>
      <c r="B504" s="276"/>
      <c r="C504" s="123"/>
      <c r="D504" s="123"/>
      <c r="E504" s="123"/>
      <c r="F504" s="123"/>
      <c r="G504" s="123"/>
      <c r="H504" s="123"/>
      <c r="I504" s="123"/>
      <c r="J504" s="123"/>
      <c r="K504" s="123"/>
      <c r="L504" s="123"/>
    </row>
    <row r="505" spans="1:12" x14ac:dyDescent="0.2">
      <c r="A505" s="276"/>
      <c r="B505" s="276"/>
      <c r="C505" s="123"/>
      <c r="D505" s="123"/>
      <c r="E505" s="123"/>
      <c r="F505" s="123"/>
      <c r="G505" s="123"/>
      <c r="H505" s="123"/>
      <c r="I505" s="123"/>
      <c r="J505" s="123"/>
      <c r="K505" s="123"/>
      <c r="L505" s="123"/>
    </row>
    <row r="506" spans="1:12" x14ac:dyDescent="0.2">
      <c r="A506" s="276"/>
      <c r="B506" s="276"/>
      <c r="C506" s="123"/>
      <c r="D506" s="123"/>
      <c r="E506" s="123"/>
      <c r="F506" s="123"/>
      <c r="G506" s="123"/>
      <c r="H506" s="123"/>
      <c r="I506" s="123"/>
      <c r="J506" s="123"/>
      <c r="K506" s="123"/>
      <c r="L506" s="123"/>
    </row>
    <row r="507" spans="1:12" x14ac:dyDescent="0.2">
      <c r="A507" s="276"/>
      <c r="B507" s="276"/>
      <c r="C507" s="123"/>
      <c r="D507" s="123"/>
      <c r="E507" s="123"/>
      <c r="F507" s="123"/>
      <c r="G507" s="123"/>
      <c r="H507" s="123"/>
      <c r="I507" s="123"/>
      <c r="J507" s="123"/>
      <c r="K507" s="123"/>
      <c r="L507" s="123"/>
    </row>
    <row r="508" spans="1:12" x14ac:dyDescent="0.2">
      <c r="A508" s="276"/>
      <c r="B508" s="276"/>
      <c r="C508" s="123"/>
      <c r="D508" s="123"/>
      <c r="E508" s="123"/>
      <c r="F508" s="123"/>
      <c r="G508" s="123"/>
      <c r="H508" s="123"/>
      <c r="I508" s="123"/>
      <c r="J508" s="123"/>
      <c r="K508" s="123"/>
      <c r="L508" s="123"/>
    </row>
    <row r="509" spans="1:12" x14ac:dyDescent="0.2">
      <c r="A509" s="276"/>
      <c r="B509" s="276"/>
      <c r="C509" s="123"/>
      <c r="D509" s="123"/>
      <c r="E509" s="123"/>
      <c r="F509" s="123"/>
      <c r="G509" s="123"/>
      <c r="H509" s="123"/>
      <c r="I509" s="123"/>
      <c r="J509" s="123"/>
      <c r="K509" s="123"/>
      <c r="L509" s="123"/>
    </row>
    <row r="510" spans="1:12" x14ac:dyDescent="0.2">
      <c r="A510" s="276"/>
      <c r="B510" s="276"/>
      <c r="C510" s="123"/>
      <c r="D510" s="123"/>
      <c r="E510" s="123"/>
      <c r="F510" s="123"/>
      <c r="G510" s="123"/>
      <c r="H510" s="123"/>
      <c r="I510" s="123"/>
      <c r="J510" s="123"/>
      <c r="K510" s="123"/>
      <c r="L510" s="123"/>
    </row>
    <row r="511" spans="1:12" x14ac:dyDescent="0.2">
      <c r="A511" s="276"/>
      <c r="B511" s="276"/>
      <c r="C511" s="123"/>
      <c r="D511" s="123"/>
      <c r="E511" s="123"/>
      <c r="F511" s="123"/>
      <c r="G511" s="123"/>
      <c r="H511" s="123"/>
      <c r="I511" s="123"/>
      <c r="J511" s="123"/>
      <c r="K511" s="123"/>
      <c r="L511" s="123"/>
    </row>
    <row r="512" spans="1:12" x14ac:dyDescent="0.2">
      <c r="A512" s="276"/>
      <c r="B512" s="276"/>
      <c r="C512" s="123"/>
      <c r="D512" s="123"/>
      <c r="E512" s="123"/>
      <c r="F512" s="123"/>
      <c r="G512" s="123"/>
      <c r="H512" s="123"/>
      <c r="I512" s="123"/>
      <c r="J512" s="123"/>
      <c r="K512" s="123"/>
      <c r="L512" s="123"/>
    </row>
    <row r="513" spans="1:12" x14ac:dyDescent="0.2">
      <c r="A513" s="276"/>
      <c r="B513" s="276"/>
      <c r="C513" s="123"/>
      <c r="D513" s="123"/>
      <c r="E513" s="123"/>
      <c r="F513" s="123"/>
      <c r="G513" s="123"/>
      <c r="H513" s="123"/>
      <c r="I513" s="123"/>
      <c r="J513" s="123"/>
      <c r="K513" s="123"/>
      <c r="L513" s="123"/>
    </row>
    <row r="514" spans="1:12" x14ac:dyDescent="0.2">
      <c r="A514" s="276"/>
      <c r="B514" s="276"/>
      <c r="C514" s="123"/>
      <c r="D514" s="123"/>
      <c r="E514" s="123"/>
      <c r="F514" s="123"/>
      <c r="G514" s="123"/>
      <c r="H514" s="123"/>
      <c r="I514" s="123"/>
      <c r="J514" s="123"/>
      <c r="K514" s="123"/>
      <c r="L514" s="123"/>
    </row>
    <row r="515" spans="1:12" x14ac:dyDescent="0.2">
      <c r="A515" s="276"/>
      <c r="B515" s="276"/>
      <c r="C515" s="123"/>
      <c r="D515" s="123"/>
      <c r="E515" s="123"/>
      <c r="F515" s="123"/>
      <c r="G515" s="123"/>
      <c r="H515" s="123"/>
      <c r="I515" s="123"/>
      <c r="J515" s="123"/>
      <c r="K515" s="123"/>
      <c r="L515" s="123"/>
    </row>
    <row r="516" spans="1:12" x14ac:dyDescent="0.2">
      <c r="A516" s="276"/>
      <c r="B516" s="276"/>
      <c r="C516" s="123"/>
      <c r="D516" s="123"/>
      <c r="E516" s="123"/>
      <c r="F516" s="123"/>
      <c r="G516" s="123"/>
      <c r="H516" s="123"/>
      <c r="I516" s="123"/>
      <c r="J516" s="123"/>
      <c r="K516" s="123"/>
      <c r="L516" s="123"/>
    </row>
    <row r="517" spans="1:12" x14ac:dyDescent="0.2">
      <c r="A517" s="276"/>
      <c r="B517" s="276"/>
      <c r="C517" s="123"/>
      <c r="D517" s="123"/>
      <c r="E517" s="123"/>
      <c r="F517" s="123"/>
      <c r="G517" s="123"/>
      <c r="H517" s="123"/>
      <c r="I517" s="123"/>
      <c r="J517" s="123"/>
      <c r="K517" s="123"/>
      <c r="L517" s="123"/>
    </row>
    <row r="518" spans="1:12" x14ac:dyDescent="0.2">
      <c r="A518" s="276"/>
      <c r="B518" s="276"/>
      <c r="C518" s="123"/>
      <c r="D518" s="123"/>
      <c r="E518" s="123"/>
      <c r="F518" s="123"/>
      <c r="G518" s="123"/>
      <c r="H518" s="123"/>
      <c r="I518" s="123"/>
      <c r="J518" s="123"/>
      <c r="K518" s="123"/>
      <c r="L518" s="123"/>
    </row>
    <row r="519" spans="1:12" x14ac:dyDescent="0.2">
      <c r="A519" s="276"/>
      <c r="B519" s="276"/>
      <c r="C519" s="123"/>
      <c r="D519" s="123"/>
      <c r="E519" s="123"/>
      <c r="F519" s="123"/>
      <c r="G519" s="123"/>
      <c r="H519" s="123"/>
      <c r="I519" s="123"/>
      <c r="J519" s="123"/>
      <c r="K519" s="123"/>
      <c r="L519" s="123"/>
    </row>
    <row r="520" spans="1:12" x14ac:dyDescent="0.2">
      <c r="A520" s="276"/>
      <c r="B520" s="276"/>
      <c r="C520" s="123"/>
      <c r="D520" s="123"/>
      <c r="E520" s="123"/>
      <c r="F520" s="123"/>
      <c r="G520" s="123"/>
      <c r="H520" s="123"/>
      <c r="I520" s="123"/>
      <c r="J520" s="123"/>
      <c r="K520" s="123"/>
      <c r="L520" s="123"/>
    </row>
    <row r="521" spans="1:12" x14ac:dyDescent="0.2">
      <c r="A521" s="276"/>
      <c r="B521" s="276"/>
      <c r="C521" s="123"/>
      <c r="D521" s="123"/>
      <c r="E521" s="123"/>
      <c r="F521" s="123"/>
      <c r="G521" s="123"/>
      <c r="H521" s="123"/>
      <c r="I521" s="123"/>
      <c r="J521" s="123"/>
      <c r="K521" s="123"/>
      <c r="L521" s="123"/>
    </row>
    <row r="522" spans="1:12" x14ac:dyDescent="0.2">
      <c r="A522" s="276"/>
      <c r="B522" s="276"/>
      <c r="C522" s="123"/>
      <c r="D522" s="123"/>
      <c r="E522" s="123"/>
      <c r="F522" s="123"/>
      <c r="G522" s="123"/>
      <c r="H522" s="123"/>
      <c r="I522" s="123"/>
      <c r="J522" s="123"/>
      <c r="K522" s="123"/>
      <c r="L522" s="123"/>
    </row>
    <row r="523" spans="1:12" x14ac:dyDescent="0.2">
      <c r="A523" s="276"/>
      <c r="B523" s="276"/>
      <c r="C523" s="123"/>
      <c r="D523" s="123"/>
      <c r="E523" s="123"/>
      <c r="F523" s="123"/>
      <c r="G523" s="123"/>
      <c r="H523" s="123"/>
      <c r="I523" s="123"/>
      <c r="J523" s="123"/>
      <c r="K523" s="123"/>
      <c r="L523" s="123"/>
    </row>
    <row r="524" spans="1:12" x14ac:dyDescent="0.2">
      <c r="A524" s="276"/>
      <c r="B524" s="276"/>
      <c r="C524" s="123"/>
      <c r="D524" s="123"/>
      <c r="E524" s="123"/>
      <c r="F524" s="123"/>
      <c r="G524" s="123"/>
      <c r="H524" s="123"/>
      <c r="I524" s="123"/>
      <c r="J524" s="123"/>
      <c r="K524" s="123"/>
      <c r="L524" s="123"/>
    </row>
    <row r="525" spans="1:12" x14ac:dyDescent="0.2">
      <c r="A525" s="276"/>
      <c r="B525" s="276"/>
      <c r="C525" s="123"/>
      <c r="D525" s="123"/>
      <c r="E525" s="123"/>
      <c r="F525" s="123"/>
      <c r="G525" s="123"/>
      <c r="H525" s="123"/>
      <c r="I525" s="123"/>
      <c r="J525" s="123"/>
      <c r="K525" s="123"/>
      <c r="L525" s="123"/>
    </row>
    <row r="526" spans="1:12" x14ac:dyDescent="0.2">
      <c r="A526" s="276"/>
      <c r="B526" s="276"/>
      <c r="C526" s="123"/>
      <c r="D526" s="123"/>
      <c r="E526" s="123"/>
      <c r="F526" s="123"/>
      <c r="G526" s="123"/>
      <c r="H526" s="123"/>
      <c r="I526" s="123"/>
      <c r="J526" s="123"/>
      <c r="K526" s="123"/>
      <c r="L526" s="123"/>
    </row>
    <row r="527" spans="1:12" x14ac:dyDescent="0.2">
      <c r="A527" s="276"/>
      <c r="B527" s="276"/>
      <c r="C527" s="123"/>
      <c r="D527" s="123"/>
      <c r="E527" s="123"/>
      <c r="F527" s="123"/>
      <c r="G527" s="123"/>
      <c r="H527" s="123"/>
      <c r="I527" s="123"/>
      <c r="J527" s="123"/>
      <c r="K527" s="123"/>
      <c r="L527" s="123"/>
    </row>
    <row r="528" spans="1:12" x14ac:dyDescent="0.2">
      <c r="A528" s="276"/>
      <c r="B528" s="276"/>
      <c r="C528" s="123"/>
      <c r="D528" s="123"/>
      <c r="E528" s="123"/>
      <c r="F528" s="123"/>
      <c r="G528" s="123"/>
      <c r="H528" s="123"/>
      <c r="I528" s="123"/>
      <c r="J528" s="123"/>
      <c r="K528" s="123"/>
      <c r="L528" s="123"/>
    </row>
    <row r="529" spans="1:12" x14ac:dyDescent="0.2">
      <c r="A529" s="276"/>
      <c r="B529" s="276"/>
      <c r="C529" s="123"/>
      <c r="D529" s="123"/>
      <c r="E529" s="123"/>
      <c r="F529" s="123"/>
      <c r="G529" s="123"/>
      <c r="H529" s="123"/>
      <c r="I529" s="123"/>
      <c r="J529" s="123"/>
      <c r="K529" s="123"/>
      <c r="L529" s="123"/>
    </row>
    <row r="530" spans="1:12" x14ac:dyDescent="0.2">
      <c r="A530" s="276"/>
      <c r="B530" s="276"/>
      <c r="C530" s="123"/>
      <c r="D530" s="123"/>
      <c r="E530" s="123"/>
      <c r="F530" s="123"/>
      <c r="G530" s="123"/>
      <c r="H530" s="123"/>
      <c r="I530" s="123"/>
      <c r="J530" s="123"/>
      <c r="K530" s="123"/>
      <c r="L530" s="123"/>
    </row>
    <row r="531" spans="1:12" x14ac:dyDescent="0.2">
      <c r="A531" s="276"/>
      <c r="B531" s="276"/>
      <c r="C531" s="123"/>
      <c r="D531" s="123"/>
      <c r="E531" s="123"/>
      <c r="F531" s="123"/>
      <c r="G531" s="123"/>
      <c r="H531" s="123"/>
      <c r="I531" s="123"/>
      <c r="J531" s="123"/>
      <c r="K531" s="123"/>
      <c r="L531" s="123"/>
    </row>
    <row r="532" spans="1:12" x14ac:dyDescent="0.2">
      <c r="A532" s="276"/>
      <c r="B532" s="276"/>
      <c r="C532" s="123"/>
      <c r="D532" s="123"/>
      <c r="E532" s="123"/>
      <c r="F532" s="123"/>
      <c r="G532" s="123"/>
      <c r="H532" s="123"/>
      <c r="I532" s="123"/>
      <c r="J532" s="123"/>
      <c r="K532" s="123"/>
      <c r="L532" s="123"/>
    </row>
    <row r="533" spans="1:12" x14ac:dyDescent="0.2">
      <c r="A533" s="276"/>
      <c r="B533" s="276"/>
      <c r="C533" s="123"/>
      <c r="D533" s="123"/>
      <c r="E533" s="123"/>
      <c r="F533" s="123"/>
      <c r="G533" s="123"/>
      <c r="H533" s="123"/>
      <c r="I533" s="123"/>
      <c r="J533" s="123"/>
      <c r="K533" s="123"/>
      <c r="L533" s="123"/>
    </row>
    <row r="534" spans="1:12" x14ac:dyDescent="0.2">
      <c r="A534" s="276"/>
      <c r="B534" s="276"/>
      <c r="C534" s="123"/>
      <c r="D534" s="123"/>
      <c r="E534" s="123"/>
      <c r="F534" s="123"/>
      <c r="G534" s="123"/>
      <c r="H534" s="123"/>
      <c r="I534" s="123"/>
      <c r="J534" s="123"/>
      <c r="K534" s="123"/>
      <c r="L534" s="123"/>
    </row>
    <row r="535" spans="1:12" x14ac:dyDescent="0.2">
      <c r="A535" s="276"/>
      <c r="B535" s="276"/>
      <c r="C535" s="123"/>
      <c r="D535" s="123"/>
      <c r="E535" s="123"/>
      <c r="F535" s="123"/>
      <c r="G535" s="123"/>
      <c r="H535" s="123"/>
      <c r="I535" s="123"/>
      <c r="J535" s="123"/>
      <c r="K535" s="123"/>
      <c r="L535" s="123"/>
    </row>
    <row r="536" spans="1:12" x14ac:dyDescent="0.2">
      <c r="A536" s="276"/>
      <c r="B536" s="276"/>
      <c r="C536" s="123"/>
      <c r="D536" s="123"/>
      <c r="E536" s="123"/>
      <c r="F536" s="123"/>
      <c r="G536" s="123"/>
      <c r="H536" s="123"/>
      <c r="I536" s="123"/>
      <c r="J536" s="123"/>
      <c r="K536" s="123"/>
      <c r="L536" s="123"/>
    </row>
    <row r="537" spans="1:12" x14ac:dyDescent="0.2">
      <c r="A537" s="276"/>
      <c r="B537" s="276"/>
      <c r="C537" s="123"/>
      <c r="D537" s="123"/>
      <c r="E537" s="123"/>
      <c r="F537" s="123"/>
      <c r="G537" s="123"/>
      <c r="H537" s="123"/>
      <c r="I537" s="123"/>
      <c r="J537" s="123"/>
      <c r="K537" s="123"/>
      <c r="L537" s="123"/>
    </row>
    <row r="538" spans="1:12" x14ac:dyDescent="0.2">
      <c r="A538" s="276"/>
      <c r="B538" s="276"/>
      <c r="C538" s="123"/>
      <c r="D538" s="123"/>
      <c r="E538" s="123"/>
      <c r="F538" s="123"/>
      <c r="G538" s="123"/>
      <c r="H538" s="123"/>
      <c r="I538" s="123"/>
      <c r="J538" s="123"/>
      <c r="K538" s="123"/>
      <c r="L538" s="123"/>
    </row>
    <row r="539" spans="1:12" x14ac:dyDescent="0.2">
      <c r="A539" s="276"/>
      <c r="B539" s="276"/>
      <c r="C539" s="123"/>
      <c r="D539" s="123"/>
      <c r="E539" s="123"/>
      <c r="F539" s="123"/>
      <c r="G539" s="123"/>
      <c r="H539" s="123"/>
      <c r="I539" s="123"/>
      <c r="J539" s="123"/>
      <c r="K539" s="123"/>
      <c r="L539" s="123"/>
    </row>
    <row r="540" spans="1:12" x14ac:dyDescent="0.2">
      <c r="A540" s="276"/>
      <c r="B540" s="276"/>
      <c r="C540" s="123"/>
      <c r="D540" s="123"/>
      <c r="E540" s="123"/>
      <c r="F540" s="123"/>
      <c r="G540" s="123"/>
      <c r="H540" s="123"/>
      <c r="I540" s="123"/>
      <c r="J540" s="123"/>
      <c r="K540" s="123"/>
      <c r="L540" s="123"/>
    </row>
    <row r="541" spans="1:12" x14ac:dyDescent="0.2">
      <c r="A541" s="276"/>
      <c r="B541" s="276"/>
      <c r="C541" s="123"/>
      <c r="D541" s="123"/>
      <c r="E541" s="123"/>
      <c r="F541" s="123"/>
      <c r="G541" s="123"/>
      <c r="H541" s="123"/>
      <c r="I541" s="123"/>
      <c r="J541" s="123"/>
      <c r="K541" s="123"/>
      <c r="L541" s="123"/>
    </row>
    <row r="542" spans="1:12" x14ac:dyDescent="0.2">
      <c r="A542" s="276"/>
      <c r="B542" s="276"/>
      <c r="C542" s="123"/>
      <c r="D542" s="123"/>
      <c r="E542" s="123"/>
      <c r="F542" s="123"/>
      <c r="G542" s="123"/>
      <c r="H542" s="123"/>
      <c r="I542" s="123"/>
      <c r="J542" s="123"/>
      <c r="K542" s="123"/>
      <c r="L542" s="123"/>
    </row>
    <row r="543" spans="1:12" x14ac:dyDescent="0.2">
      <c r="A543" s="276"/>
      <c r="B543" s="276"/>
      <c r="C543" s="123"/>
      <c r="D543" s="123"/>
      <c r="E543" s="123"/>
      <c r="F543" s="123"/>
      <c r="G543" s="123"/>
      <c r="H543" s="123"/>
      <c r="I543" s="123"/>
      <c r="J543" s="123"/>
      <c r="K543" s="123"/>
      <c r="L543" s="123"/>
    </row>
    <row r="544" spans="1:12" x14ac:dyDescent="0.2">
      <c r="A544" s="276"/>
      <c r="B544" s="276"/>
      <c r="C544" s="123"/>
      <c r="D544" s="123"/>
      <c r="E544" s="123"/>
      <c r="F544" s="123"/>
      <c r="G544" s="123"/>
      <c r="H544" s="123"/>
      <c r="I544" s="123"/>
      <c r="J544" s="123"/>
      <c r="K544" s="123"/>
      <c r="L544" s="123"/>
    </row>
    <row r="545" spans="1:12" x14ac:dyDescent="0.2">
      <c r="A545" s="276"/>
      <c r="B545" s="276"/>
      <c r="C545" s="123"/>
      <c r="D545" s="123"/>
      <c r="E545" s="123"/>
      <c r="F545" s="123"/>
      <c r="G545" s="123"/>
      <c r="H545" s="123"/>
      <c r="I545" s="123"/>
      <c r="J545" s="123"/>
      <c r="K545" s="123"/>
      <c r="L545" s="123"/>
    </row>
    <row r="546" spans="1:12" x14ac:dyDescent="0.2">
      <c r="A546" s="276"/>
      <c r="B546" s="276"/>
      <c r="C546" s="123"/>
      <c r="D546" s="123"/>
      <c r="E546" s="123"/>
      <c r="F546" s="123"/>
      <c r="G546" s="123"/>
      <c r="H546" s="123"/>
      <c r="I546" s="123"/>
      <c r="J546" s="123"/>
      <c r="K546" s="123"/>
      <c r="L546" s="123"/>
    </row>
    <row r="547" spans="1:12" x14ac:dyDescent="0.2">
      <c r="A547" s="276"/>
      <c r="B547" s="276"/>
      <c r="C547" s="123"/>
      <c r="D547" s="123"/>
      <c r="E547" s="123"/>
      <c r="F547" s="123"/>
      <c r="G547" s="123"/>
      <c r="H547" s="123"/>
      <c r="I547" s="123"/>
      <c r="J547" s="123"/>
      <c r="K547" s="123"/>
      <c r="L547" s="123"/>
    </row>
    <row r="548" spans="1:12" x14ac:dyDescent="0.2">
      <c r="A548" s="276"/>
      <c r="B548" s="276"/>
      <c r="C548" s="123"/>
      <c r="D548" s="123"/>
      <c r="E548" s="123"/>
      <c r="F548" s="123"/>
      <c r="G548" s="123"/>
      <c r="H548" s="123"/>
      <c r="I548" s="123"/>
      <c r="J548" s="123"/>
      <c r="K548" s="123"/>
      <c r="L548" s="123"/>
    </row>
    <row r="549" spans="1:12" x14ac:dyDescent="0.2">
      <c r="A549" s="276"/>
      <c r="B549" s="276"/>
      <c r="C549" s="123"/>
      <c r="D549" s="123"/>
      <c r="E549" s="123"/>
      <c r="F549" s="123"/>
      <c r="G549" s="123"/>
      <c r="H549" s="123"/>
      <c r="I549" s="123"/>
      <c r="J549" s="123"/>
      <c r="K549" s="123"/>
      <c r="L549" s="123"/>
    </row>
    <row r="550" spans="1:12" x14ac:dyDescent="0.2">
      <c r="A550" s="276"/>
      <c r="B550" s="276"/>
      <c r="C550" s="123"/>
      <c r="D550" s="123"/>
      <c r="E550" s="123"/>
      <c r="F550" s="123"/>
      <c r="G550" s="123"/>
      <c r="H550" s="123"/>
      <c r="I550" s="123"/>
      <c r="J550" s="123"/>
      <c r="K550" s="123"/>
      <c r="L550" s="123"/>
    </row>
    <row r="551" spans="1:12" x14ac:dyDescent="0.2">
      <c r="A551" s="276"/>
      <c r="B551" s="276"/>
      <c r="C551" s="123"/>
      <c r="D551" s="123"/>
      <c r="E551" s="123"/>
      <c r="F551" s="123"/>
      <c r="G551" s="123"/>
      <c r="H551" s="123"/>
      <c r="I551" s="123"/>
      <c r="J551" s="123"/>
      <c r="K551" s="123"/>
      <c r="L551" s="123"/>
    </row>
    <row r="552" spans="1:12" x14ac:dyDescent="0.2">
      <c r="A552" s="276"/>
      <c r="B552" s="276"/>
      <c r="C552" s="123"/>
      <c r="D552" s="123"/>
      <c r="E552" s="123"/>
      <c r="F552" s="123"/>
      <c r="G552" s="123"/>
      <c r="H552" s="123"/>
      <c r="I552" s="123"/>
      <c r="J552" s="123"/>
      <c r="K552" s="123"/>
      <c r="L552" s="123"/>
    </row>
    <row r="553" spans="1:12" x14ac:dyDescent="0.2">
      <c r="A553" s="276"/>
      <c r="B553" s="276"/>
      <c r="C553" s="123"/>
      <c r="D553" s="123"/>
      <c r="E553" s="123"/>
      <c r="F553" s="123"/>
      <c r="G553" s="123"/>
      <c r="H553" s="123"/>
      <c r="I553" s="123"/>
      <c r="J553" s="123"/>
      <c r="K553" s="123"/>
      <c r="L553" s="123"/>
    </row>
    <row r="554" spans="1:12" x14ac:dyDescent="0.2">
      <c r="A554" s="276"/>
      <c r="B554" s="276"/>
      <c r="C554" s="123"/>
      <c r="D554" s="123"/>
      <c r="E554" s="123"/>
      <c r="F554" s="123"/>
      <c r="G554" s="123"/>
      <c r="H554" s="123"/>
      <c r="I554" s="123"/>
      <c r="J554" s="123"/>
      <c r="K554" s="123"/>
      <c r="L554" s="123"/>
    </row>
    <row r="555" spans="1:12" x14ac:dyDescent="0.2">
      <c r="A555" s="276"/>
      <c r="B555" s="276"/>
      <c r="C555" s="123"/>
      <c r="D555" s="123"/>
      <c r="E555" s="123"/>
      <c r="F555" s="123"/>
      <c r="G555" s="123"/>
      <c r="H555" s="123"/>
      <c r="I555" s="123"/>
      <c r="J555" s="123"/>
      <c r="K555" s="123"/>
      <c r="L555" s="123"/>
    </row>
    <row r="556" spans="1:12" x14ac:dyDescent="0.2">
      <c r="A556" s="276"/>
      <c r="B556" s="276"/>
      <c r="C556" s="123"/>
      <c r="D556" s="123"/>
      <c r="E556" s="123"/>
      <c r="F556" s="123"/>
      <c r="G556" s="123"/>
      <c r="H556" s="123"/>
      <c r="I556" s="123"/>
      <c r="J556" s="123"/>
      <c r="K556" s="123"/>
      <c r="L556" s="123"/>
    </row>
    <row r="557" spans="1:12" x14ac:dyDescent="0.2">
      <c r="A557" s="276"/>
      <c r="B557" s="276"/>
      <c r="C557" s="123"/>
      <c r="D557" s="123"/>
      <c r="E557" s="123"/>
      <c r="F557" s="123"/>
      <c r="G557" s="123"/>
      <c r="H557" s="123"/>
      <c r="I557" s="123"/>
      <c r="J557" s="123"/>
      <c r="K557" s="123"/>
      <c r="L557" s="123"/>
    </row>
    <row r="558" spans="1:12" x14ac:dyDescent="0.2">
      <c r="A558" s="276"/>
      <c r="B558" s="276"/>
      <c r="C558" s="123"/>
      <c r="D558" s="123"/>
      <c r="E558" s="123"/>
      <c r="F558" s="123"/>
      <c r="G558" s="123"/>
      <c r="H558" s="123"/>
      <c r="I558" s="123"/>
      <c r="J558" s="123"/>
      <c r="K558" s="123"/>
      <c r="L558" s="123"/>
    </row>
    <row r="559" spans="1:12" x14ac:dyDescent="0.2">
      <c r="A559" s="276"/>
      <c r="B559" s="276"/>
      <c r="C559" s="123"/>
      <c r="D559" s="123"/>
      <c r="E559" s="123"/>
      <c r="F559" s="123"/>
      <c r="G559" s="123"/>
      <c r="H559" s="123"/>
      <c r="I559" s="123"/>
      <c r="J559" s="123"/>
      <c r="K559" s="123"/>
      <c r="L559" s="123"/>
    </row>
    <row r="560" spans="1:12" x14ac:dyDescent="0.2">
      <c r="A560" s="276"/>
      <c r="B560" s="276"/>
      <c r="C560" s="123"/>
      <c r="D560" s="123"/>
      <c r="E560" s="123"/>
      <c r="F560" s="123"/>
      <c r="G560" s="123"/>
      <c r="H560" s="123"/>
      <c r="I560" s="123"/>
      <c r="J560" s="123"/>
      <c r="K560" s="123"/>
      <c r="L560" s="123"/>
    </row>
    <row r="561" spans="1:12" x14ac:dyDescent="0.2">
      <c r="A561" s="276"/>
      <c r="B561" s="276"/>
      <c r="C561" s="123"/>
      <c r="D561" s="123"/>
      <c r="E561" s="123"/>
      <c r="F561" s="123"/>
      <c r="G561" s="123"/>
      <c r="H561" s="123"/>
      <c r="I561" s="123"/>
      <c r="J561" s="123"/>
      <c r="K561" s="123"/>
      <c r="L561" s="123"/>
    </row>
    <row r="562" spans="1:12" x14ac:dyDescent="0.2">
      <c r="A562" s="276"/>
      <c r="B562" s="276"/>
      <c r="C562" s="123"/>
      <c r="D562" s="123"/>
      <c r="E562" s="123"/>
      <c r="F562" s="123"/>
      <c r="G562" s="123"/>
      <c r="H562" s="123"/>
      <c r="I562" s="123"/>
      <c r="J562" s="123"/>
      <c r="K562" s="123"/>
      <c r="L562" s="123"/>
    </row>
    <row r="563" spans="1:12" x14ac:dyDescent="0.2">
      <c r="A563" s="276"/>
      <c r="B563" s="276"/>
      <c r="C563" s="123"/>
      <c r="D563" s="123"/>
      <c r="E563" s="123"/>
      <c r="F563" s="123"/>
      <c r="G563" s="123"/>
      <c r="H563" s="123"/>
      <c r="I563" s="123"/>
      <c r="J563" s="123"/>
      <c r="K563" s="123"/>
      <c r="L563" s="123"/>
    </row>
    <row r="564" spans="1:12" x14ac:dyDescent="0.2">
      <c r="A564" s="276"/>
      <c r="B564" s="276"/>
      <c r="C564" s="123"/>
      <c r="D564" s="123"/>
      <c r="E564" s="123"/>
      <c r="F564" s="123"/>
      <c r="G564" s="123"/>
      <c r="H564" s="123"/>
      <c r="I564" s="123"/>
      <c r="J564" s="123"/>
      <c r="K564" s="123"/>
      <c r="L564" s="123"/>
    </row>
    <row r="565" spans="1:12" x14ac:dyDescent="0.2">
      <c r="A565" s="276"/>
      <c r="B565" s="276"/>
      <c r="C565" s="123"/>
      <c r="D565" s="123"/>
      <c r="E565" s="123"/>
      <c r="F565" s="123"/>
      <c r="G565" s="123"/>
      <c r="H565" s="123"/>
      <c r="I565" s="123"/>
      <c r="J565" s="123"/>
      <c r="K565" s="123"/>
      <c r="L565" s="123"/>
    </row>
    <row r="566" spans="1:12" x14ac:dyDescent="0.2">
      <c r="A566" s="276"/>
      <c r="B566" s="276"/>
      <c r="C566" s="123"/>
      <c r="D566" s="123"/>
      <c r="E566" s="123"/>
      <c r="F566" s="123"/>
      <c r="G566" s="123"/>
      <c r="H566" s="123"/>
      <c r="I566" s="123"/>
      <c r="J566" s="123"/>
      <c r="K566" s="123"/>
      <c r="L566" s="123"/>
    </row>
    <row r="567" spans="1:12" x14ac:dyDescent="0.2">
      <c r="A567" s="276"/>
      <c r="B567" s="276"/>
      <c r="C567" s="123"/>
      <c r="D567" s="123"/>
      <c r="E567" s="123"/>
      <c r="F567" s="123"/>
      <c r="G567" s="123"/>
      <c r="H567" s="123"/>
      <c r="I567" s="123"/>
      <c r="J567" s="123"/>
      <c r="K567" s="123"/>
      <c r="L567" s="123"/>
    </row>
    <row r="568" spans="1:12" x14ac:dyDescent="0.2">
      <c r="A568" s="276"/>
      <c r="B568" s="276"/>
      <c r="C568" s="123"/>
      <c r="D568" s="123"/>
      <c r="E568" s="123"/>
      <c r="F568" s="123"/>
      <c r="G568" s="123"/>
      <c r="H568" s="123"/>
      <c r="I568" s="123"/>
      <c r="J568" s="123"/>
      <c r="K568" s="123"/>
      <c r="L568" s="123"/>
    </row>
    <row r="569" spans="1:12" x14ac:dyDescent="0.2">
      <c r="A569" s="276"/>
      <c r="B569" s="276"/>
      <c r="C569" s="123"/>
      <c r="D569" s="123"/>
      <c r="E569" s="123"/>
      <c r="F569" s="123"/>
      <c r="G569" s="123"/>
      <c r="H569" s="123"/>
      <c r="I569" s="123"/>
      <c r="J569" s="123"/>
      <c r="K569" s="123"/>
      <c r="L569" s="123"/>
    </row>
    <row r="570" spans="1:12" x14ac:dyDescent="0.2">
      <c r="A570" s="276"/>
      <c r="B570" s="276"/>
      <c r="C570" s="123"/>
      <c r="D570" s="123"/>
      <c r="E570" s="123"/>
      <c r="F570" s="123"/>
      <c r="G570" s="123"/>
      <c r="H570" s="123"/>
      <c r="I570" s="123"/>
      <c r="J570" s="123"/>
      <c r="K570" s="123"/>
      <c r="L570" s="123"/>
    </row>
    <row r="571" spans="1:12" x14ac:dyDescent="0.2">
      <c r="A571" s="276"/>
      <c r="B571" s="276"/>
      <c r="C571" s="123"/>
      <c r="D571" s="123"/>
      <c r="E571" s="123"/>
      <c r="F571" s="123"/>
      <c r="G571" s="123"/>
      <c r="H571" s="123"/>
      <c r="I571" s="123"/>
      <c r="J571" s="123"/>
      <c r="K571" s="123"/>
      <c r="L571" s="123"/>
    </row>
    <row r="572" spans="1:12" x14ac:dyDescent="0.2">
      <c r="A572" s="276"/>
      <c r="B572" s="276"/>
      <c r="C572" s="123"/>
      <c r="D572" s="123"/>
      <c r="E572" s="123"/>
      <c r="F572" s="123"/>
      <c r="G572" s="123"/>
      <c r="H572" s="123"/>
      <c r="I572" s="123"/>
      <c r="J572" s="123"/>
      <c r="K572" s="123"/>
      <c r="L572" s="123"/>
    </row>
    <row r="573" spans="1:12" x14ac:dyDescent="0.2">
      <c r="A573" s="276"/>
      <c r="B573" s="276"/>
      <c r="C573" s="123"/>
      <c r="D573" s="123"/>
      <c r="E573" s="123"/>
      <c r="F573" s="123"/>
      <c r="G573" s="123"/>
      <c r="H573" s="123"/>
      <c r="I573" s="123"/>
      <c r="J573" s="123"/>
      <c r="K573" s="123"/>
      <c r="L573" s="123"/>
    </row>
    <row r="574" spans="1:12" x14ac:dyDescent="0.2">
      <c r="A574" s="276"/>
      <c r="B574" s="276"/>
      <c r="C574" s="123"/>
      <c r="D574" s="123"/>
      <c r="E574" s="123"/>
      <c r="F574" s="123"/>
      <c r="G574" s="123"/>
      <c r="H574" s="123"/>
      <c r="I574" s="123"/>
      <c r="J574" s="123"/>
      <c r="K574" s="123"/>
      <c r="L574" s="123"/>
    </row>
    <row r="575" spans="1:12" x14ac:dyDescent="0.2">
      <c r="A575" s="276"/>
      <c r="B575" s="276"/>
      <c r="C575" s="123"/>
      <c r="D575" s="123"/>
      <c r="E575" s="123"/>
      <c r="F575" s="123"/>
      <c r="G575" s="123"/>
      <c r="H575" s="123"/>
      <c r="I575" s="123"/>
      <c r="J575" s="123"/>
      <c r="K575" s="123"/>
      <c r="L575" s="123"/>
    </row>
    <row r="576" spans="1:12" x14ac:dyDescent="0.2">
      <c r="A576" s="276"/>
      <c r="B576" s="276"/>
      <c r="C576" s="123"/>
      <c r="D576" s="123"/>
      <c r="E576" s="123"/>
      <c r="F576" s="123"/>
      <c r="G576" s="123"/>
      <c r="H576" s="123"/>
      <c r="I576" s="123"/>
      <c r="J576" s="123"/>
      <c r="K576" s="123"/>
      <c r="L576" s="123"/>
    </row>
    <row r="577" spans="1:12" x14ac:dyDescent="0.2">
      <c r="A577" s="276"/>
      <c r="B577" s="276"/>
      <c r="C577" s="123"/>
      <c r="D577" s="123"/>
      <c r="E577" s="123"/>
      <c r="F577" s="123"/>
      <c r="G577" s="123"/>
      <c r="H577" s="123"/>
      <c r="I577" s="123"/>
      <c r="J577" s="123"/>
      <c r="K577" s="123"/>
      <c r="L577" s="123"/>
    </row>
    <row r="578" spans="1:12" x14ac:dyDescent="0.2">
      <c r="A578" s="276"/>
      <c r="B578" s="276"/>
      <c r="C578" s="123"/>
      <c r="D578" s="123"/>
      <c r="E578" s="123"/>
      <c r="F578" s="123"/>
      <c r="G578" s="123"/>
      <c r="H578" s="123"/>
      <c r="I578" s="123"/>
      <c r="J578" s="123"/>
      <c r="K578" s="123"/>
      <c r="L578" s="123"/>
    </row>
    <row r="579" spans="1:12" x14ac:dyDescent="0.2">
      <c r="A579" s="276"/>
      <c r="B579" s="276"/>
      <c r="C579" s="123"/>
      <c r="D579" s="123"/>
      <c r="E579" s="123"/>
      <c r="F579" s="123"/>
      <c r="G579" s="123"/>
      <c r="H579" s="123"/>
      <c r="I579" s="123"/>
      <c r="J579" s="123"/>
      <c r="K579" s="123"/>
      <c r="L579" s="123"/>
    </row>
    <row r="580" spans="1:12" x14ac:dyDescent="0.2">
      <c r="A580" s="276"/>
      <c r="B580" s="276"/>
      <c r="C580" s="123"/>
      <c r="D580" s="123"/>
      <c r="E580" s="123"/>
      <c r="F580" s="123"/>
      <c r="G580" s="123"/>
      <c r="H580" s="123"/>
      <c r="I580" s="123"/>
      <c r="J580" s="123"/>
      <c r="K580" s="123"/>
      <c r="L580" s="123"/>
    </row>
    <row r="581" spans="1:12" x14ac:dyDescent="0.2">
      <c r="A581" s="276"/>
      <c r="B581" s="276"/>
      <c r="C581" s="123"/>
      <c r="D581" s="123"/>
      <c r="E581" s="123"/>
      <c r="F581" s="123"/>
      <c r="G581" s="123"/>
      <c r="H581" s="123"/>
      <c r="I581" s="123"/>
      <c r="J581" s="123"/>
      <c r="K581" s="123"/>
      <c r="L581" s="123"/>
    </row>
    <row r="582" spans="1:12" x14ac:dyDescent="0.2">
      <c r="A582" s="276"/>
      <c r="B582" s="276"/>
      <c r="C582" s="123"/>
      <c r="D582" s="123"/>
      <c r="E582" s="123"/>
      <c r="F582" s="123"/>
      <c r="G582" s="123"/>
      <c r="H582" s="123"/>
      <c r="I582" s="123"/>
      <c r="J582" s="123"/>
      <c r="K582" s="123"/>
      <c r="L582" s="123"/>
    </row>
    <row r="583" spans="1:12" x14ac:dyDescent="0.2">
      <c r="A583" s="276"/>
      <c r="B583" s="276"/>
      <c r="C583" s="123"/>
      <c r="D583" s="123"/>
      <c r="E583" s="123"/>
      <c r="F583" s="123"/>
      <c r="G583" s="123"/>
      <c r="H583" s="123"/>
      <c r="I583" s="123"/>
      <c r="J583" s="123"/>
      <c r="K583" s="123"/>
      <c r="L583" s="123"/>
    </row>
    <row r="584" spans="1:12" x14ac:dyDescent="0.2">
      <c r="A584" s="276"/>
      <c r="B584" s="276"/>
      <c r="C584" s="123"/>
      <c r="D584" s="123"/>
      <c r="E584" s="123"/>
      <c r="F584" s="123"/>
      <c r="G584" s="123"/>
      <c r="H584" s="123"/>
      <c r="I584" s="123"/>
      <c r="J584" s="123"/>
      <c r="K584" s="123"/>
      <c r="L584" s="123"/>
    </row>
    <row r="585" spans="1:12" x14ac:dyDescent="0.2">
      <c r="A585" s="276"/>
      <c r="B585" s="276"/>
      <c r="C585" s="123"/>
      <c r="D585" s="123"/>
      <c r="E585" s="123"/>
      <c r="F585" s="123"/>
      <c r="G585" s="123"/>
      <c r="H585" s="123"/>
      <c r="I585" s="123"/>
      <c r="J585" s="123"/>
      <c r="K585" s="123"/>
      <c r="L585" s="123"/>
    </row>
    <row r="586" spans="1:12" x14ac:dyDescent="0.2">
      <c r="A586" s="276"/>
      <c r="B586" s="276"/>
      <c r="C586" s="123"/>
      <c r="D586" s="123"/>
      <c r="E586" s="123"/>
      <c r="F586" s="123"/>
      <c r="G586" s="123"/>
      <c r="H586" s="123"/>
      <c r="I586" s="123"/>
      <c r="J586" s="123"/>
      <c r="K586" s="123"/>
      <c r="L586" s="123"/>
    </row>
    <row r="587" spans="1:12" x14ac:dyDescent="0.2">
      <c r="A587" s="276"/>
      <c r="B587" s="276"/>
      <c r="C587" s="123"/>
      <c r="D587" s="123"/>
      <c r="E587" s="123"/>
      <c r="F587" s="123"/>
      <c r="G587" s="123"/>
      <c r="H587" s="123"/>
      <c r="I587" s="123"/>
      <c r="J587" s="123"/>
      <c r="K587" s="123"/>
      <c r="L587" s="123"/>
    </row>
    <row r="588" spans="1:12" x14ac:dyDescent="0.2">
      <c r="A588" s="276"/>
      <c r="B588" s="276"/>
      <c r="C588" s="123"/>
      <c r="D588" s="123"/>
      <c r="E588" s="123"/>
      <c r="F588" s="123"/>
      <c r="G588" s="123"/>
      <c r="H588" s="123"/>
      <c r="I588" s="123"/>
      <c r="J588" s="123"/>
      <c r="K588" s="123"/>
      <c r="L588" s="123"/>
    </row>
    <row r="589" spans="1:12" x14ac:dyDescent="0.2">
      <c r="A589" s="276"/>
      <c r="B589" s="276"/>
      <c r="C589" s="123"/>
      <c r="D589" s="123"/>
      <c r="E589" s="123"/>
      <c r="F589" s="123"/>
      <c r="G589" s="123"/>
      <c r="H589" s="123"/>
      <c r="I589" s="123"/>
      <c r="J589" s="123"/>
      <c r="K589" s="123"/>
      <c r="L589" s="123"/>
    </row>
    <row r="590" spans="1:12" x14ac:dyDescent="0.2">
      <c r="A590" s="276"/>
      <c r="B590" s="276"/>
      <c r="C590" s="123"/>
      <c r="D590" s="123"/>
      <c r="E590" s="123"/>
      <c r="F590" s="123"/>
      <c r="G590" s="123"/>
      <c r="H590" s="123"/>
      <c r="I590" s="123"/>
      <c r="J590" s="123"/>
      <c r="K590" s="123"/>
      <c r="L590" s="123"/>
    </row>
    <row r="591" spans="1:12" x14ac:dyDescent="0.2">
      <c r="A591" s="276"/>
      <c r="B591" s="276"/>
      <c r="C591" s="123"/>
      <c r="D591" s="123"/>
      <c r="E591" s="123"/>
      <c r="F591" s="123"/>
      <c r="G591" s="123"/>
      <c r="H591" s="123"/>
      <c r="I591" s="123"/>
      <c r="J591" s="123"/>
      <c r="K591" s="123"/>
      <c r="L591" s="123"/>
    </row>
    <row r="592" spans="1:12" x14ac:dyDescent="0.2">
      <c r="A592" s="276"/>
      <c r="B592" s="276"/>
      <c r="C592" s="123"/>
      <c r="D592" s="123"/>
      <c r="E592" s="123"/>
      <c r="F592" s="123"/>
      <c r="G592" s="123"/>
      <c r="H592" s="123"/>
      <c r="I592" s="123"/>
      <c r="J592" s="123"/>
      <c r="K592" s="123"/>
      <c r="L592" s="123"/>
    </row>
    <row r="593" spans="1:12" x14ac:dyDescent="0.2">
      <c r="A593" s="276"/>
      <c r="B593" s="276"/>
      <c r="C593" s="123"/>
      <c r="D593" s="123"/>
      <c r="E593" s="123"/>
      <c r="F593" s="123"/>
      <c r="G593" s="123"/>
      <c r="H593" s="123"/>
      <c r="I593" s="123"/>
      <c r="J593" s="123"/>
      <c r="K593" s="123"/>
      <c r="L593" s="123"/>
    </row>
    <row r="594" spans="1:12" x14ac:dyDescent="0.2">
      <c r="A594" s="276"/>
      <c r="B594" s="276"/>
      <c r="C594" s="123"/>
      <c r="D594" s="123"/>
      <c r="E594" s="123"/>
      <c r="F594" s="123"/>
      <c r="G594" s="123"/>
      <c r="H594" s="123"/>
      <c r="I594" s="123"/>
      <c r="J594" s="123"/>
      <c r="K594" s="123"/>
      <c r="L594" s="123"/>
    </row>
    <row r="595" spans="1:12" x14ac:dyDescent="0.2">
      <c r="A595" s="276"/>
      <c r="B595" s="276"/>
      <c r="C595" s="123"/>
      <c r="D595" s="123"/>
      <c r="E595" s="123"/>
      <c r="F595" s="123"/>
      <c r="G595" s="123"/>
      <c r="H595" s="123"/>
      <c r="I595" s="123"/>
      <c r="J595" s="123"/>
      <c r="K595" s="123"/>
      <c r="L595" s="123"/>
    </row>
    <row r="596" spans="1:12" x14ac:dyDescent="0.2">
      <c r="A596" s="276"/>
      <c r="B596" s="276"/>
      <c r="C596" s="123"/>
      <c r="D596" s="123"/>
      <c r="E596" s="123"/>
      <c r="F596" s="123"/>
      <c r="G596" s="123"/>
      <c r="H596" s="123"/>
      <c r="I596" s="123"/>
      <c r="J596" s="123"/>
      <c r="K596" s="123"/>
      <c r="L596" s="123"/>
    </row>
    <row r="597" spans="1:12" x14ac:dyDescent="0.2">
      <c r="A597" s="276"/>
      <c r="B597" s="276"/>
      <c r="C597" s="123"/>
      <c r="D597" s="123"/>
      <c r="E597" s="123"/>
      <c r="F597" s="123"/>
      <c r="G597" s="123"/>
      <c r="H597" s="123"/>
      <c r="I597" s="123"/>
      <c r="J597" s="123"/>
      <c r="K597" s="123"/>
      <c r="L597" s="123"/>
    </row>
    <row r="598" spans="1:12" x14ac:dyDescent="0.2">
      <c r="A598" s="276"/>
      <c r="B598" s="276"/>
      <c r="C598" s="123"/>
      <c r="D598" s="123"/>
      <c r="E598" s="123"/>
      <c r="F598" s="123"/>
      <c r="G598" s="123"/>
      <c r="H598" s="123"/>
      <c r="I598" s="123"/>
      <c r="J598" s="123"/>
      <c r="K598" s="123"/>
      <c r="L598" s="123"/>
    </row>
    <row r="599" spans="1:12" x14ac:dyDescent="0.2">
      <c r="A599" s="276"/>
      <c r="B599" s="276"/>
      <c r="C599" s="123"/>
      <c r="D599" s="123"/>
      <c r="E599" s="123"/>
      <c r="F599" s="123"/>
      <c r="G599" s="123"/>
      <c r="H599" s="123"/>
      <c r="I599" s="123"/>
      <c r="J599" s="123"/>
      <c r="K599" s="123"/>
      <c r="L599" s="123"/>
    </row>
    <row r="600" spans="1:12" x14ac:dyDescent="0.2">
      <c r="A600" s="276"/>
      <c r="B600" s="276"/>
      <c r="C600" s="123"/>
      <c r="D600" s="123"/>
      <c r="E600" s="123"/>
      <c r="F600" s="123"/>
      <c r="G600" s="123"/>
      <c r="H600" s="123"/>
      <c r="I600" s="123"/>
      <c r="J600" s="123"/>
      <c r="K600" s="123"/>
      <c r="L600" s="123"/>
    </row>
    <row r="601" spans="1:12" x14ac:dyDescent="0.2">
      <c r="A601" s="276"/>
      <c r="B601" s="276"/>
      <c r="C601" s="123"/>
      <c r="D601" s="123"/>
      <c r="E601" s="123"/>
      <c r="F601" s="123"/>
      <c r="G601" s="123"/>
      <c r="H601" s="123"/>
      <c r="I601" s="123"/>
      <c r="J601" s="123"/>
      <c r="K601" s="123"/>
      <c r="L601" s="123"/>
    </row>
    <row r="602" spans="1:12" x14ac:dyDescent="0.2">
      <c r="A602" s="276"/>
      <c r="B602" s="276"/>
      <c r="C602" s="123"/>
      <c r="D602" s="123"/>
      <c r="E602" s="123"/>
      <c r="F602" s="123"/>
      <c r="G602" s="123"/>
      <c r="H602" s="123"/>
      <c r="I602" s="123"/>
      <c r="J602" s="123"/>
      <c r="K602" s="123"/>
      <c r="L602" s="123"/>
    </row>
    <row r="603" spans="1:12" x14ac:dyDescent="0.2">
      <c r="A603" s="276"/>
      <c r="B603" s="276"/>
      <c r="C603" s="123"/>
      <c r="D603" s="123"/>
      <c r="E603" s="123"/>
      <c r="F603" s="123"/>
      <c r="G603" s="123"/>
      <c r="H603" s="123"/>
      <c r="I603" s="123"/>
      <c r="J603" s="123"/>
      <c r="K603" s="123"/>
      <c r="L603" s="123"/>
    </row>
    <row r="604" spans="1:12" x14ac:dyDescent="0.2">
      <c r="A604" s="276"/>
      <c r="B604" s="276"/>
      <c r="C604" s="123"/>
      <c r="D604" s="123"/>
      <c r="E604" s="123"/>
      <c r="F604" s="123"/>
      <c r="G604" s="123"/>
      <c r="H604" s="123"/>
      <c r="I604" s="123"/>
      <c r="J604" s="123"/>
      <c r="K604" s="123"/>
      <c r="L604" s="123"/>
    </row>
    <row r="605" spans="1:12" x14ac:dyDescent="0.2">
      <c r="A605" s="276"/>
      <c r="B605" s="276"/>
      <c r="C605" s="123"/>
      <c r="D605" s="123"/>
      <c r="E605" s="123"/>
      <c r="F605" s="123"/>
      <c r="G605" s="123"/>
      <c r="H605" s="123"/>
      <c r="I605" s="123"/>
      <c r="J605" s="123"/>
      <c r="K605" s="123"/>
      <c r="L605" s="123"/>
    </row>
    <row r="606" spans="1:12" x14ac:dyDescent="0.2">
      <c r="A606" s="276"/>
      <c r="B606" s="276"/>
      <c r="C606" s="123"/>
      <c r="D606" s="123"/>
      <c r="E606" s="123"/>
      <c r="F606" s="123"/>
      <c r="G606" s="123"/>
      <c r="H606" s="123"/>
      <c r="I606" s="123"/>
      <c r="J606" s="123"/>
      <c r="K606" s="123"/>
      <c r="L606" s="123"/>
    </row>
    <row r="607" spans="1:12" x14ac:dyDescent="0.2">
      <c r="A607" s="276"/>
      <c r="B607" s="276"/>
      <c r="C607" s="123"/>
      <c r="D607" s="123"/>
      <c r="E607" s="123"/>
      <c r="F607" s="123"/>
      <c r="G607" s="123"/>
      <c r="H607" s="123"/>
      <c r="I607" s="123"/>
      <c r="J607" s="123"/>
      <c r="K607" s="123"/>
      <c r="L607" s="123"/>
    </row>
    <row r="608" spans="1:12" x14ac:dyDescent="0.2">
      <c r="A608" s="276"/>
      <c r="B608" s="276"/>
      <c r="C608" s="123"/>
      <c r="D608" s="123"/>
      <c r="E608" s="123"/>
      <c r="F608" s="123"/>
      <c r="G608" s="123"/>
      <c r="H608" s="123"/>
      <c r="I608" s="123"/>
      <c r="J608" s="123"/>
      <c r="K608" s="123"/>
      <c r="L608" s="123"/>
    </row>
    <row r="609" spans="1:12" x14ac:dyDescent="0.2">
      <c r="A609" s="276"/>
      <c r="B609" s="276"/>
      <c r="C609" s="123"/>
      <c r="D609" s="123"/>
      <c r="E609" s="123"/>
      <c r="F609" s="123"/>
      <c r="G609" s="123"/>
      <c r="H609" s="123"/>
      <c r="I609" s="123"/>
      <c r="J609" s="123"/>
      <c r="K609" s="123"/>
      <c r="L609" s="123"/>
    </row>
    <row r="610" spans="1:12" x14ac:dyDescent="0.2">
      <c r="A610" s="276"/>
      <c r="B610" s="276"/>
      <c r="C610" s="123"/>
      <c r="D610" s="123"/>
      <c r="E610" s="123"/>
      <c r="F610" s="123"/>
      <c r="G610" s="123"/>
      <c r="H610" s="123"/>
      <c r="I610" s="123"/>
      <c r="J610" s="123"/>
      <c r="K610" s="123"/>
      <c r="L610" s="123"/>
    </row>
    <row r="611" spans="1:12" x14ac:dyDescent="0.2">
      <c r="A611" s="276"/>
      <c r="B611" s="276"/>
      <c r="C611" s="123"/>
      <c r="D611" s="123"/>
      <c r="E611" s="123"/>
      <c r="F611" s="123"/>
      <c r="G611" s="123"/>
      <c r="H611" s="123"/>
      <c r="I611" s="123"/>
      <c r="J611" s="123"/>
      <c r="K611" s="123"/>
      <c r="L611" s="123"/>
    </row>
    <row r="612" spans="1:12" x14ac:dyDescent="0.2">
      <c r="A612" s="276"/>
      <c r="B612" s="276"/>
      <c r="C612" s="123"/>
      <c r="D612" s="123"/>
      <c r="E612" s="123"/>
      <c r="F612" s="123"/>
      <c r="G612" s="123"/>
      <c r="H612" s="123"/>
      <c r="I612" s="123"/>
      <c r="J612" s="123"/>
      <c r="K612" s="123"/>
      <c r="L612" s="123"/>
    </row>
    <row r="613" spans="1:12" x14ac:dyDescent="0.2">
      <c r="A613" s="276"/>
      <c r="B613" s="276"/>
      <c r="C613" s="123"/>
      <c r="D613" s="123"/>
      <c r="E613" s="123"/>
      <c r="F613" s="123"/>
      <c r="G613" s="123"/>
      <c r="H613" s="123"/>
      <c r="I613" s="123"/>
      <c r="J613" s="123"/>
      <c r="K613" s="123"/>
      <c r="L613" s="123"/>
    </row>
    <row r="614" spans="1:12" x14ac:dyDescent="0.2">
      <c r="A614" s="276"/>
      <c r="B614" s="276"/>
      <c r="C614" s="123"/>
      <c r="D614" s="123"/>
      <c r="E614" s="123"/>
      <c r="F614" s="123"/>
      <c r="G614" s="123"/>
      <c r="H614" s="123"/>
      <c r="I614" s="123"/>
      <c r="J614" s="123"/>
      <c r="K614" s="123"/>
      <c r="L614" s="123"/>
    </row>
    <row r="615" spans="1:12" x14ac:dyDescent="0.2">
      <c r="A615" s="276"/>
      <c r="B615" s="276"/>
      <c r="C615" s="123"/>
      <c r="D615" s="123"/>
      <c r="E615" s="123"/>
      <c r="F615" s="123"/>
      <c r="G615" s="123"/>
      <c r="H615" s="123"/>
      <c r="I615" s="123"/>
      <c r="J615" s="123"/>
      <c r="K615" s="123"/>
      <c r="L615" s="123"/>
    </row>
    <row r="616" spans="1:12" x14ac:dyDescent="0.2">
      <c r="A616" s="276"/>
      <c r="B616" s="276"/>
      <c r="C616" s="123"/>
      <c r="D616" s="123"/>
      <c r="E616" s="123"/>
      <c r="F616" s="123"/>
      <c r="G616" s="123"/>
      <c r="H616" s="123"/>
      <c r="I616" s="123"/>
      <c r="J616" s="123"/>
      <c r="K616" s="123"/>
      <c r="L616" s="123"/>
    </row>
    <row r="617" spans="1:12" x14ac:dyDescent="0.2">
      <c r="A617" s="276"/>
      <c r="B617" s="276"/>
      <c r="C617" s="123"/>
      <c r="D617" s="123"/>
      <c r="E617" s="123"/>
      <c r="F617" s="123"/>
      <c r="G617" s="123"/>
      <c r="H617" s="123"/>
      <c r="I617" s="123"/>
      <c r="J617" s="123"/>
      <c r="K617" s="123"/>
      <c r="L617" s="123"/>
    </row>
    <row r="618" spans="1:12" x14ac:dyDescent="0.2">
      <c r="A618" s="276"/>
      <c r="B618" s="276"/>
      <c r="C618" s="123"/>
      <c r="D618" s="123"/>
      <c r="E618" s="123"/>
      <c r="F618" s="123"/>
      <c r="G618" s="123"/>
      <c r="H618" s="123"/>
      <c r="I618" s="123"/>
      <c r="J618" s="123"/>
      <c r="K618" s="123"/>
      <c r="L618" s="123"/>
    </row>
    <row r="619" spans="1:12" x14ac:dyDescent="0.2">
      <c r="A619" s="276"/>
      <c r="B619" s="276"/>
      <c r="C619" s="123"/>
      <c r="D619" s="123"/>
      <c r="E619" s="123"/>
      <c r="F619" s="123"/>
      <c r="G619" s="123"/>
      <c r="H619" s="123"/>
      <c r="I619" s="123"/>
      <c r="J619" s="123"/>
      <c r="K619" s="123"/>
      <c r="L619" s="123"/>
    </row>
    <row r="620" spans="1:12" x14ac:dyDescent="0.2">
      <c r="A620" s="276"/>
      <c r="B620" s="276"/>
      <c r="C620" s="123"/>
      <c r="D620" s="123"/>
      <c r="E620" s="123"/>
      <c r="F620" s="123"/>
      <c r="G620" s="123"/>
      <c r="H620" s="123"/>
      <c r="I620" s="123"/>
      <c r="J620" s="123"/>
      <c r="K620" s="123"/>
      <c r="L620" s="123"/>
    </row>
    <row r="621" spans="1:12" x14ac:dyDescent="0.2">
      <c r="A621" s="276"/>
      <c r="B621" s="276"/>
      <c r="C621" s="123"/>
      <c r="D621" s="123"/>
      <c r="E621" s="123"/>
      <c r="F621" s="123"/>
      <c r="G621" s="123"/>
      <c r="H621" s="123"/>
      <c r="I621" s="123"/>
      <c r="J621" s="123"/>
      <c r="K621" s="123"/>
      <c r="L621" s="123"/>
    </row>
    <row r="622" spans="1:12" x14ac:dyDescent="0.2">
      <c r="A622" s="276"/>
      <c r="B622" s="276"/>
      <c r="C622" s="123"/>
      <c r="D622" s="123"/>
      <c r="E622" s="123"/>
      <c r="F622" s="123"/>
      <c r="G622" s="123"/>
      <c r="H622" s="123"/>
      <c r="I622" s="123"/>
      <c r="J622" s="123"/>
      <c r="K622" s="123"/>
      <c r="L622" s="123"/>
    </row>
    <row r="623" spans="1:12" x14ac:dyDescent="0.2">
      <c r="A623" s="276"/>
      <c r="B623" s="276"/>
      <c r="C623" s="123"/>
      <c r="D623" s="123"/>
      <c r="E623" s="123"/>
      <c r="F623" s="123"/>
      <c r="G623" s="123"/>
      <c r="H623" s="123"/>
      <c r="I623" s="123"/>
      <c r="J623" s="123"/>
      <c r="K623" s="123"/>
      <c r="L623" s="123"/>
    </row>
    <row r="624" spans="1:12" x14ac:dyDescent="0.2">
      <c r="A624" s="276"/>
      <c r="B624" s="276"/>
      <c r="C624" s="123"/>
      <c r="D624" s="123"/>
      <c r="E624" s="123"/>
      <c r="F624" s="123"/>
      <c r="G624" s="123"/>
      <c r="H624" s="123"/>
      <c r="I624" s="123"/>
      <c r="J624" s="123"/>
      <c r="K624" s="123"/>
      <c r="L624" s="123"/>
    </row>
    <row r="625" spans="1:12" x14ac:dyDescent="0.2">
      <c r="A625" s="276"/>
      <c r="B625" s="276"/>
      <c r="C625" s="123"/>
      <c r="D625" s="123"/>
      <c r="E625" s="123"/>
      <c r="F625" s="123"/>
      <c r="G625" s="123"/>
      <c r="H625" s="123"/>
      <c r="I625" s="123"/>
      <c r="J625" s="123"/>
      <c r="K625" s="123"/>
      <c r="L625" s="123"/>
    </row>
    <row r="626" spans="1:12" x14ac:dyDescent="0.2">
      <c r="A626" s="276"/>
      <c r="B626" s="276"/>
      <c r="C626" s="123"/>
      <c r="D626" s="123"/>
      <c r="E626" s="123"/>
      <c r="F626" s="123"/>
      <c r="G626" s="123"/>
      <c r="H626" s="123"/>
      <c r="I626" s="123"/>
      <c r="J626" s="123"/>
      <c r="K626" s="123"/>
      <c r="L626" s="123"/>
    </row>
    <row r="627" spans="1:12" x14ac:dyDescent="0.2">
      <c r="A627" s="276"/>
      <c r="B627" s="276"/>
      <c r="C627" s="123"/>
      <c r="D627" s="123"/>
      <c r="E627" s="123"/>
      <c r="F627" s="123"/>
      <c r="G627" s="123"/>
      <c r="H627" s="123"/>
      <c r="I627" s="123"/>
      <c r="J627" s="123"/>
      <c r="K627" s="123"/>
      <c r="L627" s="123"/>
    </row>
    <row r="628" spans="1:12" x14ac:dyDescent="0.2">
      <c r="A628" s="276"/>
      <c r="B628" s="276"/>
      <c r="C628" s="123"/>
      <c r="D628" s="123"/>
      <c r="E628" s="123"/>
      <c r="F628" s="123"/>
      <c r="G628" s="123"/>
      <c r="H628" s="123"/>
      <c r="I628" s="123"/>
      <c r="J628" s="123"/>
      <c r="K628" s="123"/>
      <c r="L628" s="123"/>
    </row>
    <row r="629" spans="1:12" x14ac:dyDescent="0.2">
      <c r="A629" s="276"/>
      <c r="B629" s="276"/>
      <c r="C629" s="123"/>
      <c r="D629" s="123"/>
      <c r="E629" s="123"/>
      <c r="F629" s="123"/>
      <c r="G629" s="123"/>
      <c r="H629" s="123"/>
      <c r="I629" s="123"/>
      <c r="J629" s="123"/>
      <c r="K629" s="123"/>
      <c r="L629" s="123"/>
    </row>
    <row r="630" spans="1:12" x14ac:dyDescent="0.2">
      <c r="A630" s="276"/>
      <c r="B630" s="276"/>
      <c r="C630" s="123"/>
      <c r="D630" s="123"/>
      <c r="E630" s="123"/>
      <c r="F630" s="123"/>
      <c r="G630" s="123"/>
      <c r="H630" s="123"/>
      <c r="I630" s="123"/>
      <c r="J630" s="123"/>
      <c r="K630" s="123"/>
      <c r="L630" s="123"/>
    </row>
    <row r="631" spans="1:12" x14ac:dyDescent="0.2">
      <c r="A631" s="276"/>
      <c r="B631" s="276"/>
      <c r="C631" s="123"/>
      <c r="D631" s="123"/>
      <c r="E631" s="123"/>
      <c r="F631" s="123"/>
      <c r="G631" s="123"/>
      <c r="H631" s="123"/>
      <c r="I631" s="123"/>
      <c r="J631" s="123"/>
      <c r="K631" s="123"/>
      <c r="L631" s="123"/>
    </row>
    <row r="632" spans="1:12" x14ac:dyDescent="0.2">
      <c r="A632" s="276"/>
      <c r="B632" s="276"/>
      <c r="C632" s="123"/>
      <c r="D632" s="123"/>
      <c r="E632" s="123"/>
      <c r="F632" s="123"/>
      <c r="G632" s="123"/>
      <c r="H632" s="123"/>
      <c r="I632" s="123"/>
      <c r="J632" s="123"/>
      <c r="K632" s="123"/>
      <c r="L632" s="123"/>
    </row>
    <row r="633" spans="1:12" x14ac:dyDescent="0.2">
      <c r="A633" s="276"/>
      <c r="B633" s="276"/>
      <c r="C633" s="123"/>
      <c r="D633" s="123"/>
      <c r="E633" s="123"/>
      <c r="F633" s="123"/>
      <c r="G633" s="123"/>
      <c r="H633" s="123"/>
      <c r="I633" s="123"/>
      <c r="J633" s="123"/>
      <c r="K633" s="123"/>
      <c r="L633" s="123"/>
    </row>
    <row r="634" spans="1:12" x14ac:dyDescent="0.2">
      <c r="A634" s="276"/>
      <c r="B634" s="276"/>
      <c r="C634" s="123"/>
      <c r="D634" s="123"/>
      <c r="E634" s="123"/>
      <c r="F634" s="123"/>
      <c r="G634" s="123"/>
      <c r="H634" s="123"/>
      <c r="I634" s="123"/>
      <c r="J634" s="123"/>
      <c r="K634" s="123"/>
      <c r="L634" s="123"/>
    </row>
    <row r="635" spans="1:12" x14ac:dyDescent="0.2">
      <c r="A635" s="276"/>
      <c r="B635" s="276"/>
      <c r="C635" s="123"/>
      <c r="D635" s="123"/>
      <c r="E635" s="123"/>
      <c r="F635" s="123"/>
      <c r="G635" s="123"/>
      <c r="H635" s="123"/>
      <c r="I635" s="123"/>
      <c r="J635" s="123"/>
      <c r="K635" s="123"/>
      <c r="L635" s="123"/>
    </row>
    <row r="636" spans="1:12" x14ac:dyDescent="0.2">
      <c r="A636" s="276"/>
      <c r="B636" s="276"/>
      <c r="C636" s="123"/>
      <c r="D636" s="123"/>
      <c r="E636" s="123"/>
      <c r="F636" s="123"/>
      <c r="G636" s="123"/>
      <c r="H636" s="123"/>
      <c r="I636" s="123"/>
      <c r="J636" s="123"/>
      <c r="K636" s="123"/>
      <c r="L636" s="123"/>
    </row>
    <row r="637" spans="1:12" x14ac:dyDescent="0.2">
      <c r="A637" s="276"/>
      <c r="B637" s="276"/>
      <c r="C637" s="123"/>
      <c r="D637" s="123"/>
      <c r="E637" s="123"/>
      <c r="F637" s="123"/>
      <c r="G637" s="123"/>
      <c r="H637" s="123"/>
      <c r="I637" s="123"/>
      <c r="J637" s="123"/>
      <c r="K637" s="123"/>
      <c r="L637" s="123"/>
    </row>
    <row r="638" spans="1:12" x14ac:dyDescent="0.2">
      <c r="A638" s="276"/>
      <c r="B638" s="276"/>
      <c r="C638" s="123"/>
      <c r="D638" s="123"/>
      <c r="E638" s="123"/>
      <c r="F638" s="123"/>
      <c r="G638" s="123"/>
      <c r="H638" s="123"/>
      <c r="I638" s="123"/>
      <c r="J638" s="123"/>
      <c r="K638" s="123"/>
      <c r="L638" s="123"/>
    </row>
    <row r="639" spans="1:12" x14ac:dyDescent="0.2">
      <c r="A639" s="276"/>
      <c r="B639" s="276"/>
      <c r="C639" s="123"/>
      <c r="D639" s="123"/>
      <c r="E639" s="123"/>
      <c r="F639" s="123"/>
      <c r="G639" s="123"/>
      <c r="H639" s="123"/>
      <c r="I639" s="123"/>
      <c r="J639" s="123"/>
      <c r="K639" s="123"/>
      <c r="L639" s="123"/>
    </row>
    <row r="640" spans="1:12" x14ac:dyDescent="0.2">
      <c r="A640" s="276"/>
      <c r="B640" s="276"/>
      <c r="C640" s="123"/>
      <c r="D640" s="123"/>
      <c r="E640" s="123"/>
      <c r="F640" s="123"/>
      <c r="G640" s="123"/>
      <c r="H640" s="123"/>
      <c r="I640" s="123"/>
      <c r="J640" s="123"/>
      <c r="K640" s="123"/>
      <c r="L640" s="123"/>
    </row>
    <row r="641" spans="1:12" x14ac:dyDescent="0.2">
      <c r="A641" s="276"/>
      <c r="B641" s="276"/>
      <c r="C641" s="123"/>
      <c r="D641" s="123"/>
      <c r="E641" s="123"/>
      <c r="F641" s="123"/>
      <c r="G641" s="123"/>
      <c r="H641" s="123"/>
      <c r="I641" s="123"/>
      <c r="J641" s="123"/>
      <c r="K641" s="123"/>
      <c r="L641" s="123"/>
    </row>
    <row r="642" spans="1:12" x14ac:dyDescent="0.2">
      <c r="A642" s="276"/>
      <c r="B642" s="276"/>
      <c r="C642" s="123"/>
      <c r="D642" s="123"/>
      <c r="E642" s="123"/>
      <c r="F642" s="123"/>
      <c r="G642" s="123"/>
      <c r="H642" s="123"/>
      <c r="I642" s="123"/>
      <c r="J642" s="123"/>
      <c r="K642" s="123"/>
      <c r="L642" s="123"/>
    </row>
    <row r="643" spans="1:12" x14ac:dyDescent="0.2">
      <c r="A643" s="276"/>
      <c r="B643" s="276"/>
      <c r="C643" s="123"/>
      <c r="D643" s="123"/>
      <c r="E643" s="123"/>
      <c r="F643" s="123"/>
      <c r="G643" s="123"/>
      <c r="H643" s="123"/>
      <c r="I643" s="123"/>
      <c r="J643" s="123"/>
      <c r="K643" s="123"/>
      <c r="L643" s="123"/>
    </row>
    <row r="644" spans="1:12" x14ac:dyDescent="0.2">
      <c r="A644" s="276"/>
      <c r="B644" s="276"/>
      <c r="C644" s="123"/>
      <c r="D644" s="123"/>
      <c r="E644" s="123"/>
      <c r="F644" s="123"/>
      <c r="G644" s="123"/>
      <c r="H644" s="123"/>
      <c r="I644" s="123"/>
      <c r="J644" s="123"/>
      <c r="K644" s="123"/>
      <c r="L644" s="123"/>
    </row>
    <row r="645" spans="1:12" x14ac:dyDescent="0.2">
      <c r="A645" s="276"/>
      <c r="B645" s="276"/>
      <c r="C645" s="123"/>
      <c r="D645" s="123"/>
      <c r="E645" s="123"/>
      <c r="F645" s="123"/>
      <c r="G645" s="123"/>
      <c r="H645" s="123"/>
      <c r="I645" s="123"/>
      <c r="J645" s="123"/>
      <c r="K645" s="123"/>
      <c r="L645" s="123"/>
    </row>
    <row r="646" spans="1:12" x14ac:dyDescent="0.2">
      <c r="A646" s="276"/>
      <c r="B646" s="276"/>
      <c r="C646" s="123"/>
      <c r="D646" s="123"/>
      <c r="E646" s="123"/>
      <c r="F646" s="123"/>
      <c r="G646" s="123"/>
      <c r="H646" s="123"/>
      <c r="I646" s="123"/>
      <c r="J646" s="123"/>
      <c r="K646" s="123"/>
      <c r="L646" s="123"/>
    </row>
    <row r="647" spans="1:12" x14ac:dyDescent="0.2">
      <c r="A647" s="276"/>
      <c r="B647" s="276"/>
      <c r="C647" s="123"/>
      <c r="D647" s="123"/>
      <c r="E647" s="123"/>
      <c r="F647" s="123"/>
      <c r="G647" s="123"/>
      <c r="H647" s="123"/>
      <c r="I647" s="123"/>
      <c r="J647" s="123"/>
      <c r="K647" s="123"/>
      <c r="L647" s="123"/>
    </row>
    <row r="648" spans="1:12" x14ac:dyDescent="0.2">
      <c r="A648" s="276"/>
      <c r="B648" s="276"/>
      <c r="C648" s="123"/>
      <c r="D648" s="123"/>
      <c r="E648" s="123"/>
      <c r="F648" s="123"/>
      <c r="G648" s="123"/>
      <c r="H648" s="123"/>
      <c r="I648" s="123"/>
      <c r="J648" s="123"/>
      <c r="K648" s="123"/>
      <c r="L648" s="123"/>
    </row>
    <row r="649" spans="1:12" x14ac:dyDescent="0.2">
      <c r="A649" s="276"/>
      <c r="B649" s="276"/>
      <c r="C649" s="123"/>
      <c r="D649" s="123"/>
      <c r="E649" s="123"/>
      <c r="F649" s="123"/>
      <c r="G649" s="123"/>
      <c r="H649" s="123"/>
      <c r="I649" s="123"/>
      <c r="J649" s="123"/>
      <c r="K649" s="123"/>
      <c r="L649" s="123"/>
    </row>
    <row r="650" spans="1:12" x14ac:dyDescent="0.2">
      <c r="A650" s="276"/>
      <c r="B650" s="276"/>
      <c r="C650" s="123"/>
      <c r="D650" s="123"/>
      <c r="E650" s="123"/>
      <c r="F650" s="123"/>
      <c r="G650" s="123"/>
      <c r="H650" s="123"/>
      <c r="I650" s="123"/>
      <c r="J650" s="123"/>
      <c r="K650" s="123"/>
      <c r="L650" s="123"/>
    </row>
    <row r="651" spans="1:12" x14ac:dyDescent="0.2">
      <c r="A651" s="276"/>
      <c r="B651" s="276"/>
      <c r="C651" s="123"/>
      <c r="D651" s="123"/>
      <c r="E651" s="123"/>
      <c r="F651" s="123"/>
      <c r="G651" s="123"/>
      <c r="H651" s="123"/>
      <c r="I651" s="123"/>
      <c r="J651" s="123"/>
      <c r="K651" s="123"/>
      <c r="L651" s="123"/>
    </row>
    <row r="652" spans="1:12" x14ac:dyDescent="0.2">
      <c r="A652" s="276"/>
      <c r="B652" s="276"/>
      <c r="C652" s="123"/>
      <c r="D652" s="123"/>
      <c r="E652" s="123"/>
      <c r="F652" s="123"/>
      <c r="G652" s="123"/>
      <c r="H652" s="123"/>
      <c r="I652" s="123"/>
      <c r="J652" s="123"/>
      <c r="K652" s="123"/>
      <c r="L652" s="123"/>
    </row>
    <row r="653" spans="1:12" x14ac:dyDescent="0.2">
      <c r="A653" s="276"/>
      <c r="B653" s="276"/>
      <c r="C653" s="123"/>
      <c r="D653" s="123"/>
      <c r="E653" s="123"/>
      <c r="F653" s="123"/>
      <c r="G653" s="123"/>
      <c r="H653" s="123"/>
      <c r="I653" s="123"/>
      <c r="J653" s="123"/>
      <c r="K653" s="123"/>
      <c r="L653" s="123"/>
    </row>
    <row r="654" spans="1:12" x14ac:dyDescent="0.2">
      <c r="A654" s="276"/>
      <c r="B654" s="276"/>
      <c r="C654" s="123"/>
      <c r="D654" s="123"/>
      <c r="E654" s="123"/>
      <c r="F654" s="123"/>
      <c r="G654" s="123"/>
      <c r="H654" s="123"/>
      <c r="I654" s="123"/>
      <c r="J654" s="123"/>
      <c r="K654" s="123"/>
      <c r="L654" s="123"/>
    </row>
    <row r="655" spans="1:12" x14ac:dyDescent="0.2">
      <c r="A655" s="276"/>
      <c r="B655" s="276"/>
      <c r="C655" s="123"/>
      <c r="D655" s="123"/>
      <c r="E655" s="123"/>
      <c r="F655" s="123"/>
      <c r="G655" s="123"/>
      <c r="H655" s="123"/>
      <c r="I655" s="123"/>
      <c r="J655" s="123"/>
      <c r="K655" s="123"/>
      <c r="L655" s="123"/>
    </row>
    <row r="656" spans="1:12" x14ac:dyDescent="0.2">
      <c r="A656" s="276"/>
      <c r="B656" s="276"/>
      <c r="C656" s="123"/>
      <c r="D656" s="123"/>
      <c r="E656" s="123"/>
      <c r="F656" s="123"/>
      <c r="G656" s="123"/>
      <c r="H656" s="123"/>
      <c r="I656" s="123"/>
      <c r="J656" s="123"/>
      <c r="K656" s="123"/>
      <c r="L656" s="123"/>
    </row>
    <row r="657" spans="1:12" x14ac:dyDescent="0.2">
      <c r="A657" s="276"/>
      <c r="B657" s="276"/>
      <c r="C657" s="123"/>
      <c r="D657" s="123"/>
      <c r="E657" s="123"/>
      <c r="F657" s="123"/>
      <c r="G657" s="123"/>
      <c r="H657" s="123"/>
      <c r="I657" s="123"/>
      <c r="J657" s="123"/>
      <c r="K657" s="123"/>
      <c r="L657" s="123"/>
    </row>
    <row r="658" spans="1:12" x14ac:dyDescent="0.2">
      <c r="A658" s="276"/>
      <c r="B658" s="276"/>
      <c r="C658" s="123"/>
      <c r="D658" s="123"/>
      <c r="E658" s="123"/>
      <c r="F658" s="123"/>
      <c r="G658" s="123"/>
      <c r="H658" s="123"/>
      <c r="I658" s="123"/>
      <c r="J658" s="123"/>
      <c r="K658" s="123"/>
      <c r="L658" s="123"/>
    </row>
    <row r="659" spans="1:12" x14ac:dyDescent="0.2">
      <c r="A659" s="276"/>
      <c r="B659" s="276"/>
      <c r="C659" s="123"/>
      <c r="D659" s="123"/>
      <c r="E659" s="123"/>
      <c r="F659" s="123"/>
      <c r="G659" s="123"/>
      <c r="H659" s="123"/>
      <c r="I659" s="123"/>
      <c r="J659" s="123"/>
      <c r="K659" s="123"/>
      <c r="L659" s="123"/>
    </row>
    <row r="660" spans="1:12" x14ac:dyDescent="0.2">
      <c r="A660" s="276"/>
      <c r="B660" s="276"/>
      <c r="C660" s="123"/>
      <c r="D660" s="123"/>
      <c r="E660" s="123"/>
      <c r="F660" s="123"/>
      <c r="G660" s="123"/>
      <c r="H660" s="123"/>
      <c r="I660" s="123"/>
      <c r="J660" s="123"/>
      <c r="K660" s="123"/>
      <c r="L660" s="123"/>
    </row>
    <row r="661" spans="1:12" x14ac:dyDescent="0.2">
      <c r="A661" s="276"/>
      <c r="B661" s="276"/>
      <c r="C661" s="123"/>
      <c r="D661" s="123"/>
      <c r="E661" s="123"/>
      <c r="F661" s="123"/>
      <c r="G661" s="123"/>
      <c r="H661" s="123"/>
      <c r="I661" s="123"/>
      <c r="J661" s="123"/>
      <c r="K661" s="123"/>
      <c r="L661" s="123"/>
    </row>
    <row r="662" spans="1:12" x14ac:dyDescent="0.2">
      <c r="A662" s="276"/>
      <c r="B662" s="276"/>
      <c r="C662" s="123"/>
      <c r="D662" s="123"/>
      <c r="E662" s="123"/>
      <c r="F662" s="123"/>
      <c r="G662" s="123"/>
      <c r="H662" s="123"/>
      <c r="I662" s="123"/>
      <c r="J662" s="123"/>
      <c r="K662" s="123"/>
      <c r="L662" s="123"/>
    </row>
    <row r="663" spans="1:12" x14ac:dyDescent="0.2">
      <c r="A663" s="276"/>
      <c r="B663" s="276"/>
      <c r="C663" s="123"/>
      <c r="D663" s="123"/>
      <c r="E663" s="123"/>
      <c r="F663" s="123"/>
      <c r="G663" s="123"/>
      <c r="H663" s="123"/>
      <c r="I663" s="123"/>
      <c r="J663" s="123"/>
      <c r="K663" s="123"/>
      <c r="L663" s="123"/>
    </row>
    <row r="664" spans="1:12" x14ac:dyDescent="0.2">
      <c r="A664" s="276"/>
      <c r="B664" s="276"/>
      <c r="C664" s="123"/>
      <c r="D664" s="123"/>
      <c r="E664" s="123"/>
      <c r="F664" s="123"/>
      <c r="G664" s="123"/>
      <c r="H664" s="123"/>
      <c r="I664" s="123"/>
      <c r="J664" s="123"/>
      <c r="K664" s="123"/>
      <c r="L664" s="123"/>
    </row>
    <row r="665" spans="1:12" x14ac:dyDescent="0.2">
      <c r="A665" s="276"/>
      <c r="B665" s="276"/>
      <c r="C665" s="123"/>
      <c r="D665" s="123"/>
      <c r="E665" s="123"/>
      <c r="F665" s="123"/>
      <c r="G665" s="123"/>
      <c r="H665" s="123"/>
      <c r="I665" s="123"/>
      <c r="J665" s="123"/>
      <c r="K665" s="123"/>
      <c r="L665" s="123"/>
    </row>
    <row r="666" spans="1:12" x14ac:dyDescent="0.2">
      <c r="A666" s="276"/>
      <c r="B666" s="276"/>
      <c r="C666" s="123"/>
      <c r="D666" s="123"/>
      <c r="E666" s="123"/>
      <c r="F666" s="123"/>
      <c r="G666" s="123"/>
      <c r="H666" s="123"/>
      <c r="I666" s="123"/>
      <c r="J666" s="123"/>
      <c r="K666" s="123"/>
      <c r="L666" s="123"/>
    </row>
    <row r="667" spans="1:12" x14ac:dyDescent="0.2">
      <c r="A667" s="276"/>
      <c r="B667" s="276"/>
      <c r="C667" s="123"/>
      <c r="D667" s="123"/>
      <c r="E667" s="123"/>
      <c r="F667" s="123"/>
      <c r="G667" s="123"/>
      <c r="H667" s="123"/>
      <c r="I667" s="123"/>
      <c r="J667" s="123"/>
      <c r="K667" s="123"/>
      <c r="L667" s="123"/>
    </row>
    <row r="668" spans="1:12" x14ac:dyDescent="0.2">
      <c r="A668" s="276"/>
      <c r="B668" s="276"/>
      <c r="C668" s="123"/>
      <c r="D668" s="123"/>
      <c r="E668" s="123"/>
      <c r="F668" s="123"/>
      <c r="G668" s="123"/>
      <c r="H668" s="123"/>
      <c r="I668" s="123"/>
      <c r="J668" s="123"/>
      <c r="K668" s="123"/>
      <c r="L668" s="123"/>
    </row>
    <row r="669" spans="1:12" x14ac:dyDescent="0.2">
      <c r="A669" s="276"/>
      <c r="B669" s="276"/>
      <c r="C669" s="123"/>
      <c r="D669" s="123"/>
      <c r="E669" s="123"/>
      <c r="F669" s="123"/>
      <c r="G669" s="123"/>
      <c r="H669" s="123"/>
      <c r="I669" s="123"/>
      <c r="J669" s="123"/>
      <c r="K669" s="123"/>
      <c r="L669" s="123"/>
    </row>
    <row r="670" spans="1:12" x14ac:dyDescent="0.2">
      <c r="A670" s="276"/>
      <c r="B670" s="276"/>
      <c r="C670" s="123"/>
      <c r="D670" s="123"/>
      <c r="E670" s="123"/>
      <c r="F670" s="123"/>
      <c r="G670" s="123"/>
      <c r="H670" s="123"/>
      <c r="I670" s="123"/>
      <c r="J670" s="123"/>
      <c r="K670" s="123"/>
      <c r="L670" s="123"/>
    </row>
    <row r="671" spans="1:12" x14ac:dyDescent="0.2">
      <c r="A671" s="276"/>
      <c r="B671" s="276"/>
      <c r="C671" s="123"/>
      <c r="D671" s="123"/>
      <c r="E671" s="123"/>
      <c r="F671" s="123"/>
      <c r="G671" s="123"/>
      <c r="H671" s="123"/>
      <c r="I671" s="123"/>
      <c r="J671" s="123"/>
      <c r="K671" s="123"/>
      <c r="L671" s="123"/>
    </row>
    <row r="672" spans="1:12" x14ac:dyDescent="0.2">
      <c r="A672" s="276"/>
      <c r="B672" s="276"/>
      <c r="C672" s="123"/>
      <c r="D672" s="123"/>
      <c r="E672" s="123"/>
      <c r="F672" s="123"/>
      <c r="G672" s="123"/>
      <c r="H672" s="123"/>
      <c r="I672" s="123"/>
      <c r="J672" s="123"/>
      <c r="K672" s="123"/>
      <c r="L672" s="123"/>
    </row>
    <row r="673" spans="1:12" x14ac:dyDescent="0.2">
      <c r="A673" s="276"/>
      <c r="B673" s="276"/>
      <c r="C673" s="123"/>
      <c r="D673" s="123"/>
      <c r="E673" s="123"/>
      <c r="F673" s="123"/>
      <c r="G673" s="123"/>
      <c r="H673" s="123"/>
      <c r="I673" s="123"/>
      <c r="J673" s="123"/>
      <c r="K673" s="123"/>
      <c r="L673" s="123"/>
    </row>
    <row r="674" spans="1:12" x14ac:dyDescent="0.2">
      <c r="A674" s="276"/>
      <c r="B674" s="276"/>
      <c r="C674" s="123"/>
      <c r="D674" s="123"/>
      <c r="E674" s="123"/>
      <c r="F674" s="123"/>
      <c r="G674" s="123"/>
      <c r="H674" s="123"/>
      <c r="I674" s="123"/>
      <c r="J674" s="123"/>
      <c r="K674" s="123"/>
      <c r="L674" s="123"/>
    </row>
    <row r="675" spans="1:12" x14ac:dyDescent="0.2">
      <c r="A675" s="276"/>
      <c r="B675" s="276"/>
      <c r="C675" s="123"/>
      <c r="D675" s="123"/>
      <c r="E675" s="123"/>
      <c r="F675" s="123"/>
      <c r="G675" s="123"/>
      <c r="H675" s="123"/>
      <c r="I675" s="123"/>
      <c r="J675" s="123"/>
      <c r="K675" s="123"/>
      <c r="L675" s="123"/>
    </row>
    <row r="676" spans="1:12" x14ac:dyDescent="0.2">
      <c r="A676" s="276"/>
      <c r="B676" s="276"/>
      <c r="C676" s="123"/>
      <c r="D676" s="123"/>
      <c r="E676" s="123"/>
      <c r="F676" s="123"/>
      <c r="G676" s="123"/>
      <c r="H676" s="123"/>
      <c r="I676" s="123"/>
      <c r="J676" s="123"/>
      <c r="K676" s="123"/>
      <c r="L676" s="123"/>
    </row>
    <row r="677" spans="1:12" x14ac:dyDescent="0.2">
      <c r="A677" s="276"/>
      <c r="B677" s="276"/>
      <c r="C677" s="123"/>
      <c r="D677" s="123"/>
      <c r="E677" s="123"/>
      <c r="F677" s="123"/>
      <c r="G677" s="123"/>
      <c r="H677" s="123"/>
      <c r="I677" s="123"/>
      <c r="J677" s="123"/>
      <c r="K677" s="123"/>
      <c r="L677" s="123"/>
    </row>
    <row r="678" spans="1:12" x14ac:dyDescent="0.2">
      <c r="A678" s="276"/>
      <c r="B678" s="276"/>
      <c r="C678" s="123"/>
      <c r="D678" s="123"/>
      <c r="E678" s="123"/>
      <c r="F678" s="123"/>
      <c r="G678" s="123"/>
      <c r="H678" s="123"/>
      <c r="I678" s="123"/>
      <c r="J678" s="123"/>
      <c r="K678" s="123"/>
      <c r="L678" s="123"/>
    </row>
    <row r="679" spans="1:12" x14ac:dyDescent="0.2">
      <c r="A679" s="276"/>
      <c r="B679" s="276"/>
      <c r="C679" s="123"/>
      <c r="D679" s="123"/>
      <c r="E679" s="123"/>
      <c r="F679" s="123"/>
      <c r="G679" s="123"/>
      <c r="H679" s="123"/>
      <c r="I679" s="123"/>
      <c r="J679" s="123"/>
      <c r="K679" s="123"/>
      <c r="L679" s="123"/>
    </row>
    <row r="680" spans="1:12" x14ac:dyDescent="0.2">
      <c r="A680" s="276"/>
      <c r="B680" s="276"/>
      <c r="C680" s="123"/>
      <c r="D680" s="123"/>
      <c r="E680" s="123"/>
      <c r="F680" s="123"/>
      <c r="G680" s="123"/>
      <c r="H680" s="123"/>
      <c r="I680" s="123"/>
      <c r="J680" s="123"/>
      <c r="K680" s="123"/>
      <c r="L680" s="123"/>
    </row>
    <row r="681" spans="1:12" x14ac:dyDescent="0.2">
      <c r="A681" s="276"/>
      <c r="B681" s="276"/>
      <c r="C681" s="123"/>
      <c r="D681" s="123"/>
      <c r="E681" s="123"/>
      <c r="F681" s="123"/>
      <c r="G681" s="123"/>
      <c r="H681" s="123"/>
      <c r="I681" s="123"/>
      <c r="J681" s="123"/>
      <c r="K681" s="123"/>
      <c r="L681" s="123"/>
    </row>
    <row r="682" spans="1:12" x14ac:dyDescent="0.2">
      <c r="A682" s="276"/>
      <c r="B682" s="276"/>
      <c r="C682" s="123"/>
      <c r="D682" s="123"/>
      <c r="E682" s="123"/>
      <c r="F682" s="123"/>
      <c r="G682" s="123"/>
      <c r="H682" s="123"/>
      <c r="I682" s="123"/>
      <c r="J682" s="123"/>
      <c r="K682" s="123"/>
      <c r="L682" s="123"/>
    </row>
    <row r="683" spans="1:12" x14ac:dyDescent="0.2">
      <c r="A683" s="276"/>
      <c r="B683" s="276"/>
      <c r="C683" s="123"/>
      <c r="D683" s="123"/>
      <c r="E683" s="123"/>
      <c r="F683" s="123"/>
      <c r="G683" s="123"/>
      <c r="H683" s="123"/>
      <c r="I683" s="123"/>
      <c r="J683" s="123"/>
      <c r="K683" s="123"/>
      <c r="L683" s="123"/>
    </row>
    <row r="684" spans="1:12" x14ac:dyDescent="0.2">
      <c r="A684" s="276"/>
      <c r="B684" s="276"/>
      <c r="C684" s="123"/>
      <c r="D684" s="123"/>
      <c r="E684" s="123"/>
      <c r="F684" s="123"/>
      <c r="G684" s="123"/>
      <c r="H684" s="123"/>
      <c r="I684" s="123"/>
      <c r="J684" s="123"/>
      <c r="K684" s="123"/>
      <c r="L684" s="123"/>
    </row>
    <row r="685" spans="1:12" x14ac:dyDescent="0.2">
      <c r="A685" s="276"/>
      <c r="B685" s="276"/>
      <c r="C685" s="123"/>
      <c r="D685" s="123"/>
      <c r="E685" s="123"/>
      <c r="F685" s="123"/>
      <c r="G685" s="123"/>
      <c r="H685" s="123"/>
      <c r="I685" s="123"/>
      <c r="J685" s="123"/>
      <c r="K685" s="123"/>
      <c r="L685" s="123"/>
    </row>
    <row r="686" spans="1:12" x14ac:dyDescent="0.2">
      <c r="A686" s="276"/>
      <c r="B686" s="276"/>
      <c r="C686" s="123"/>
      <c r="D686" s="123"/>
      <c r="E686" s="123"/>
      <c r="F686" s="123"/>
      <c r="G686" s="123"/>
      <c r="H686" s="123"/>
      <c r="I686" s="123"/>
      <c r="J686" s="123"/>
      <c r="K686" s="123"/>
      <c r="L686" s="123"/>
    </row>
    <row r="687" spans="1:12" x14ac:dyDescent="0.2">
      <c r="A687" s="276"/>
      <c r="B687" s="276"/>
      <c r="C687" s="123"/>
      <c r="D687" s="123"/>
      <c r="E687" s="123"/>
      <c r="F687" s="123"/>
      <c r="G687" s="123"/>
      <c r="H687" s="123"/>
      <c r="I687" s="123"/>
      <c r="J687" s="123"/>
      <c r="K687" s="123"/>
      <c r="L687" s="123"/>
    </row>
    <row r="688" spans="1:12" x14ac:dyDescent="0.2">
      <c r="A688" s="276"/>
      <c r="B688" s="276"/>
      <c r="C688" s="123"/>
      <c r="D688" s="123"/>
      <c r="E688" s="123"/>
      <c r="F688" s="123"/>
      <c r="G688" s="123"/>
      <c r="H688" s="123"/>
      <c r="I688" s="123"/>
      <c r="J688" s="123"/>
      <c r="K688" s="123"/>
      <c r="L688" s="123"/>
    </row>
  </sheetData>
  <sheetProtection algorithmName="SHA-512" hashValue="W4eGfscG4Xho1ZDcdZvp3J7nRb8pY1H4V915H+Jp/TnWYA+vJfVWQ1hgn17eZMsgzt/zbGNM4Qf82wivooWaQA==" saltValue="P/c6dBBJ45uLpoMZLTknWg==" spinCount="100000" sheet="1" objects="1" scenarios="1"/>
  <mergeCells count="108">
    <mergeCell ref="Q63:S63"/>
    <mergeCell ref="Q64:S64"/>
    <mergeCell ref="Q65:S65"/>
    <mergeCell ref="Q66:S66"/>
    <mergeCell ref="Q74:S74"/>
    <mergeCell ref="Q75:S75"/>
    <mergeCell ref="Q76:S76"/>
    <mergeCell ref="Q77:S77"/>
    <mergeCell ref="Q68:S68"/>
    <mergeCell ref="Q69:S69"/>
    <mergeCell ref="Q70:S70"/>
    <mergeCell ref="Q71:S71"/>
    <mergeCell ref="Q72:S72"/>
    <mergeCell ref="Q83:S84"/>
    <mergeCell ref="Q35:S36"/>
    <mergeCell ref="T35:U35"/>
    <mergeCell ref="T83:U83"/>
    <mergeCell ref="Q78:S78"/>
    <mergeCell ref="Q79:S79"/>
    <mergeCell ref="Q80:S80"/>
    <mergeCell ref="Q81:S81"/>
    <mergeCell ref="Q82:S82"/>
    <mergeCell ref="Q73:S73"/>
    <mergeCell ref="Q53:S53"/>
    <mergeCell ref="Q54:S54"/>
    <mergeCell ref="Q55:S55"/>
    <mergeCell ref="Q56:S56"/>
    <mergeCell ref="Q57:S57"/>
    <mergeCell ref="Q48:S48"/>
    <mergeCell ref="Q49:S49"/>
    <mergeCell ref="Q50:S50"/>
    <mergeCell ref="Q51:S51"/>
    <mergeCell ref="Q52:S52"/>
    <mergeCell ref="Q44:S44"/>
    <mergeCell ref="Q45:S45"/>
    <mergeCell ref="Q46:S46"/>
    <mergeCell ref="Q67:S67"/>
    <mergeCell ref="Q58:S58"/>
    <mergeCell ref="Q59:S59"/>
    <mergeCell ref="Q60:S60"/>
    <mergeCell ref="Q61:S61"/>
    <mergeCell ref="Q62:S62"/>
    <mergeCell ref="Q47:S47"/>
    <mergeCell ref="Q38:S38"/>
    <mergeCell ref="Q39:S39"/>
    <mergeCell ref="Q40:S40"/>
    <mergeCell ref="Q41:S41"/>
    <mergeCell ref="Q42:S42"/>
    <mergeCell ref="Q43:S43"/>
    <mergeCell ref="A35:A36"/>
    <mergeCell ref="A116:E117"/>
    <mergeCell ref="H213:H217"/>
    <mergeCell ref="H218:H222"/>
    <mergeCell ref="H223:H230"/>
    <mergeCell ref="A124:B125"/>
    <mergeCell ref="H174:H189"/>
    <mergeCell ref="H190:H195"/>
    <mergeCell ref="H196:H201"/>
    <mergeCell ref="H202:H208"/>
    <mergeCell ref="H209:H212"/>
    <mergeCell ref="C95:E95"/>
    <mergeCell ref="F95:H95"/>
    <mergeCell ref="C124:E124"/>
    <mergeCell ref="A130:E131"/>
    <mergeCell ref="A157:B159"/>
    <mergeCell ref="A118:E119"/>
    <mergeCell ref="A120:E121"/>
    <mergeCell ref="D83:O83"/>
    <mergeCell ref="A95:B97"/>
    <mergeCell ref="P83:P84"/>
    <mergeCell ref="A86:J87"/>
    <mergeCell ref="H157:H159"/>
    <mergeCell ref="C157:G157"/>
    <mergeCell ref="H160:H165"/>
    <mergeCell ref="H166:H173"/>
    <mergeCell ref="C4:E4"/>
    <mergeCell ref="A25:E26"/>
    <mergeCell ref="A29:E32"/>
    <mergeCell ref="A83:A84"/>
    <mergeCell ref="B83:C83"/>
    <mergeCell ref="E158:F158"/>
    <mergeCell ref="C159:D159"/>
    <mergeCell ref="C158:D158"/>
    <mergeCell ref="C5:E5"/>
    <mergeCell ref="A4:B6"/>
    <mergeCell ref="A112:E112"/>
    <mergeCell ref="A113:E113"/>
    <mergeCell ref="A114:E115"/>
    <mergeCell ref="B35:C35"/>
    <mergeCell ref="D35:O35"/>
    <mergeCell ref="A134:C135"/>
    <mergeCell ref="A152:D154"/>
    <mergeCell ref="P35:P36"/>
    <mergeCell ref="B256:C256"/>
    <mergeCell ref="B257:C257"/>
    <mergeCell ref="A242:G244"/>
    <mergeCell ref="A245:G246"/>
    <mergeCell ref="E159:F159"/>
    <mergeCell ref="A264:A265"/>
    <mergeCell ref="B264:C264"/>
    <mergeCell ref="B265:C265"/>
    <mergeCell ref="A276:C277"/>
    <mergeCell ref="A254:D254"/>
    <mergeCell ref="B255:C255"/>
    <mergeCell ref="A232:G232"/>
    <mergeCell ref="A234:G234"/>
    <mergeCell ref="A239:G241"/>
    <mergeCell ref="A235:G235"/>
  </mergeCells>
  <pageMargins left="0.7" right="0.7" top="0.75" bottom="0.75" header="0.3" footer="0.3"/>
  <pageSetup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198"/>
  <sheetViews>
    <sheetView showGridLines="0" topLeftCell="A3" workbookViewId="0">
      <selection activeCell="A3" sqref="A3"/>
    </sheetView>
  </sheetViews>
  <sheetFormatPr defaultColWidth="8.85546875" defaultRowHeight="12" x14ac:dyDescent="0.2"/>
  <cols>
    <col min="1" max="1" width="44.42578125" style="48" bestFit="1" customWidth="1"/>
    <col min="2" max="2" width="15.7109375" style="48" bestFit="1" customWidth="1"/>
    <col min="3" max="3" width="10" style="48" customWidth="1"/>
    <col min="4" max="4" width="10.42578125" style="48" customWidth="1"/>
    <col min="5" max="5" width="12.42578125" style="48" customWidth="1"/>
    <col min="6" max="6" width="15.7109375" style="48" bestFit="1" customWidth="1"/>
    <col min="7" max="8" width="8.85546875" style="48"/>
    <col min="9" max="9" width="13.42578125" style="48" bestFit="1" customWidth="1"/>
    <col min="10" max="10" width="13.7109375" style="48" bestFit="1" customWidth="1"/>
    <col min="11" max="11" width="11.42578125" style="48" customWidth="1"/>
    <col min="12" max="12" width="12.85546875" style="77" customWidth="1"/>
    <col min="13" max="13" width="47" style="48" customWidth="1"/>
    <col min="14" max="16384" width="8.85546875" style="48"/>
  </cols>
  <sheetData>
    <row r="1" spans="1:13" hidden="1" x14ac:dyDescent="0.2">
      <c r="B1" s="48">
        <v>1</v>
      </c>
      <c r="C1" s="48">
        <v>2</v>
      </c>
      <c r="D1" s="48">
        <v>3</v>
      </c>
      <c r="E1" s="48">
        <v>4</v>
      </c>
      <c r="F1" s="48">
        <v>5</v>
      </c>
      <c r="G1" s="48">
        <v>6</v>
      </c>
      <c r="H1" s="48">
        <v>7</v>
      </c>
      <c r="I1" s="48">
        <v>8</v>
      </c>
      <c r="J1" s="48">
        <v>9</v>
      </c>
      <c r="K1" s="48">
        <v>10</v>
      </c>
      <c r="L1" s="48">
        <v>11</v>
      </c>
      <c r="M1" s="48">
        <v>12</v>
      </c>
    </row>
    <row r="2" spans="1:13" hidden="1" x14ac:dyDescent="0.2">
      <c r="A2" s="48">
        <v>1</v>
      </c>
      <c r="B2" s="48">
        <v>2</v>
      </c>
      <c r="C2" s="48">
        <v>3</v>
      </c>
      <c r="D2" s="48">
        <v>4</v>
      </c>
      <c r="E2" s="48">
        <v>5</v>
      </c>
      <c r="F2" s="48">
        <v>6</v>
      </c>
      <c r="G2" s="48">
        <v>7</v>
      </c>
      <c r="H2" s="48">
        <v>8</v>
      </c>
      <c r="I2" s="48">
        <v>9</v>
      </c>
      <c r="J2" s="48">
        <v>10</v>
      </c>
      <c r="K2" s="48">
        <v>11</v>
      </c>
      <c r="L2" s="48">
        <v>12</v>
      </c>
      <c r="M2" s="48">
        <v>13</v>
      </c>
    </row>
    <row r="3" spans="1:13" s="22" customFormat="1" ht="21" x14ac:dyDescent="0.3">
      <c r="A3" s="21" t="s">
        <v>803</v>
      </c>
    </row>
    <row r="4" spans="1:13" ht="17.25" customHeight="1" x14ac:dyDescent="0.2">
      <c r="A4" s="486" t="s">
        <v>382</v>
      </c>
      <c r="B4" s="443" t="s">
        <v>381</v>
      </c>
      <c r="C4" s="490" t="s">
        <v>380</v>
      </c>
      <c r="D4" s="490" t="s">
        <v>795</v>
      </c>
      <c r="E4" s="490" t="s">
        <v>379</v>
      </c>
      <c r="F4" s="441" t="s">
        <v>796</v>
      </c>
      <c r="G4" s="487"/>
      <c r="H4" s="487"/>
      <c r="I4" s="487"/>
      <c r="J4" s="442"/>
      <c r="K4" s="490" t="s">
        <v>378</v>
      </c>
      <c r="L4" s="443" t="s">
        <v>481</v>
      </c>
      <c r="M4" s="486" t="s">
        <v>382</v>
      </c>
    </row>
    <row r="5" spans="1:13" x14ac:dyDescent="0.2">
      <c r="A5" s="486"/>
      <c r="B5" s="443"/>
      <c r="C5" s="490"/>
      <c r="D5" s="490"/>
      <c r="E5" s="490"/>
      <c r="F5" s="441" t="s">
        <v>377</v>
      </c>
      <c r="G5" s="487"/>
      <c r="H5" s="442"/>
      <c r="I5" s="488" t="s">
        <v>797</v>
      </c>
      <c r="J5" s="489"/>
      <c r="K5" s="490"/>
      <c r="L5" s="443"/>
      <c r="M5" s="486"/>
    </row>
    <row r="6" spans="1:13" ht="15" customHeight="1" x14ac:dyDescent="0.2">
      <c r="A6" s="486"/>
      <c r="B6" s="443"/>
      <c r="C6" s="490"/>
      <c r="D6" s="490"/>
      <c r="E6" s="490"/>
      <c r="F6" s="153" t="s">
        <v>376</v>
      </c>
      <c r="G6" s="153" t="s">
        <v>375</v>
      </c>
      <c r="H6" s="153" t="s">
        <v>374</v>
      </c>
      <c r="I6" s="246" t="s">
        <v>373</v>
      </c>
      <c r="J6" s="246" t="s">
        <v>372</v>
      </c>
      <c r="K6" s="490"/>
      <c r="L6" s="443"/>
      <c r="M6" s="486"/>
    </row>
    <row r="7" spans="1:13" x14ac:dyDescent="0.2">
      <c r="A7" s="155" t="s">
        <v>371</v>
      </c>
      <c r="B7" s="260" t="s">
        <v>370</v>
      </c>
      <c r="C7" s="127">
        <v>44.05</v>
      </c>
      <c r="D7" s="304">
        <v>6.54</v>
      </c>
      <c r="E7" s="127">
        <v>12.19</v>
      </c>
      <c r="F7" s="127">
        <v>8.0630000000000006</v>
      </c>
      <c r="G7" s="305">
        <v>1637.1</v>
      </c>
      <c r="H7" s="127">
        <v>295.47000000000003</v>
      </c>
      <c r="I7" s="127">
        <v>32</v>
      </c>
      <c r="J7" s="127">
        <v>94</v>
      </c>
      <c r="K7" s="127">
        <v>69</v>
      </c>
      <c r="L7" s="154" t="s">
        <v>479</v>
      </c>
      <c r="M7" s="155" t="s">
        <v>371</v>
      </c>
    </row>
    <row r="8" spans="1:13" x14ac:dyDescent="0.2">
      <c r="A8" s="155" t="s">
        <v>369</v>
      </c>
      <c r="B8" s="260" t="s">
        <v>368</v>
      </c>
      <c r="C8" s="127">
        <v>60.05</v>
      </c>
      <c r="D8" s="304">
        <v>8.7200000000000006</v>
      </c>
      <c r="E8" s="127">
        <v>0.17599999999999999</v>
      </c>
      <c r="F8" s="127">
        <v>7.5570000000000004</v>
      </c>
      <c r="G8" s="305">
        <v>1642.5</v>
      </c>
      <c r="H8" s="127">
        <v>233.39</v>
      </c>
      <c r="I8" s="127">
        <v>63</v>
      </c>
      <c r="J8" s="127">
        <v>244</v>
      </c>
      <c r="K8" s="127">
        <v>244</v>
      </c>
      <c r="L8" s="154" t="s">
        <v>480</v>
      </c>
      <c r="M8" s="155" t="s">
        <v>369</v>
      </c>
    </row>
    <row r="9" spans="1:13" x14ac:dyDescent="0.2">
      <c r="A9" s="155" t="s">
        <v>367</v>
      </c>
      <c r="B9" s="260" t="s">
        <v>366</v>
      </c>
      <c r="C9" s="127">
        <v>102.09</v>
      </c>
      <c r="D9" s="304">
        <v>9.0299999999999994</v>
      </c>
      <c r="E9" s="127">
        <v>5.2999999999999999E-2</v>
      </c>
      <c r="F9" s="127">
        <v>7.1219999999999999</v>
      </c>
      <c r="G9" s="305">
        <v>1427.8</v>
      </c>
      <c r="H9" s="127">
        <v>198.04</v>
      </c>
      <c r="I9" s="127">
        <v>145</v>
      </c>
      <c r="J9" s="127">
        <v>283</v>
      </c>
      <c r="K9" s="127">
        <v>282</v>
      </c>
      <c r="L9" s="154" t="s">
        <v>480</v>
      </c>
      <c r="M9" s="155" t="s">
        <v>367</v>
      </c>
    </row>
    <row r="10" spans="1:13" x14ac:dyDescent="0.2">
      <c r="A10" s="155" t="s">
        <v>365</v>
      </c>
      <c r="B10" s="260" t="s">
        <v>364</v>
      </c>
      <c r="C10" s="127">
        <v>58.08</v>
      </c>
      <c r="D10" s="304">
        <v>6.55</v>
      </c>
      <c r="E10" s="127">
        <v>2.9209999999999998</v>
      </c>
      <c r="F10" s="127">
        <v>7.3</v>
      </c>
      <c r="G10" s="305">
        <v>1312.3</v>
      </c>
      <c r="H10" s="127">
        <v>240.71</v>
      </c>
      <c r="I10" s="127">
        <v>7</v>
      </c>
      <c r="J10" s="127">
        <v>454</v>
      </c>
      <c r="K10" s="127">
        <v>133</v>
      </c>
      <c r="L10" s="154" t="s">
        <v>480</v>
      </c>
      <c r="M10" s="155" t="s">
        <v>365</v>
      </c>
    </row>
    <row r="11" spans="1:13" x14ac:dyDescent="0.2">
      <c r="A11" s="155" t="s">
        <v>363</v>
      </c>
      <c r="B11" s="260" t="s">
        <v>362</v>
      </c>
      <c r="C11" s="127">
        <v>41.05</v>
      </c>
      <c r="D11" s="304">
        <v>6.56</v>
      </c>
      <c r="E11" s="127">
        <v>1.0900000000000001</v>
      </c>
      <c r="F11" s="127">
        <v>7.1539999999999999</v>
      </c>
      <c r="G11" s="305">
        <v>1355.4</v>
      </c>
      <c r="H11" s="127">
        <v>235.3</v>
      </c>
      <c r="I11" s="127">
        <v>59</v>
      </c>
      <c r="J11" s="127">
        <v>192</v>
      </c>
      <c r="K11" s="127">
        <v>179</v>
      </c>
      <c r="L11" s="154" t="s">
        <v>479</v>
      </c>
      <c r="M11" s="155" t="s">
        <v>363</v>
      </c>
    </row>
    <row r="12" spans="1:13" x14ac:dyDescent="0.2">
      <c r="A12" s="155" t="s">
        <v>361</v>
      </c>
      <c r="B12" s="260" t="s">
        <v>360</v>
      </c>
      <c r="C12" s="127">
        <v>71.08</v>
      </c>
      <c r="D12" s="304">
        <v>9.36</v>
      </c>
      <c r="E12" s="306">
        <v>8.5699999999999996E-5</v>
      </c>
      <c r="F12" s="127">
        <v>11.292999999999999</v>
      </c>
      <c r="G12" s="305">
        <v>3939.9</v>
      </c>
      <c r="H12" s="127">
        <v>273.16000000000003</v>
      </c>
      <c r="I12" s="127"/>
      <c r="J12" s="127"/>
      <c r="K12" s="127">
        <v>379</v>
      </c>
      <c r="L12" s="154" t="s">
        <v>479</v>
      </c>
      <c r="M12" s="155" t="s">
        <v>361</v>
      </c>
    </row>
    <row r="13" spans="1:13" x14ac:dyDescent="0.2">
      <c r="A13" s="155" t="s">
        <v>359</v>
      </c>
      <c r="B13" s="260" t="s">
        <v>358</v>
      </c>
      <c r="C13" s="127">
        <v>72.06</v>
      </c>
      <c r="D13" s="304">
        <v>8.77</v>
      </c>
      <c r="E13" s="127">
        <v>1.3440000000000001</v>
      </c>
      <c r="F13" s="127">
        <v>5.6520000000000001</v>
      </c>
      <c r="G13" s="127">
        <v>648.6</v>
      </c>
      <c r="H13" s="127">
        <v>154.68</v>
      </c>
      <c r="I13" s="127">
        <v>68</v>
      </c>
      <c r="J13" s="127">
        <v>158</v>
      </c>
      <c r="K13" s="127">
        <v>282</v>
      </c>
      <c r="L13" s="154" t="s">
        <v>479</v>
      </c>
      <c r="M13" s="155" t="s">
        <v>359</v>
      </c>
    </row>
    <row r="14" spans="1:13" x14ac:dyDescent="0.2">
      <c r="A14" s="155" t="s">
        <v>357</v>
      </c>
      <c r="B14" s="260" t="s">
        <v>356</v>
      </c>
      <c r="C14" s="127">
        <v>53.06</v>
      </c>
      <c r="D14" s="304">
        <v>6.73</v>
      </c>
      <c r="E14" s="127">
        <v>1.383</v>
      </c>
      <c r="F14" s="127">
        <v>6.9420000000000002</v>
      </c>
      <c r="G14" s="305">
        <v>1255.9000000000001</v>
      </c>
      <c r="H14" s="127">
        <v>231.3</v>
      </c>
      <c r="I14" s="127">
        <v>-60</v>
      </c>
      <c r="J14" s="127">
        <v>172</v>
      </c>
      <c r="K14" s="127">
        <v>172</v>
      </c>
      <c r="L14" s="154" t="s">
        <v>479</v>
      </c>
      <c r="M14" s="155" t="s">
        <v>357</v>
      </c>
    </row>
    <row r="15" spans="1:13" x14ac:dyDescent="0.2">
      <c r="A15" s="155" t="s">
        <v>355</v>
      </c>
      <c r="B15" s="260" t="s">
        <v>354</v>
      </c>
      <c r="C15" s="127">
        <v>58.08</v>
      </c>
      <c r="D15" s="304">
        <v>7.13</v>
      </c>
      <c r="E15" s="127">
        <v>0.32600000000000001</v>
      </c>
      <c r="F15" s="127">
        <v>11.657999999999999</v>
      </c>
      <c r="G15" s="305">
        <v>4510.2</v>
      </c>
      <c r="H15" s="127">
        <v>416.8</v>
      </c>
      <c r="I15" s="127">
        <v>70</v>
      </c>
      <c r="J15" s="127">
        <v>207</v>
      </c>
      <c r="K15" s="127">
        <v>206</v>
      </c>
      <c r="L15" s="154" t="s">
        <v>480</v>
      </c>
      <c r="M15" s="155" t="s">
        <v>355</v>
      </c>
    </row>
    <row r="16" spans="1:13" x14ac:dyDescent="0.2">
      <c r="A16" s="155" t="s">
        <v>353</v>
      </c>
      <c r="B16" s="260" t="s">
        <v>352</v>
      </c>
      <c r="C16" s="127">
        <v>76.52</v>
      </c>
      <c r="D16" s="304">
        <v>7.83</v>
      </c>
      <c r="E16" s="127">
        <v>4.702</v>
      </c>
      <c r="F16" s="127">
        <v>5.2969999999999997</v>
      </c>
      <c r="G16" s="127">
        <v>418.4</v>
      </c>
      <c r="H16" s="127">
        <v>128.68</v>
      </c>
      <c r="I16" s="127">
        <v>55</v>
      </c>
      <c r="J16" s="127">
        <v>111</v>
      </c>
      <c r="K16" s="127">
        <v>113</v>
      </c>
      <c r="L16" s="154" t="s">
        <v>479</v>
      </c>
      <c r="M16" s="155" t="s">
        <v>353</v>
      </c>
    </row>
    <row r="17" spans="1:13" x14ac:dyDescent="0.2">
      <c r="A17" s="155" t="s">
        <v>351</v>
      </c>
      <c r="B17" s="260" t="s">
        <v>350</v>
      </c>
      <c r="C17" s="127">
        <v>93.13</v>
      </c>
      <c r="D17" s="304">
        <v>8.5299999999999994</v>
      </c>
      <c r="E17" s="127">
        <v>5.7999999999999996E-3</v>
      </c>
      <c r="F17" s="127">
        <v>7.2210000000000001</v>
      </c>
      <c r="G17" s="305">
        <v>1661.9</v>
      </c>
      <c r="H17" s="127">
        <v>199.1</v>
      </c>
      <c r="I17" s="127">
        <v>88</v>
      </c>
      <c r="J17" s="127">
        <v>363</v>
      </c>
      <c r="K17" s="127">
        <v>363</v>
      </c>
      <c r="L17" s="154" t="s">
        <v>479</v>
      </c>
      <c r="M17" s="155" t="s">
        <v>351</v>
      </c>
    </row>
    <row r="18" spans="1:13" x14ac:dyDescent="0.2">
      <c r="A18" s="155" t="s">
        <v>349</v>
      </c>
      <c r="B18" s="260" t="s">
        <v>348</v>
      </c>
      <c r="C18" s="127">
        <v>78.11</v>
      </c>
      <c r="D18" s="304">
        <v>7.32</v>
      </c>
      <c r="E18" s="127">
        <v>1.171</v>
      </c>
      <c r="F18" s="127">
        <v>6.9059999999999997</v>
      </c>
      <c r="G18" s="305">
        <v>1211</v>
      </c>
      <c r="H18" s="127">
        <v>220.79</v>
      </c>
      <c r="I18" s="127">
        <v>46</v>
      </c>
      <c r="J18" s="127">
        <v>217</v>
      </c>
      <c r="K18" s="127">
        <v>176</v>
      </c>
      <c r="L18" s="154" t="s">
        <v>479</v>
      </c>
      <c r="M18" s="155" t="s">
        <v>349</v>
      </c>
    </row>
    <row r="19" spans="1:13" x14ac:dyDescent="0.2">
      <c r="A19" s="155" t="s">
        <v>347</v>
      </c>
      <c r="B19" s="260" t="s">
        <v>346</v>
      </c>
      <c r="C19" s="127">
        <v>228.29</v>
      </c>
      <c r="D19" s="304"/>
      <c r="E19" s="306">
        <v>7.9199999999999995E-10</v>
      </c>
      <c r="F19" s="127">
        <v>11.528</v>
      </c>
      <c r="G19" s="307">
        <v>5461</v>
      </c>
      <c r="H19" s="127">
        <v>273.14999999999998</v>
      </c>
      <c r="I19" s="127">
        <v>219</v>
      </c>
      <c r="J19" s="127">
        <v>260</v>
      </c>
      <c r="K19" s="127">
        <v>820</v>
      </c>
      <c r="L19" s="154" t="s">
        <v>479</v>
      </c>
      <c r="M19" s="155" t="s">
        <v>347</v>
      </c>
    </row>
    <row r="20" spans="1:13" x14ac:dyDescent="0.2">
      <c r="A20" s="155" t="s">
        <v>345</v>
      </c>
      <c r="B20" s="260" t="s">
        <v>344</v>
      </c>
      <c r="C20" s="127">
        <v>252.31</v>
      </c>
      <c r="D20" s="304"/>
      <c r="E20" s="306">
        <v>2.29E-11</v>
      </c>
      <c r="F20" s="127">
        <v>12.481999999999999</v>
      </c>
      <c r="G20" s="307">
        <v>6181</v>
      </c>
      <c r="H20" s="127">
        <v>273.14999999999998</v>
      </c>
      <c r="I20" s="127">
        <v>185</v>
      </c>
      <c r="J20" s="127">
        <v>316</v>
      </c>
      <c r="K20" s="127">
        <v>923</v>
      </c>
      <c r="L20" s="154" t="s">
        <v>479</v>
      </c>
      <c r="M20" s="155" t="s">
        <v>345</v>
      </c>
    </row>
    <row r="21" spans="1:13" x14ac:dyDescent="0.2">
      <c r="A21" s="155" t="s">
        <v>343</v>
      </c>
      <c r="B21" s="260" t="s">
        <v>342</v>
      </c>
      <c r="C21" s="127">
        <v>276.33</v>
      </c>
      <c r="D21" s="304"/>
      <c r="E21" s="306">
        <v>2.07E-13</v>
      </c>
      <c r="F21" s="127">
        <v>11.82</v>
      </c>
      <c r="G21" s="307">
        <v>6580</v>
      </c>
      <c r="H21" s="127">
        <v>273.14999999999998</v>
      </c>
      <c r="I21" s="127">
        <v>391</v>
      </c>
      <c r="J21" s="127">
        <v>513</v>
      </c>
      <c r="K21" s="127"/>
      <c r="L21" s="154" t="s">
        <v>479</v>
      </c>
      <c r="M21" s="155" t="s">
        <v>343</v>
      </c>
    </row>
    <row r="22" spans="1:13" ht="16.5" customHeight="1" x14ac:dyDescent="0.2">
      <c r="A22" s="155" t="s">
        <v>341</v>
      </c>
      <c r="B22" s="260" t="s">
        <v>340</v>
      </c>
      <c r="C22" s="127">
        <v>154.21</v>
      </c>
      <c r="D22" s="304">
        <v>8.68</v>
      </c>
      <c r="E22" s="306">
        <v>2.3699999999999999E-4</v>
      </c>
      <c r="F22" s="127">
        <v>7.2450000000000001</v>
      </c>
      <c r="G22" s="305">
        <v>1998.7</v>
      </c>
      <c r="H22" s="127">
        <v>202.73</v>
      </c>
      <c r="I22" s="127">
        <v>156</v>
      </c>
      <c r="J22" s="127">
        <v>520</v>
      </c>
      <c r="K22" s="127">
        <v>489</v>
      </c>
      <c r="L22" s="154" t="s">
        <v>479</v>
      </c>
      <c r="M22" s="155" t="s">
        <v>341</v>
      </c>
    </row>
    <row r="23" spans="1:13" ht="16.5" customHeight="1" x14ac:dyDescent="0.2">
      <c r="A23" s="70" t="s">
        <v>798</v>
      </c>
      <c r="B23" s="260" t="s">
        <v>616</v>
      </c>
      <c r="C23" s="127">
        <v>122.99</v>
      </c>
      <c r="D23" s="308">
        <v>11.3</v>
      </c>
      <c r="E23" s="127"/>
      <c r="F23" s="251">
        <v>7.0376599999999998</v>
      </c>
      <c r="G23" s="309">
        <v>1259.836</v>
      </c>
      <c r="H23" s="304">
        <v>232.042</v>
      </c>
      <c r="I23" s="127">
        <v>-63</v>
      </c>
      <c r="J23" s="127">
        <v>159</v>
      </c>
      <c r="K23" s="310">
        <v>159.80000000000001</v>
      </c>
      <c r="L23" s="154" t="s">
        <v>479</v>
      </c>
      <c r="M23" s="155" t="s">
        <v>799</v>
      </c>
    </row>
    <row r="24" spans="1:13" x14ac:dyDescent="0.2">
      <c r="A24" s="155" t="s">
        <v>339</v>
      </c>
      <c r="B24" s="260" t="s">
        <v>338</v>
      </c>
      <c r="C24" s="127">
        <v>54.09</v>
      </c>
      <c r="D24" s="304">
        <v>5.13</v>
      </c>
      <c r="E24" s="127">
        <v>30.22</v>
      </c>
      <c r="F24" s="127">
        <v>6.8730000000000002</v>
      </c>
      <c r="G24" s="127">
        <v>941.7</v>
      </c>
      <c r="H24" s="127">
        <v>240.4</v>
      </c>
      <c r="I24" s="127">
        <v>-104</v>
      </c>
      <c r="J24" s="127">
        <v>29</v>
      </c>
      <c r="K24" s="127">
        <v>24</v>
      </c>
      <c r="L24" s="154" t="s">
        <v>479</v>
      </c>
      <c r="M24" s="155" t="s">
        <v>339</v>
      </c>
    </row>
    <row r="25" spans="1:13" x14ac:dyDescent="0.2">
      <c r="A25" s="155" t="s">
        <v>337</v>
      </c>
      <c r="B25" s="260" t="s">
        <v>336</v>
      </c>
      <c r="C25" s="127">
        <v>58.12</v>
      </c>
      <c r="D25" s="304">
        <v>4.78</v>
      </c>
      <c r="E25" s="127">
        <v>25.67</v>
      </c>
      <c r="F25" s="127">
        <v>6.7249999999999996</v>
      </c>
      <c r="G25" s="127">
        <v>909.7</v>
      </c>
      <c r="H25" s="127">
        <v>237</v>
      </c>
      <c r="I25" s="127">
        <v>-108</v>
      </c>
      <c r="J25" s="127">
        <v>31</v>
      </c>
      <c r="K25" s="127">
        <v>32</v>
      </c>
      <c r="L25" s="154" t="s">
        <v>480</v>
      </c>
      <c r="M25" s="155" t="s">
        <v>337</v>
      </c>
    </row>
    <row r="26" spans="1:13" x14ac:dyDescent="0.2">
      <c r="A26" s="155" t="s">
        <v>335</v>
      </c>
      <c r="B26" s="260" t="s">
        <v>334</v>
      </c>
      <c r="C26" s="127">
        <v>56.11</v>
      </c>
      <c r="D26" s="304">
        <v>4.91</v>
      </c>
      <c r="E26" s="127">
        <v>30.83</v>
      </c>
      <c r="F26" s="127">
        <v>7.1219999999999999</v>
      </c>
      <c r="G26" s="305">
        <v>1099.2</v>
      </c>
      <c r="H26" s="127">
        <v>264.89</v>
      </c>
      <c r="I26" s="127">
        <v>-108</v>
      </c>
      <c r="J26" s="127">
        <v>25</v>
      </c>
      <c r="K26" s="127">
        <v>21</v>
      </c>
      <c r="L26" s="154" t="s">
        <v>480</v>
      </c>
      <c r="M26" s="155" t="s">
        <v>335</v>
      </c>
    </row>
    <row r="27" spans="1:13" x14ac:dyDescent="0.2">
      <c r="A27" s="155" t="s">
        <v>333</v>
      </c>
      <c r="B27" s="260" t="s">
        <v>332</v>
      </c>
      <c r="C27" s="127">
        <v>56.11</v>
      </c>
      <c r="D27" s="304">
        <v>5.14</v>
      </c>
      <c r="E27" s="127">
        <v>22.62</v>
      </c>
      <c r="F27" s="127">
        <v>6.8630000000000004</v>
      </c>
      <c r="G27" s="127">
        <v>957.1</v>
      </c>
      <c r="H27" s="127">
        <v>236.65</v>
      </c>
      <c r="I27" s="127">
        <v>-94</v>
      </c>
      <c r="J27" s="127">
        <v>73</v>
      </c>
      <c r="K27" s="127">
        <v>39</v>
      </c>
      <c r="L27" s="154" t="s">
        <v>480</v>
      </c>
      <c r="M27" s="155" t="s">
        <v>333</v>
      </c>
    </row>
    <row r="28" spans="1:13" x14ac:dyDescent="0.2">
      <c r="A28" s="155" t="s">
        <v>331</v>
      </c>
      <c r="B28" s="260" t="s">
        <v>330</v>
      </c>
      <c r="C28" s="127">
        <v>70.13</v>
      </c>
      <c r="D28" s="304">
        <v>5.43</v>
      </c>
      <c r="E28" s="127">
        <v>8.2569999999999997</v>
      </c>
      <c r="F28" s="127">
        <v>6.8620000000000001</v>
      </c>
      <c r="G28" s="305">
        <v>1047.8</v>
      </c>
      <c r="H28" s="127">
        <v>232.06</v>
      </c>
      <c r="I28" s="127">
        <v>34</v>
      </c>
      <c r="J28" s="127">
        <v>145</v>
      </c>
      <c r="K28" s="127">
        <v>88</v>
      </c>
      <c r="L28" s="154" t="s">
        <v>480</v>
      </c>
      <c r="M28" s="155" t="s">
        <v>331</v>
      </c>
    </row>
    <row r="29" spans="1:13" x14ac:dyDescent="0.2">
      <c r="A29" s="155" t="s">
        <v>329</v>
      </c>
      <c r="B29" s="260" t="s">
        <v>328</v>
      </c>
      <c r="C29" s="127">
        <v>56.11</v>
      </c>
      <c r="D29" s="304">
        <v>5</v>
      </c>
      <c r="E29" s="127">
        <v>24.97</v>
      </c>
      <c r="F29" s="127">
        <v>6.9189999999999996</v>
      </c>
      <c r="G29" s="127">
        <v>982.2</v>
      </c>
      <c r="H29" s="127">
        <v>242.38</v>
      </c>
      <c r="I29" s="127">
        <v>-97</v>
      </c>
      <c r="J29" s="127">
        <v>34</v>
      </c>
      <c r="K29" s="127">
        <v>34</v>
      </c>
      <c r="L29" s="154" t="s">
        <v>480</v>
      </c>
      <c r="M29" s="155" t="s">
        <v>329</v>
      </c>
    </row>
    <row r="30" spans="1:13" x14ac:dyDescent="0.2">
      <c r="A30" s="155" t="s">
        <v>327</v>
      </c>
      <c r="B30" s="260" t="s">
        <v>326</v>
      </c>
      <c r="C30" s="127">
        <v>74.12</v>
      </c>
      <c r="D30" s="304">
        <v>6.76</v>
      </c>
      <c r="E30" s="127">
        <v>6.2E-2</v>
      </c>
      <c r="F30" s="127">
        <v>7.4210000000000003</v>
      </c>
      <c r="G30" s="305">
        <v>1351.6</v>
      </c>
      <c r="H30" s="127">
        <v>179.81</v>
      </c>
      <c r="I30" s="127">
        <v>73</v>
      </c>
      <c r="J30" s="127">
        <v>244</v>
      </c>
      <c r="K30" s="127">
        <v>243</v>
      </c>
      <c r="L30" s="154" t="s">
        <v>480</v>
      </c>
      <c r="M30" s="155" t="s">
        <v>327</v>
      </c>
    </row>
    <row r="31" spans="1:13" x14ac:dyDescent="0.2">
      <c r="A31" s="155" t="s">
        <v>325</v>
      </c>
      <c r="B31" s="260" t="s">
        <v>324</v>
      </c>
      <c r="C31" s="127">
        <v>74.12</v>
      </c>
      <c r="D31" s="304">
        <v>6.58</v>
      </c>
      <c r="E31" s="127">
        <v>0.42399999999999999</v>
      </c>
      <c r="F31" s="127">
        <v>7.3730000000000002</v>
      </c>
      <c r="G31" s="305">
        <v>1174.9000000000001</v>
      </c>
      <c r="H31" s="127">
        <v>179.23</v>
      </c>
      <c r="I31" s="127">
        <v>103</v>
      </c>
      <c r="J31" s="127">
        <v>180</v>
      </c>
      <c r="K31" s="127">
        <v>180</v>
      </c>
      <c r="L31" s="154" t="s">
        <v>480</v>
      </c>
      <c r="M31" s="155" t="s">
        <v>325</v>
      </c>
    </row>
    <row r="32" spans="1:13" x14ac:dyDescent="0.2">
      <c r="A32" s="155" t="s">
        <v>323</v>
      </c>
      <c r="B32" s="260" t="s">
        <v>322</v>
      </c>
      <c r="C32" s="127">
        <v>92.57</v>
      </c>
      <c r="D32" s="304">
        <v>7.4</v>
      </c>
      <c r="E32" s="127">
        <v>1.2549999999999999</v>
      </c>
      <c r="F32" s="127">
        <v>6.8710000000000004</v>
      </c>
      <c r="G32" s="305">
        <v>1182.9000000000001</v>
      </c>
      <c r="H32" s="127">
        <v>218.27</v>
      </c>
      <c r="I32" s="127">
        <v>2</v>
      </c>
      <c r="J32" s="127">
        <v>173</v>
      </c>
      <c r="K32" s="127">
        <v>170</v>
      </c>
      <c r="L32" s="154" t="s">
        <v>480</v>
      </c>
      <c r="M32" s="155" t="s">
        <v>323</v>
      </c>
    </row>
    <row r="33" spans="1:13" x14ac:dyDescent="0.2">
      <c r="A33" s="155" t="s">
        <v>321</v>
      </c>
      <c r="B33" s="260" t="s">
        <v>320</v>
      </c>
      <c r="C33" s="127">
        <v>130.22999999999999</v>
      </c>
      <c r="D33" s="304">
        <v>6.39</v>
      </c>
      <c r="E33" s="127">
        <v>0.38100000000000001</v>
      </c>
      <c r="F33" s="127">
        <v>6.59</v>
      </c>
      <c r="G33" s="305">
        <v>1157.7</v>
      </c>
      <c r="H33" s="127">
        <v>203.05</v>
      </c>
      <c r="I33" s="127">
        <v>39</v>
      </c>
      <c r="J33" s="127">
        <v>228</v>
      </c>
      <c r="K33" s="127">
        <v>224</v>
      </c>
      <c r="L33" s="154" t="s">
        <v>480</v>
      </c>
      <c r="M33" s="155" t="s">
        <v>321</v>
      </c>
    </row>
    <row r="34" spans="1:13" x14ac:dyDescent="0.2">
      <c r="A34" s="155" t="s">
        <v>319</v>
      </c>
      <c r="B34" s="260" t="s">
        <v>318</v>
      </c>
      <c r="C34" s="127">
        <v>76.14</v>
      </c>
      <c r="D34" s="304">
        <v>10.5</v>
      </c>
      <c r="E34" s="127">
        <v>4.8170000000000002</v>
      </c>
      <c r="F34" s="127">
        <v>6.9420000000000002</v>
      </c>
      <c r="G34" s="305">
        <v>1168.5999999999999</v>
      </c>
      <c r="H34" s="127">
        <v>241.53</v>
      </c>
      <c r="I34" s="127">
        <v>38</v>
      </c>
      <c r="J34" s="127">
        <v>176</v>
      </c>
      <c r="K34" s="127">
        <v>115</v>
      </c>
      <c r="L34" s="154" t="s">
        <v>479</v>
      </c>
      <c r="M34" s="155" t="s">
        <v>319</v>
      </c>
    </row>
    <row r="35" spans="1:13" x14ac:dyDescent="0.2">
      <c r="A35" s="155" t="s">
        <v>317</v>
      </c>
      <c r="B35" s="260" t="s">
        <v>316</v>
      </c>
      <c r="C35" s="127">
        <v>153.82</v>
      </c>
      <c r="D35" s="304">
        <v>13.3</v>
      </c>
      <c r="E35" s="127">
        <v>1.431</v>
      </c>
      <c r="F35" s="127">
        <v>6.8979999999999997</v>
      </c>
      <c r="G35" s="305">
        <v>1221.8</v>
      </c>
      <c r="H35" s="127">
        <v>227.41</v>
      </c>
      <c r="I35" s="127">
        <v>68</v>
      </c>
      <c r="J35" s="127">
        <v>172</v>
      </c>
      <c r="K35" s="127">
        <v>170</v>
      </c>
      <c r="L35" s="154" t="s">
        <v>479</v>
      </c>
      <c r="M35" s="155" t="s">
        <v>317</v>
      </c>
    </row>
    <row r="36" spans="1:13" x14ac:dyDescent="0.2">
      <c r="A36" s="155" t="s">
        <v>315</v>
      </c>
      <c r="B36" s="260" t="s">
        <v>314</v>
      </c>
      <c r="C36" s="127">
        <v>112.56</v>
      </c>
      <c r="D36" s="304">
        <v>9.23</v>
      </c>
      <c r="E36" s="127">
        <v>0.13400000000000001</v>
      </c>
      <c r="F36" s="127">
        <v>6.9859999999999998</v>
      </c>
      <c r="G36" s="305">
        <v>1435.7</v>
      </c>
      <c r="H36" s="127">
        <v>218.03</v>
      </c>
      <c r="I36" s="127">
        <v>144</v>
      </c>
      <c r="J36" s="127">
        <v>269</v>
      </c>
      <c r="K36" s="127">
        <v>269</v>
      </c>
      <c r="L36" s="154" t="s">
        <v>479</v>
      </c>
      <c r="M36" s="155" t="s">
        <v>315</v>
      </c>
    </row>
    <row r="37" spans="1:13" x14ac:dyDescent="0.2">
      <c r="A37" s="155" t="s">
        <v>313</v>
      </c>
      <c r="B37" s="260" t="s">
        <v>312</v>
      </c>
      <c r="C37" s="127">
        <v>92.57</v>
      </c>
      <c r="D37" s="304">
        <v>7.27</v>
      </c>
      <c r="E37" s="127">
        <v>1.2549999999999999</v>
      </c>
      <c r="F37" s="127">
        <v>6.8710000000000004</v>
      </c>
      <c r="G37" s="305">
        <v>1182.9000000000001</v>
      </c>
      <c r="H37" s="127">
        <v>218.27</v>
      </c>
      <c r="I37" s="127">
        <v>2</v>
      </c>
      <c r="J37" s="127">
        <v>173</v>
      </c>
      <c r="K37" s="127">
        <v>170</v>
      </c>
      <c r="L37" s="154" t="s">
        <v>480</v>
      </c>
      <c r="M37" s="155" t="s">
        <v>313</v>
      </c>
    </row>
    <row r="38" spans="1:13" x14ac:dyDescent="0.2">
      <c r="A38" s="155" t="s">
        <v>311</v>
      </c>
      <c r="B38" s="260" t="s">
        <v>310</v>
      </c>
      <c r="C38" s="127">
        <v>119.38</v>
      </c>
      <c r="D38" s="304">
        <v>12.3</v>
      </c>
      <c r="E38" s="127">
        <v>2.468</v>
      </c>
      <c r="F38" s="127">
        <v>7.0830000000000002</v>
      </c>
      <c r="G38" s="305">
        <v>1233.0999999999999</v>
      </c>
      <c r="H38" s="127">
        <v>232.2</v>
      </c>
      <c r="I38" s="127">
        <v>-73</v>
      </c>
      <c r="J38" s="127">
        <v>142</v>
      </c>
      <c r="K38" s="127">
        <v>142</v>
      </c>
      <c r="L38" s="154" t="s">
        <v>479</v>
      </c>
      <c r="M38" s="155" t="s">
        <v>311</v>
      </c>
    </row>
    <row r="39" spans="1:13" x14ac:dyDescent="0.2">
      <c r="A39" s="155" t="s">
        <v>309</v>
      </c>
      <c r="B39" s="260" t="s">
        <v>308</v>
      </c>
      <c r="C39" s="127">
        <v>88.54</v>
      </c>
      <c r="D39" s="304">
        <v>7.98</v>
      </c>
      <c r="E39" s="127">
        <v>2.7360000000000002</v>
      </c>
      <c r="F39" s="127">
        <v>6.2910000000000004</v>
      </c>
      <c r="G39" s="127">
        <v>841.9</v>
      </c>
      <c r="H39" s="127">
        <v>187.79</v>
      </c>
      <c r="I39" s="127">
        <v>68</v>
      </c>
      <c r="J39" s="127">
        <v>140</v>
      </c>
      <c r="K39" s="127">
        <v>140</v>
      </c>
      <c r="L39" s="154" t="s">
        <v>479</v>
      </c>
      <c r="M39" s="155" t="s">
        <v>309</v>
      </c>
    </row>
    <row r="40" spans="1:13" x14ac:dyDescent="0.2">
      <c r="A40" s="155" t="s">
        <v>307</v>
      </c>
      <c r="B40" s="260" t="s">
        <v>306</v>
      </c>
      <c r="C40" s="127">
        <v>126.58</v>
      </c>
      <c r="D40" s="304">
        <v>9.0399999999999991</v>
      </c>
      <c r="E40" s="127">
        <v>3.9E-2</v>
      </c>
      <c r="F40" s="127">
        <v>7.3630000000000004</v>
      </c>
      <c r="G40" s="305">
        <v>1768.1</v>
      </c>
      <c r="H40" s="127">
        <v>234.76</v>
      </c>
      <c r="I40" s="127">
        <v>42</v>
      </c>
      <c r="J40" s="127">
        <v>319</v>
      </c>
      <c r="K40" s="127">
        <v>318</v>
      </c>
      <c r="L40" s="154" t="s">
        <v>480</v>
      </c>
      <c r="M40" s="155" t="s">
        <v>307</v>
      </c>
    </row>
    <row r="41" spans="1:13" x14ac:dyDescent="0.2">
      <c r="A41" s="155" t="s">
        <v>305</v>
      </c>
      <c r="B41" s="260" t="s">
        <v>304</v>
      </c>
      <c r="C41" s="127">
        <v>228.29</v>
      </c>
      <c r="D41" s="304">
        <v>10.6</v>
      </c>
      <c r="E41" s="306">
        <v>1.8599999999999999E-11</v>
      </c>
      <c r="F41" s="127">
        <v>12.32</v>
      </c>
      <c r="G41" s="307">
        <v>6160</v>
      </c>
      <c r="H41" s="127">
        <v>273.14999999999998</v>
      </c>
      <c r="I41" s="127">
        <v>185</v>
      </c>
      <c r="J41" s="127">
        <v>374</v>
      </c>
      <c r="K41" s="127">
        <v>838</v>
      </c>
      <c r="L41" s="154" t="s">
        <v>479</v>
      </c>
      <c r="M41" s="155" t="s">
        <v>305</v>
      </c>
    </row>
    <row r="42" spans="1:13" x14ac:dyDescent="0.2">
      <c r="A42" s="155" t="s">
        <v>303</v>
      </c>
      <c r="B42" s="260" t="s">
        <v>302</v>
      </c>
      <c r="C42" s="127">
        <v>108.14</v>
      </c>
      <c r="D42" s="304">
        <v>8.6300000000000008</v>
      </c>
      <c r="E42" s="127">
        <v>1.2999999999999999E-3</v>
      </c>
      <c r="F42" s="127">
        <v>7.4770000000000003</v>
      </c>
      <c r="G42" s="305">
        <v>1833.1</v>
      </c>
      <c r="H42" s="127">
        <v>196.74</v>
      </c>
      <c r="I42" s="127">
        <v>301</v>
      </c>
      <c r="J42" s="127">
        <v>394</v>
      </c>
      <c r="K42" s="127">
        <v>396</v>
      </c>
      <c r="L42" s="154" t="s">
        <v>479</v>
      </c>
      <c r="M42" s="155" t="s">
        <v>303</v>
      </c>
    </row>
    <row r="43" spans="1:13" x14ac:dyDescent="0.2">
      <c r="A43" s="155" t="s">
        <v>301</v>
      </c>
      <c r="B43" s="260" t="s">
        <v>300</v>
      </c>
      <c r="C43" s="127">
        <v>108.14</v>
      </c>
      <c r="D43" s="304">
        <v>9.4700000000000006</v>
      </c>
      <c r="E43" s="127">
        <v>1.6000000000000001E-3</v>
      </c>
      <c r="F43" s="127">
        <v>6.843</v>
      </c>
      <c r="G43" s="305">
        <v>1391.3</v>
      </c>
      <c r="H43" s="127">
        <v>160.18</v>
      </c>
      <c r="I43" s="127">
        <v>248</v>
      </c>
      <c r="J43" s="127">
        <v>376</v>
      </c>
      <c r="K43" s="127">
        <v>376</v>
      </c>
      <c r="L43" s="154" t="s">
        <v>479</v>
      </c>
      <c r="M43" s="155" t="s">
        <v>301</v>
      </c>
    </row>
    <row r="44" spans="1:13" x14ac:dyDescent="0.2">
      <c r="A44" s="155" t="s">
        <v>299</v>
      </c>
      <c r="B44" s="260" t="s">
        <v>298</v>
      </c>
      <c r="C44" s="127">
        <v>108.14</v>
      </c>
      <c r="D44" s="304">
        <v>8.5</v>
      </c>
      <c r="E44" s="127">
        <v>6.2E-4</v>
      </c>
      <c r="F44" s="127">
        <v>7.016</v>
      </c>
      <c r="G44" s="305">
        <v>1498.6</v>
      </c>
      <c r="H44" s="127">
        <v>160.55000000000001</v>
      </c>
      <c r="I44" s="127">
        <v>262</v>
      </c>
      <c r="J44" s="127">
        <v>395</v>
      </c>
      <c r="K44" s="127">
        <v>395</v>
      </c>
      <c r="L44" s="154" t="s">
        <v>479</v>
      </c>
      <c r="M44" s="155" t="s">
        <v>299</v>
      </c>
    </row>
    <row r="45" spans="1:13" x14ac:dyDescent="0.2">
      <c r="A45" s="155" t="s">
        <v>297</v>
      </c>
      <c r="B45" s="260" t="s">
        <v>296</v>
      </c>
      <c r="C45" s="127">
        <v>84.16</v>
      </c>
      <c r="D45" s="304">
        <v>6.46</v>
      </c>
      <c r="E45" s="127">
        <v>1.212</v>
      </c>
      <c r="F45" s="127">
        <v>6.8449999999999998</v>
      </c>
      <c r="G45" s="305">
        <v>1203.5</v>
      </c>
      <c r="H45" s="127">
        <v>222.86</v>
      </c>
      <c r="I45" s="127">
        <v>68</v>
      </c>
      <c r="J45" s="127">
        <v>179</v>
      </c>
      <c r="K45" s="127">
        <v>177</v>
      </c>
      <c r="L45" s="154" t="s">
        <v>480</v>
      </c>
      <c r="M45" s="155" t="s">
        <v>297</v>
      </c>
    </row>
    <row r="46" spans="1:13" x14ac:dyDescent="0.2">
      <c r="A46" s="155" t="s">
        <v>295</v>
      </c>
      <c r="B46" s="260" t="s">
        <v>294</v>
      </c>
      <c r="C46" s="127">
        <v>100.16</v>
      </c>
      <c r="D46" s="304">
        <v>8.0299999999999994</v>
      </c>
      <c r="E46" s="127">
        <v>8.9999999999999998E-4</v>
      </c>
      <c r="F46" s="127">
        <v>5.9560000000000004</v>
      </c>
      <c r="G46" s="127">
        <v>777.4</v>
      </c>
      <c r="H46" s="127">
        <v>91.11</v>
      </c>
      <c r="I46" s="127">
        <v>201</v>
      </c>
      <c r="J46" s="127">
        <v>321</v>
      </c>
      <c r="K46" s="127">
        <v>320</v>
      </c>
      <c r="L46" s="154" t="s">
        <v>480</v>
      </c>
      <c r="M46" s="155" t="s">
        <v>295</v>
      </c>
    </row>
    <row r="47" spans="1:13" x14ac:dyDescent="0.2">
      <c r="A47" s="155" t="s">
        <v>293</v>
      </c>
      <c r="B47" s="260" t="s">
        <v>292</v>
      </c>
      <c r="C47" s="127">
        <v>98.14</v>
      </c>
      <c r="D47" s="304">
        <v>7.91</v>
      </c>
      <c r="E47" s="127">
        <v>4.1999999999999997E-3</v>
      </c>
      <c r="F47" s="127">
        <v>5.9779999999999998</v>
      </c>
      <c r="G47" s="305">
        <v>1495.5</v>
      </c>
      <c r="H47" s="127">
        <v>209.55</v>
      </c>
      <c r="I47" s="127">
        <v>193</v>
      </c>
      <c r="J47" s="127">
        <v>330</v>
      </c>
      <c r="K47" s="127">
        <v>311</v>
      </c>
      <c r="L47" s="154" t="s">
        <v>480</v>
      </c>
      <c r="M47" s="155" t="s">
        <v>293</v>
      </c>
    </row>
    <row r="48" spans="1:13" x14ac:dyDescent="0.2">
      <c r="A48" s="155" t="s">
        <v>291</v>
      </c>
      <c r="B48" s="260" t="s">
        <v>290</v>
      </c>
      <c r="C48" s="127">
        <v>82.14</v>
      </c>
      <c r="D48" s="304">
        <v>6.77</v>
      </c>
      <c r="E48" s="127">
        <v>0.11</v>
      </c>
      <c r="F48" s="127">
        <v>5.8719999999999999</v>
      </c>
      <c r="G48" s="305">
        <v>1221.9000000000001</v>
      </c>
      <c r="H48" s="127">
        <v>223.17</v>
      </c>
      <c r="I48" s="127">
        <v>98</v>
      </c>
      <c r="J48" s="127">
        <v>196</v>
      </c>
      <c r="K48" s="127">
        <v>181</v>
      </c>
      <c r="L48" s="154" t="s">
        <v>480</v>
      </c>
      <c r="M48" s="155" t="s">
        <v>291</v>
      </c>
    </row>
    <row r="49" spans="1:13" x14ac:dyDescent="0.2">
      <c r="A49" s="155" t="s">
        <v>289</v>
      </c>
      <c r="B49" s="260" t="s">
        <v>288</v>
      </c>
      <c r="C49" s="127">
        <v>70.13</v>
      </c>
      <c r="D49" s="304">
        <v>6.22</v>
      </c>
      <c r="E49" s="127">
        <v>4.1710000000000003</v>
      </c>
      <c r="F49" s="127">
        <v>6.8780000000000001</v>
      </c>
      <c r="G49" s="305">
        <v>1119.2</v>
      </c>
      <c r="H49" s="127">
        <v>230.74</v>
      </c>
      <c r="I49" s="127">
        <v>60</v>
      </c>
      <c r="J49" s="127">
        <v>122</v>
      </c>
      <c r="K49" s="127">
        <v>121</v>
      </c>
      <c r="L49" s="154" t="s">
        <v>480</v>
      </c>
      <c r="M49" s="155" t="s">
        <v>289</v>
      </c>
    </row>
    <row r="50" spans="1:13" x14ac:dyDescent="0.2">
      <c r="A50" s="155" t="s">
        <v>287</v>
      </c>
      <c r="B50" s="260" t="s">
        <v>286</v>
      </c>
      <c r="C50" s="127">
        <v>84.12</v>
      </c>
      <c r="D50" s="304">
        <v>7.92</v>
      </c>
      <c r="E50" s="127">
        <v>0.13</v>
      </c>
      <c r="F50" s="127">
        <v>3.9580000000000002</v>
      </c>
      <c r="G50" s="127">
        <v>376.4</v>
      </c>
      <c r="H50" s="127">
        <v>104.65</v>
      </c>
      <c r="I50" s="127">
        <v>32</v>
      </c>
      <c r="J50" s="127">
        <v>78</v>
      </c>
      <c r="K50" s="127">
        <v>266</v>
      </c>
      <c r="L50" s="154" t="s">
        <v>480</v>
      </c>
      <c r="M50" s="155" t="s">
        <v>287</v>
      </c>
    </row>
    <row r="51" spans="1:13" x14ac:dyDescent="0.2">
      <c r="A51" s="155" t="s">
        <v>285</v>
      </c>
      <c r="B51" s="260" t="s">
        <v>284</v>
      </c>
      <c r="C51" s="127">
        <v>68.12</v>
      </c>
      <c r="D51" s="304">
        <v>6.44</v>
      </c>
      <c r="E51" s="127">
        <v>3.2639999999999998</v>
      </c>
      <c r="F51" s="127">
        <v>6.9210000000000003</v>
      </c>
      <c r="G51" s="305">
        <v>1121.8</v>
      </c>
      <c r="H51" s="127">
        <v>223.45</v>
      </c>
      <c r="I51" s="127"/>
      <c r="J51" s="127"/>
      <c r="K51" s="127">
        <v>111</v>
      </c>
      <c r="L51" s="154" t="s">
        <v>480</v>
      </c>
      <c r="M51" s="155" t="s">
        <v>285</v>
      </c>
    </row>
    <row r="52" spans="1:13" x14ac:dyDescent="0.2">
      <c r="A52" s="155" t="s">
        <v>283</v>
      </c>
      <c r="B52" s="260" t="s">
        <v>282</v>
      </c>
      <c r="C52" s="127">
        <v>142.28</v>
      </c>
      <c r="D52" s="304">
        <v>6.09</v>
      </c>
      <c r="E52" s="127">
        <v>1.0999999999999999E-2</v>
      </c>
      <c r="F52" s="127">
        <v>3.085</v>
      </c>
      <c r="G52" s="127">
        <v>440.6</v>
      </c>
      <c r="H52" s="127">
        <v>116.25</v>
      </c>
      <c r="I52" s="127">
        <v>-21</v>
      </c>
      <c r="J52" s="127">
        <v>99</v>
      </c>
      <c r="K52" s="127">
        <v>345</v>
      </c>
      <c r="L52" s="154" t="s">
        <v>480</v>
      </c>
      <c r="M52" s="155" t="s">
        <v>283</v>
      </c>
    </row>
    <row r="53" spans="1:13" x14ac:dyDescent="0.2">
      <c r="A53" s="155" t="s">
        <v>281</v>
      </c>
      <c r="B53" s="260" t="s">
        <v>280</v>
      </c>
      <c r="C53" s="127">
        <v>201.89</v>
      </c>
      <c r="D53" s="304">
        <v>16.100000000000001</v>
      </c>
      <c r="E53" s="127">
        <v>8.7999999999999995E-2</v>
      </c>
      <c r="F53" s="127">
        <v>7.3140000000000001</v>
      </c>
      <c r="G53" s="305">
        <v>1667</v>
      </c>
      <c r="H53" s="127">
        <v>234.85</v>
      </c>
      <c r="I53" s="127">
        <v>19</v>
      </c>
      <c r="J53" s="127">
        <v>287</v>
      </c>
      <c r="K53" s="127">
        <v>286</v>
      </c>
      <c r="L53" s="154" t="s">
        <v>480</v>
      </c>
      <c r="M53" s="155" t="s">
        <v>281</v>
      </c>
    </row>
    <row r="54" spans="1:13" x14ac:dyDescent="0.2">
      <c r="A54" s="155" t="s">
        <v>279</v>
      </c>
      <c r="B54" s="260" t="s">
        <v>278</v>
      </c>
      <c r="C54" s="127">
        <v>201.89</v>
      </c>
      <c r="D54" s="304">
        <v>16.5</v>
      </c>
      <c r="E54" s="127">
        <v>2.9000000000000001E-2</v>
      </c>
      <c r="F54" s="127">
        <v>7.3090000000000002</v>
      </c>
      <c r="G54" s="305">
        <v>1776.7</v>
      </c>
      <c r="H54" s="127">
        <v>233.46</v>
      </c>
      <c r="I54" s="127">
        <v>49</v>
      </c>
      <c r="J54" s="127">
        <v>333</v>
      </c>
      <c r="K54" s="127">
        <v>314</v>
      </c>
      <c r="L54" s="154" t="s">
        <v>480</v>
      </c>
      <c r="M54" s="155" t="s">
        <v>279</v>
      </c>
    </row>
    <row r="55" spans="1:13" x14ac:dyDescent="0.2">
      <c r="A55" s="155" t="s">
        <v>277</v>
      </c>
      <c r="B55" s="260" t="s">
        <v>276</v>
      </c>
      <c r="C55" s="127">
        <v>98.96</v>
      </c>
      <c r="D55" s="304">
        <v>9.81</v>
      </c>
      <c r="E55" s="127">
        <v>2.863</v>
      </c>
      <c r="F55" s="127">
        <v>7.0970000000000004</v>
      </c>
      <c r="G55" s="305">
        <v>1229.2</v>
      </c>
      <c r="H55" s="127">
        <v>233.95</v>
      </c>
      <c r="I55" s="127">
        <v>-77</v>
      </c>
      <c r="J55" s="127">
        <v>135</v>
      </c>
      <c r="K55" s="127">
        <v>135</v>
      </c>
      <c r="L55" s="154" t="s">
        <v>479</v>
      </c>
      <c r="M55" s="155" t="s">
        <v>277</v>
      </c>
    </row>
    <row r="56" spans="1:13" x14ac:dyDescent="0.2">
      <c r="A56" s="155" t="s">
        <v>275</v>
      </c>
      <c r="B56" s="260" t="s">
        <v>274</v>
      </c>
      <c r="C56" s="127">
        <v>98.96</v>
      </c>
      <c r="D56" s="304">
        <v>10.4</v>
      </c>
      <c r="E56" s="127">
        <v>0.96099999999999997</v>
      </c>
      <c r="F56" s="127">
        <v>7.46</v>
      </c>
      <c r="G56" s="305">
        <v>1521.8</v>
      </c>
      <c r="H56" s="127">
        <v>248.48</v>
      </c>
      <c r="I56" s="127">
        <v>-23</v>
      </c>
      <c r="J56" s="127">
        <v>211</v>
      </c>
      <c r="K56" s="127">
        <v>182</v>
      </c>
      <c r="L56" s="154" t="s">
        <v>479</v>
      </c>
      <c r="M56" s="155" t="s">
        <v>275</v>
      </c>
    </row>
    <row r="57" spans="1:13" x14ac:dyDescent="0.2">
      <c r="A57" s="155" t="s">
        <v>273</v>
      </c>
      <c r="B57" s="260" t="s">
        <v>272</v>
      </c>
      <c r="C57" s="127">
        <v>96.94</v>
      </c>
      <c r="D57" s="304">
        <v>10.7</v>
      </c>
      <c r="E57" s="127">
        <v>2.5790000000000002</v>
      </c>
      <c r="F57" s="127">
        <v>7.0220000000000002</v>
      </c>
      <c r="G57" s="305">
        <v>1205.4000000000001</v>
      </c>
      <c r="H57" s="127">
        <v>230.6</v>
      </c>
      <c r="I57" s="127">
        <v>32</v>
      </c>
      <c r="J57" s="127">
        <v>183</v>
      </c>
      <c r="K57" s="127">
        <v>141</v>
      </c>
      <c r="L57" s="154" t="s">
        <v>480</v>
      </c>
      <c r="M57" s="155" t="s">
        <v>273</v>
      </c>
    </row>
    <row r="58" spans="1:13" x14ac:dyDescent="0.2">
      <c r="A58" s="155" t="s">
        <v>271</v>
      </c>
      <c r="B58" s="260" t="s">
        <v>270</v>
      </c>
      <c r="C58" s="127">
        <v>96.94</v>
      </c>
      <c r="D58" s="304">
        <v>10.4</v>
      </c>
      <c r="E58" s="127">
        <v>4.3330000000000002</v>
      </c>
      <c r="F58" s="127">
        <v>6.9649999999999999</v>
      </c>
      <c r="G58" s="305">
        <v>1141.9000000000001</v>
      </c>
      <c r="H58" s="127">
        <v>231.9</v>
      </c>
      <c r="I58" s="127">
        <v>-36</v>
      </c>
      <c r="J58" s="127">
        <v>185</v>
      </c>
      <c r="K58" s="127">
        <v>118</v>
      </c>
      <c r="L58" s="154" t="s">
        <v>480</v>
      </c>
      <c r="M58" s="155" t="s">
        <v>271</v>
      </c>
    </row>
    <row r="59" spans="1:13" x14ac:dyDescent="0.2">
      <c r="A59" s="155" t="s">
        <v>269</v>
      </c>
      <c r="B59" s="260" t="s">
        <v>268</v>
      </c>
      <c r="C59" s="127">
        <v>161.03</v>
      </c>
      <c r="D59" s="304">
        <v>10.4</v>
      </c>
      <c r="E59" s="127">
        <v>2.8999999999999998E-3</v>
      </c>
      <c r="F59" s="127">
        <v>7.3440000000000003</v>
      </c>
      <c r="G59" s="305">
        <v>1882.5</v>
      </c>
      <c r="H59" s="127">
        <v>215</v>
      </c>
      <c r="I59" s="127">
        <v>32</v>
      </c>
      <c r="J59" s="127">
        <v>221</v>
      </c>
      <c r="K59" s="127">
        <v>408</v>
      </c>
      <c r="L59" s="154" t="s">
        <v>480</v>
      </c>
      <c r="M59" s="155" t="s">
        <v>269</v>
      </c>
    </row>
    <row r="60" spans="1:13" x14ac:dyDescent="0.2">
      <c r="A60" s="155" t="s">
        <v>267</v>
      </c>
      <c r="B60" s="260" t="s">
        <v>266</v>
      </c>
      <c r="C60" s="127">
        <v>118.17</v>
      </c>
      <c r="D60" s="304">
        <v>6.89</v>
      </c>
      <c r="E60" s="127">
        <v>0.307</v>
      </c>
      <c r="F60" s="127">
        <v>7.625</v>
      </c>
      <c r="G60" s="305">
        <v>1574</v>
      </c>
      <c r="H60" s="127">
        <v>229.47</v>
      </c>
      <c r="I60" s="127">
        <v>-10</v>
      </c>
      <c r="J60" s="127">
        <v>216</v>
      </c>
      <c r="K60" s="127">
        <v>212</v>
      </c>
      <c r="L60" s="154" t="s">
        <v>480</v>
      </c>
      <c r="M60" s="155" t="s">
        <v>267</v>
      </c>
    </row>
    <row r="61" spans="1:13" x14ac:dyDescent="0.2">
      <c r="A61" s="155" t="s">
        <v>265</v>
      </c>
      <c r="B61" s="260" t="s">
        <v>264</v>
      </c>
      <c r="C61" s="127">
        <v>104.15</v>
      </c>
      <c r="D61" s="304">
        <v>6.94</v>
      </c>
      <c r="E61" s="127">
        <v>0.81</v>
      </c>
      <c r="F61" s="127">
        <v>6.9859999999999998</v>
      </c>
      <c r="G61" s="305">
        <v>1270.2</v>
      </c>
      <c r="H61" s="127">
        <v>221.26</v>
      </c>
      <c r="I61" s="127">
        <v>32</v>
      </c>
      <c r="J61" s="127">
        <v>167</v>
      </c>
      <c r="K61" s="127">
        <v>191</v>
      </c>
      <c r="L61" s="154" t="s">
        <v>480</v>
      </c>
      <c r="M61" s="155" t="s">
        <v>265</v>
      </c>
    </row>
    <row r="62" spans="1:13" x14ac:dyDescent="0.2">
      <c r="A62" s="155" t="s">
        <v>263</v>
      </c>
      <c r="B62" s="260" t="s">
        <v>262</v>
      </c>
      <c r="C62" s="127">
        <v>149.22999999999999</v>
      </c>
      <c r="D62" s="304">
        <v>7.77</v>
      </c>
      <c r="E62" s="127">
        <v>3.0999999999999999E-3</v>
      </c>
      <c r="F62" s="127">
        <v>8.2579999999999991</v>
      </c>
      <c r="G62" s="305">
        <v>2652.8</v>
      </c>
      <c r="H62" s="127">
        <v>277.32</v>
      </c>
      <c r="I62" s="127">
        <v>122</v>
      </c>
      <c r="J62" s="127">
        <v>425</v>
      </c>
      <c r="K62" s="127">
        <v>422</v>
      </c>
      <c r="L62" s="154" t="s">
        <v>480</v>
      </c>
      <c r="M62" s="155" t="s">
        <v>263</v>
      </c>
    </row>
    <row r="63" spans="1:13" x14ac:dyDescent="0.2">
      <c r="A63" s="155" t="s">
        <v>261</v>
      </c>
      <c r="B63" s="260" t="s">
        <v>260</v>
      </c>
      <c r="C63" s="127">
        <v>86.13</v>
      </c>
      <c r="D63" s="304">
        <v>6.76</v>
      </c>
      <c r="E63" s="127">
        <v>0.42299999999999999</v>
      </c>
      <c r="F63" s="127">
        <v>5.7409999999999997</v>
      </c>
      <c r="G63" s="127">
        <v>716.2</v>
      </c>
      <c r="H63" s="127">
        <v>147.16999999999999</v>
      </c>
      <c r="I63" s="127">
        <v>97</v>
      </c>
      <c r="J63" s="127">
        <v>215</v>
      </c>
      <c r="K63" s="127">
        <v>215</v>
      </c>
      <c r="L63" s="154" t="s">
        <v>480</v>
      </c>
      <c r="M63" s="155" t="s">
        <v>261</v>
      </c>
    </row>
    <row r="64" spans="1:13" x14ac:dyDescent="0.2">
      <c r="A64" s="155" t="s">
        <v>259</v>
      </c>
      <c r="B64" s="260" t="s">
        <v>258</v>
      </c>
      <c r="C64" s="127">
        <v>90.19</v>
      </c>
      <c r="D64" s="304">
        <v>6.98</v>
      </c>
      <c r="E64" s="127">
        <v>0.749</v>
      </c>
      <c r="F64" s="127">
        <v>7.5410000000000004</v>
      </c>
      <c r="G64" s="305">
        <v>1560.5</v>
      </c>
      <c r="H64" s="127">
        <v>246.59</v>
      </c>
      <c r="I64" s="127">
        <v>-39</v>
      </c>
      <c r="J64" s="127">
        <v>190</v>
      </c>
      <c r="K64" s="127">
        <v>197</v>
      </c>
      <c r="L64" s="154" t="s">
        <v>480</v>
      </c>
      <c r="M64" s="155" t="s">
        <v>259</v>
      </c>
    </row>
    <row r="65" spans="1:13" x14ac:dyDescent="0.2">
      <c r="A65" s="155" t="s">
        <v>257</v>
      </c>
      <c r="B65" s="260" t="s">
        <v>256</v>
      </c>
      <c r="C65" s="127">
        <v>73.14</v>
      </c>
      <c r="D65" s="304">
        <v>5.89</v>
      </c>
      <c r="E65" s="127">
        <v>2.7120000000000002</v>
      </c>
      <c r="F65" s="127">
        <v>5.7370000000000001</v>
      </c>
      <c r="G65" s="127">
        <v>559.1</v>
      </c>
      <c r="H65" s="127">
        <v>140.18</v>
      </c>
      <c r="I65" s="127">
        <v>89</v>
      </c>
      <c r="J65" s="127">
        <v>141</v>
      </c>
      <c r="K65" s="127">
        <v>132</v>
      </c>
      <c r="L65" s="154" t="s">
        <v>480</v>
      </c>
      <c r="M65" s="155" t="s">
        <v>257</v>
      </c>
    </row>
    <row r="66" spans="1:13" x14ac:dyDescent="0.2">
      <c r="A66" s="155" t="s">
        <v>255</v>
      </c>
      <c r="B66" s="260" t="s">
        <v>254</v>
      </c>
      <c r="C66" s="127">
        <v>134.22</v>
      </c>
      <c r="D66" s="304">
        <v>7.34</v>
      </c>
      <c r="E66" s="127">
        <v>9.4000000000000004E-3</v>
      </c>
      <c r="F66" s="127">
        <v>6.99</v>
      </c>
      <c r="G66" s="305">
        <v>1577.9</v>
      </c>
      <c r="H66" s="127">
        <v>200.55</v>
      </c>
      <c r="I66" s="127">
        <v>206</v>
      </c>
      <c r="J66" s="127">
        <v>364</v>
      </c>
      <c r="K66" s="127">
        <v>361</v>
      </c>
      <c r="L66" s="154" t="s">
        <v>480</v>
      </c>
      <c r="M66" s="155" t="s">
        <v>255</v>
      </c>
    </row>
    <row r="67" spans="1:13" x14ac:dyDescent="0.2">
      <c r="A67" s="155" t="s">
        <v>253</v>
      </c>
      <c r="B67" s="260" t="s">
        <v>252</v>
      </c>
      <c r="C67" s="127">
        <v>134.22</v>
      </c>
      <c r="D67" s="304">
        <v>7.18</v>
      </c>
      <c r="E67" s="127">
        <v>0.01</v>
      </c>
      <c r="F67" s="127">
        <v>7.0060000000000002</v>
      </c>
      <c r="G67" s="305">
        <v>1576.3</v>
      </c>
      <c r="H67" s="127">
        <v>201</v>
      </c>
      <c r="I67" s="127">
        <v>203</v>
      </c>
      <c r="J67" s="127">
        <v>360</v>
      </c>
      <c r="K67" s="127">
        <v>358</v>
      </c>
      <c r="L67" s="154" t="s">
        <v>480</v>
      </c>
      <c r="M67" s="155" t="s">
        <v>253</v>
      </c>
    </row>
    <row r="68" spans="1:13" x14ac:dyDescent="0.2">
      <c r="A68" s="155" t="s">
        <v>251</v>
      </c>
      <c r="B68" s="260" t="s">
        <v>250</v>
      </c>
      <c r="C68" s="127">
        <v>134.22</v>
      </c>
      <c r="D68" s="304">
        <v>7.2</v>
      </c>
      <c r="E68" s="127">
        <v>0.01</v>
      </c>
      <c r="F68" s="127">
        <v>7.0010000000000003</v>
      </c>
      <c r="G68" s="305">
        <v>1589.3</v>
      </c>
      <c r="H68" s="127">
        <v>202.02</v>
      </c>
      <c r="I68" s="127">
        <v>206</v>
      </c>
      <c r="J68" s="127">
        <v>365</v>
      </c>
      <c r="K68" s="127">
        <v>363</v>
      </c>
      <c r="L68" s="154" t="s">
        <v>480</v>
      </c>
      <c r="M68" s="155" t="s">
        <v>251</v>
      </c>
    </row>
    <row r="69" spans="1:13" x14ac:dyDescent="0.2">
      <c r="A69" s="155" t="s">
        <v>249</v>
      </c>
      <c r="B69" s="260" t="s">
        <v>248</v>
      </c>
      <c r="C69" s="127">
        <v>102.17</v>
      </c>
      <c r="D69" s="304">
        <v>6.04</v>
      </c>
      <c r="E69" s="127">
        <v>1.877</v>
      </c>
      <c r="F69" s="127">
        <v>6.8419999999999996</v>
      </c>
      <c r="G69" s="305">
        <v>1135</v>
      </c>
      <c r="H69" s="127">
        <v>218.23</v>
      </c>
      <c r="I69" s="127">
        <v>74</v>
      </c>
      <c r="J69" s="127">
        <v>153</v>
      </c>
      <c r="K69" s="127">
        <v>155</v>
      </c>
      <c r="L69" s="154" t="s">
        <v>480</v>
      </c>
      <c r="M69" s="155" t="s">
        <v>249</v>
      </c>
    </row>
    <row r="70" spans="1:13" x14ac:dyDescent="0.2">
      <c r="A70" s="155" t="s">
        <v>247</v>
      </c>
      <c r="B70" s="260" t="s">
        <v>246</v>
      </c>
      <c r="C70" s="127">
        <v>90.12</v>
      </c>
      <c r="D70" s="304">
        <v>7.25</v>
      </c>
      <c r="E70" s="127">
        <v>0.96599999999999997</v>
      </c>
      <c r="F70" s="127">
        <v>6.7130000000000001</v>
      </c>
      <c r="G70" s="305">
        <v>1260.5</v>
      </c>
      <c r="H70" s="127">
        <v>235.83</v>
      </c>
      <c r="I70" s="127">
        <v>-55</v>
      </c>
      <c r="J70" s="127">
        <v>199</v>
      </c>
      <c r="K70" s="127">
        <v>185</v>
      </c>
      <c r="L70" s="154" t="s">
        <v>479</v>
      </c>
      <c r="M70" s="155" t="s">
        <v>247</v>
      </c>
    </row>
    <row r="71" spans="1:13" x14ac:dyDescent="0.2">
      <c r="A71" s="155" t="s">
        <v>245</v>
      </c>
      <c r="B71" s="260" t="s">
        <v>244</v>
      </c>
      <c r="C71" s="127">
        <v>73.09</v>
      </c>
      <c r="D71" s="304">
        <v>7.88</v>
      </c>
      <c r="E71" s="127">
        <v>0.04</v>
      </c>
      <c r="F71" s="127">
        <v>6.806</v>
      </c>
      <c r="G71" s="305">
        <v>1337.7</v>
      </c>
      <c r="H71" s="127">
        <v>190.5</v>
      </c>
      <c r="I71" s="127">
        <v>86</v>
      </c>
      <c r="J71" s="127">
        <v>194</v>
      </c>
      <c r="K71" s="127">
        <v>307</v>
      </c>
      <c r="L71" s="154" t="s">
        <v>479</v>
      </c>
      <c r="M71" s="155" t="s">
        <v>245</v>
      </c>
    </row>
    <row r="72" spans="1:13" x14ac:dyDescent="0.2">
      <c r="A72" s="155" t="s">
        <v>243</v>
      </c>
      <c r="B72" s="260" t="s">
        <v>242</v>
      </c>
      <c r="C72" s="127">
        <v>60.1</v>
      </c>
      <c r="D72" s="304">
        <v>6.6</v>
      </c>
      <c r="E72" s="127">
        <v>1.8959999999999999</v>
      </c>
      <c r="F72" s="127">
        <v>7.5880000000000001</v>
      </c>
      <c r="G72" s="305">
        <v>1388.5</v>
      </c>
      <c r="H72" s="127">
        <v>232.54</v>
      </c>
      <c r="I72" s="127">
        <v>-32</v>
      </c>
      <c r="J72" s="127">
        <v>68</v>
      </c>
      <c r="K72" s="127">
        <v>146</v>
      </c>
      <c r="L72" s="154" t="s">
        <v>479</v>
      </c>
      <c r="M72" s="155" t="s">
        <v>243</v>
      </c>
    </row>
    <row r="73" spans="1:13" x14ac:dyDescent="0.2">
      <c r="A73" s="155" t="s">
        <v>241</v>
      </c>
      <c r="B73" s="260" t="s">
        <v>240</v>
      </c>
      <c r="C73" s="127">
        <v>194.18</v>
      </c>
      <c r="D73" s="304">
        <v>9.94</v>
      </c>
      <c r="E73" s="306">
        <v>2.25E-8</v>
      </c>
      <c r="F73" s="127">
        <v>4.5220000000000002</v>
      </c>
      <c r="G73" s="127">
        <v>700.3</v>
      </c>
      <c r="H73" s="127">
        <v>51.42</v>
      </c>
      <c r="I73" s="127">
        <v>180</v>
      </c>
      <c r="J73" s="127">
        <v>304</v>
      </c>
      <c r="K73" s="127">
        <v>540</v>
      </c>
      <c r="L73" s="154" t="s">
        <v>479</v>
      </c>
      <c r="M73" s="155" t="s">
        <v>241</v>
      </c>
    </row>
    <row r="74" spans="1:13" x14ac:dyDescent="0.2">
      <c r="A74" s="155" t="s">
        <v>239</v>
      </c>
      <c r="B74" s="260" t="s">
        <v>238</v>
      </c>
      <c r="C74" s="127">
        <v>86.18</v>
      </c>
      <c r="D74" s="304">
        <v>5.52</v>
      </c>
      <c r="E74" s="127">
        <v>3.0640000000000001</v>
      </c>
      <c r="F74" s="127">
        <v>6.81</v>
      </c>
      <c r="G74" s="305">
        <v>1127.2</v>
      </c>
      <c r="H74" s="127">
        <v>228.95</v>
      </c>
      <c r="I74" s="127">
        <v>58</v>
      </c>
      <c r="J74" s="127">
        <v>138</v>
      </c>
      <c r="K74" s="127">
        <v>136</v>
      </c>
      <c r="L74" s="154" t="s">
        <v>480</v>
      </c>
      <c r="M74" s="155" t="s">
        <v>239</v>
      </c>
    </row>
    <row r="75" spans="1:13" x14ac:dyDescent="0.2">
      <c r="A75" s="155" t="s">
        <v>237</v>
      </c>
      <c r="B75" s="260" t="s">
        <v>236</v>
      </c>
      <c r="C75" s="127">
        <v>98.19</v>
      </c>
      <c r="D75" s="304">
        <v>6.26</v>
      </c>
      <c r="E75" s="127">
        <v>0.93200000000000005</v>
      </c>
      <c r="F75" s="127">
        <v>6.83</v>
      </c>
      <c r="G75" s="305">
        <v>1226.5999999999999</v>
      </c>
      <c r="H75" s="127">
        <v>222.76</v>
      </c>
      <c r="I75" s="127">
        <v>60</v>
      </c>
      <c r="J75" s="127">
        <v>192</v>
      </c>
      <c r="K75" s="127">
        <v>190</v>
      </c>
      <c r="L75" s="154" t="s">
        <v>480</v>
      </c>
      <c r="M75" s="155" t="s">
        <v>237</v>
      </c>
    </row>
    <row r="76" spans="1:13" x14ac:dyDescent="0.2">
      <c r="A76" s="155" t="s">
        <v>235</v>
      </c>
      <c r="B76" s="260" t="s">
        <v>234</v>
      </c>
      <c r="C76" s="127">
        <v>100.2</v>
      </c>
      <c r="D76" s="304">
        <v>5.63</v>
      </c>
      <c r="E76" s="127">
        <v>1.3149999999999999</v>
      </c>
      <c r="F76" s="127">
        <v>6.8150000000000004</v>
      </c>
      <c r="G76" s="305">
        <v>1190.3</v>
      </c>
      <c r="H76" s="127">
        <v>223.34</v>
      </c>
      <c r="I76" s="127">
        <v>60</v>
      </c>
      <c r="J76" s="127">
        <v>176</v>
      </c>
      <c r="K76" s="127">
        <v>174</v>
      </c>
      <c r="L76" s="154" t="s">
        <v>480</v>
      </c>
      <c r="M76" s="155" t="s">
        <v>235</v>
      </c>
    </row>
    <row r="77" spans="1:13" x14ac:dyDescent="0.2">
      <c r="A77" s="155" t="s">
        <v>233</v>
      </c>
      <c r="B77" s="260" t="s">
        <v>232</v>
      </c>
      <c r="C77" s="127">
        <v>100.2</v>
      </c>
      <c r="D77" s="304">
        <v>5.8</v>
      </c>
      <c r="E77" s="127">
        <v>0.84199999999999997</v>
      </c>
      <c r="F77" s="127">
        <v>6.8620000000000001</v>
      </c>
      <c r="G77" s="305">
        <v>1242.5999999999999</v>
      </c>
      <c r="H77" s="127">
        <v>222.34</v>
      </c>
      <c r="I77" s="127">
        <v>64</v>
      </c>
      <c r="J77" s="127">
        <v>195</v>
      </c>
      <c r="K77" s="127">
        <v>194</v>
      </c>
      <c r="L77" s="154" t="s">
        <v>480</v>
      </c>
      <c r="M77" s="155" t="s">
        <v>233</v>
      </c>
    </row>
    <row r="78" spans="1:13" x14ac:dyDescent="0.2">
      <c r="A78" s="155" t="s">
        <v>231</v>
      </c>
      <c r="B78" s="260" t="s">
        <v>230</v>
      </c>
      <c r="C78" s="127">
        <v>100.2</v>
      </c>
      <c r="D78" s="304">
        <v>5.62</v>
      </c>
      <c r="E78" s="127">
        <v>1.2210000000000001</v>
      </c>
      <c r="F78" s="127">
        <v>6.8360000000000003</v>
      </c>
      <c r="G78" s="305">
        <v>1197.5999999999999</v>
      </c>
      <c r="H78" s="127">
        <v>222.27</v>
      </c>
      <c r="I78" s="127">
        <v>57</v>
      </c>
      <c r="J78" s="127">
        <v>178</v>
      </c>
      <c r="K78" s="127">
        <v>177</v>
      </c>
      <c r="L78" s="154" t="s">
        <v>480</v>
      </c>
      <c r="M78" s="155" t="s">
        <v>231</v>
      </c>
    </row>
    <row r="79" spans="1:13" x14ac:dyDescent="0.2">
      <c r="A79" s="155" t="s">
        <v>229</v>
      </c>
      <c r="B79" s="260" t="s">
        <v>228</v>
      </c>
      <c r="C79" s="127">
        <v>100.2</v>
      </c>
      <c r="D79" s="304">
        <v>5.79</v>
      </c>
      <c r="E79" s="127">
        <v>1.0289999999999999</v>
      </c>
      <c r="F79" s="127">
        <v>6.8310000000000004</v>
      </c>
      <c r="G79" s="305">
        <v>1231</v>
      </c>
      <c r="H79" s="127">
        <v>225.58</v>
      </c>
      <c r="I79" s="127">
        <v>56</v>
      </c>
      <c r="J79" s="127">
        <v>189</v>
      </c>
      <c r="K79" s="127">
        <v>187</v>
      </c>
      <c r="L79" s="154" t="s">
        <v>480</v>
      </c>
      <c r="M79" s="155" t="s">
        <v>229</v>
      </c>
    </row>
    <row r="80" spans="1:13" x14ac:dyDescent="0.2">
      <c r="A80" s="155" t="s">
        <v>227</v>
      </c>
      <c r="B80" s="260" t="s">
        <v>226</v>
      </c>
      <c r="C80" s="127">
        <v>88.11</v>
      </c>
      <c r="D80" s="304">
        <v>8.6300000000000008</v>
      </c>
      <c r="E80" s="127">
        <v>0.439</v>
      </c>
      <c r="F80" s="127">
        <v>7.4560000000000004</v>
      </c>
      <c r="G80" s="305">
        <v>1570.1</v>
      </c>
      <c r="H80" s="127">
        <v>241.85</v>
      </c>
      <c r="I80" s="127">
        <v>68</v>
      </c>
      <c r="J80" s="127">
        <v>221</v>
      </c>
      <c r="K80" s="127">
        <v>214</v>
      </c>
      <c r="L80" s="154" t="s">
        <v>479</v>
      </c>
      <c r="M80" s="155" t="s">
        <v>227</v>
      </c>
    </row>
    <row r="81" spans="1:13" x14ac:dyDescent="0.2">
      <c r="A81" s="155" t="s">
        <v>225</v>
      </c>
      <c r="B81" s="260" t="s">
        <v>224</v>
      </c>
      <c r="C81" s="127">
        <v>102.17</v>
      </c>
      <c r="D81" s="304">
        <v>6.23</v>
      </c>
      <c r="E81" s="127">
        <v>0.754</v>
      </c>
      <c r="F81" s="127">
        <v>6.9450000000000003</v>
      </c>
      <c r="G81" s="305">
        <v>1254.8</v>
      </c>
      <c r="H81" s="127">
        <v>218.82</v>
      </c>
      <c r="I81" s="127">
        <v>80</v>
      </c>
      <c r="J81" s="127">
        <v>192</v>
      </c>
      <c r="K81" s="127">
        <v>194</v>
      </c>
      <c r="L81" s="154" t="s">
        <v>480</v>
      </c>
      <c r="M81" s="155" t="s">
        <v>225</v>
      </c>
    </row>
    <row r="82" spans="1:13" x14ac:dyDescent="0.2">
      <c r="A82" s="155" t="s">
        <v>223</v>
      </c>
      <c r="B82" s="260" t="s">
        <v>222</v>
      </c>
      <c r="C82" s="127">
        <v>170.33</v>
      </c>
      <c r="D82" s="304">
        <v>6.25</v>
      </c>
      <c r="E82" s="127">
        <v>9.3000000000000005E-4</v>
      </c>
      <c r="F82" s="127">
        <v>6.9809999999999999</v>
      </c>
      <c r="G82" s="305">
        <v>1625.9</v>
      </c>
      <c r="H82" s="127">
        <v>180.31</v>
      </c>
      <c r="I82" s="127">
        <v>259</v>
      </c>
      <c r="J82" s="127">
        <v>423</v>
      </c>
      <c r="K82" s="127">
        <v>421</v>
      </c>
      <c r="L82" s="154" t="s">
        <v>480</v>
      </c>
      <c r="M82" s="155" t="s">
        <v>223</v>
      </c>
    </row>
    <row r="83" spans="1:13" x14ac:dyDescent="0.2">
      <c r="A83" s="155" t="s">
        <v>221</v>
      </c>
      <c r="B83" s="260" t="s">
        <v>220</v>
      </c>
      <c r="C83" s="127">
        <v>92.52</v>
      </c>
      <c r="D83" s="304">
        <v>9.85</v>
      </c>
      <c r="E83" s="127">
        <v>0.19400000000000001</v>
      </c>
      <c r="F83" s="127">
        <v>8.2289999999999992</v>
      </c>
      <c r="G83" s="305">
        <v>2086.8000000000002</v>
      </c>
      <c r="H83" s="127">
        <v>273.16000000000003</v>
      </c>
      <c r="I83" s="127"/>
      <c r="J83" s="127"/>
      <c r="K83" s="127">
        <v>241</v>
      </c>
      <c r="L83" s="154" t="s">
        <v>479</v>
      </c>
      <c r="M83" s="155" t="s">
        <v>221</v>
      </c>
    </row>
    <row r="84" spans="1:13" x14ac:dyDescent="0.2">
      <c r="A84" s="155" t="s">
        <v>219</v>
      </c>
      <c r="B84" s="260" t="s">
        <v>218</v>
      </c>
      <c r="C84" s="127">
        <v>30.07</v>
      </c>
      <c r="D84" s="304"/>
      <c r="E84" s="127">
        <v>472</v>
      </c>
      <c r="F84" s="127">
        <v>6.8129999999999997</v>
      </c>
      <c r="G84" s="127">
        <v>659.7</v>
      </c>
      <c r="H84" s="127">
        <v>256.43099999999998</v>
      </c>
      <c r="I84" s="127">
        <v>-215</v>
      </c>
      <c r="J84" s="127">
        <v>-100</v>
      </c>
      <c r="K84" s="127">
        <v>-127</v>
      </c>
      <c r="L84" s="154" t="s">
        <v>480</v>
      </c>
      <c r="M84" s="155" t="s">
        <v>219</v>
      </c>
    </row>
    <row r="85" spans="1:13" x14ac:dyDescent="0.2">
      <c r="A85" s="155" t="s">
        <v>217</v>
      </c>
      <c r="B85" s="260" t="s">
        <v>216</v>
      </c>
      <c r="C85" s="127">
        <v>61.08</v>
      </c>
      <c r="D85" s="304">
        <v>8.5</v>
      </c>
      <c r="E85" s="127">
        <v>2E-3</v>
      </c>
      <c r="F85" s="127">
        <v>7.1680000000000001</v>
      </c>
      <c r="G85" s="305">
        <v>1408.9</v>
      </c>
      <c r="H85" s="127">
        <v>157.06</v>
      </c>
      <c r="I85" s="127">
        <v>150</v>
      </c>
      <c r="J85" s="127">
        <v>340</v>
      </c>
      <c r="K85" s="127">
        <v>339</v>
      </c>
      <c r="L85" s="154" t="s">
        <v>480</v>
      </c>
      <c r="M85" s="155" t="s">
        <v>217</v>
      </c>
    </row>
    <row r="86" spans="1:13" x14ac:dyDescent="0.2">
      <c r="A86" s="155" t="s">
        <v>215</v>
      </c>
      <c r="B86" s="260" t="s">
        <v>214</v>
      </c>
      <c r="C86" s="127">
        <v>88.11</v>
      </c>
      <c r="D86" s="304">
        <v>7.51</v>
      </c>
      <c r="E86" s="127">
        <v>1.135</v>
      </c>
      <c r="F86" s="127">
        <v>7.1029999999999998</v>
      </c>
      <c r="G86" s="305">
        <v>1245.7</v>
      </c>
      <c r="H86" s="127">
        <v>217.96</v>
      </c>
      <c r="I86" s="127">
        <v>60</v>
      </c>
      <c r="J86" s="127">
        <v>168</v>
      </c>
      <c r="K86" s="127">
        <v>171</v>
      </c>
      <c r="L86" s="154" t="s">
        <v>480</v>
      </c>
      <c r="M86" s="155" t="s">
        <v>215</v>
      </c>
    </row>
    <row r="87" spans="1:13" x14ac:dyDescent="0.2">
      <c r="A87" s="155" t="s">
        <v>213</v>
      </c>
      <c r="B87" s="260" t="s">
        <v>212</v>
      </c>
      <c r="C87" s="127">
        <v>100.12</v>
      </c>
      <c r="D87" s="304">
        <v>7.71</v>
      </c>
      <c r="E87" s="127">
        <v>0.44500000000000001</v>
      </c>
      <c r="F87" s="127">
        <v>7.15</v>
      </c>
      <c r="G87" s="305">
        <v>1366.1</v>
      </c>
      <c r="H87" s="127">
        <v>220.47</v>
      </c>
      <c r="I87" s="127">
        <v>-21</v>
      </c>
      <c r="J87" s="127">
        <v>211</v>
      </c>
      <c r="K87" s="127">
        <v>211</v>
      </c>
      <c r="L87" s="154" t="s">
        <v>479</v>
      </c>
      <c r="M87" s="155" t="s">
        <v>213</v>
      </c>
    </row>
    <row r="88" spans="1:13" x14ac:dyDescent="0.2">
      <c r="A88" s="155" t="s">
        <v>211</v>
      </c>
      <c r="B88" s="260" t="s">
        <v>210</v>
      </c>
      <c r="C88" s="127">
        <v>46.07</v>
      </c>
      <c r="D88" s="304">
        <v>6.59</v>
      </c>
      <c r="E88" s="127">
        <v>0.64800000000000002</v>
      </c>
      <c r="F88" s="127">
        <v>8.2469999999999999</v>
      </c>
      <c r="G88" s="305">
        <v>1670.4</v>
      </c>
      <c r="H88" s="127">
        <v>232.96</v>
      </c>
      <c r="I88" s="127">
        <v>32</v>
      </c>
      <c r="J88" s="127">
        <v>173</v>
      </c>
      <c r="K88" s="127">
        <v>173</v>
      </c>
      <c r="L88" s="154" t="s">
        <v>480</v>
      </c>
      <c r="M88" s="155" t="s">
        <v>211</v>
      </c>
    </row>
    <row r="89" spans="1:13" x14ac:dyDescent="0.2">
      <c r="A89" s="155" t="s">
        <v>209</v>
      </c>
      <c r="B89" s="260" t="s">
        <v>208</v>
      </c>
      <c r="C89" s="127">
        <v>64.510000000000005</v>
      </c>
      <c r="D89" s="304">
        <v>7.43</v>
      </c>
      <c r="E89" s="127">
        <v>16.63</v>
      </c>
      <c r="F89" s="127">
        <v>7.0369999999999999</v>
      </c>
      <c r="G89" s="305">
        <v>1052.8</v>
      </c>
      <c r="H89" s="127">
        <v>241.07</v>
      </c>
      <c r="I89" s="127">
        <v>-69</v>
      </c>
      <c r="J89" s="127">
        <v>55</v>
      </c>
      <c r="K89" s="127">
        <v>61</v>
      </c>
      <c r="L89" s="154" t="s">
        <v>479</v>
      </c>
      <c r="M89" s="155" t="s">
        <v>209</v>
      </c>
    </row>
    <row r="90" spans="1:13" x14ac:dyDescent="0.2">
      <c r="A90" s="155" t="s">
        <v>207</v>
      </c>
      <c r="B90" s="260" t="s">
        <v>206</v>
      </c>
      <c r="C90" s="127">
        <v>74.12</v>
      </c>
      <c r="D90" s="304">
        <v>5.96</v>
      </c>
      <c r="E90" s="127">
        <v>6.6749999999999998</v>
      </c>
      <c r="F90" s="127">
        <v>6.8970000000000002</v>
      </c>
      <c r="G90" s="305">
        <v>1062.5999999999999</v>
      </c>
      <c r="H90" s="127">
        <v>228.22</v>
      </c>
      <c r="I90" s="127">
        <v>-10</v>
      </c>
      <c r="J90" s="127">
        <v>132</v>
      </c>
      <c r="K90" s="127">
        <v>94</v>
      </c>
      <c r="L90" s="154" t="s">
        <v>480</v>
      </c>
      <c r="M90" s="155" t="s">
        <v>207</v>
      </c>
    </row>
    <row r="91" spans="1:13" x14ac:dyDescent="0.2">
      <c r="A91" s="155" t="s">
        <v>205</v>
      </c>
      <c r="B91" s="260" t="s">
        <v>204</v>
      </c>
      <c r="C91" s="127">
        <v>45.08</v>
      </c>
      <c r="D91" s="304">
        <v>5.65</v>
      </c>
      <c r="E91" s="127">
        <v>14.08</v>
      </c>
      <c r="F91" s="127">
        <v>7.4050000000000002</v>
      </c>
      <c r="G91" s="305">
        <v>1203.8</v>
      </c>
      <c r="H91" s="127">
        <v>249.43</v>
      </c>
      <c r="I91" s="127">
        <v>62</v>
      </c>
      <c r="J91" s="127">
        <v>349</v>
      </c>
      <c r="K91" s="127">
        <v>64</v>
      </c>
      <c r="L91" s="154" t="s">
        <v>480</v>
      </c>
      <c r="M91" s="155" t="s">
        <v>205</v>
      </c>
    </row>
    <row r="92" spans="1:13" x14ac:dyDescent="0.2">
      <c r="A92" s="155" t="s">
        <v>203</v>
      </c>
      <c r="B92" s="260" t="s">
        <v>202</v>
      </c>
      <c r="C92" s="127">
        <v>106.17</v>
      </c>
      <c r="D92" s="304">
        <v>7.24</v>
      </c>
      <c r="E92" s="127">
        <v>0.104</v>
      </c>
      <c r="F92" s="127">
        <v>6.95</v>
      </c>
      <c r="G92" s="305">
        <v>1419.3</v>
      </c>
      <c r="H92" s="127">
        <v>212.61</v>
      </c>
      <c r="I92" s="127">
        <v>134</v>
      </c>
      <c r="J92" s="127">
        <v>279</v>
      </c>
      <c r="K92" s="127">
        <v>277</v>
      </c>
      <c r="L92" s="154" t="s">
        <v>479</v>
      </c>
      <c r="M92" s="155" t="s">
        <v>203</v>
      </c>
    </row>
    <row r="93" spans="1:13" x14ac:dyDescent="0.2">
      <c r="A93" s="155" t="s">
        <v>201</v>
      </c>
      <c r="B93" s="260" t="s">
        <v>200</v>
      </c>
      <c r="C93" s="127">
        <v>98.19</v>
      </c>
      <c r="D93" s="304">
        <v>6.4</v>
      </c>
      <c r="E93" s="127">
        <v>0.47499999999999998</v>
      </c>
      <c r="F93" s="127">
        <v>6.8979999999999997</v>
      </c>
      <c r="G93" s="305">
        <v>1305</v>
      </c>
      <c r="H93" s="127">
        <v>221.4</v>
      </c>
      <c r="I93" s="127">
        <v>84</v>
      </c>
      <c r="J93" s="127">
        <v>220</v>
      </c>
      <c r="K93" s="127">
        <v>218</v>
      </c>
      <c r="L93" s="154" t="s">
        <v>480</v>
      </c>
      <c r="M93" s="155" t="s">
        <v>201</v>
      </c>
    </row>
    <row r="94" spans="1:13" x14ac:dyDescent="0.2">
      <c r="A94" s="155" t="s">
        <v>199</v>
      </c>
      <c r="B94" s="260" t="s">
        <v>198</v>
      </c>
      <c r="C94" s="127">
        <v>28.05</v>
      </c>
      <c r="D94" s="304">
        <v>4.74</v>
      </c>
      <c r="E94" s="127">
        <v>749</v>
      </c>
      <c r="F94" s="127">
        <v>6.7480000000000002</v>
      </c>
      <c r="G94" s="127">
        <v>584.1</v>
      </c>
      <c r="H94" s="127">
        <v>254.84</v>
      </c>
      <c r="I94" s="127">
        <v>-191</v>
      </c>
      <c r="J94" s="127">
        <v>-120</v>
      </c>
      <c r="K94" s="127">
        <v>-155</v>
      </c>
      <c r="L94" s="154" t="s">
        <v>480</v>
      </c>
      <c r="M94" s="155" t="s">
        <v>199</v>
      </c>
    </row>
    <row r="95" spans="1:13" x14ac:dyDescent="0.2">
      <c r="A95" s="155" t="s">
        <v>197</v>
      </c>
      <c r="B95" s="260" t="s">
        <v>196</v>
      </c>
      <c r="C95" s="127">
        <v>44.05</v>
      </c>
      <c r="D95" s="304">
        <v>7.36</v>
      </c>
      <c r="E95" s="127">
        <v>17.84</v>
      </c>
      <c r="F95" s="127">
        <v>8.7219999999999995</v>
      </c>
      <c r="G95" s="305">
        <v>2022.8</v>
      </c>
      <c r="H95" s="127">
        <v>335.81</v>
      </c>
      <c r="I95" s="127">
        <v>32</v>
      </c>
      <c r="J95" s="127">
        <v>89</v>
      </c>
      <c r="K95" s="127">
        <v>53</v>
      </c>
      <c r="L95" s="154" t="s">
        <v>479</v>
      </c>
      <c r="M95" s="155" t="s">
        <v>197</v>
      </c>
    </row>
    <row r="96" spans="1:13" x14ac:dyDescent="0.2">
      <c r="A96" s="155" t="s">
        <v>195</v>
      </c>
      <c r="B96" s="260" t="s">
        <v>194</v>
      </c>
      <c r="C96" s="127">
        <v>100.2</v>
      </c>
      <c r="D96" s="304">
        <v>5.83</v>
      </c>
      <c r="E96" s="127">
        <v>0.70099999999999996</v>
      </c>
      <c r="F96" s="127">
        <v>6.88</v>
      </c>
      <c r="G96" s="305">
        <v>1254.0999999999999</v>
      </c>
      <c r="H96" s="127">
        <v>220.15</v>
      </c>
      <c r="I96" s="127">
        <v>70</v>
      </c>
      <c r="J96" s="127">
        <v>202</v>
      </c>
      <c r="K96" s="127">
        <v>200</v>
      </c>
      <c r="L96" s="154" t="s">
        <v>480</v>
      </c>
      <c r="M96" s="155" t="s">
        <v>195</v>
      </c>
    </row>
    <row r="97" spans="1:13" x14ac:dyDescent="0.2">
      <c r="A97" s="155" t="s">
        <v>193</v>
      </c>
      <c r="B97" s="260" t="s">
        <v>192</v>
      </c>
      <c r="C97" s="127">
        <v>202.25</v>
      </c>
      <c r="D97" s="304">
        <v>10.4</v>
      </c>
      <c r="E97" s="306">
        <v>3.9599999999999997E-8</v>
      </c>
      <c r="F97" s="127">
        <v>12.836</v>
      </c>
      <c r="G97" s="305">
        <v>5348.1</v>
      </c>
      <c r="H97" s="127">
        <v>273.14999999999998</v>
      </c>
      <c r="I97" s="127">
        <v>77</v>
      </c>
      <c r="J97" s="127">
        <v>230</v>
      </c>
      <c r="K97" s="127">
        <v>723</v>
      </c>
      <c r="L97" s="154" t="s">
        <v>479</v>
      </c>
      <c r="M97" s="155" t="s">
        <v>193</v>
      </c>
    </row>
    <row r="98" spans="1:13" x14ac:dyDescent="0.2">
      <c r="A98" s="155" t="s">
        <v>191</v>
      </c>
      <c r="B98" s="260" t="s">
        <v>190</v>
      </c>
      <c r="C98" s="127">
        <v>96.1</v>
      </c>
      <c r="D98" s="304">
        <v>8.5299999999999994</v>
      </c>
      <c r="E98" s="127">
        <v>0.93600000000000005</v>
      </c>
      <c r="F98" s="127">
        <v>7.2370000000000001</v>
      </c>
      <c r="G98" s="305">
        <v>1409.8</v>
      </c>
      <c r="H98" s="127">
        <v>238.36</v>
      </c>
      <c r="I98" s="127">
        <v>0</v>
      </c>
      <c r="J98" s="127">
        <v>183</v>
      </c>
      <c r="K98" s="127">
        <v>185</v>
      </c>
      <c r="L98" s="154" t="s">
        <v>480</v>
      </c>
      <c r="M98" s="155" t="s">
        <v>191</v>
      </c>
    </row>
    <row r="99" spans="1:13" x14ac:dyDescent="0.2">
      <c r="A99" s="155" t="s">
        <v>189</v>
      </c>
      <c r="B99" s="260" t="s">
        <v>188</v>
      </c>
      <c r="C99" s="127">
        <v>46.03</v>
      </c>
      <c r="D99" s="304">
        <v>10.1</v>
      </c>
      <c r="E99" s="127">
        <v>0.51600000000000001</v>
      </c>
      <c r="F99" s="127">
        <v>4.8760000000000003</v>
      </c>
      <c r="G99" s="127">
        <v>515</v>
      </c>
      <c r="H99" s="127">
        <v>133.74</v>
      </c>
      <c r="I99" s="127">
        <v>33</v>
      </c>
      <c r="J99" s="127">
        <v>93</v>
      </c>
      <c r="K99" s="127">
        <v>213</v>
      </c>
      <c r="L99" s="154" t="s">
        <v>480</v>
      </c>
      <c r="M99" s="155" t="s">
        <v>189</v>
      </c>
    </row>
    <row r="100" spans="1:13" x14ac:dyDescent="0.2">
      <c r="A100" s="155" t="s">
        <v>187</v>
      </c>
      <c r="B100" s="260" t="s">
        <v>186</v>
      </c>
      <c r="C100" s="127">
        <v>137.37</v>
      </c>
      <c r="D100" s="304">
        <v>12.4</v>
      </c>
      <c r="E100" s="127">
        <v>10.93</v>
      </c>
      <c r="F100" s="127">
        <v>6.8840000000000003</v>
      </c>
      <c r="G100" s="305">
        <v>1043</v>
      </c>
      <c r="H100" s="127">
        <v>236.88</v>
      </c>
      <c r="I100" s="127"/>
      <c r="J100" s="127"/>
      <c r="K100" s="127">
        <v>75</v>
      </c>
      <c r="L100" s="154" t="s">
        <v>480</v>
      </c>
      <c r="M100" s="155" t="s">
        <v>187</v>
      </c>
    </row>
    <row r="101" spans="1:13" x14ac:dyDescent="0.2">
      <c r="A101" s="155" t="s">
        <v>185</v>
      </c>
      <c r="B101" s="260" t="s">
        <v>184</v>
      </c>
      <c r="C101" s="127">
        <v>68.069999999999993</v>
      </c>
      <c r="D101" s="304">
        <v>7.94</v>
      </c>
      <c r="E101" s="127">
        <v>7.9630000000000001</v>
      </c>
      <c r="F101" s="127">
        <v>6.9749999999999996</v>
      </c>
      <c r="G101" s="305">
        <v>1060.8</v>
      </c>
      <c r="H101" s="127">
        <v>227.73</v>
      </c>
      <c r="I101" s="127">
        <v>37</v>
      </c>
      <c r="J101" s="127">
        <v>143</v>
      </c>
      <c r="K101" s="127">
        <v>89</v>
      </c>
      <c r="L101" s="154" t="s">
        <v>479</v>
      </c>
      <c r="M101" s="155" t="s">
        <v>185</v>
      </c>
    </row>
    <row r="102" spans="1:13" x14ac:dyDescent="0.2">
      <c r="A102" s="155" t="s">
        <v>183</v>
      </c>
      <c r="B102" s="260" t="s">
        <v>182</v>
      </c>
      <c r="C102" s="127">
        <v>96.09</v>
      </c>
      <c r="D102" s="304">
        <v>9.68</v>
      </c>
      <c r="E102" s="127">
        <v>1.7999999999999999E-2</v>
      </c>
      <c r="F102" s="127">
        <v>6.9690000000000003</v>
      </c>
      <c r="G102" s="305">
        <v>1430.1</v>
      </c>
      <c r="H102" s="127">
        <v>188.7</v>
      </c>
      <c r="I102" s="127">
        <v>133</v>
      </c>
      <c r="J102" s="127">
        <v>321</v>
      </c>
      <c r="K102" s="127">
        <v>323</v>
      </c>
      <c r="L102" s="154" t="s">
        <v>480</v>
      </c>
      <c r="M102" s="155" t="s">
        <v>183</v>
      </c>
    </row>
    <row r="103" spans="1:13" x14ac:dyDescent="0.2">
      <c r="A103" s="155" t="s">
        <v>181</v>
      </c>
      <c r="B103" s="260" t="s">
        <v>180</v>
      </c>
      <c r="C103" s="127">
        <v>296.57</v>
      </c>
      <c r="D103" s="304">
        <v>6.61</v>
      </c>
      <c r="E103" s="306">
        <v>6.2300000000000001E-7</v>
      </c>
      <c r="F103" s="127">
        <v>8.7959999999999994</v>
      </c>
      <c r="G103" s="305">
        <v>3571.2</v>
      </c>
      <c r="H103" s="127">
        <v>253.2</v>
      </c>
      <c r="I103" s="127">
        <v>307</v>
      </c>
      <c r="J103" s="127">
        <v>663</v>
      </c>
      <c r="K103" s="127">
        <v>679</v>
      </c>
      <c r="L103" s="154" t="s">
        <v>480</v>
      </c>
      <c r="M103" s="155" t="s">
        <v>181</v>
      </c>
    </row>
    <row r="104" spans="1:13" x14ac:dyDescent="0.2">
      <c r="A104" s="155" t="s">
        <v>179</v>
      </c>
      <c r="B104" s="260" t="s">
        <v>178</v>
      </c>
      <c r="C104" s="127">
        <v>100.2</v>
      </c>
      <c r="D104" s="304">
        <v>5.71</v>
      </c>
      <c r="E104" s="127">
        <v>0.54100000000000004</v>
      </c>
      <c r="F104" s="127">
        <v>6.9029999999999996</v>
      </c>
      <c r="G104" s="305">
        <v>1268.5999999999999</v>
      </c>
      <c r="H104" s="127">
        <v>216.95</v>
      </c>
      <c r="I104" s="127">
        <v>79</v>
      </c>
      <c r="J104" s="127">
        <v>211</v>
      </c>
      <c r="K104" s="127">
        <v>209</v>
      </c>
      <c r="L104" s="154" t="s">
        <v>480</v>
      </c>
      <c r="M104" s="155" t="s">
        <v>179</v>
      </c>
    </row>
    <row r="105" spans="1:13" x14ac:dyDescent="0.2">
      <c r="A105" s="155" t="s">
        <v>177</v>
      </c>
      <c r="B105" s="260" t="s">
        <v>176</v>
      </c>
      <c r="C105" s="127">
        <v>98.19</v>
      </c>
      <c r="D105" s="304">
        <v>5.82</v>
      </c>
      <c r="E105" s="127">
        <v>0.752</v>
      </c>
      <c r="F105" s="127">
        <v>7.093</v>
      </c>
      <c r="G105" s="305">
        <v>1400.7</v>
      </c>
      <c r="H105" s="127">
        <v>238.96</v>
      </c>
      <c r="I105" s="127">
        <v>32</v>
      </c>
      <c r="J105" s="127">
        <v>192</v>
      </c>
      <c r="K105" s="127">
        <v>201</v>
      </c>
      <c r="L105" s="154" t="s">
        <v>480</v>
      </c>
      <c r="M105" s="155" t="s">
        <v>177</v>
      </c>
    </row>
    <row r="106" spans="1:13" x14ac:dyDescent="0.2">
      <c r="A106" s="155" t="s">
        <v>175</v>
      </c>
      <c r="B106" s="260" t="s">
        <v>174</v>
      </c>
      <c r="C106" s="127">
        <v>82.14</v>
      </c>
      <c r="D106" s="304">
        <v>5.74</v>
      </c>
      <c r="E106" s="127">
        <v>2.89</v>
      </c>
      <c r="F106" s="127">
        <v>6.5629999999999997</v>
      </c>
      <c r="G106" s="305">
        <v>1008.1</v>
      </c>
      <c r="H106" s="127">
        <v>214.16</v>
      </c>
      <c r="I106" s="127">
        <v>32</v>
      </c>
      <c r="J106" s="127">
        <v>138</v>
      </c>
      <c r="K106" s="127">
        <v>140</v>
      </c>
      <c r="L106" s="154" t="s">
        <v>480</v>
      </c>
      <c r="M106" s="155" t="s">
        <v>175</v>
      </c>
    </row>
    <row r="107" spans="1:13" x14ac:dyDescent="0.2">
      <c r="A107" s="155" t="s">
        <v>173</v>
      </c>
      <c r="B107" s="260" t="s">
        <v>172</v>
      </c>
      <c r="C107" s="127">
        <v>86.18</v>
      </c>
      <c r="D107" s="304">
        <v>5.47</v>
      </c>
      <c r="E107" s="127">
        <v>1.913</v>
      </c>
      <c r="F107" s="127">
        <v>6.8780000000000001</v>
      </c>
      <c r="G107" s="305">
        <v>1171.5</v>
      </c>
      <c r="H107" s="127">
        <v>224.37</v>
      </c>
      <c r="I107" s="127">
        <v>55</v>
      </c>
      <c r="J107" s="127">
        <v>157</v>
      </c>
      <c r="K107" s="127">
        <v>156</v>
      </c>
      <c r="L107" s="154" t="s">
        <v>479</v>
      </c>
      <c r="M107" s="155" t="s">
        <v>173</v>
      </c>
    </row>
    <row r="108" spans="1:13" x14ac:dyDescent="0.2">
      <c r="A108" s="155" t="s">
        <v>171</v>
      </c>
      <c r="B108" s="260" t="s">
        <v>170</v>
      </c>
      <c r="C108" s="127">
        <v>102.17</v>
      </c>
      <c r="D108" s="304">
        <v>6.79</v>
      </c>
      <c r="E108" s="127">
        <v>5.0000000000000001E-3</v>
      </c>
      <c r="F108" s="127">
        <v>7.2880000000000003</v>
      </c>
      <c r="G108" s="305">
        <v>1422</v>
      </c>
      <c r="H108" s="127">
        <v>165.44</v>
      </c>
      <c r="I108" s="127">
        <v>126</v>
      </c>
      <c r="J108" s="127">
        <v>315</v>
      </c>
      <c r="K108" s="127">
        <v>314</v>
      </c>
      <c r="L108" s="154" t="s">
        <v>480</v>
      </c>
      <c r="M108" s="155" t="s">
        <v>171</v>
      </c>
    </row>
    <row r="109" spans="1:13" x14ac:dyDescent="0.2">
      <c r="A109" s="155" t="s">
        <v>169</v>
      </c>
      <c r="B109" s="260" t="s">
        <v>168</v>
      </c>
      <c r="C109" s="127">
        <v>84.16</v>
      </c>
      <c r="D109" s="304">
        <v>5.62</v>
      </c>
      <c r="E109" s="127">
        <v>2.3780000000000001</v>
      </c>
      <c r="F109" s="127">
        <v>6.8659999999999997</v>
      </c>
      <c r="G109" s="305">
        <v>1153</v>
      </c>
      <c r="H109" s="127">
        <v>225.85</v>
      </c>
      <c r="I109" s="127">
        <v>61</v>
      </c>
      <c r="J109" s="127">
        <v>148</v>
      </c>
      <c r="K109" s="127">
        <v>147</v>
      </c>
      <c r="L109" s="154" t="s">
        <v>480</v>
      </c>
      <c r="M109" s="155" t="s">
        <v>169</v>
      </c>
    </row>
    <row r="110" spans="1:13" x14ac:dyDescent="0.2">
      <c r="A110" s="155" t="s">
        <v>167</v>
      </c>
      <c r="B110" s="260" t="s">
        <v>166</v>
      </c>
      <c r="C110" s="127">
        <v>27.03</v>
      </c>
      <c r="D110" s="304">
        <v>5.74</v>
      </c>
      <c r="E110" s="127">
        <v>9.9309999999999992</v>
      </c>
      <c r="F110" s="127">
        <v>7.5490000000000004</v>
      </c>
      <c r="G110" s="305">
        <v>1340.8</v>
      </c>
      <c r="H110" s="127">
        <v>261.56</v>
      </c>
      <c r="I110" s="127">
        <v>2</v>
      </c>
      <c r="J110" s="127">
        <v>115</v>
      </c>
      <c r="K110" s="127">
        <v>79</v>
      </c>
      <c r="L110" s="154" t="s">
        <v>479</v>
      </c>
      <c r="M110" s="155" t="s">
        <v>167</v>
      </c>
    </row>
    <row r="111" spans="1:13" x14ac:dyDescent="0.2">
      <c r="A111" s="155" t="s">
        <v>165</v>
      </c>
      <c r="B111" s="260" t="s">
        <v>164</v>
      </c>
      <c r="C111" s="127">
        <v>58.12</v>
      </c>
      <c r="D111" s="304">
        <v>4.5999999999999996</v>
      </c>
      <c r="E111" s="127">
        <v>38.22</v>
      </c>
      <c r="F111" s="127">
        <v>6.819</v>
      </c>
      <c r="G111" s="127">
        <v>912.1</v>
      </c>
      <c r="H111" s="127">
        <v>243.34</v>
      </c>
      <c r="I111" s="127">
        <v>-121</v>
      </c>
      <c r="J111" s="127">
        <v>11</v>
      </c>
      <c r="K111" s="127">
        <v>12</v>
      </c>
      <c r="L111" s="154" t="s">
        <v>480</v>
      </c>
      <c r="M111" s="155" t="s">
        <v>165</v>
      </c>
    </row>
    <row r="112" spans="1:13" x14ac:dyDescent="0.2">
      <c r="A112" s="155" t="s">
        <v>163</v>
      </c>
      <c r="B112" s="260" t="s">
        <v>162</v>
      </c>
      <c r="C112" s="127">
        <v>56.11</v>
      </c>
      <c r="D112" s="304">
        <v>4.92</v>
      </c>
      <c r="E112" s="127">
        <v>32.18</v>
      </c>
      <c r="F112" s="127">
        <v>6.5220000000000002</v>
      </c>
      <c r="G112" s="127">
        <v>799.1</v>
      </c>
      <c r="H112" s="127">
        <v>226.54</v>
      </c>
      <c r="I112" s="127">
        <v>-70</v>
      </c>
      <c r="J112" s="127">
        <v>32</v>
      </c>
      <c r="K112" s="127">
        <v>20</v>
      </c>
      <c r="L112" s="154" t="s">
        <v>480</v>
      </c>
      <c r="M112" s="155" t="s">
        <v>163</v>
      </c>
    </row>
    <row r="113" spans="1:13" x14ac:dyDescent="0.2">
      <c r="A113" s="155" t="s">
        <v>161</v>
      </c>
      <c r="B113" s="260" t="s">
        <v>160</v>
      </c>
      <c r="C113" s="127">
        <v>74.12</v>
      </c>
      <c r="D113" s="304">
        <v>6.69</v>
      </c>
      <c r="E113" s="127">
        <v>9.6000000000000002E-2</v>
      </c>
      <c r="F113" s="127">
        <v>7.306</v>
      </c>
      <c r="G113" s="305">
        <v>1237</v>
      </c>
      <c r="H113" s="127">
        <v>171.62</v>
      </c>
      <c r="I113" s="127">
        <v>176</v>
      </c>
      <c r="J113" s="127">
        <v>240</v>
      </c>
      <c r="K113" s="127">
        <v>226</v>
      </c>
      <c r="L113" s="154" t="s">
        <v>480</v>
      </c>
      <c r="M113" s="155" t="s">
        <v>161</v>
      </c>
    </row>
    <row r="114" spans="1:13" x14ac:dyDescent="0.2">
      <c r="A114" s="155" t="s">
        <v>159</v>
      </c>
      <c r="B114" s="260" t="s">
        <v>158</v>
      </c>
      <c r="C114" s="127">
        <v>114.23</v>
      </c>
      <c r="D114" s="304">
        <v>5.74</v>
      </c>
      <c r="E114" s="127">
        <v>0.59599999999999997</v>
      </c>
      <c r="F114" s="127">
        <v>6.8120000000000003</v>
      </c>
      <c r="G114" s="305">
        <v>1257.8</v>
      </c>
      <c r="H114" s="127">
        <v>220.74</v>
      </c>
      <c r="I114" s="127">
        <v>76</v>
      </c>
      <c r="J114" s="127">
        <v>212</v>
      </c>
      <c r="K114" s="127">
        <v>211</v>
      </c>
      <c r="L114" s="154" t="s">
        <v>479</v>
      </c>
      <c r="M114" s="155" t="s">
        <v>159</v>
      </c>
    </row>
    <row r="115" spans="1:13" x14ac:dyDescent="0.2">
      <c r="A115" s="155" t="s">
        <v>157</v>
      </c>
      <c r="B115" s="260" t="s">
        <v>156</v>
      </c>
      <c r="C115" s="127">
        <v>72.150000000000006</v>
      </c>
      <c r="D115" s="304">
        <v>5.18</v>
      </c>
      <c r="E115" s="127">
        <v>9.4260000000000002</v>
      </c>
      <c r="F115" s="127">
        <v>6.79</v>
      </c>
      <c r="G115" s="305">
        <v>1020</v>
      </c>
      <c r="H115" s="127">
        <v>233.1</v>
      </c>
      <c r="I115" s="127">
        <v>61</v>
      </c>
      <c r="J115" s="127">
        <v>83</v>
      </c>
      <c r="K115" s="127">
        <v>82</v>
      </c>
      <c r="L115" s="154" t="s">
        <v>480</v>
      </c>
      <c r="M115" s="155" t="s">
        <v>157</v>
      </c>
    </row>
    <row r="116" spans="1:13" x14ac:dyDescent="0.2">
      <c r="A116" s="155" t="s">
        <v>155</v>
      </c>
      <c r="B116" s="260" t="s">
        <v>154</v>
      </c>
      <c r="C116" s="127">
        <v>70.13</v>
      </c>
      <c r="D116" s="304">
        <v>5.53</v>
      </c>
      <c r="E116" s="127">
        <v>6.21</v>
      </c>
      <c r="F116" s="127">
        <v>6.9219999999999997</v>
      </c>
      <c r="G116" s="305">
        <v>1098.5999999999999</v>
      </c>
      <c r="H116" s="127">
        <v>233.26</v>
      </c>
      <c r="I116" s="127">
        <v>37</v>
      </c>
      <c r="J116" s="127">
        <v>159</v>
      </c>
      <c r="K116" s="127">
        <v>100</v>
      </c>
      <c r="L116" s="154" t="s">
        <v>480</v>
      </c>
      <c r="M116" s="155" t="s">
        <v>155</v>
      </c>
    </row>
    <row r="117" spans="1:13" x14ac:dyDescent="0.2">
      <c r="A117" s="155" t="s">
        <v>153</v>
      </c>
      <c r="B117" s="260" t="s">
        <v>152</v>
      </c>
      <c r="C117" s="127">
        <v>68.12</v>
      </c>
      <c r="D117" s="304">
        <v>5.67</v>
      </c>
      <c r="E117" s="127">
        <v>7.4459999999999997</v>
      </c>
      <c r="F117" s="127">
        <v>6.0910000000000002</v>
      </c>
      <c r="G117" s="127">
        <v>706.9</v>
      </c>
      <c r="H117" s="127">
        <v>186.1</v>
      </c>
      <c r="I117" s="127">
        <v>62</v>
      </c>
      <c r="J117" s="127">
        <v>93</v>
      </c>
      <c r="K117" s="127">
        <v>93</v>
      </c>
      <c r="L117" s="154" t="s">
        <v>480</v>
      </c>
      <c r="M117" s="155" t="s">
        <v>153</v>
      </c>
    </row>
    <row r="118" spans="1:13" x14ac:dyDescent="0.2">
      <c r="A118" s="155" t="s">
        <v>151</v>
      </c>
      <c r="B118" s="260" t="s">
        <v>150</v>
      </c>
      <c r="C118" s="127">
        <v>60.1</v>
      </c>
      <c r="D118" s="304">
        <v>6.52</v>
      </c>
      <c r="E118" s="127">
        <v>0.443</v>
      </c>
      <c r="F118" s="127">
        <v>7.7359999999999998</v>
      </c>
      <c r="G118" s="305">
        <v>1357.4</v>
      </c>
      <c r="H118" s="127">
        <v>197.34</v>
      </c>
      <c r="I118" s="127">
        <v>134</v>
      </c>
      <c r="J118" s="127">
        <v>193</v>
      </c>
      <c r="K118" s="127">
        <v>180</v>
      </c>
      <c r="L118" s="154" t="s">
        <v>480</v>
      </c>
      <c r="M118" s="155" t="s">
        <v>151</v>
      </c>
    </row>
    <row r="119" spans="1:13" x14ac:dyDescent="0.2">
      <c r="A119" s="155" t="s">
        <v>149</v>
      </c>
      <c r="B119" s="260" t="s">
        <v>148</v>
      </c>
      <c r="C119" s="127">
        <v>120.19</v>
      </c>
      <c r="D119" s="304">
        <v>7.19</v>
      </c>
      <c r="E119" s="127">
        <v>4.8000000000000001E-2</v>
      </c>
      <c r="F119" s="127">
        <v>6.9290000000000003</v>
      </c>
      <c r="G119" s="305">
        <v>1455.8</v>
      </c>
      <c r="H119" s="127">
        <v>207.2</v>
      </c>
      <c r="I119" s="127">
        <v>158</v>
      </c>
      <c r="J119" s="127">
        <v>308</v>
      </c>
      <c r="K119" s="127">
        <v>305</v>
      </c>
      <c r="L119" s="154" t="s">
        <v>479</v>
      </c>
      <c r="M119" s="155" t="s">
        <v>149</v>
      </c>
    </row>
    <row r="120" spans="1:13" x14ac:dyDescent="0.2">
      <c r="A120" s="155" t="s">
        <v>147</v>
      </c>
      <c r="B120" s="260" t="s">
        <v>146</v>
      </c>
      <c r="C120" s="127">
        <v>134.22</v>
      </c>
      <c r="D120" s="304">
        <v>7.32</v>
      </c>
      <c r="E120" s="127">
        <v>1.7000000000000001E-2</v>
      </c>
      <c r="F120" s="127">
        <v>7.4169999999999998</v>
      </c>
      <c r="G120" s="305">
        <v>1880.5</v>
      </c>
      <c r="H120" s="127">
        <v>236.27</v>
      </c>
      <c r="I120" s="127">
        <v>178</v>
      </c>
      <c r="J120" s="127">
        <v>355</v>
      </c>
      <c r="K120" s="127">
        <v>350</v>
      </c>
      <c r="L120" s="154" t="s">
        <v>480</v>
      </c>
      <c r="M120" s="155" t="s">
        <v>147</v>
      </c>
    </row>
    <row r="121" spans="1:13" x14ac:dyDescent="0.2">
      <c r="A121" s="155" t="s">
        <v>145</v>
      </c>
      <c r="B121" s="260" t="s">
        <v>144</v>
      </c>
      <c r="C121" s="127">
        <v>67.09</v>
      </c>
      <c r="D121" s="304">
        <v>6.68</v>
      </c>
      <c r="E121" s="127">
        <v>0.88600000000000001</v>
      </c>
      <c r="F121" s="127">
        <v>6.9989999999999997</v>
      </c>
      <c r="G121" s="305">
        <v>1353.6</v>
      </c>
      <c r="H121" s="127">
        <v>238.03</v>
      </c>
      <c r="I121" s="127">
        <v>-48</v>
      </c>
      <c r="J121" s="127">
        <v>194</v>
      </c>
      <c r="K121" s="127">
        <v>194</v>
      </c>
      <c r="L121" s="154" t="s">
        <v>479</v>
      </c>
      <c r="M121" s="155" t="s">
        <v>145</v>
      </c>
    </row>
    <row r="122" spans="1:13" x14ac:dyDescent="0.2">
      <c r="A122" s="155" t="s">
        <v>143</v>
      </c>
      <c r="B122" s="260" t="s">
        <v>142</v>
      </c>
      <c r="C122" s="127">
        <v>16.04</v>
      </c>
      <c r="D122" s="304">
        <v>3.53</v>
      </c>
      <c r="E122" s="127">
        <v>4567</v>
      </c>
      <c r="F122" s="127">
        <v>7.0960000000000001</v>
      </c>
      <c r="G122" s="127">
        <v>516.70000000000005</v>
      </c>
      <c r="H122" s="127">
        <v>284.37</v>
      </c>
      <c r="I122" s="127">
        <v>-262</v>
      </c>
      <c r="J122" s="127">
        <v>-117</v>
      </c>
      <c r="K122" s="127">
        <v>-260</v>
      </c>
      <c r="L122" s="154" t="s">
        <v>480</v>
      </c>
      <c r="M122" s="155" t="s">
        <v>143</v>
      </c>
    </row>
    <row r="123" spans="1:13" x14ac:dyDescent="0.2">
      <c r="A123" s="155" t="s">
        <v>141</v>
      </c>
      <c r="B123" s="260" t="s">
        <v>140</v>
      </c>
      <c r="C123" s="127">
        <v>74.08</v>
      </c>
      <c r="D123" s="304">
        <v>7.8</v>
      </c>
      <c r="E123" s="127">
        <v>2.7029999999999998</v>
      </c>
      <c r="F123" s="127">
        <v>7.0789999999999997</v>
      </c>
      <c r="G123" s="305">
        <v>1164.4000000000001</v>
      </c>
      <c r="H123" s="127">
        <v>220.46</v>
      </c>
      <c r="I123" s="127">
        <v>35</v>
      </c>
      <c r="J123" s="127">
        <v>133</v>
      </c>
      <c r="K123" s="127">
        <v>134</v>
      </c>
      <c r="L123" s="154" t="s">
        <v>480</v>
      </c>
      <c r="M123" s="155" t="s">
        <v>141</v>
      </c>
    </row>
    <row r="124" spans="1:13" x14ac:dyDescent="0.2">
      <c r="A124" s="155" t="s">
        <v>139</v>
      </c>
      <c r="B124" s="260" t="s">
        <v>138</v>
      </c>
      <c r="C124" s="127">
        <v>86.09</v>
      </c>
      <c r="D124" s="304">
        <v>7.96</v>
      </c>
      <c r="E124" s="127">
        <v>1.0580000000000001</v>
      </c>
      <c r="F124" s="127">
        <v>7.1980000000000004</v>
      </c>
      <c r="G124" s="305">
        <v>1338.7</v>
      </c>
      <c r="H124" s="127">
        <v>229.63</v>
      </c>
      <c r="I124" s="127">
        <v>-47</v>
      </c>
      <c r="J124" s="127">
        <v>176</v>
      </c>
      <c r="K124" s="127">
        <v>177</v>
      </c>
      <c r="L124" s="154" t="s">
        <v>480</v>
      </c>
      <c r="M124" s="155" t="s">
        <v>139</v>
      </c>
    </row>
    <row r="125" spans="1:13" x14ac:dyDescent="0.2">
      <c r="A125" s="155" t="s">
        <v>137</v>
      </c>
      <c r="B125" s="260" t="s">
        <v>136</v>
      </c>
      <c r="C125" s="127">
        <v>32.04</v>
      </c>
      <c r="D125" s="304">
        <v>6.61</v>
      </c>
      <c r="E125" s="127">
        <v>1.476</v>
      </c>
      <c r="F125" s="127">
        <v>8.0790000000000006</v>
      </c>
      <c r="G125" s="305">
        <v>1581.3</v>
      </c>
      <c r="H125" s="127">
        <v>239.65</v>
      </c>
      <c r="I125" s="127">
        <v>59</v>
      </c>
      <c r="J125" s="127">
        <v>183</v>
      </c>
      <c r="K125" s="127">
        <v>148</v>
      </c>
      <c r="L125" s="154" t="s">
        <v>479</v>
      </c>
      <c r="M125" s="155" t="s">
        <v>137</v>
      </c>
    </row>
    <row r="126" spans="1:13" x14ac:dyDescent="0.2">
      <c r="A126" s="155" t="s">
        <v>135</v>
      </c>
      <c r="B126" s="260" t="s">
        <v>134</v>
      </c>
      <c r="C126" s="127">
        <v>72.11</v>
      </c>
      <c r="D126" s="304">
        <v>6.68</v>
      </c>
      <c r="E126" s="127">
        <v>1.081</v>
      </c>
      <c r="F126" s="127">
        <v>6.8639999999999999</v>
      </c>
      <c r="G126" s="305">
        <v>1150.2</v>
      </c>
      <c r="H126" s="127">
        <v>209.25</v>
      </c>
      <c r="I126" s="127">
        <v>106</v>
      </c>
      <c r="J126" s="127">
        <v>207</v>
      </c>
      <c r="K126" s="127">
        <v>176</v>
      </c>
      <c r="L126" s="154" t="s">
        <v>480</v>
      </c>
      <c r="M126" s="155" t="s">
        <v>135</v>
      </c>
    </row>
    <row r="127" spans="1:13" x14ac:dyDescent="0.2">
      <c r="A127" s="155" t="s">
        <v>133</v>
      </c>
      <c r="B127" s="260" t="s">
        <v>132</v>
      </c>
      <c r="C127" s="127">
        <v>100.16</v>
      </c>
      <c r="D127" s="304">
        <v>6.65</v>
      </c>
      <c r="E127" s="127">
        <v>0.219</v>
      </c>
      <c r="F127" s="127">
        <v>6.8280000000000003</v>
      </c>
      <c r="G127" s="305">
        <v>1254.0999999999999</v>
      </c>
      <c r="H127" s="127">
        <v>201.61</v>
      </c>
      <c r="I127" s="127">
        <v>71</v>
      </c>
      <c r="J127" s="127">
        <v>241</v>
      </c>
      <c r="K127" s="127">
        <v>241</v>
      </c>
      <c r="L127" s="154" t="s">
        <v>479</v>
      </c>
      <c r="M127" s="155" t="s">
        <v>133</v>
      </c>
    </row>
    <row r="128" spans="1:13" x14ac:dyDescent="0.2">
      <c r="A128" s="155" t="s">
        <v>131</v>
      </c>
      <c r="B128" s="260" t="s">
        <v>130</v>
      </c>
      <c r="C128" s="127">
        <v>100.12</v>
      </c>
      <c r="D128" s="304">
        <v>7.88</v>
      </c>
      <c r="E128" s="127">
        <v>0.41599999999999998</v>
      </c>
      <c r="F128" s="127">
        <v>8.2530000000000001</v>
      </c>
      <c r="G128" s="305">
        <v>1945.6</v>
      </c>
      <c r="H128" s="127">
        <v>265.58</v>
      </c>
      <c r="I128" s="127">
        <v>102</v>
      </c>
      <c r="J128" s="127">
        <v>192</v>
      </c>
      <c r="K128" s="127">
        <v>213</v>
      </c>
      <c r="L128" s="154" t="s">
        <v>479</v>
      </c>
      <c r="M128" s="155" t="s">
        <v>131</v>
      </c>
    </row>
    <row r="129" spans="1:13" x14ac:dyDescent="0.2">
      <c r="A129" s="155" t="s">
        <v>129</v>
      </c>
      <c r="B129" s="260" t="s">
        <v>128</v>
      </c>
      <c r="C129" s="127">
        <v>74.12</v>
      </c>
      <c r="D129" s="304">
        <v>6.14</v>
      </c>
      <c r="E129" s="127">
        <v>6.0170000000000003</v>
      </c>
      <c r="F129" s="127">
        <v>6.5629999999999997</v>
      </c>
      <c r="G129" s="127">
        <v>903.6</v>
      </c>
      <c r="H129" s="127">
        <v>206.46</v>
      </c>
      <c r="I129" s="127">
        <v>31</v>
      </c>
      <c r="J129" s="127">
        <v>103</v>
      </c>
      <c r="K129" s="127">
        <v>102</v>
      </c>
      <c r="L129" s="154" t="s">
        <v>480</v>
      </c>
      <c r="M129" s="155" t="s">
        <v>129</v>
      </c>
    </row>
    <row r="130" spans="1:13" x14ac:dyDescent="0.2">
      <c r="A130" s="155" t="s">
        <v>127</v>
      </c>
      <c r="B130" s="260" t="s">
        <v>126</v>
      </c>
      <c r="C130" s="127">
        <v>118.18</v>
      </c>
      <c r="D130" s="304">
        <v>7.6</v>
      </c>
      <c r="E130" s="127">
        <v>2.4E-2</v>
      </c>
      <c r="F130" s="127">
        <v>6.9240000000000004</v>
      </c>
      <c r="G130" s="305">
        <v>1486.9</v>
      </c>
      <c r="H130" s="127">
        <v>202.4</v>
      </c>
      <c r="I130" s="127"/>
      <c r="J130" s="127"/>
      <c r="K130" s="127">
        <v>329</v>
      </c>
      <c r="L130" s="154" t="s">
        <v>480</v>
      </c>
      <c r="M130" s="155" t="s">
        <v>127</v>
      </c>
    </row>
    <row r="131" spans="1:13" x14ac:dyDescent="0.2">
      <c r="A131" s="155" t="s">
        <v>125</v>
      </c>
      <c r="B131" s="260" t="s">
        <v>124</v>
      </c>
      <c r="C131" s="127">
        <v>98.19</v>
      </c>
      <c r="D131" s="304">
        <v>6.42</v>
      </c>
      <c r="E131" s="127">
        <v>0.55800000000000005</v>
      </c>
      <c r="F131" s="127">
        <v>6.8230000000000004</v>
      </c>
      <c r="G131" s="305">
        <v>1270.8</v>
      </c>
      <c r="H131" s="127">
        <v>221.42</v>
      </c>
      <c r="I131" s="127">
        <v>27</v>
      </c>
      <c r="J131" s="127">
        <v>261</v>
      </c>
      <c r="K131" s="127">
        <v>214</v>
      </c>
      <c r="L131" s="154" t="s">
        <v>480</v>
      </c>
      <c r="M131" s="155" t="s">
        <v>125</v>
      </c>
    </row>
    <row r="132" spans="1:13" x14ac:dyDescent="0.2">
      <c r="A132" s="155" t="s">
        <v>123</v>
      </c>
      <c r="B132" s="260" t="s">
        <v>122</v>
      </c>
      <c r="C132" s="127">
        <v>84.16</v>
      </c>
      <c r="D132" s="304">
        <v>6.25</v>
      </c>
      <c r="E132" s="127">
        <v>1.738</v>
      </c>
      <c r="F132" s="127">
        <v>6.8630000000000004</v>
      </c>
      <c r="G132" s="305">
        <v>1186.0999999999999</v>
      </c>
      <c r="H132" s="127">
        <v>226.04</v>
      </c>
      <c r="I132" s="127">
        <v>59</v>
      </c>
      <c r="J132" s="127">
        <v>163</v>
      </c>
      <c r="K132" s="127">
        <v>161</v>
      </c>
      <c r="L132" s="154" t="s">
        <v>480</v>
      </c>
      <c r="M132" s="155" t="s">
        <v>123</v>
      </c>
    </row>
    <row r="133" spans="1:13" x14ac:dyDescent="0.2">
      <c r="A133" s="155" t="s">
        <v>121</v>
      </c>
      <c r="B133" s="260" t="s">
        <v>120</v>
      </c>
      <c r="C133" s="127">
        <v>115.03</v>
      </c>
      <c r="D133" s="304">
        <v>8.91</v>
      </c>
      <c r="E133" s="127">
        <v>5.718</v>
      </c>
      <c r="F133" s="127">
        <v>7.0279999999999996</v>
      </c>
      <c r="G133" s="305">
        <v>1167.8</v>
      </c>
      <c r="H133" s="127">
        <v>240.7</v>
      </c>
      <c r="I133" s="127">
        <v>34</v>
      </c>
      <c r="J133" s="127">
        <v>106</v>
      </c>
      <c r="K133" s="127"/>
      <c r="L133" s="154" t="s">
        <v>480</v>
      </c>
      <c r="M133" s="155" t="s">
        <v>121</v>
      </c>
    </row>
    <row r="134" spans="1:13" x14ac:dyDescent="0.2">
      <c r="A134" s="155" t="s">
        <v>119</v>
      </c>
      <c r="B134" s="260" t="s">
        <v>118</v>
      </c>
      <c r="C134" s="127">
        <v>84.93</v>
      </c>
      <c r="D134" s="304">
        <v>11</v>
      </c>
      <c r="E134" s="127">
        <v>5.64</v>
      </c>
      <c r="F134" s="127">
        <v>7.4119999999999999</v>
      </c>
      <c r="G134" s="305">
        <v>1327</v>
      </c>
      <c r="H134" s="127">
        <v>252.68</v>
      </c>
      <c r="I134" s="127">
        <v>-40</v>
      </c>
      <c r="J134" s="127">
        <v>104</v>
      </c>
      <c r="K134" s="127">
        <v>104</v>
      </c>
      <c r="L134" s="154" t="s">
        <v>479</v>
      </c>
      <c r="M134" s="155" t="s">
        <v>119</v>
      </c>
    </row>
    <row r="135" spans="1:13" x14ac:dyDescent="0.2">
      <c r="A135" s="155" t="s">
        <v>117</v>
      </c>
      <c r="B135" s="260" t="s">
        <v>116</v>
      </c>
      <c r="C135" s="127">
        <v>100.2</v>
      </c>
      <c r="D135" s="304">
        <v>5.66</v>
      </c>
      <c r="E135" s="127">
        <v>0.79900000000000004</v>
      </c>
      <c r="F135" s="127">
        <v>6.8819999999999997</v>
      </c>
      <c r="G135" s="305">
        <v>1240.9000000000001</v>
      </c>
      <c r="H135" s="127">
        <v>220.1</v>
      </c>
      <c r="I135" s="127">
        <v>65</v>
      </c>
      <c r="J135" s="127">
        <v>196</v>
      </c>
      <c r="K135" s="127">
        <v>194</v>
      </c>
      <c r="L135" s="154" t="s">
        <v>480</v>
      </c>
      <c r="M135" s="155" t="s">
        <v>117</v>
      </c>
    </row>
    <row r="136" spans="1:13" x14ac:dyDescent="0.2">
      <c r="A136" s="155" t="s">
        <v>115</v>
      </c>
      <c r="B136" s="260" t="s">
        <v>114</v>
      </c>
      <c r="C136" s="127">
        <v>100.2</v>
      </c>
      <c r="D136" s="304">
        <v>5.72</v>
      </c>
      <c r="E136" s="127">
        <v>0.74399999999999999</v>
      </c>
      <c r="F136" s="127">
        <v>6.8739999999999997</v>
      </c>
      <c r="G136" s="305">
        <v>1243.8</v>
      </c>
      <c r="H136" s="127">
        <v>219.63</v>
      </c>
      <c r="I136" s="127">
        <v>68</v>
      </c>
      <c r="J136" s="127">
        <v>199</v>
      </c>
      <c r="K136" s="127">
        <v>197</v>
      </c>
      <c r="L136" s="154" t="s">
        <v>480</v>
      </c>
      <c r="M136" s="155" t="s">
        <v>115</v>
      </c>
    </row>
    <row r="137" spans="1:13" x14ac:dyDescent="0.2">
      <c r="A137" s="155" t="s">
        <v>113</v>
      </c>
      <c r="B137" s="260" t="s">
        <v>112</v>
      </c>
      <c r="C137" s="127">
        <v>86.18</v>
      </c>
      <c r="D137" s="304">
        <v>5.43</v>
      </c>
      <c r="E137" s="127">
        <v>2.73</v>
      </c>
      <c r="F137" s="127">
        <v>6.8390000000000004</v>
      </c>
      <c r="G137" s="305">
        <v>1135.4000000000001</v>
      </c>
      <c r="H137" s="127">
        <v>226.57</v>
      </c>
      <c r="I137" s="127">
        <v>55</v>
      </c>
      <c r="J137" s="127">
        <v>142</v>
      </c>
      <c r="K137" s="127">
        <v>142</v>
      </c>
      <c r="L137" s="154" t="s">
        <v>480</v>
      </c>
      <c r="M137" s="155" t="s">
        <v>113</v>
      </c>
    </row>
    <row r="138" spans="1:13" x14ac:dyDescent="0.2">
      <c r="A138" s="155" t="s">
        <v>111</v>
      </c>
      <c r="B138" s="260" t="s">
        <v>110</v>
      </c>
      <c r="C138" s="127">
        <v>88.15</v>
      </c>
      <c r="D138" s="304">
        <v>6.18</v>
      </c>
      <c r="E138" s="127">
        <v>3.226</v>
      </c>
      <c r="F138" s="127">
        <v>6.867</v>
      </c>
      <c r="G138" s="305">
        <v>1116.0999999999999</v>
      </c>
      <c r="H138" s="127">
        <v>224.74</v>
      </c>
      <c r="I138" s="127">
        <v>125</v>
      </c>
      <c r="J138" s="127">
        <v>431</v>
      </c>
      <c r="K138" s="127">
        <v>131</v>
      </c>
      <c r="L138" s="154" t="s">
        <v>479</v>
      </c>
      <c r="M138" s="155" t="s">
        <v>111</v>
      </c>
    </row>
    <row r="139" spans="1:13" x14ac:dyDescent="0.2">
      <c r="A139" s="155" t="s">
        <v>109</v>
      </c>
      <c r="B139" s="260" t="s">
        <v>108</v>
      </c>
      <c r="C139" s="127">
        <v>87.12</v>
      </c>
      <c r="D139" s="304">
        <v>8.35</v>
      </c>
      <c r="E139" s="127">
        <v>0.109</v>
      </c>
      <c r="F139" s="127">
        <v>7.718</v>
      </c>
      <c r="G139" s="305">
        <v>1745.8</v>
      </c>
      <c r="H139" s="127">
        <v>235</v>
      </c>
      <c r="I139" s="127">
        <v>32</v>
      </c>
      <c r="J139" s="127">
        <v>111</v>
      </c>
      <c r="K139" s="127">
        <v>263</v>
      </c>
      <c r="L139" s="154" t="s">
        <v>480</v>
      </c>
      <c r="M139" s="155" t="s">
        <v>109</v>
      </c>
    </row>
    <row r="140" spans="1:13" x14ac:dyDescent="0.2">
      <c r="A140" s="155" t="s">
        <v>107</v>
      </c>
      <c r="B140" s="260" t="s">
        <v>106</v>
      </c>
      <c r="C140" s="127">
        <v>128.16999999999999</v>
      </c>
      <c r="D140" s="304">
        <v>8.56</v>
      </c>
      <c r="E140" s="127">
        <v>2.3999999999999998E-3</v>
      </c>
      <c r="F140" s="127">
        <v>7.1459999999999999</v>
      </c>
      <c r="G140" s="305">
        <v>1831.6</v>
      </c>
      <c r="H140" s="127">
        <v>211.82</v>
      </c>
      <c r="I140" s="127">
        <v>177</v>
      </c>
      <c r="J140" s="127">
        <v>354</v>
      </c>
      <c r="K140" s="127">
        <v>422</v>
      </c>
      <c r="L140" s="154" t="s">
        <v>479</v>
      </c>
      <c r="M140" s="155" t="s">
        <v>107</v>
      </c>
    </row>
    <row r="141" spans="1:13" x14ac:dyDescent="0.2">
      <c r="A141" s="155" t="s">
        <v>105</v>
      </c>
      <c r="B141" s="260" t="s">
        <v>104</v>
      </c>
      <c r="C141" s="127">
        <v>123.11</v>
      </c>
      <c r="D141" s="304">
        <v>10</v>
      </c>
      <c r="E141" s="127">
        <v>2.2000000000000001E-3</v>
      </c>
      <c r="F141" s="127">
        <v>7.0910000000000002</v>
      </c>
      <c r="G141" s="305">
        <v>1727.6</v>
      </c>
      <c r="H141" s="127">
        <v>199.71</v>
      </c>
      <c r="I141" s="127">
        <v>273</v>
      </c>
      <c r="J141" s="127">
        <v>411</v>
      </c>
      <c r="K141" s="127">
        <v>412</v>
      </c>
      <c r="L141" s="154" t="s">
        <v>479</v>
      </c>
      <c r="M141" s="155" t="s">
        <v>105</v>
      </c>
    </row>
    <row r="142" spans="1:13" x14ac:dyDescent="0.2">
      <c r="A142" s="155" t="s">
        <v>103</v>
      </c>
      <c r="B142" s="260" t="s">
        <v>102</v>
      </c>
      <c r="C142" s="127">
        <v>61.04</v>
      </c>
      <c r="D142" s="304">
        <v>9.49</v>
      </c>
      <c r="E142" s="127">
        <v>0.41499999999999998</v>
      </c>
      <c r="F142" s="127">
        <v>7.2809999999999997</v>
      </c>
      <c r="G142" s="305">
        <v>1446.2</v>
      </c>
      <c r="H142" s="127">
        <v>227.52</v>
      </c>
      <c r="I142" s="127">
        <v>132</v>
      </c>
      <c r="J142" s="127">
        <v>277</v>
      </c>
      <c r="K142" s="127">
        <v>214</v>
      </c>
      <c r="L142" s="154" t="s">
        <v>480</v>
      </c>
      <c r="M142" s="155" t="s">
        <v>103</v>
      </c>
    </row>
    <row r="143" spans="1:13" x14ac:dyDescent="0.2">
      <c r="A143" s="155" t="s">
        <v>101</v>
      </c>
      <c r="B143" s="260" t="s">
        <v>100</v>
      </c>
      <c r="C143" s="127">
        <v>268.52</v>
      </c>
      <c r="D143" s="304">
        <v>6.56</v>
      </c>
      <c r="E143" s="306">
        <v>3.6399999999999998E-7</v>
      </c>
      <c r="F143" s="127">
        <v>33.302999999999997</v>
      </c>
      <c r="G143" s="307">
        <v>28197</v>
      </c>
      <c r="H143" s="127">
        <v>725.94</v>
      </c>
      <c r="I143" s="127">
        <v>91</v>
      </c>
      <c r="J143" s="127">
        <v>131</v>
      </c>
      <c r="K143" s="127">
        <v>624</v>
      </c>
      <c r="L143" s="154" t="s">
        <v>480</v>
      </c>
      <c r="M143" s="155" t="s">
        <v>101</v>
      </c>
    </row>
    <row r="144" spans="1:13" x14ac:dyDescent="0.2">
      <c r="A144" s="155" t="s">
        <v>99</v>
      </c>
      <c r="B144" s="260" t="s">
        <v>98</v>
      </c>
      <c r="C144" s="127">
        <v>128.26</v>
      </c>
      <c r="D144" s="304">
        <v>5.99</v>
      </c>
      <c r="E144" s="127">
        <v>3.6999999999999998E-2</v>
      </c>
      <c r="F144" s="127">
        <v>6.7</v>
      </c>
      <c r="G144" s="305">
        <v>1492.9</v>
      </c>
      <c r="H144" s="127">
        <v>217.26</v>
      </c>
      <c r="I144" s="127">
        <v>-64</v>
      </c>
      <c r="J144" s="127">
        <v>94</v>
      </c>
      <c r="K144" s="127">
        <v>303</v>
      </c>
      <c r="L144" s="154" t="s">
        <v>480</v>
      </c>
      <c r="M144" s="155" t="s">
        <v>99</v>
      </c>
    </row>
    <row r="145" spans="1:13" x14ac:dyDescent="0.2">
      <c r="A145" s="155" t="s">
        <v>97</v>
      </c>
      <c r="B145" s="260" t="s">
        <v>96</v>
      </c>
      <c r="C145" s="127">
        <v>254.49</v>
      </c>
      <c r="D145" s="304">
        <v>6.48</v>
      </c>
      <c r="E145" s="306">
        <v>6.1600000000000001E-7</v>
      </c>
      <c r="F145" s="127">
        <v>7.2069999999999999</v>
      </c>
      <c r="G145" s="305">
        <v>2069</v>
      </c>
      <c r="H145" s="127">
        <v>161.22</v>
      </c>
      <c r="I145" s="127">
        <v>346</v>
      </c>
      <c r="J145" s="127">
        <v>602</v>
      </c>
      <c r="K145" s="127">
        <v>592</v>
      </c>
      <c r="L145" s="154" t="s">
        <v>480</v>
      </c>
      <c r="M145" s="155" t="s">
        <v>97</v>
      </c>
    </row>
    <row r="146" spans="1:13" x14ac:dyDescent="0.2">
      <c r="A146" s="155" t="s">
        <v>95</v>
      </c>
      <c r="B146" s="260" t="s">
        <v>94</v>
      </c>
      <c r="C146" s="127">
        <v>114.23</v>
      </c>
      <c r="D146" s="304">
        <v>5.83</v>
      </c>
      <c r="E146" s="127">
        <v>0.14199999999999999</v>
      </c>
      <c r="F146" s="127">
        <v>8.0760000000000005</v>
      </c>
      <c r="G146" s="305">
        <v>1936.3</v>
      </c>
      <c r="H146" s="127">
        <v>253.01</v>
      </c>
      <c r="I146" s="127">
        <v>-70</v>
      </c>
      <c r="J146" s="127">
        <v>75</v>
      </c>
      <c r="K146" s="127">
        <v>258</v>
      </c>
      <c r="L146" s="154" t="s">
        <v>480</v>
      </c>
      <c r="M146" s="155" t="s">
        <v>95</v>
      </c>
    </row>
    <row r="147" spans="1:13" x14ac:dyDescent="0.2">
      <c r="A147" s="155" t="s">
        <v>93</v>
      </c>
      <c r="B147" s="260" t="s">
        <v>92</v>
      </c>
      <c r="C147" s="127">
        <v>130.22999999999999</v>
      </c>
      <c r="D147" s="304">
        <v>6.9</v>
      </c>
      <c r="E147" s="127">
        <v>6.0999999999999997E-4</v>
      </c>
      <c r="F147" s="127">
        <v>9.3520000000000003</v>
      </c>
      <c r="G147" s="305">
        <v>2603.4</v>
      </c>
      <c r="H147" s="127">
        <v>224.35</v>
      </c>
      <c r="I147" s="127">
        <v>68</v>
      </c>
      <c r="J147" s="127">
        <v>176</v>
      </c>
      <c r="K147" s="127">
        <v>383</v>
      </c>
      <c r="L147" s="154" t="s">
        <v>480</v>
      </c>
      <c r="M147" s="155" t="s">
        <v>93</v>
      </c>
    </row>
    <row r="148" spans="1:13" x14ac:dyDescent="0.2">
      <c r="A148" s="155" t="s">
        <v>91</v>
      </c>
      <c r="B148" s="260" t="s">
        <v>90</v>
      </c>
      <c r="C148" s="127">
        <v>112.21</v>
      </c>
      <c r="D148" s="304">
        <v>5.97</v>
      </c>
      <c r="E148" s="127">
        <v>0.19600000000000001</v>
      </c>
      <c r="F148" s="127">
        <v>6.9329999999999998</v>
      </c>
      <c r="G148" s="305">
        <v>1353.5</v>
      </c>
      <c r="H148" s="127">
        <v>212.76</v>
      </c>
      <c r="I148" s="127">
        <v>113</v>
      </c>
      <c r="J148" s="127">
        <v>252</v>
      </c>
      <c r="K148" s="127">
        <v>251</v>
      </c>
      <c r="L148" s="154" t="s">
        <v>480</v>
      </c>
      <c r="M148" s="155" t="s">
        <v>91</v>
      </c>
    </row>
    <row r="149" spans="1:13" x14ac:dyDescent="0.2">
      <c r="A149" s="155" t="s">
        <v>89</v>
      </c>
      <c r="B149" s="260" t="s">
        <v>88</v>
      </c>
      <c r="C149" s="127">
        <v>202.29</v>
      </c>
      <c r="D149" s="304">
        <v>14</v>
      </c>
      <c r="E149" s="127">
        <v>0.04</v>
      </c>
      <c r="F149" s="127">
        <v>6.6429999999999998</v>
      </c>
      <c r="G149" s="305">
        <v>1342.3</v>
      </c>
      <c r="H149" s="127">
        <v>196.51</v>
      </c>
      <c r="I149" s="127">
        <v>77</v>
      </c>
      <c r="J149" s="127">
        <v>324</v>
      </c>
      <c r="K149" s="127">
        <v>324</v>
      </c>
      <c r="L149" s="154" t="s">
        <v>480</v>
      </c>
      <c r="M149" s="155" t="s">
        <v>89</v>
      </c>
    </row>
    <row r="150" spans="1:13" x14ac:dyDescent="0.2">
      <c r="A150" s="155" t="s">
        <v>87</v>
      </c>
      <c r="B150" s="260" t="s">
        <v>86</v>
      </c>
      <c r="C150" s="127">
        <v>68.12</v>
      </c>
      <c r="D150" s="304">
        <v>5.78</v>
      </c>
      <c r="E150" s="127">
        <v>4.718</v>
      </c>
      <c r="F150" s="127">
        <v>6.9359999999999999</v>
      </c>
      <c r="G150" s="305">
        <v>1125.5</v>
      </c>
      <c r="H150" s="127">
        <v>231.88</v>
      </c>
      <c r="I150" s="127">
        <v>-76</v>
      </c>
      <c r="J150" s="127">
        <v>-19</v>
      </c>
      <c r="K150" s="127">
        <v>113</v>
      </c>
      <c r="L150" s="154" t="s">
        <v>480</v>
      </c>
      <c r="M150" s="155" t="s">
        <v>87</v>
      </c>
    </row>
    <row r="151" spans="1:13" x14ac:dyDescent="0.2">
      <c r="A151" s="155" t="s">
        <v>85</v>
      </c>
      <c r="B151" s="260" t="s">
        <v>84</v>
      </c>
      <c r="C151" s="127">
        <v>68.12</v>
      </c>
      <c r="D151" s="304">
        <v>5.52</v>
      </c>
      <c r="E151" s="127">
        <v>10.06</v>
      </c>
      <c r="F151" s="127">
        <v>7.0350000000000001</v>
      </c>
      <c r="G151" s="305">
        <v>1108.2</v>
      </c>
      <c r="H151" s="127">
        <v>241.05</v>
      </c>
      <c r="I151" s="127">
        <v>-110</v>
      </c>
      <c r="J151" s="127">
        <v>65</v>
      </c>
      <c r="K151" s="127">
        <v>79</v>
      </c>
      <c r="L151" s="154" t="s">
        <v>480</v>
      </c>
      <c r="M151" s="155" t="s">
        <v>85</v>
      </c>
    </row>
    <row r="152" spans="1:13" x14ac:dyDescent="0.2">
      <c r="A152" s="155" t="s">
        <v>83</v>
      </c>
      <c r="B152" s="260" t="s">
        <v>82</v>
      </c>
      <c r="C152" s="127">
        <v>68.12</v>
      </c>
      <c r="D152" s="304">
        <v>5.8</v>
      </c>
      <c r="E152" s="127">
        <v>4.2229999999999999</v>
      </c>
      <c r="F152" s="127">
        <v>7.2629999999999999</v>
      </c>
      <c r="G152" s="305">
        <v>1256.2</v>
      </c>
      <c r="H152" s="127">
        <v>239.57</v>
      </c>
      <c r="I152" s="127">
        <v>-76</v>
      </c>
      <c r="J152" s="127">
        <v>-15</v>
      </c>
      <c r="K152" s="127">
        <v>119</v>
      </c>
      <c r="L152" s="154" t="s">
        <v>480</v>
      </c>
      <c r="M152" s="155" t="s">
        <v>83</v>
      </c>
    </row>
    <row r="153" spans="1:13" x14ac:dyDescent="0.2">
      <c r="A153" s="155" t="s">
        <v>81</v>
      </c>
      <c r="B153" s="260" t="s">
        <v>80</v>
      </c>
      <c r="C153" s="127">
        <v>72.150000000000006</v>
      </c>
      <c r="D153" s="304">
        <v>5.23</v>
      </c>
      <c r="E153" s="127">
        <v>6.8840000000000003</v>
      </c>
      <c r="F153" s="127">
        <v>6.8639999999999999</v>
      </c>
      <c r="G153" s="305">
        <v>1070.5999999999999</v>
      </c>
      <c r="H153" s="127">
        <v>232.7</v>
      </c>
      <c r="I153" s="127">
        <v>24</v>
      </c>
      <c r="J153" s="127">
        <v>155</v>
      </c>
      <c r="K153" s="127">
        <v>97</v>
      </c>
      <c r="L153" s="154" t="s">
        <v>480</v>
      </c>
      <c r="M153" s="155" t="s">
        <v>81</v>
      </c>
    </row>
    <row r="154" spans="1:13" x14ac:dyDescent="0.2">
      <c r="A154" s="155" t="s">
        <v>79</v>
      </c>
      <c r="B154" s="260" t="s">
        <v>78</v>
      </c>
      <c r="C154" s="127">
        <v>70.13</v>
      </c>
      <c r="D154" s="304">
        <v>5.35</v>
      </c>
      <c r="E154" s="127">
        <v>8.6709999999999994</v>
      </c>
      <c r="F154" s="127">
        <v>6.7859999999999996</v>
      </c>
      <c r="G154" s="305">
        <v>1014.3</v>
      </c>
      <c r="H154" s="127">
        <v>229.78</v>
      </c>
      <c r="I154" s="127">
        <v>55</v>
      </c>
      <c r="J154" s="127">
        <v>87</v>
      </c>
      <c r="K154" s="127">
        <v>88</v>
      </c>
      <c r="L154" s="154" t="s">
        <v>480</v>
      </c>
      <c r="M154" s="155" t="s">
        <v>79</v>
      </c>
    </row>
    <row r="155" spans="1:13" x14ac:dyDescent="0.2">
      <c r="A155" s="155" t="s">
        <v>77</v>
      </c>
      <c r="B155" s="260" t="s">
        <v>76</v>
      </c>
      <c r="C155" s="127">
        <v>68.12</v>
      </c>
      <c r="D155" s="304">
        <v>5.76</v>
      </c>
      <c r="E155" s="127">
        <v>5.657</v>
      </c>
      <c r="F155" s="127">
        <v>6.9669999999999996</v>
      </c>
      <c r="G155" s="305">
        <v>1092.5</v>
      </c>
      <c r="H155" s="127">
        <v>227.18</v>
      </c>
      <c r="I155" s="127">
        <v>-47</v>
      </c>
      <c r="J155" s="127">
        <v>142</v>
      </c>
      <c r="K155" s="127">
        <v>104</v>
      </c>
      <c r="L155" s="154" t="s">
        <v>480</v>
      </c>
      <c r="M155" s="155" t="s">
        <v>77</v>
      </c>
    </row>
    <row r="156" spans="1:13" x14ac:dyDescent="0.2">
      <c r="A156" s="155" t="s">
        <v>75</v>
      </c>
      <c r="B156" s="260" t="s">
        <v>74</v>
      </c>
      <c r="C156" s="127">
        <v>178.23</v>
      </c>
      <c r="D156" s="304">
        <v>8.18</v>
      </c>
      <c r="E156" s="306">
        <v>3.3699999999999999E-6</v>
      </c>
      <c r="F156" s="127">
        <v>7.3940000000000001</v>
      </c>
      <c r="G156" s="305">
        <v>2428.5</v>
      </c>
      <c r="H156" s="127">
        <v>202.19</v>
      </c>
      <c r="I156" s="127">
        <v>212</v>
      </c>
      <c r="J156" s="127">
        <v>302</v>
      </c>
      <c r="K156" s="127">
        <v>635</v>
      </c>
      <c r="L156" s="154" t="s">
        <v>479</v>
      </c>
      <c r="M156" s="155" t="s">
        <v>75</v>
      </c>
    </row>
    <row r="157" spans="1:13" x14ac:dyDescent="0.2">
      <c r="A157" s="155" t="s">
        <v>73</v>
      </c>
      <c r="B157" s="260" t="s">
        <v>72</v>
      </c>
      <c r="C157" s="127">
        <v>94.11</v>
      </c>
      <c r="D157" s="304">
        <v>8.8000000000000007</v>
      </c>
      <c r="E157" s="127">
        <v>3.0000000000000001E-3</v>
      </c>
      <c r="F157" s="127">
        <v>7.1219999999999999</v>
      </c>
      <c r="G157" s="305">
        <v>1509.7</v>
      </c>
      <c r="H157" s="127">
        <v>174.2</v>
      </c>
      <c r="I157" s="127">
        <v>225</v>
      </c>
      <c r="J157" s="127">
        <v>359</v>
      </c>
      <c r="K157" s="127">
        <v>359</v>
      </c>
      <c r="L157" s="154" t="s">
        <v>479</v>
      </c>
      <c r="M157" s="155" t="s">
        <v>73</v>
      </c>
    </row>
    <row r="158" spans="1:13" x14ac:dyDescent="0.2">
      <c r="A158" s="155" t="s">
        <v>71</v>
      </c>
      <c r="B158" s="260" t="s">
        <v>70</v>
      </c>
      <c r="C158" s="127">
        <v>98.92</v>
      </c>
      <c r="D158" s="304">
        <v>11.4</v>
      </c>
      <c r="E158" s="127">
        <v>19.43</v>
      </c>
      <c r="F158" s="127">
        <v>7.1459999999999999</v>
      </c>
      <c r="G158" s="305">
        <v>1072.7</v>
      </c>
      <c r="H158" s="127">
        <v>243.3</v>
      </c>
      <c r="I158" s="127">
        <v>47</v>
      </c>
      <c r="J158" s="127">
        <v>345</v>
      </c>
      <c r="K158" s="127">
        <v>46</v>
      </c>
      <c r="L158" s="154" t="s">
        <v>479</v>
      </c>
      <c r="M158" s="155" t="s">
        <v>71</v>
      </c>
    </row>
    <row r="159" spans="1:13" x14ac:dyDescent="0.2">
      <c r="A159" s="155" t="s">
        <v>69</v>
      </c>
      <c r="B159" s="260" t="s">
        <v>68</v>
      </c>
      <c r="C159" s="127">
        <v>93.13</v>
      </c>
      <c r="D159" s="304">
        <v>7.98</v>
      </c>
      <c r="E159" s="127">
        <v>6.4000000000000001E-2</v>
      </c>
      <c r="F159" s="127">
        <v>7.0540000000000003</v>
      </c>
      <c r="G159" s="305">
        <v>1484.3</v>
      </c>
      <c r="H159" s="127">
        <v>211.54</v>
      </c>
      <c r="I159" s="127">
        <v>165</v>
      </c>
      <c r="J159" s="127">
        <v>364</v>
      </c>
      <c r="K159" s="127">
        <v>291</v>
      </c>
      <c r="L159" s="154" t="s">
        <v>480</v>
      </c>
      <c r="M159" s="155" t="s">
        <v>69</v>
      </c>
    </row>
    <row r="160" spans="1:13" x14ac:dyDescent="0.2">
      <c r="A160" s="155" t="s">
        <v>67</v>
      </c>
      <c r="B160" s="260" t="s">
        <v>66</v>
      </c>
      <c r="C160" s="127">
        <v>44.1</v>
      </c>
      <c r="D160" s="304">
        <v>4.12</v>
      </c>
      <c r="E160" s="127">
        <v>111</v>
      </c>
      <c r="F160" s="127">
        <v>6.8579999999999997</v>
      </c>
      <c r="G160" s="127">
        <v>819.3</v>
      </c>
      <c r="H160" s="127">
        <v>248.73</v>
      </c>
      <c r="I160" s="127">
        <v>-45</v>
      </c>
      <c r="J160" s="127">
        <v>117</v>
      </c>
      <c r="K160" s="127">
        <v>-44</v>
      </c>
      <c r="L160" s="154" t="s">
        <v>480</v>
      </c>
      <c r="M160" s="155" t="s">
        <v>67</v>
      </c>
    </row>
    <row r="161" spans="1:13" x14ac:dyDescent="0.2">
      <c r="A161" s="155" t="s">
        <v>65</v>
      </c>
      <c r="B161" s="260" t="s">
        <v>64</v>
      </c>
      <c r="C161" s="127">
        <v>76.16</v>
      </c>
      <c r="D161" s="304">
        <v>7.02</v>
      </c>
      <c r="E161" s="127">
        <v>1.9430000000000001</v>
      </c>
      <c r="F161" s="127">
        <v>6.9290000000000003</v>
      </c>
      <c r="G161" s="305">
        <v>1183.4000000000001</v>
      </c>
      <c r="H161" s="127">
        <v>224.63</v>
      </c>
      <c r="I161" s="127">
        <v>76</v>
      </c>
      <c r="J161" s="127">
        <v>216</v>
      </c>
      <c r="K161" s="127">
        <v>154</v>
      </c>
      <c r="L161" s="154" t="s">
        <v>480</v>
      </c>
      <c r="M161" s="155" t="s">
        <v>65</v>
      </c>
    </row>
    <row r="162" spans="1:13" x14ac:dyDescent="0.2">
      <c r="A162" s="155" t="s">
        <v>63</v>
      </c>
      <c r="B162" s="260" t="s">
        <v>62</v>
      </c>
      <c r="C162" s="127">
        <v>76.16</v>
      </c>
      <c r="D162" s="304">
        <v>6.8</v>
      </c>
      <c r="E162" s="127">
        <v>3.59</v>
      </c>
      <c r="F162" s="127">
        <v>6.8769999999999998</v>
      </c>
      <c r="G162" s="305">
        <v>1113.9000000000001</v>
      </c>
      <c r="H162" s="127">
        <v>226.16</v>
      </c>
      <c r="I162" s="127">
        <v>51</v>
      </c>
      <c r="J162" s="127">
        <v>186</v>
      </c>
      <c r="K162" s="127">
        <v>131</v>
      </c>
      <c r="L162" s="154" t="s">
        <v>480</v>
      </c>
      <c r="M162" s="155" t="s">
        <v>63</v>
      </c>
    </row>
    <row r="163" spans="1:13" x14ac:dyDescent="0.2">
      <c r="A163" s="155" t="s">
        <v>61</v>
      </c>
      <c r="B163" s="260" t="s">
        <v>60</v>
      </c>
      <c r="C163" s="127">
        <v>60.1</v>
      </c>
      <c r="D163" s="304">
        <v>6.67</v>
      </c>
      <c r="E163" s="127">
        <v>0.218</v>
      </c>
      <c r="F163" s="127">
        <v>8.1890000000000001</v>
      </c>
      <c r="G163" s="305">
        <v>1690.9</v>
      </c>
      <c r="H163" s="127">
        <v>221.35</v>
      </c>
      <c r="I163" s="127">
        <v>67</v>
      </c>
      <c r="J163" s="127">
        <v>207</v>
      </c>
      <c r="K163" s="127">
        <v>207</v>
      </c>
      <c r="L163" s="154" t="s">
        <v>480</v>
      </c>
      <c r="M163" s="155" t="s">
        <v>61</v>
      </c>
    </row>
    <row r="164" spans="1:13" x14ac:dyDescent="0.2">
      <c r="A164" s="155" t="s">
        <v>59</v>
      </c>
      <c r="B164" s="260" t="s">
        <v>58</v>
      </c>
      <c r="C164" s="127">
        <v>105.09</v>
      </c>
      <c r="D164" s="304">
        <v>8.8000000000000007</v>
      </c>
      <c r="E164" s="127">
        <v>0.26100000000000001</v>
      </c>
      <c r="F164" s="127">
        <v>6.9550000000000001</v>
      </c>
      <c r="G164" s="305">
        <v>1294.4000000000001</v>
      </c>
      <c r="H164" s="127">
        <v>206.7</v>
      </c>
      <c r="I164" s="127">
        <v>32</v>
      </c>
      <c r="J164" s="127">
        <v>158</v>
      </c>
      <c r="K164" s="127">
        <v>231</v>
      </c>
      <c r="L164" s="154" t="s">
        <v>480</v>
      </c>
      <c r="M164" s="155" t="s">
        <v>59</v>
      </c>
    </row>
    <row r="165" spans="1:13" x14ac:dyDescent="0.2">
      <c r="A165" s="155" t="s">
        <v>57</v>
      </c>
      <c r="B165" s="260" t="s">
        <v>56</v>
      </c>
      <c r="C165" s="127">
        <v>59.11</v>
      </c>
      <c r="D165" s="304">
        <v>5.99</v>
      </c>
      <c r="E165" s="127">
        <v>3.99</v>
      </c>
      <c r="F165" s="127">
        <v>6.9260000000000002</v>
      </c>
      <c r="G165" s="305">
        <v>1044</v>
      </c>
      <c r="H165" s="127">
        <v>210.84</v>
      </c>
      <c r="I165" s="127">
        <v>73</v>
      </c>
      <c r="J165" s="127">
        <v>172</v>
      </c>
      <c r="K165" s="127">
        <v>120</v>
      </c>
      <c r="L165" s="154" t="s">
        <v>480</v>
      </c>
      <c r="M165" s="155" t="s">
        <v>57</v>
      </c>
    </row>
    <row r="166" spans="1:13" x14ac:dyDescent="0.2">
      <c r="A166" s="155" t="s">
        <v>55</v>
      </c>
      <c r="B166" s="260" t="s">
        <v>54</v>
      </c>
      <c r="C166" s="127">
        <v>42.08</v>
      </c>
      <c r="D166" s="304">
        <v>4.22</v>
      </c>
      <c r="E166" s="127">
        <v>132</v>
      </c>
      <c r="F166" s="127">
        <v>6.85</v>
      </c>
      <c r="G166" s="127">
        <v>795.8</v>
      </c>
      <c r="H166" s="127">
        <v>248.27</v>
      </c>
      <c r="I166" s="127">
        <v>-161</v>
      </c>
      <c r="J166" s="127">
        <v>-53</v>
      </c>
      <c r="K166" s="127">
        <v>-54</v>
      </c>
      <c r="L166" s="154" t="s">
        <v>480</v>
      </c>
      <c r="M166" s="155" t="s">
        <v>55</v>
      </c>
    </row>
    <row r="167" spans="1:13" x14ac:dyDescent="0.2">
      <c r="A167" s="155" t="s">
        <v>53</v>
      </c>
      <c r="B167" s="260" t="s">
        <v>52</v>
      </c>
      <c r="C167" s="127">
        <v>76.09</v>
      </c>
      <c r="D167" s="304">
        <v>8.65</v>
      </c>
      <c r="E167" s="127">
        <v>9.3999999999999997E-4</v>
      </c>
      <c r="F167" s="127">
        <v>8.2080000000000002</v>
      </c>
      <c r="G167" s="305">
        <v>2085.9</v>
      </c>
      <c r="H167" s="127">
        <v>203.54</v>
      </c>
      <c r="I167" s="127"/>
      <c r="J167" s="127"/>
      <c r="K167" s="127">
        <v>368</v>
      </c>
      <c r="L167" s="154" t="s">
        <v>480</v>
      </c>
      <c r="M167" s="155" t="s">
        <v>53</v>
      </c>
    </row>
    <row r="168" spans="1:13" x14ac:dyDescent="0.2">
      <c r="A168" s="155" t="s">
        <v>51</v>
      </c>
      <c r="B168" s="260" t="s">
        <v>50</v>
      </c>
      <c r="C168" s="127">
        <v>58.08</v>
      </c>
      <c r="D168" s="304">
        <v>7.17</v>
      </c>
      <c r="E168" s="127">
        <v>7.101</v>
      </c>
      <c r="F168" s="127">
        <v>6.97</v>
      </c>
      <c r="G168" s="305">
        <v>1065.3</v>
      </c>
      <c r="H168" s="127">
        <v>226.28</v>
      </c>
      <c r="I168" s="127">
        <v>-100</v>
      </c>
      <c r="J168" s="127">
        <v>94</v>
      </c>
      <c r="K168" s="127">
        <v>95</v>
      </c>
      <c r="L168" s="154" t="s">
        <v>479</v>
      </c>
      <c r="M168" s="155" t="s">
        <v>51</v>
      </c>
    </row>
    <row r="169" spans="1:13" x14ac:dyDescent="0.2">
      <c r="A169" s="155" t="s">
        <v>49</v>
      </c>
      <c r="B169" s="260" t="s">
        <v>48</v>
      </c>
      <c r="C169" s="127">
        <v>79.099999999999994</v>
      </c>
      <c r="D169" s="304">
        <v>8.1999999999999993</v>
      </c>
      <c r="E169" s="127">
        <v>0.23300000000000001</v>
      </c>
      <c r="F169" s="127">
        <v>7.0380000000000003</v>
      </c>
      <c r="G169" s="305">
        <v>1371.4</v>
      </c>
      <c r="H169" s="127">
        <v>214.65</v>
      </c>
      <c r="I169" s="127">
        <v>153</v>
      </c>
      <c r="J169" s="127">
        <v>307</v>
      </c>
      <c r="K169" s="127">
        <v>240</v>
      </c>
      <c r="L169" s="154" t="s">
        <v>480</v>
      </c>
      <c r="M169" s="155" t="s">
        <v>49</v>
      </c>
    </row>
    <row r="170" spans="1:13" x14ac:dyDescent="0.2">
      <c r="A170" s="155" t="s">
        <v>47</v>
      </c>
      <c r="B170" s="260" t="s">
        <v>46</v>
      </c>
      <c r="C170" s="127">
        <v>110.11</v>
      </c>
      <c r="D170" s="304">
        <v>10.6</v>
      </c>
      <c r="E170" s="306">
        <v>6.6499999999999999E-6</v>
      </c>
      <c r="F170" s="127">
        <v>8.3979999999999997</v>
      </c>
      <c r="G170" s="305">
        <v>2687.2</v>
      </c>
      <c r="H170" s="127">
        <v>210.99</v>
      </c>
      <c r="I170" s="127">
        <v>305</v>
      </c>
      <c r="J170" s="127">
        <v>530</v>
      </c>
      <c r="K170" s="127">
        <v>532</v>
      </c>
      <c r="L170" s="154" t="s">
        <v>480</v>
      </c>
      <c r="M170" s="155" t="s">
        <v>47</v>
      </c>
    </row>
    <row r="171" spans="1:13" x14ac:dyDescent="0.2">
      <c r="A171" s="155" t="s">
        <v>45</v>
      </c>
      <c r="B171" s="260" t="s">
        <v>44</v>
      </c>
      <c r="C171" s="127">
        <v>104.15</v>
      </c>
      <c r="D171" s="304">
        <v>7.56</v>
      </c>
      <c r="E171" s="127">
        <v>6.6000000000000003E-2</v>
      </c>
      <c r="F171" s="127">
        <v>7.0949999999999998</v>
      </c>
      <c r="G171" s="305">
        <v>1525.1</v>
      </c>
      <c r="H171" s="127">
        <v>216.77</v>
      </c>
      <c r="I171" s="127">
        <v>86</v>
      </c>
      <c r="J171" s="127">
        <v>293</v>
      </c>
      <c r="K171" s="127">
        <v>295</v>
      </c>
      <c r="L171" s="154" t="s">
        <v>479</v>
      </c>
      <c r="M171" s="155" t="s">
        <v>45</v>
      </c>
    </row>
    <row r="172" spans="1:13" x14ac:dyDescent="0.2">
      <c r="A172" s="155" t="s">
        <v>43</v>
      </c>
      <c r="B172" s="260" t="s">
        <v>42</v>
      </c>
      <c r="C172" s="127">
        <v>167.85</v>
      </c>
      <c r="D172" s="304">
        <v>12.8</v>
      </c>
      <c r="E172" s="127">
        <v>0.13300000000000001</v>
      </c>
      <c r="F172" s="127">
        <v>6.9059999999999997</v>
      </c>
      <c r="G172" s="305">
        <v>1370.4</v>
      </c>
      <c r="H172" s="127">
        <v>210.25</v>
      </c>
      <c r="I172" s="127">
        <v>139</v>
      </c>
      <c r="J172" s="127">
        <v>266</v>
      </c>
      <c r="K172" s="127">
        <v>271</v>
      </c>
      <c r="L172" s="154" t="s">
        <v>480</v>
      </c>
      <c r="M172" s="155" t="s">
        <v>43</v>
      </c>
    </row>
    <row r="173" spans="1:13" x14ac:dyDescent="0.2">
      <c r="A173" s="155" t="s">
        <v>41</v>
      </c>
      <c r="B173" s="260" t="s">
        <v>40</v>
      </c>
      <c r="C173" s="127">
        <v>167.85</v>
      </c>
      <c r="D173" s="304">
        <v>13.3</v>
      </c>
      <c r="E173" s="127">
        <v>3.6999999999999998E-2</v>
      </c>
      <c r="F173" s="127">
        <v>6.0910000000000002</v>
      </c>
      <c r="G173" s="127">
        <v>959.6</v>
      </c>
      <c r="H173" s="127">
        <v>149.78</v>
      </c>
      <c r="I173" s="127">
        <v>77</v>
      </c>
      <c r="J173" s="127">
        <v>266</v>
      </c>
      <c r="K173" s="127">
        <v>295</v>
      </c>
      <c r="L173" s="154" t="s">
        <v>479</v>
      </c>
      <c r="M173" s="155" t="s">
        <v>41</v>
      </c>
    </row>
    <row r="174" spans="1:13" x14ac:dyDescent="0.2">
      <c r="A174" s="155" t="s">
        <v>39</v>
      </c>
      <c r="B174" s="260" t="s">
        <v>38</v>
      </c>
      <c r="C174" s="127">
        <v>165.83</v>
      </c>
      <c r="D174" s="304">
        <v>13.5</v>
      </c>
      <c r="E174" s="127">
        <v>0.21299999999999999</v>
      </c>
      <c r="F174" s="127">
        <v>7.056</v>
      </c>
      <c r="G174" s="305">
        <v>1440.8</v>
      </c>
      <c r="H174" s="127">
        <v>223.98</v>
      </c>
      <c r="I174" s="127">
        <v>82</v>
      </c>
      <c r="J174" s="127">
        <v>226</v>
      </c>
      <c r="K174" s="127">
        <v>250</v>
      </c>
      <c r="L174" s="154" t="s">
        <v>479</v>
      </c>
      <c r="M174" s="155" t="s">
        <v>39</v>
      </c>
    </row>
    <row r="175" spans="1:13" x14ac:dyDescent="0.2">
      <c r="A175" s="155" t="s">
        <v>37</v>
      </c>
      <c r="B175" s="260" t="s">
        <v>36</v>
      </c>
      <c r="C175" s="127">
        <v>72.11</v>
      </c>
      <c r="D175" s="304">
        <v>7.42</v>
      </c>
      <c r="E175" s="127">
        <v>2.0390000000000001</v>
      </c>
      <c r="F175" s="127">
        <v>6.9960000000000004</v>
      </c>
      <c r="G175" s="305">
        <v>1202.9000000000001</v>
      </c>
      <c r="H175" s="127">
        <v>226.33</v>
      </c>
      <c r="I175" s="127">
        <v>74</v>
      </c>
      <c r="J175" s="127">
        <v>211</v>
      </c>
      <c r="K175" s="127">
        <v>151</v>
      </c>
      <c r="L175" s="154" t="s">
        <v>480</v>
      </c>
      <c r="M175" s="155" t="s">
        <v>37</v>
      </c>
    </row>
    <row r="176" spans="1:13" x14ac:dyDescent="0.2">
      <c r="A176" s="155" t="s">
        <v>35</v>
      </c>
      <c r="B176" s="260" t="s">
        <v>34</v>
      </c>
      <c r="C176" s="127">
        <v>92.14</v>
      </c>
      <c r="D176" s="304">
        <v>7.24</v>
      </c>
      <c r="E176" s="127">
        <v>0.33100000000000002</v>
      </c>
      <c r="F176" s="127">
        <v>7.0170000000000003</v>
      </c>
      <c r="G176" s="305">
        <v>1377.6</v>
      </c>
      <c r="H176" s="127">
        <v>222.64</v>
      </c>
      <c r="I176" s="127">
        <v>32</v>
      </c>
      <c r="J176" s="127">
        <v>122</v>
      </c>
      <c r="K176" s="127">
        <v>231</v>
      </c>
      <c r="L176" s="154" t="s">
        <v>479</v>
      </c>
      <c r="M176" s="155" t="s">
        <v>35</v>
      </c>
    </row>
    <row r="177" spans="1:13" x14ac:dyDescent="0.2">
      <c r="A177" s="155" t="s">
        <v>33</v>
      </c>
      <c r="B177" s="260" t="s">
        <v>32</v>
      </c>
      <c r="C177" s="127">
        <v>133.4</v>
      </c>
      <c r="D177" s="304">
        <v>11.1</v>
      </c>
      <c r="E177" s="127">
        <v>1.65</v>
      </c>
      <c r="F177" s="127">
        <v>8.7609999999999992</v>
      </c>
      <c r="G177" s="305">
        <v>2210.1999999999998</v>
      </c>
      <c r="H177" s="127">
        <v>308.05</v>
      </c>
      <c r="I177" s="127">
        <v>22</v>
      </c>
      <c r="J177" s="127">
        <v>62</v>
      </c>
      <c r="K177" s="127">
        <v>165</v>
      </c>
      <c r="L177" s="154" t="s">
        <v>479</v>
      </c>
      <c r="M177" s="155" t="s">
        <v>33</v>
      </c>
    </row>
    <row r="178" spans="1:13" x14ac:dyDescent="0.2">
      <c r="A178" s="155" t="s">
        <v>31</v>
      </c>
      <c r="B178" s="260" t="s">
        <v>30</v>
      </c>
      <c r="C178" s="127">
        <v>133.4</v>
      </c>
      <c r="D178" s="304">
        <v>12</v>
      </c>
      <c r="E178" s="127">
        <v>0.245</v>
      </c>
      <c r="F178" s="127">
        <v>6.9450000000000003</v>
      </c>
      <c r="G178" s="305">
        <v>1310.3</v>
      </c>
      <c r="H178" s="127">
        <v>208.74</v>
      </c>
      <c r="I178" s="127">
        <v>122</v>
      </c>
      <c r="J178" s="127">
        <v>237</v>
      </c>
      <c r="K178" s="127">
        <v>237</v>
      </c>
      <c r="L178" s="154" t="s">
        <v>479</v>
      </c>
      <c r="M178" s="155" t="s">
        <v>31</v>
      </c>
    </row>
    <row r="179" spans="1:13" x14ac:dyDescent="0.2">
      <c r="A179" s="155" t="s">
        <v>29</v>
      </c>
      <c r="B179" s="260" t="s">
        <v>28</v>
      </c>
      <c r="C179" s="127">
        <v>131.38999999999999</v>
      </c>
      <c r="D179" s="304">
        <v>12.2</v>
      </c>
      <c r="E179" s="127">
        <v>0.81699999999999995</v>
      </c>
      <c r="F179" s="127">
        <v>6.4290000000000003</v>
      </c>
      <c r="G179" s="127">
        <v>974.5</v>
      </c>
      <c r="H179" s="127">
        <v>187.34</v>
      </c>
      <c r="I179" s="127">
        <v>64</v>
      </c>
      <c r="J179" s="127">
        <v>188</v>
      </c>
      <c r="K179" s="127">
        <v>189</v>
      </c>
      <c r="L179" s="154" t="s">
        <v>479</v>
      </c>
      <c r="M179" s="155" t="s">
        <v>29</v>
      </c>
    </row>
    <row r="180" spans="1:13" x14ac:dyDescent="0.2">
      <c r="A180" s="155" t="s">
        <v>27</v>
      </c>
      <c r="B180" s="260" t="s">
        <v>26</v>
      </c>
      <c r="C180" s="127">
        <v>147.43</v>
      </c>
      <c r="D180" s="304">
        <v>11.5</v>
      </c>
      <c r="E180" s="127">
        <v>3.1E-2</v>
      </c>
      <c r="F180" s="127">
        <v>7.532</v>
      </c>
      <c r="G180" s="305">
        <v>1818.9</v>
      </c>
      <c r="H180" s="127">
        <v>232.52</v>
      </c>
      <c r="I180" s="127">
        <v>48</v>
      </c>
      <c r="J180" s="127">
        <v>316</v>
      </c>
      <c r="K180" s="127">
        <v>313</v>
      </c>
      <c r="L180" s="154" t="s">
        <v>480</v>
      </c>
      <c r="M180" s="155" t="s">
        <v>27</v>
      </c>
    </row>
    <row r="181" spans="1:13" x14ac:dyDescent="0.2">
      <c r="A181" s="155" t="s">
        <v>25</v>
      </c>
      <c r="B181" s="260" t="s">
        <v>24</v>
      </c>
      <c r="C181" s="127">
        <v>184.36</v>
      </c>
      <c r="D181" s="304">
        <v>6.31</v>
      </c>
      <c r="E181" s="306">
        <v>2.4600000000000002E-4</v>
      </c>
      <c r="F181" s="127">
        <v>7.0030000000000001</v>
      </c>
      <c r="G181" s="305">
        <v>1689.1</v>
      </c>
      <c r="H181" s="127">
        <v>174.28</v>
      </c>
      <c r="I181" s="127">
        <v>283</v>
      </c>
      <c r="J181" s="127">
        <v>457</v>
      </c>
      <c r="K181" s="127">
        <v>453</v>
      </c>
      <c r="L181" s="154" t="s">
        <v>480</v>
      </c>
      <c r="M181" s="155" t="s">
        <v>25</v>
      </c>
    </row>
    <row r="182" spans="1:13" x14ac:dyDescent="0.2">
      <c r="A182" s="155" t="s">
        <v>23</v>
      </c>
      <c r="B182" s="260" t="s">
        <v>22</v>
      </c>
      <c r="C182" s="127">
        <v>187.37</v>
      </c>
      <c r="D182" s="304">
        <v>13</v>
      </c>
      <c r="E182" s="127">
        <v>4.3760000000000003</v>
      </c>
      <c r="F182" s="127">
        <v>6.88</v>
      </c>
      <c r="G182" s="305">
        <v>1099.9000000000001</v>
      </c>
      <c r="H182" s="127">
        <v>227.5</v>
      </c>
      <c r="I182" s="127">
        <v>-13</v>
      </c>
      <c r="J182" s="127">
        <v>181</v>
      </c>
      <c r="K182" s="127">
        <v>118</v>
      </c>
      <c r="L182" s="154" t="s">
        <v>480</v>
      </c>
      <c r="M182" s="155" t="s">
        <v>23</v>
      </c>
    </row>
    <row r="183" spans="1:13" x14ac:dyDescent="0.2">
      <c r="A183" s="155" t="s">
        <v>21</v>
      </c>
      <c r="B183" s="260" t="s">
        <v>20</v>
      </c>
      <c r="C183" s="127">
        <v>120.19</v>
      </c>
      <c r="D183" s="304">
        <v>7.31</v>
      </c>
      <c r="E183" s="127">
        <v>0.02</v>
      </c>
      <c r="F183" s="127">
        <v>7.0439999999999996</v>
      </c>
      <c r="G183" s="305">
        <v>1573.3</v>
      </c>
      <c r="H183" s="127">
        <v>208.56</v>
      </c>
      <c r="I183" s="127">
        <v>126</v>
      </c>
      <c r="J183" s="127">
        <v>388</v>
      </c>
      <c r="K183" s="127">
        <v>337</v>
      </c>
      <c r="L183" s="154" t="s">
        <v>480</v>
      </c>
      <c r="M183" s="155" t="s">
        <v>21</v>
      </c>
    </row>
    <row r="184" spans="1:13" x14ac:dyDescent="0.2">
      <c r="A184" s="155" t="s">
        <v>19</v>
      </c>
      <c r="B184" s="260" t="s">
        <v>18</v>
      </c>
      <c r="C184" s="127">
        <v>108.64</v>
      </c>
      <c r="D184" s="304">
        <v>7.15</v>
      </c>
      <c r="E184" s="127">
        <v>3.0680000000000001</v>
      </c>
      <c r="F184" s="127">
        <v>6.9509999999999996</v>
      </c>
      <c r="G184" s="305">
        <v>1191</v>
      </c>
      <c r="H184" s="127">
        <v>235.15</v>
      </c>
      <c r="I184" s="127">
        <v>37</v>
      </c>
      <c r="J184" s="127">
        <v>132</v>
      </c>
      <c r="K184" s="127">
        <v>136</v>
      </c>
      <c r="L184" s="154" t="s">
        <v>480</v>
      </c>
      <c r="M184" s="155" t="s">
        <v>19</v>
      </c>
    </row>
    <row r="185" spans="1:13" x14ac:dyDescent="0.2">
      <c r="A185" s="155" t="s">
        <v>17</v>
      </c>
      <c r="B185" s="260" t="s">
        <v>16</v>
      </c>
      <c r="C185" s="127">
        <v>114.23</v>
      </c>
      <c r="D185" s="304">
        <v>5.74</v>
      </c>
      <c r="E185" s="127">
        <v>0.378</v>
      </c>
      <c r="F185" s="127">
        <v>6.8250000000000002</v>
      </c>
      <c r="G185" s="305">
        <v>1294.9000000000001</v>
      </c>
      <c r="H185" s="127">
        <v>218.42</v>
      </c>
      <c r="I185" s="127"/>
      <c r="J185" s="127"/>
      <c r="K185" s="127">
        <v>230</v>
      </c>
      <c r="L185" s="154" t="s">
        <v>480</v>
      </c>
      <c r="M185" s="155" t="s">
        <v>17</v>
      </c>
    </row>
    <row r="186" spans="1:13" x14ac:dyDescent="0.2">
      <c r="A186" s="155" t="s">
        <v>15</v>
      </c>
      <c r="B186" s="260" t="s">
        <v>14</v>
      </c>
      <c r="C186" s="127">
        <v>114.23</v>
      </c>
      <c r="D186" s="304">
        <v>6.06</v>
      </c>
      <c r="E186" s="127">
        <v>0.317</v>
      </c>
      <c r="F186" s="127">
        <v>6.8440000000000003</v>
      </c>
      <c r="G186" s="305">
        <v>1328.1</v>
      </c>
      <c r="H186" s="127">
        <v>220.38</v>
      </c>
      <c r="I186" s="127"/>
      <c r="J186" s="127"/>
      <c r="K186" s="127">
        <v>238</v>
      </c>
      <c r="L186" s="154" t="s">
        <v>480</v>
      </c>
      <c r="M186" s="155" t="s">
        <v>15</v>
      </c>
    </row>
    <row r="187" spans="1:13" x14ac:dyDescent="0.2">
      <c r="A187" s="155" t="s">
        <v>13</v>
      </c>
      <c r="B187" s="260" t="s">
        <v>12</v>
      </c>
      <c r="C187" s="127">
        <v>114.23</v>
      </c>
      <c r="D187" s="304">
        <v>6</v>
      </c>
      <c r="E187" s="127">
        <v>0.314</v>
      </c>
      <c r="F187" s="127">
        <v>7.0309999999999997</v>
      </c>
      <c r="G187" s="305">
        <v>1420.7</v>
      </c>
      <c r="H187" s="127">
        <v>228.53</v>
      </c>
      <c r="I187" s="127">
        <v>-59</v>
      </c>
      <c r="J187" s="127">
        <v>308</v>
      </c>
      <c r="K187" s="127">
        <v>237</v>
      </c>
      <c r="L187" s="154" t="s">
        <v>480</v>
      </c>
      <c r="M187" s="155" t="s">
        <v>13</v>
      </c>
    </row>
    <row r="188" spans="1:13" x14ac:dyDescent="0.2">
      <c r="A188" s="155" t="s">
        <v>11</v>
      </c>
      <c r="B188" s="260" t="s">
        <v>10</v>
      </c>
      <c r="C188" s="127">
        <v>156.31</v>
      </c>
      <c r="D188" s="304">
        <v>6.18</v>
      </c>
      <c r="E188" s="127">
        <v>3.5000000000000001E-3</v>
      </c>
      <c r="F188" s="127">
        <v>6.9770000000000003</v>
      </c>
      <c r="G188" s="305">
        <v>1572.5</v>
      </c>
      <c r="H188" s="127">
        <v>188.02</v>
      </c>
      <c r="I188" s="127">
        <v>220</v>
      </c>
      <c r="J188" s="127">
        <v>387</v>
      </c>
      <c r="K188" s="127">
        <v>383</v>
      </c>
      <c r="L188" s="154" t="s">
        <v>480</v>
      </c>
      <c r="M188" s="155" t="s">
        <v>11</v>
      </c>
    </row>
    <row r="189" spans="1:13" x14ac:dyDescent="0.2">
      <c r="A189" s="155" t="s">
        <v>9</v>
      </c>
      <c r="B189" s="260" t="s">
        <v>8</v>
      </c>
      <c r="C189" s="127">
        <v>86.09</v>
      </c>
      <c r="D189" s="304">
        <v>7.78</v>
      </c>
      <c r="E189" s="127">
        <v>1.3959999999999999</v>
      </c>
      <c r="F189" s="127">
        <v>7.2149999999999999</v>
      </c>
      <c r="G189" s="305">
        <v>1299.0999999999999</v>
      </c>
      <c r="H189" s="127">
        <v>226.97</v>
      </c>
      <c r="I189" s="127">
        <v>71</v>
      </c>
      <c r="J189" s="127">
        <v>162</v>
      </c>
      <c r="K189" s="127">
        <v>163</v>
      </c>
      <c r="L189" s="154" t="s">
        <v>479</v>
      </c>
      <c r="M189" s="155" t="s">
        <v>9</v>
      </c>
    </row>
    <row r="190" spans="1:13" x14ac:dyDescent="0.2">
      <c r="A190" s="155" t="s">
        <v>7</v>
      </c>
      <c r="B190" s="260" t="s">
        <v>6</v>
      </c>
      <c r="C190" s="127">
        <v>96.94</v>
      </c>
      <c r="D190" s="304">
        <v>10.1</v>
      </c>
      <c r="E190" s="127">
        <v>8.0960000000000001</v>
      </c>
      <c r="F190" s="127">
        <v>6.9829999999999997</v>
      </c>
      <c r="G190" s="305">
        <v>1104.7</v>
      </c>
      <c r="H190" s="127">
        <v>237.75</v>
      </c>
      <c r="I190" s="127">
        <v>-19</v>
      </c>
      <c r="J190" s="127">
        <v>90</v>
      </c>
      <c r="K190" s="127">
        <v>88</v>
      </c>
      <c r="L190" s="154" t="s">
        <v>479</v>
      </c>
      <c r="M190" s="155" t="s">
        <v>7</v>
      </c>
    </row>
    <row r="191" spans="1:13" x14ac:dyDescent="0.2">
      <c r="A191" s="155" t="s">
        <v>5</v>
      </c>
      <c r="B191" s="260" t="s">
        <v>4</v>
      </c>
      <c r="C191" s="127">
        <v>106.17</v>
      </c>
      <c r="D191" s="304">
        <v>7.21</v>
      </c>
      <c r="E191" s="127">
        <v>0.09</v>
      </c>
      <c r="F191" s="127">
        <v>7.0090000000000003</v>
      </c>
      <c r="G191" s="305">
        <v>1462.3</v>
      </c>
      <c r="H191" s="127">
        <v>215.11</v>
      </c>
      <c r="I191" s="127">
        <v>82</v>
      </c>
      <c r="J191" s="127">
        <v>331</v>
      </c>
      <c r="K191" s="127">
        <v>283</v>
      </c>
      <c r="L191" s="154" t="s">
        <v>479</v>
      </c>
      <c r="M191" s="155" t="s">
        <v>5</v>
      </c>
    </row>
    <row r="192" spans="1:13" x14ac:dyDescent="0.2">
      <c r="A192" s="155" t="s">
        <v>3</v>
      </c>
      <c r="B192" s="260" t="s">
        <v>2</v>
      </c>
      <c r="C192" s="127">
        <v>106.17</v>
      </c>
      <c r="D192" s="304">
        <v>7.35</v>
      </c>
      <c r="E192" s="127">
        <v>7.0999999999999994E-2</v>
      </c>
      <c r="F192" s="127">
        <v>6.9989999999999997</v>
      </c>
      <c r="G192" s="305">
        <v>1474.7</v>
      </c>
      <c r="H192" s="127">
        <v>213.69</v>
      </c>
      <c r="I192" s="127">
        <v>90</v>
      </c>
      <c r="J192" s="127">
        <v>342</v>
      </c>
      <c r="K192" s="127">
        <v>291</v>
      </c>
      <c r="L192" s="154" t="s">
        <v>479</v>
      </c>
      <c r="M192" s="155" t="s">
        <v>3</v>
      </c>
    </row>
    <row r="193" spans="1:13" x14ac:dyDescent="0.2">
      <c r="A193" s="155" t="s">
        <v>1</v>
      </c>
      <c r="B193" s="260" t="s">
        <v>0</v>
      </c>
      <c r="C193" s="127">
        <v>106.17</v>
      </c>
      <c r="D193" s="304">
        <v>7.19</v>
      </c>
      <c r="E193" s="127">
        <v>9.7000000000000003E-2</v>
      </c>
      <c r="F193" s="127">
        <v>7.0209999999999999</v>
      </c>
      <c r="G193" s="305">
        <v>1474.4</v>
      </c>
      <c r="H193" s="127">
        <v>217.77</v>
      </c>
      <c r="I193" s="127">
        <v>56</v>
      </c>
      <c r="J193" s="127">
        <v>355</v>
      </c>
      <c r="K193" s="127">
        <v>281</v>
      </c>
      <c r="L193" s="154" t="s">
        <v>479</v>
      </c>
      <c r="M193" s="155" t="s">
        <v>1</v>
      </c>
    </row>
    <row r="194" spans="1:13" ht="51" customHeight="1" x14ac:dyDescent="0.2">
      <c r="A194" s="485" t="s">
        <v>848</v>
      </c>
      <c r="B194" s="485"/>
      <c r="C194" s="485"/>
      <c r="D194" s="485"/>
      <c r="E194" s="485"/>
      <c r="F194" s="485"/>
      <c r="G194" s="259"/>
    </row>
    <row r="195" spans="1:13" ht="13.5" x14ac:dyDescent="0.2">
      <c r="A195" s="259" t="s">
        <v>800</v>
      </c>
      <c r="B195" s="259"/>
      <c r="C195" s="259"/>
      <c r="D195" s="259"/>
      <c r="E195" s="259"/>
      <c r="F195" s="259"/>
      <c r="G195" s="259"/>
    </row>
    <row r="196" spans="1:13" ht="13.5" x14ac:dyDescent="0.2">
      <c r="A196" s="259" t="s">
        <v>801</v>
      </c>
      <c r="B196" s="259"/>
      <c r="C196" s="259"/>
      <c r="D196" s="259"/>
      <c r="E196" s="259"/>
      <c r="F196" s="259"/>
      <c r="G196" s="259"/>
    </row>
    <row r="197" spans="1:13" ht="13.5" x14ac:dyDescent="0.2">
      <c r="A197" s="259" t="s">
        <v>802</v>
      </c>
      <c r="B197" s="259"/>
      <c r="C197" s="259"/>
      <c r="D197" s="259"/>
      <c r="E197" s="259"/>
      <c r="F197" s="259"/>
      <c r="G197" s="259"/>
    </row>
    <row r="198" spans="1:13" ht="32.25" customHeight="1" x14ac:dyDescent="0.2">
      <c r="A198" s="484" t="s">
        <v>849</v>
      </c>
      <c r="B198" s="484"/>
      <c r="C198" s="484"/>
      <c r="D198" s="484"/>
      <c r="E198" s="484"/>
      <c r="F198" s="484"/>
      <c r="G198" s="484"/>
    </row>
  </sheetData>
  <sheetProtection algorithmName="SHA-512" hashValue="FOZz6bw1oIZzoN5g5NQ1YgcDnJDe3DKLqGqA87GyNhDeV4D3JMRX9rsAC/R7ZjueqylI10XYyw6KaGcEEKzxnQ==" saltValue="TOprxkAGKycqubs7xdU58g==" spinCount="100000" sheet="1" objects="1" scenarios="1"/>
  <mergeCells count="13">
    <mergeCell ref="A198:G198"/>
    <mergeCell ref="A194:F194"/>
    <mergeCell ref="M4:M6"/>
    <mergeCell ref="L4:L6"/>
    <mergeCell ref="A4:A6"/>
    <mergeCell ref="F4:J4"/>
    <mergeCell ref="F5:H5"/>
    <mergeCell ref="I5:J5"/>
    <mergeCell ref="K4:K6"/>
    <mergeCell ref="E4:E6"/>
    <mergeCell ref="C4:C6"/>
    <mergeCell ref="D4:D6"/>
    <mergeCell ref="B4:B6"/>
  </mergeCells>
  <pageMargins left="0.7" right="0.7" top="0.75" bottom="0.75" header="0.3" footer="0.3"/>
  <pageSetup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Tank and Material Properties</vt:lpstr>
      <vt:lpstr>Error Notification</vt:lpstr>
      <vt:lpstr>Summary</vt:lpstr>
      <vt:lpstr>Input Variables</vt:lpstr>
      <vt:lpstr>Emissions Calculation</vt:lpstr>
      <vt:lpstr>Reference Material Properties</vt:lpstr>
      <vt:lpstr>Reference Tables</vt:lpstr>
      <vt:lpstr>Chemical Properties</vt:lpstr>
      <vt:lpstr>'Emissions Calculation'!Print_Area</vt:lpstr>
      <vt:lpstr>'Reference Material Properties'!Print_Area</vt:lpstr>
      <vt:lpstr>'Reference Tables'!Print_Area</vt:lpstr>
    </vt:vector>
  </TitlesOfParts>
  <Manager>Chris Klucas (SS)</Manager>
  <Company>MPCA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Estimating Air Emissions from Vertical Fixed Roof Storage Tanks</dc:title>
  <dc:subject>This form is used to estimate PTE emissions.</dc:subject>
  <dc:creator>Minnesota Pollution Control Agency - Joshua Markham (Chris Klucas)</dc:creator>
  <cp:keywords>aq6-15,air quality,air emissions,pte emissions,permit calculations</cp:keywords>
  <dc:description>Password protected (entire workbook).</dc:description>
  <cp:lastModifiedBy>Simbeck, Sandra</cp:lastModifiedBy>
  <cp:lastPrinted>2023-04-27T17:19:11Z</cp:lastPrinted>
  <dcterms:created xsi:type="dcterms:W3CDTF">2020-11-18T17:51:31Z</dcterms:created>
  <dcterms:modified xsi:type="dcterms:W3CDTF">2023-05-26T17:18:20Z</dcterms:modified>
  <cp:category>air quality</cp:category>
</cp:coreProperties>
</file>