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T:\Klucas_Christopher.CK\Gail's T Drive\FORMS\Air Quality\"/>
    </mc:Choice>
  </mc:AlternateContent>
  <xr:revisionPtr revIDLastSave="0" documentId="13_ncr:1_{D22F71D4-6E99-4372-B15A-736038A668E3}" xr6:coauthVersionLast="47" xr6:coauthVersionMax="47" xr10:uidLastSave="{00000000-0000-0000-0000-000000000000}"/>
  <bookViews>
    <workbookView xWindow="-120" yWindow="-120" windowWidth="29040" windowHeight="15840" xr2:uid="{00000000-000D-0000-FFFF-FFFF00000000}"/>
  </bookViews>
  <sheets>
    <sheet name="Tank and Material Properties" sheetId="7" r:id="rId1"/>
    <sheet name="Emissions Calculation" sheetId="11" r:id="rId2"/>
    <sheet name="Reference Tables" sheetId="8" r:id="rId3"/>
    <sheet name="Material Properties" sheetId="12" r:id="rId4"/>
  </sheets>
  <definedNames>
    <definedName name="_xlnm.Print_Area" localSheetId="1">'Emissions Calculation'!$A$1:$S$90</definedName>
    <definedName name="_xlnm.Print_Area" localSheetId="3">'Material Properties'!$A$1</definedName>
    <definedName name="_xlnm.Print_Area" localSheetId="2">'Reference Tables'!$A$1</definedName>
    <definedName name="_xlnm.Print_Area" localSheetId="0">'Tank and Material Properties'!$A$1:$L$70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13" i="11" l="1"/>
  <c r="R9" i="11"/>
  <c r="R6" i="11"/>
  <c r="Q6" i="11"/>
  <c r="Q13" i="11"/>
  <c r="Q8" i="11"/>
  <c r="R8" i="11"/>
  <c r="Q9" i="11"/>
  <c r="Q10" i="11"/>
  <c r="R10" i="11"/>
  <c r="Q11" i="11"/>
  <c r="R11" i="11"/>
  <c r="Q12" i="11"/>
  <c r="R12" i="11"/>
  <c r="R7" i="11"/>
  <c r="Q7" i="11"/>
  <c r="C30" i="11"/>
  <c r="C78" i="11"/>
  <c r="C45" i="11"/>
  <c r="C34" i="11"/>
  <c r="C38" i="11"/>
  <c r="C36" i="11" l="1"/>
  <c r="N46" i="11"/>
  <c r="M46" i="11"/>
  <c r="L46" i="11"/>
  <c r="K46" i="11"/>
  <c r="J46" i="11"/>
  <c r="I46" i="11"/>
  <c r="H46" i="11"/>
  <c r="G46" i="11"/>
  <c r="F46" i="11"/>
  <c r="E46" i="11"/>
  <c r="D46" i="11"/>
  <c r="C46" i="11"/>
  <c r="D45" i="11" l="1"/>
  <c r="E45" i="11"/>
  <c r="F45" i="11"/>
  <c r="G45" i="11"/>
  <c r="H45" i="11"/>
  <c r="I45" i="11"/>
  <c r="J45" i="11"/>
  <c r="K45" i="11"/>
  <c r="L45" i="11"/>
  <c r="M45" i="11"/>
  <c r="N45" i="11"/>
  <c r="E40" i="7" l="1"/>
  <c r="A2" i="11" l="1"/>
  <c r="C48" i="7" l="1"/>
  <c r="C47" i="7"/>
  <c r="C46" i="7"/>
  <c r="C45" i="7"/>
  <c r="C44" i="7"/>
  <c r="B46" i="11" l="1"/>
  <c r="B38" i="11"/>
  <c r="B26" i="11" l="1"/>
  <c r="B27" i="11"/>
  <c r="D78" i="11"/>
  <c r="D8" i="11" s="1"/>
  <c r="E78" i="11"/>
  <c r="E8" i="11" s="1"/>
  <c r="F78" i="11"/>
  <c r="F8" i="11" s="1"/>
  <c r="G78" i="11"/>
  <c r="G8" i="11" s="1"/>
  <c r="H78" i="11"/>
  <c r="H8" i="11" s="1"/>
  <c r="I78" i="11"/>
  <c r="I8" i="11" s="1"/>
  <c r="J78" i="11"/>
  <c r="J8" i="11" s="1"/>
  <c r="K78" i="11"/>
  <c r="K8" i="11" s="1"/>
  <c r="L78" i="11"/>
  <c r="L8" i="11" s="1"/>
  <c r="M78" i="11"/>
  <c r="M8" i="11" s="1"/>
  <c r="N78" i="11"/>
  <c r="N8" i="11" s="1"/>
  <c r="D79" i="11"/>
  <c r="D9" i="11" s="1"/>
  <c r="E79" i="11"/>
  <c r="E9" i="11" s="1"/>
  <c r="F79" i="11"/>
  <c r="F9" i="11" s="1"/>
  <c r="G79" i="11"/>
  <c r="G9" i="11" s="1"/>
  <c r="H79" i="11"/>
  <c r="H9" i="11" s="1"/>
  <c r="I79" i="11"/>
  <c r="I9" i="11" s="1"/>
  <c r="J79" i="11"/>
  <c r="J9" i="11" s="1"/>
  <c r="K79" i="11"/>
  <c r="K9" i="11" s="1"/>
  <c r="L79" i="11"/>
  <c r="L9" i="11" s="1"/>
  <c r="M79" i="11"/>
  <c r="M9" i="11" s="1"/>
  <c r="N79" i="11"/>
  <c r="N9" i="11" s="1"/>
  <c r="D80" i="11"/>
  <c r="D10" i="11" s="1"/>
  <c r="E80" i="11"/>
  <c r="E10" i="11" s="1"/>
  <c r="F80" i="11"/>
  <c r="F10" i="11" s="1"/>
  <c r="G80" i="11"/>
  <c r="G10" i="11" s="1"/>
  <c r="H80" i="11"/>
  <c r="H10" i="11" s="1"/>
  <c r="I80" i="11"/>
  <c r="I10" i="11" s="1"/>
  <c r="J80" i="11"/>
  <c r="J10" i="11" s="1"/>
  <c r="K80" i="11"/>
  <c r="K10" i="11" s="1"/>
  <c r="L80" i="11"/>
  <c r="L10" i="11" s="1"/>
  <c r="M80" i="11"/>
  <c r="M10" i="11" s="1"/>
  <c r="N80" i="11"/>
  <c r="N10" i="11" s="1"/>
  <c r="D81" i="11"/>
  <c r="D11" i="11" s="1"/>
  <c r="E81" i="11"/>
  <c r="E11" i="11" s="1"/>
  <c r="F81" i="11"/>
  <c r="F11" i="11" s="1"/>
  <c r="G81" i="11"/>
  <c r="G11" i="11" s="1"/>
  <c r="H81" i="11"/>
  <c r="H11" i="11" s="1"/>
  <c r="I81" i="11"/>
  <c r="I11" i="11" s="1"/>
  <c r="J81" i="11"/>
  <c r="J11" i="11" s="1"/>
  <c r="K81" i="11"/>
  <c r="K11" i="11" s="1"/>
  <c r="L81" i="11"/>
  <c r="L11" i="11" s="1"/>
  <c r="M81" i="11"/>
  <c r="M11" i="11" s="1"/>
  <c r="N81" i="11"/>
  <c r="N11" i="11" s="1"/>
  <c r="D82" i="11"/>
  <c r="D12" i="11" s="1"/>
  <c r="E82" i="11"/>
  <c r="E12" i="11" s="1"/>
  <c r="F82" i="11"/>
  <c r="F12" i="11" s="1"/>
  <c r="G82" i="11"/>
  <c r="G12" i="11" s="1"/>
  <c r="H82" i="11"/>
  <c r="H12" i="11" s="1"/>
  <c r="I82" i="11"/>
  <c r="I12" i="11" s="1"/>
  <c r="J82" i="11"/>
  <c r="J12" i="11" s="1"/>
  <c r="K82" i="11"/>
  <c r="K12" i="11" s="1"/>
  <c r="L82" i="11"/>
  <c r="L12" i="11" s="1"/>
  <c r="M82" i="11"/>
  <c r="M12" i="11" s="1"/>
  <c r="N82" i="11"/>
  <c r="N12" i="11" s="1"/>
  <c r="C8" i="11"/>
  <c r="C79" i="11"/>
  <c r="C9" i="11" s="1"/>
  <c r="C80" i="11"/>
  <c r="C10" i="11" s="1"/>
  <c r="C81" i="11"/>
  <c r="C11" i="11" s="1"/>
  <c r="C82" i="11"/>
  <c r="C12" i="11" s="1"/>
  <c r="B8" i="11"/>
  <c r="B9" i="11"/>
  <c r="B10" i="11"/>
  <c r="B11" i="11"/>
  <c r="B12" i="11"/>
  <c r="B7" i="11"/>
  <c r="B77" i="11"/>
  <c r="E41" i="7"/>
  <c r="C42" i="7"/>
  <c r="H58" i="7" s="1"/>
  <c r="I59" i="7" s="1"/>
  <c r="M12" i="7" l="1"/>
  <c r="M11" i="7"/>
  <c r="F29" i="7" s="1"/>
  <c r="M28" i="7"/>
  <c r="O28" i="7" l="1"/>
  <c r="I33" i="7"/>
  <c r="I32" i="7"/>
  <c r="I31" i="7"/>
  <c r="I30" i="7"/>
  <c r="I29" i="7"/>
  <c r="I28" i="7"/>
  <c r="I27" i="7"/>
  <c r="I26" i="7"/>
  <c r="I25" i="7"/>
  <c r="I24" i="7"/>
  <c r="H33" i="7" l="1"/>
  <c r="G33" i="7"/>
  <c r="H32" i="7"/>
  <c r="G32" i="7"/>
  <c r="H31" i="7"/>
  <c r="G31" i="7"/>
  <c r="H30" i="7"/>
  <c r="G30" i="7"/>
  <c r="H29" i="7"/>
  <c r="G29" i="7"/>
  <c r="H28" i="7"/>
  <c r="G28" i="7"/>
  <c r="H27" i="7"/>
  <c r="G27" i="7"/>
  <c r="H26" i="7"/>
  <c r="G26" i="7"/>
  <c r="H25" i="7"/>
  <c r="G25" i="7"/>
  <c r="H24" i="7"/>
  <c r="G24" i="7"/>
  <c r="F25" i="7"/>
  <c r="O15" i="7" l="1"/>
  <c r="C19" i="7" s="1"/>
  <c r="D288" i="8"/>
  <c r="D287" i="8"/>
  <c r="D286" i="8"/>
  <c r="D285" i="8"/>
  <c r="D284" i="8"/>
  <c r="D283" i="8"/>
  <c r="D282" i="8"/>
  <c r="D281" i="8"/>
  <c r="D280" i="8"/>
  <c r="D279" i="8"/>
  <c r="D278" i="8"/>
  <c r="D277" i="8"/>
  <c r="D276" i="8"/>
  <c r="D275" i="8"/>
  <c r="D274" i="8"/>
  <c r="D273" i="8"/>
  <c r="D272" i="8"/>
  <c r="D271" i="8"/>
  <c r="D270" i="8"/>
  <c r="D269" i="8"/>
  <c r="D268" i="8"/>
  <c r="D267" i="8"/>
  <c r="D266" i="8"/>
  <c r="D265" i="8"/>
  <c r="D264" i="8"/>
  <c r="D263" i="8"/>
  <c r="D262" i="8"/>
  <c r="D261" i="8"/>
  <c r="D260" i="8"/>
  <c r="D259" i="8"/>
  <c r="D258" i="8"/>
  <c r="D257" i="8"/>
  <c r="D256" i="8"/>
  <c r="D255" i="8"/>
  <c r="D254" i="8"/>
  <c r="D253" i="8"/>
  <c r="D252" i="8"/>
  <c r="D251" i="8"/>
  <c r="E25" i="7"/>
  <c r="E16" i="7"/>
  <c r="E20" i="7"/>
  <c r="F28" i="7"/>
  <c r="M32" i="7" l="1"/>
  <c r="F32" i="7" s="1"/>
  <c r="M30" i="7"/>
  <c r="F30" i="7" s="1"/>
  <c r="M31" i="7"/>
  <c r="F31" i="7" s="1"/>
  <c r="A4" i="11"/>
  <c r="E8" i="7"/>
  <c r="E9" i="7"/>
  <c r="A3" i="11"/>
  <c r="K56" i="7" l="1"/>
  <c r="K57" i="7"/>
  <c r="I58" i="7"/>
  <c r="B78" i="11"/>
  <c r="B79" i="11"/>
  <c r="B80" i="11"/>
  <c r="B81" i="11"/>
  <c r="B82" i="11"/>
  <c r="B48" i="11"/>
  <c r="B49" i="11"/>
  <c r="B50" i="11"/>
  <c r="B51" i="11"/>
  <c r="B52" i="11"/>
  <c r="B47" i="11"/>
  <c r="B30" i="11"/>
  <c r="F49" i="7"/>
  <c r="B57" i="7"/>
  <c r="B31" i="11"/>
  <c r="B44" i="11"/>
  <c r="B33" i="11"/>
  <c r="K55" i="7"/>
  <c r="B53" i="7"/>
  <c r="B54" i="7"/>
  <c r="B55" i="7"/>
  <c r="B56" i="7"/>
  <c r="B52" i="7"/>
  <c r="B39" i="11"/>
  <c r="E38" i="7"/>
  <c r="B28" i="11"/>
  <c r="B40" i="11"/>
  <c r="B41" i="11"/>
  <c r="B42" i="11"/>
  <c r="B43" i="11"/>
  <c r="K52" i="7"/>
  <c r="B29" i="11"/>
  <c r="B32" i="11"/>
  <c r="C59" i="7" l="1"/>
  <c r="C39" i="7"/>
  <c r="K53" i="7"/>
  <c r="K54" i="7" l="1"/>
  <c r="E36" i="11"/>
  <c r="C21" i="11"/>
  <c r="N21" i="11"/>
  <c r="M21" i="11"/>
  <c r="L21" i="11"/>
  <c r="K21" i="11"/>
  <c r="J21" i="11"/>
  <c r="I21" i="11"/>
  <c r="H21" i="11"/>
  <c r="G21" i="11"/>
  <c r="F21" i="11"/>
  <c r="E21" i="11"/>
  <c r="D21" i="11"/>
  <c r="N19" i="11"/>
  <c r="M19" i="11"/>
  <c r="L19" i="11"/>
  <c r="K19" i="11"/>
  <c r="J19" i="11"/>
  <c r="I19" i="11"/>
  <c r="H19" i="11"/>
  <c r="G19" i="11"/>
  <c r="F19" i="11"/>
  <c r="E19" i="11"/>
  <c r="D19" i="11"/>
  <c r="C19" i="11"/>
  <c r="N18" i="11"/>
  <c r="M18" i="11"/>
  <c r="L18" i="11"/>
  <c r="K18" i="11"/>
  <c r="J18" i="11"/>
  <c r="I18" i="11"/>
  <c r="H18" i="11"/>
  <c r="G18" i="11"/>
  <c r="F18" i="11"/>
  <c r="E18" i="11"/>
  <c r="D18" i="11"/>
  <c r="C18" i="11"/>
  <c r="N17" i="11"/>
  <c r="M17" i="11"/>
  <c r="L17" i="11"/>
  <c r="K17" i="11"/>
  <c r="J17" i="11"/>
  <c r="I17" i="11"/>
  <c r="H17" i="11"/>
  <c r="G17" i="11"/>
  <c r="F17" i="11"/>
  <c r="E17" i="11"/>
  <c r="D17" i="11"/>
  <c r="C17" i="11"/>
  <c r="M20" i="11" l="1"/>
  <c r="E20" i="11"/>
  <c r="L54" i="7"/>
  <c r="K58" i="7"/>
  <c r="C43" i="7" s="1"/>
  <c r="I54" i="11"/>
  <c r="I58" i="11"/>
  <c r="I53" i="11"/>
  <c r="I57" i="11"/>
  <c r="I62" i="11"/>
  <c r="I56" i="11"/>
  <c r="I60" i="11"/>
  <c r="I55" i="11"/>
  <c r="I59" i="11"/>
  <c r="I61" i="11"/>
  <c r="M54" i="11"/>
  <c r="M53" i="11"/>
  <c r="M57" i="11"/>
  <c r="M61" i="11"/>
  <c r="M62" i="11"/>
  <c r="M56" i="11"/>
  <c r="M60" i="11"/>
  <c r="M55" i="11"/>
  <c r="M59" i="11"/>
  <c r="M58" i="11"/>
  <c r="J55" i="11"/>
  <c r="J54" i="11"/>
  <c r="J58" i="11"/>
  <c r="J53" i="11"/>
  <c r="J57" i="11"/>
  <c r="J61" i="11"/>
  <c r="J62" i="11"/>
  <c r="J56" i="11"/>
  <c r="J60" i="11"/>
  <c r="J59" i="11"/>
  <c r="C62" i="11"/>
  <c r="C59" i="11"/>
  <c r="C60" i="11"/>
  <c r="C57" i="11"/>
  <c r="C61" i="11"/>
  <c r="C54" i="11"/>
  <c r="C58" i="11"/>
  <c r="C53" i="11"/>
  <c r="C55" i="11"/>
  <c r="C56" i="11"/>
  <c r="G62" i="11"/>
  <c r="G56" i="11"/>
  <c r="G55" i="11"/>
  <c r="G59" i="11"/>
  <c r="G54" i="11"/>
  <c r="G58" i="11"/>
  <c r="G53" i="11"/>
  <c r="G57" i="11"/>
  <c r="G61" i="11"/>
  <c r="G60" i="11"/>
  <c r="K62" i="11"/>
  <c r="K56" i="11"/>
  <c r="K60" i="11"/>
  <c r="K55" i="11"/>
  <c r="K59" i="11"/>
  <c r="K54" i="11"/>
  <c r="K58" i="11"/>
  <c r="K53" i="11"/>
  <c r="K57" i="11"/>
  <c r="K61" i="11"/>
  <c r="E54" i="11"/>
  <c r="E53" i="11"/>
  <c r="E57" i="11"/>
  <c r="E61" i="11"/>
  <c r="E62" i="11"/>
  <c r="E56" i="11"/>
  <c r="E60" i="11"/>
  <c r="E55" i="11"/>
  <c r="E59" i="11"/>
  <c r="E58" i="11"/>
  <c r="F55" i="11"/>
  <c r="F59" i="11"/>
  <c r="F54" i="11"/>
  <c r="F58" i="11"/>
  <c r="F53" i="11"/>
  <c r="F57" i="11"/>
  <c r="F61" i="11"/>
  <c r="F62" i="11"/>
  <c r="F56" i="11"/>
  <c r="F60" i="11"/>
  <c r="N55" i="11"/>
  <c r="N59" i="11"/>
  <c r="N54" i="11"/>
  <c r="N58" i="11"/>
  <c r="N53" i="11"/>
  <c r="N57" i="11"/>
  <c r="N61" i="11"/>
  <c r="N62" i="11"/>
  <c r="N56" i="11"/>
  <c r="N60" i="11"/>
  <c r="D53" i="11"/>
  <c r="D57" i="11"/>
  <c r="D62" i="11"/>
  <c r="D56" i="11"/>
  <c r="D60" i="11"/>
  <c r="D55" i="11"/>
  <c r="D59" i="11"/>
  <c r="D54" i="11"/>
  <c r="D58" i="11"/>
  <c r="D61" i="11"/>
  <c r="H53" i="11"/>
  <c r="H57" i="11"/>
  <c r="H61" i="11"/>
  <c r="H62" i="11"/>
  <c r="H56" i="11"/>
  <c r="H60" i="11"/>
  <c r="H55" i="11"/>
  <c r="H59" i="11"/>
  <c r="H54" i="11"/>
  <c r="H58" i="11"/>
  <c r="L53" i="11"/>
  <c r="L57" i="11"/>
  <c r="L62" i="11"/>
  <c r="L56" i="11"/>
  <c r="L60" i="11"/>
  <c r="L55" i="11"/>
  <c r="L59" i="11"/>
  <c r="L54" i="11"/>
  <c r="L58" i="11"/>
  <c r="L61" i="11"/>
  <c r="K20" i="11"/>
  <c r="D20" i="11"/>
  <c r="G20" i="11"/>
  <c r="H20" i="11"/>
  <c r="C20" i="11"/>
  <c r="J20" i="11"/>
  <c r="F20" i="11"/>
  <c r="I20" i="11"/>
  <c r="N20" i="11"/>
  <c r="M36" i="11"/>
  <c r="J36" i="11"/>
  <c r="L20" i="11"/>
  <c r="I36" i="11"/>
  <c r="N36" i="11"/>
  <c r="F36" i="11"/>
  <c r="L36" i="11"/>
  <c r="H36" i="11"/>
  <c r="D36" i="11"/>
  <c r="K36" i="11"/>
  <c r="G36" i="11"/>
  <c r="F36" i="7"/>
  <c r="E15" i="7"/>
  <c r="E12" i="7"/>
  <c r="E11" i="7"/>
  <c r="E10" i="7"/>
  <c r="E18" i="7"/>
  <c r="E17" i="7"/>
  <c r="N63" i="11" l="1"/>
  <c r="C63" i="11"/>
  <c r="L63" i="11"/>
  <c r="D63" i="11"/>
  <c r="J63" i="11"/>
  <c r="M63" i="11"/>
  <c r="H63" i="11"/>
  <c r="F63" i="11"/>
  <c r="G63" i="11"/>
  <c r="I63" i="11"/>
  <c r="E63" i="11"/>
  <c r="K63" i="11"/>
  <c r="L56" i="7"/>
  <c r="L57" i="7"/>
  <c r="L55" i="7"/>
  <c r="L53" i="7"/>
  <c r="L52" i="7"/>
  <c r="E22" i="11"/>
  <c r="E23" i="11" s="1"/>
  <c r="E24" i="11" l="1"/>
  <c r="E26" i="11"/>
  <c r="E27" i="11" s="1"/>
  <c r="L58" i="7"/>
  <c r="J22" i="11"/>
  <c r="J23" i="11" s="1"/>
  <c r="H22" i="11"/>
  <c r="H23" i="11" s="1"/>
  <c r="F22" i="11"/>
  <c r="F23" i="11" s="1"/>
  <c r="L22" i="11"/>
  <c r="L23" i="11" s="1"/>
  <c r="G22" i="11"/>
  <c r="G23" i="11" s="1"/>
  <c r="D22" i="11"/>
  <c r="D23" i="11" s="1"/>
  <c r="I22" i="11"/>
  <c r="I23" i="11" s="1"/>
  <c r="K22" i="11"/>
  <c r="K23" i="11" s="1"/>
  <c r="E25" i="11"/>
  <c r="E31" i="11" s="1"/>
  <c r="N22" i="11"/>
  <c r="N23" i="11" s="1"/>
  <c r="C22" i="11"/>
  <c r="C23" i="11" s="1"/>
  <c r="M22" i="11"/>
  <c r="M23" i="11" s="1"/>
  <c r="N26" i="11" l="1"/>
  <c r="N27" i="11" s="1"/>
  <c r="J26" i="11"/>
  <c r="J27" i="11" s="1"/>
  <c r="C26" i="11"/>
  <c r="C27" i="11" s="1"/>
  <c r="I26" i="11"/>
  <c r="I27" i="11" s="1"/>
  <c r="F26" i="11"/>
  <c r="F27" i="11" s="1"/>
  <c r="D26" i="11"/>
  <c r="D27" i="11" s="1"/>
  <c r="H26" i="11"/>
  <c r="H27" i="11" s="1"/>
  <c r="G26" i="11"/>
  <c r="G27" i="11" s="1"/>
  <c r="M26" i="11"/>
  <c r="M27" i="11" s="1"/>
  <c r="K26" i="11"/>
  <c r="K27" i="11" s="1"/>
  <c r="L26" i="11"/>
  <c r="L27" i="11" s="1"/>
  <c r="I24" i="11"/>
  <c r="F24" i="11"/>
  <c r="N24" i="11"/>
  <c r="D24" i="11"/>
  <c r="H24" i="11"/>
  <c r="G24" i="11"/>
  <c r="J24" i="11"/>
  <c r="M24" i="11"/>
  <c r="K24" i="11"/>
  <c r="L24" i="11"/>
  <c r="E28" i="11"/>
  <c r="E32" i="11"/>
  <c r="E29" i="11"/>
  <c r="E33" i="11"/>
  <c r="E30" i="11"/>
  <c r="D25" i="11"/>
  <c r="H25" i="11"/>
  <c r="C25" i="11"/>
  <c r="C28" i="11" s="1"/>
  <c r="K25" i="11"/>
  <c r="N25" i="11"/>
  <c r="F25" i="11"/>
  <c r="M25" i="11"/>
  <c r="J25" i="11"/>
  <c r="I25" i="11"/>
  <c r="L25" i="11"/>
  <c r="G25" i="11"/>
  <c r="C24" i="11"/>
  <c r="E44" i="11" l="1"/>
  <c r="E43" i="11"/>
  <c r="I29" i="11"/>
  <c r="I31" i="11"/>
  <c r="I30" i="11"/>
  <c r="I33" i="11"/>
  <c r="I32" i="11"/>
  <c r="I28" i="11"/>
  <c r="N33" i="11"/>
  <c r="N31" i="11"/>
  <c r="N28" i="11"/>
  <c r="N30" i="11"/>
  <c r="N29" i="11"/>
  <c r="N32" i="11"/>
  <c r="K28" i="11"/>
  <c r="K31" i="11"/>
  <c r="K30" i="11"/>
  <c r="K33" i="11"/>
  <c r="K29" i="11"/>
  <c r="K32" i="11"/>
  <c r="H31" i="11"/>
  <c r="H30" i="11"/>
  <c r="H29" i="11"/>
  <c r="H32" i="11"/>
  <c r="H33" i="11"/>
  <c r="H28" i="11"/>
  <c r="G28" i="11"/>
  <c r="G31" i="11"/>
  <c r="G30" i="11"/>
  <c r="G33" i="11"/>
  <c r="G29" i="11"/>
  <c r="G32" i="11"/>
  <c r="F31" i="11"/>
  <c r="F28" i="11"/>
  <c r="F30" i="11"/>
  <c r="F33" i="11"/>
  <c r="F29" i="11"/>
  <c r="F32" i="11"/>
  <c r="J31" i="11"/>
  <c r="J28" i="11"/>
  <c r="J30" i="11"/>
  <c r="J33" i="11"/>
  <c r="J29" i="11"/>
  <c r="J32" i="11"/>
  <c r="M31" i="11"/>
  <c r="M28" i="11"/>
  <c r="M30" i="11"/>
  <c r="M33" i="11"/>
  <c r="M29" i="11"/>
  <c r="M32" i="11"/>
  <c r="C31" i="11"/>
  <c r="C33" i="11"/>
  <c r="C29" i="11"/>
  <c r="C32" i="11"/>
  <c r="D28" i="11"/>
  <c r="D33" i="11"/>
  <c r="D30" i="11"/>
  <c r="D32" i="11"/>
  <c r="D31" i="11"/>
  <c r="D29" i="11"/>
  <c r="L31" i="11"/>
  <c r="L30" i="11"/>
  <c r="L33" i="11"/>
  <c r="L29" i="11"/>
  <c r="L32" i="11"/>
  <c r="L28" i="11"/>
  <c r="E34" i="11"/>
  <c r="E38" i="11" l="1"/>
  <c r="E42" i="11"/>
  <c r="E41" i="11"/>
  <c r="E40" i="11"/>
  <c r="E39" i="11"/>
  <c r="C39" i="11"/>
  <c r="E35" i="11"/>
  <c r="E37" i="11" s="1"/>
  <c r="K34" i="11"/>
  <c r="K38" i="11" s="1"/>
  <c r="G34" i="11"/>
  <c r="G38" i="11" s="1"/>
  <c r="H34" i="11"/>
  <c r="H38" i="11" s="1"/>
  <c r="F34" i="11"/>
  <c r="F38" i="11" s="1"/>
  <c r="M34" i="11"/>
  <c r="M38" i="11" s="1"/>
  <c r="I34" i="11"/>
  <c r="I38" i="11" s="1"/>
  <c r="J34" i="11"/>
  <c r="J38" i="11" s="1"/>
  <c r="D34" i="11"/>
  <c r="D38" i="11" s="1"/>
  <c r="L34" i="11"/>
  <c r="L38" i="11" s="1"/>
  <c r="N34" i="11"/>
  <c r="N38" i="11" s="1"/>
  <c r="L44" i="11" l="1"/>
  <c r="H44" i="11"/>
  <c r="J43" i="11"/>
  <c r="N43" i="11"/>
  <c r="M42" i="11"/>
  <c r="L43" i="11"/>
  <c r="G44" i="11"/>
  <c r="K42" i="11"/>
  <c r="L42" i="11"/>
  <c r="M44" i="11"/>
  <c r="E48" i="11"/>
  <c r="F44" i="11"/>
  <c r="C44" i="11"/>
  <c r="J44" i="11"/>
  <c r="I44" i="11"/>
  <c r="G40" i="11"/>
  <c r="K43" i="11"/>
  <c r="D44" i="11"/>
  <c r="N44" i="11"/>
  <c r="K44" i="11"/>
  <c r="D43" i="11"/>
  <c r="I43" i="11"/>
  <c r="H43" i="11"/>
  <c r="F43" i="11"/>
  <c r="H40" i="11"/>
  <c r="N42" i="11"/>
  <c r="I42" i="11"/>
  <c r="C43" i="11"/>
  <c r="G43" i="11"/>
  <c r="M43" i="11"/>
  <c r="F41" i="11"/>
  <c r="F42" i="11"/>
  <c r="C41" i="11"/>
  <c r="D42" i="11"/>
  <c r="C40" i="11"/>
  <c r="I41" i="11"/>
  <c r="J42" i="11"/>
  <c r="G42" i="11"/>
  <c r="N39" i="11"/>
  <c r="J41" i="11"/>
  <c r="C42" i="11"/>
  <c r="H42" i="11"/>
  <c r="M41" i="11"/>
  <c r="H41" i="11"/>
  <c r="L41" i="11"/>
  <c r="K41" i="11"/>
  <c r="M40" i="11"/>
  <c r="D41" i="11"/>
  <c r="N41" i="11"/>
  <c r="G41" i="11"/>
  <c r="F40" i="11"/>
  <c r="J39" i="11"/>
  <c r="I40" i="11"/>
  <c r="J40" i="11"/>
  <c r="D40" i="11"/>
  <c r="H39" i="11"/>
  <c r="K40" i="11"/>
  <c r="N40" i="11"/>
  <c r="L40" i="11"/>
  <c r="L39" i="11"/>
  <c r="M39" i="11"/>
  <c r="K39" i="11"/>
  <c r="G39" i="11"/>
  <c r="F39" i="11"/>
  <c r="D39" i="11"/>
  <c r="I39" i="11"/>
  <c r="C35" i="11"/>
  <c r="C37" i="11" s="1"/>
  <c r="J35" i="11"/>
  <c r="J37" i="11" s="1"/>
  <c r="F35" i="11"/>
  <c r="F37" i="11" s="1"/>
  <c r="N35" i="11"/>
  <c r="N37" i="11" s="1"/>
  <c r="I35" i="11"/>
  <c r="I37" i="11" s="1"/>
  <c r="H35" i="11"/>
  <c r="H37" i="11" s="1"/>
  <c r="L35" i="11"/>
  <c r="L37" i="11" s="1"/>
  <c r="G35" i="11"/>
  <c r="G37" i="11" s="1"/>
  <c r="D35" i="11"/>
  <c r="D37" i="11" s="1"/>
  <c r="K35" i="11"/>
  <c r="K37" i="11" s="1"/>
  <c r="M35" i="11"/>
  <c r="M37" i="11" s="1"/>
  <c r="C23" i="7"/>
  <c r="E50" i="11" l="1"/>
  <c r="E49" i="11"/>
  <c r="I48" i="11"/>
  <c r="E68" i="11"/>
  <c r="E52" i="11"/>
  <c r="E51" i="11"/>
  <c r="I51" i="11"/>
  <c r="G48" i="11"/>
  <c r="D49" i="11"/>
  <c r="F47" i="11"/>
  <c r="L50" i="11"/>
  <c r="H48" i="11"/>
  <c r="J50" i="11"/>
  <c r="N47" i="11"/>
  <c r="E47" i="11"/>
  <c r="M47" i="11"/>
  <c r="K49" i="11"/>
  <c r="E23" i="7"/>
  <c r="C47" i="11" l="1"/>
  <c r="J52" i="11"/>
  <c r="C52" i="11"/>
  <c r="D52" i="11"/>
  <c r="L51" i="11"/>
  <c r="G52" i="11"/>
  <c r="I52" i="11"/>
  <c r="D51" i="11"/>
  <c r="I50" i="11"/>
  <c r="I47" i="11"/>
  <c r="I68" i="11"/>
  <c r="G51" i="11"/>
  <c r="C51" i="11"/>
  <c r="C49" i="11"/>
  <c r="G50" i="11"/>
  <c r="C48" i="11"/>
  <c r="C68" i="11"/>
  <c r="G49" i="11"/>
  <c r="C50" i="11"/>
  <c r="I49" i="11"/>
  <c r="L49" i="11"/>
  <c r="L48" i="11"/>
  <c r="D68" i="11"/>
  <c r="D47" i="11"/>
  <c r="G47" i="11"/>
  <c r="G68" i="11"/>
  <c r="L68" i="11"/>
  <c r="N68" i="11"/>
  <c r="M50" i="11"/>
  <c r="M51" i="11"/>
  <c r="N51" i="11"/>
  <c r="H51" i="11"/>
  <c r="M49" i="11"/>
  <c r="K52" i="11"/>
  <c r="K47" i="11"/>
  <c r="J47" i="11"/>
  <c r="J51" i="11"/>
  <c r="M52" i="11"/>
  <c r="K48" i="11"/>
  <c r="J48" i="11"/>
  <c r="M48" i="11"/>
  <c r="F51" i="11"/>
  <c r="J49" i="11"/>
  <c r="M68" i="11"/>
  <c r="H47" i="11"/>
  <c r="H52" i="11"/>
  <c r="H50" i="11"/>
  <c r="N48" i="11"/>
  <c r="K50" i="11"/>
  <c r="F49" i="11"/>
  <c r="F48" i="11"/>
  <c r="F52" i="11"/>
  <c r="H49" i="11"/>
  <c r="K68" i="11"/>
  <c r="L47" i="11"/>
  <c r="L52" i="11"/>
  <c r="K51" i="11"/>
  <c r="N49" i="11"/>
  <c r="N50" i="11"/>
  <c r="D50" i="11"/>
  <c r="N52" i="11"/>
  <c r="D48" i="11"/>
  <c r="F50" i="11"/>
  <c r="J68" i="11"/>
  <c r="H68" i="11"/>
  <c r="F68" i="11"/>
  <c r="O68" i="11" l="1"/>
  <c r="M21" i="7"/>
  <c r="G21" i="7" l="1"/>
  <c r="I21" i="7"/>
  <c r="H21" i="7"/>
  <c r="E66" i="11" l="1"/>
  <c r="L66" i="11"/>
  <c r="C66" i="11"/>
  <c r="G66" i="11"/>
  <c r="H66" i="11"/>
  <c r="K66" i="11"/>
  <c r="N66" i="11"/>
  <c r="I66" i="11"/>
  <c r="J66" i="11"/>
  <c r="D66" i="11"/>
  <c r="M66" i="11"/>
  <c r="F66" i="11"/>
  <c r="M35" i="7"/>
  <c r="C36" i="7" s="1"/>
  <c r="C72" i="11" l="1"/>
  <c r="O66" i="11"/>
  <c r="F70" i="11"/>
  <c r="F77" i="11" s="1"/>
  <c r="F7" i="11" s="1"/>
  <c r="J70" i="11"/>
  <c r="J77" i="11" s="1"/>
  <c r="J7" i="11" s="1"/>
  <c r="N70" i="11"/>
  <c r="N77" i="11" s="1"/>
  <c r="N7" i="11" s="1"/>
  <c r="G70" i="11"/>
  <c r="G77" i="11" s="1"/>
  <c r="G7" i="11" s="1"/>
  <c r="K70" i="11"/>
  <c r="K77" i="11" s="1"/>
  <c r="K7" i="11" s="1"/>
  <c r="C70" i="11"/>
  <c r="C77" i="11" s="1"/>
  <c r="C7" i="11" s="1"/>
  <c r="D70" i="11"/>
  <c r="D77" i="11" s="1"/>
  <c r="D7" i="11" s="1"/>
  <c r="H70" i="11"/>
  <c r="H77" i="11" s="1"/>
  <c r="H7" i="11" s="1"/>
  <c r="L70" i="11"/>
  <c r="L77" i="11" s="1"/>
  <c r="L7" i="11" s="1"/>
  <c r="E70" i="11"/>
  <c r="E77" i="11" s="1"/>
  <c r="E7" i="11" s="1"/>
  <c r="I70" i="11"/>
  <c r="I77" i="11" s="1"/>
  <c r="I7" i="11" s="1"/>
  <c r="M70" i="11"/>
  <c r="M77" i="11" s="1"/>
  <c r="M7" i="11" s="1"/>
  <c r="K72" i="11"/>
  <c r="I72" i="11"/>
  <c r="C73" i="11" l="1"/>
  <c r="O70" i="11"/>
  <c r="M72" i="11"/>
  <c r="M73" i="11" s="1"/>
  <c r="C83" i="11"/>
  <c r="C13" i="11" s="1"/>
  <c r="K73" i="11"/>
  <c r="I73" i="11"/>
  <c r="M6" i="11" l="1"/>
  <c r="I6" i="11"/>
  <c r="K6" i="11"/>
  <c r="C6" i="11"/>
  <c r="L72" i="11"/>
  <c r="F72" i="11"/>
  <c r="N72" i="11"/>
  <c r="D72" i="11"/>
  <c r="H72" i="11"/>
  <c r="G72" i="11"/>
  <c r="J72" i="11"/>
  <c r="E72" i="11"/>
  <c r="E83" i="11"/>
  <c r="E13" i="11" s="1"/>
  <c r="N83" i="11"/>
  <c r="N13" i="11" s="1"/>
  <c r="F83" i="11"/>
  <c r="F13" i="11" s="1"/>
  <c r="K83" i="11"/>
  <c r="K13" i="11" s="1"/>
  <c r="H83" i="11"/>
  <c r="H13" i="11" s="1"/>
  <c r="M83" i="11"/>
  <c r="M13" i="11" s="1"/>
  <c r="J83" i="11"/>
  <c r="J13" i="11" s="1"/>
  <c r="G83" i="11"/>
  <c r="G13" i="11" s="1"/>
  <c r="L83" i="11"/>
  <c r="L13" i="11" s="1"/>
  <c r="I83" i="11"/>
  <c r="I13" i="11" s="1"/>
  <c r="D83" i="11"/>
  <c r="D13" i="11" s="1"/>
  <c r="O77" i="11"/>
  <c r="O7" i="11" s="1"/>
  <c r="O82" i="11"/>
  <c r="O12" i="11" s="1"/>
  <c r="O79" i="11"/>
  <c r="O9" i="11" s="1"/>
  <c r="O81" i="11"/>
  <c r="O11" i="11" s="1"/>
  <c r="O80" i="11"/>
  <c r="O10" i="11" s="1"/>
  <c r="O78" i="11"/>
  <c r="O8" i="11" s="1"/>
  <c r="N73" i="11" l="1"/>
  <c r="G73" i="11"/>
  <c r="F73" i="11"/>
  <c r="E73" i="11"/>
  <c r="D73" i="11"/>
  <c r="J73" i="11"/>
  <c r="H73" i="11"/>
  <c r="L73" i="11"/>
  <c r="O72" i="11"/>
  <c r="O83" i="11"/>
  <c r="O13" i="11" s="1"/>
  <c r="O73" i="11" l="1"/>
  <c r="J6" i="11"/>
  <c r="G6" i="11"/>
  <c r="L6" i="11"/>
  <c r="E6" i="11"/>
  <c r="H6" i="11"/>
  <c r="D6" i="11"/>
  <c r="F6" i="11"/>
  <c r="N6" i="11"/>
  <c r="O6" i="11" l="1"/>
</calcChain>
</file>

<file path=xl/sharedStrings.xml><?xml version="1.0" encoding="utf-8"?>
<sst xmlns="http://schemas.openxmlformats.org/spreadsheetml/2006/main" count="1247" uniqueCount="836">
  <si>
    <t>n</t>
  </si>
  <si>
    <t>(lb-mole/ft-yr)</t>
  </si>
  <si>
    <t>(dimensionless)</t>
  </si>
  <si>
    <t>(lb-mole/yr)</t>
  </si>
  <si>
    <t>m</t>
  </si>
  <si>
    <t xml:space="preserve">Access hatch (24-inch diameter well) </t>
  </si>
  <si>
    <t>Gauge-float well (automatic gauge)</t>
  </si>
  <si>
    <t>Gauge-hatch/sample port</t>
  </si>
  <si>
    <t>Vacuum breaker</t>
  </si>
  <si>
    <t>c</t>
  </si>
  <si>
    <t>b</t>
  </si>
  <si>
    <t>g</t>
  </si>
  <si>
    <t xml:space="preserve">Deck leg (3-inch diameter) </t>
  </si>
  <si>
    <t>ft</t>
  </si>
  <si>
    <t>e</t>
  </si>
  <si>
    <t>h</t>
  </si>
  <si>
    <t>Rim vent</t>
  </si>
  <si>
    <t xml:space="preserve">C. Unbolted cover, gasketed </t>
  </si>
  <si>
    <t>D. None</t>
  </si>
  <si>
    <t xml:space="preserve">B. Unslotted- ungasketed sliding cover w/pole </t>
  </si>
  <si>
    <t>C. Unslotted- gasketed sliding cover</t>
  </si>
  <si>
    <t xml:space="preserve">D. Unslotted- gasketed sliding cover w/pole wiper </t>
  </si>
  <si>
    <t>E. Unslotted- gasketed sliding cover w/pole sleeve</t>
  </si>
  <si>
    <t>F. Slotted- ungasketed or gasketed sliding cover</t>
  </si>
  <si>
    <t>G. Slotted- ungasketed or gasketed sliding cover, with float</t>
  </si>
  <si>
    <t>H. Slotted- gasketed sliding cover, with pole wiper</t>
  </si>
  <si>
    <t>I. Slotted- gasketed sliding cover, with pole sleeve</t>
  </si>
  <si>
    <t xml:space="preserve">J. Slotted- gasketed sliding cover, with pole sleeve and pole wiper </t>
  </si>
  <si>
    <t>K. Slotted- gasketed sliding cover, with float and pole wiper</t>
  </si>
  <si>
    <t>L. Slotted- gasketed sliding cover, with float, pole sleeve, and pole wiper</t>
  </si>
  <si>
    <t>Unslotted guide-pole and well (8-inch diameter unslotted pole, 21-inch diameter well) or Slotted guide-pole/sample well (8-inch diameter slotted pole, 21-inch diameter well)</t>
  </si>
  <si>
    <t>B. Unbolted cover, gasketed</t>
  </si>
  <si>
    <t>C. Bolted cover, gasketed</t>
  </si>
  <si>
    <t xml:space="preserve">B. Weighted mechanical actuation, ungasketed </t>
  </si>
  <si>
    <t>A. Weighted mechanical actuation, ungasketed</t>
  </si>
  <si>
    <t>C. None</t>
  </si>
  <si>
    <t>lb/lb-mole</t>
  </si>
  <si>
    <t>C. Double-deck roof- weighted mechanical actuation, ungasketed</t>
  </si>
  <si>
    <t>E. None</t>
  </si>
  <si>
    <t>A. Pontoon roof- weighted mechanical actuation, ungasketed</t>
  </si>
  <si>
    <t># of Fittings</t>
  </si>
  <si>
    <t>B. Welded tank, mechanical-shoe seal, shoe-mounted secondary</t>
  </si>
  <si>
    <t>C. Welded tank, mechanical-shoe seal, rim-mounted secondary</t>
  </si>
  <si>
    <t>D. Welded tank, liquid-mounted seal, primary only</t>
  </si>
  <si>
    <t>E. Welded tank, liquid-mounted seal, weather shield</t>
  </si>
  <si>
    <t>F. Welded tank, liquid-mounted seal, rim-mounted secondary</t>
  </si>
  <si>
    <t>H. Welded tank, vapor-mounted seal, weather shield</t>
  </si>
  <si>
    <t>I. Welded tank, vapor-mounted seal, rim-mounted secondary</t>
  </si>
  <si>
    <t>J. Riveted tank, mechanical-shoe seal, primary only</t>
  </si>
  <si>
    <t>K. Riveted tank, mechanical-shoe seal, shoe-mounted secondary</t>
  </si>
  <si>
    <t>L. Riveted tank, mechanical-shoe seal, rim-mounted secondary</t>
  </si>
  <si>
    <t>bbl/yr (tank capacity [bbl] times annual turnover rate)</t>
  </si>
  <si>
    <t>Product Stored</t>
  </si>
  <si>
    <t>Shell Condition</t>
  </si>
  <si>
    <t>Gasoline</t>
  </si>
  <si>
    <t>Single-component stocks</t>
  </si>
  <si>
    <t>Crude oil</t>
  </si>
  <si>
    <t>lb/gal</t>
  </si>
  <si>
    <t>Estimated #</t>
  </si>
  <si>
    <t>Facility name</t>
  </si>
  <si>
    <t>Date</t>
  </si>
  <si>
    <t>Paint Color</t>
  </si>
  <si>
    <t>Notes:</t>
  </si>
  <si>
    <t>Location</t>
  </si>
  <si>
    <t>Minneapolis-St. Paul, MN</t>
  </si>
  <si>
    <t>I</t>
  </si>
  <si>
    <t>Symbol</t>
  </si>
  <si>
    <t>Units</t>
  </si>
  <si>
    <t>Property</t>
  </si>
  <si>
    <t>Jan.</t>
  </si>
  <si>
    <t>Feb.</t>
  </si>
  <si>
    <t>May</t>
  </si>
  <si>
    <t>Mar.</t>
  </si>
  <si>
    <t>Apr.</t>
  </si>
  <si>
    <t>June</t>
  </si>
  <si>
    <t>July</t>
  </si>
  <si>
    <t>Aug.</t>
  </si>
  <si>
    <t>Sept.</t>
  </si>
  <si>
    <t>Oct.</t>
  </si>
  <si>
    <t>Nov.</t>
  </si>
  <si>
    <t>Dec.</t>
  </si>
  <si>
    <t>Annual Average</t>
  </si>
  <si>
    <t>Monthly Averages</t>
  </si>
  <si>
    <t>Souix Falls, SD</t>
  </si>
  <si>
    <t>I = daily total solar insolation factor</t>
  </si>
  <si>
    <t>F. Brown</t>
  </si>
  <si>
    <t>L. Tan</t>
  </si>
  <si>
    <t>(Table 7.1-8)</t>
  </si>
  <si>
    <t>(Table 7.1-10)</t>
  </si>
  <si>
    <t>(Table 7.1-12)</t>
  </si>
  <si>
    <t>E. Black</t>
  </si>
  <si>
    <t>AP-42 Section 7.1 Reference Tables</t>
  </si>
  <si>
    <t>gal</t>
  </si>
  <si>
    <t>Access hatch</t>
  </si>
  <si>
    <t>Guide-pole</t>
  </si>
  <si>
    <t>Gauge-float well</t>
  </si>
  <si>
    <t>A. Unbolted cover, ungasketed (default)</t>
  </si>
  <si>
    <t>B. Pontoon roof- weighted mechanical actuation, gasketed (default)</t>
  </si>
  <si>
    <t>D. Double-deck roof- weighted mechanical actuation, gasketed (default)</t>
  </si>
  <si>
    <t>B. Fixed</t>
  </si>
  <si>
    <t>Tight-fitting</t>
  </si>
  <si>
    <t>Average-fitting (default)</t>
  </si>
  <si>
    <t>(determines which loss factors (tight/average) to reference in Table 7.1-8)</t>
  </si>
  <si>
    <t>f (unslotted),
f (slotted)</t>
  </si>
  <si>
    <t>M. Slotted- flexible enclosure</t>
  </si>
  <si>
    <t>i</t>
  </si>
  <si>
    <t>N. None</t>
  </si>
  <si>
    <t>A. White</t>
  </si>
  <si>
    <t>Aged</t>
  </si>
  <si>
    <t>New</t>
  </si>
  <si>
    <t>Average</t>
  </si>
  <si>
    <t>(see Note 2)</t>
  </si>
  <si>
    <t>Note 1 - Reflective condition definitions:</t>
  </si>
  <si>
    <t>Aged: For paint, paint is noticeably faded and dull; for mill-finish aluminum, surface is dull.This was previously labeled “Poor.”</t>
  </si>
  <si>
    <t>Note 2 - This refers to aluminum as the base metal, rather than aluminum-colored paint.</t>
  </si>
  <si>
    <t>Mason City, IA</t>
  </si>
  <si>
    <t>Duluth, MN</t>
  </si>
  <si>
    <t>International Falls, MN</t>
  </si>
  <si>
    <t>Rochester, MN</t>
  </si>
  <si>
    <t>St. Cloud, MN</t>
  </si>
  <si>
    <t>Fargo, ND</t>
  </si>
  <si>
    <t>La Crosse, WI</t>
  </si>
  <si>
    <t>v</t>
  </si>
  <si>
    <t>mph</t>
  </si>
  <si>
    <t>psia</t>
  </si>
  <si>
    <t>v = average wind speed</t>
  </si>
  <si>
    <t>p</t>
  </si>
  <si>
    <t>A. Duluth, MN</t>
  </si>
  <si>
    <t>B. International Falls, MN</t>
  </si>
  <si>
    <t>C. Minneapolis-St. Paul, MN</t>
  </si>
  <si>
    <t>D. Rochester, MN</t>
  </si>
  <si>
    <t>E. St. Cloud, MN</t>
  </si>
  <si>
    <t>F. Mason City, IA</t>
  </si>
  <si>
    <t>G. Fargo, ND</t>
  </si>
  <si>
    <t>H. Souix Falls, SD</t>
  </si>
  <si>
    <t>I. La Crosse, WI</t>
  </si>
  <si>
    <t>(leave blank if unknown)</t>
  </si>
  <si>
    <t xml:space="preserve">          for crude oil, see Figure 7.1-16 of AP-42 Section 7.1;</t>
  </si>
  <si>
    <t>f</t>
  </si>
  <si>
    <t>B</t>
  </si>
  <si>
    <t>A</t>
  </si>
  <si>
    <t>°F</t>
  </si>
  <si>
    <t>°R</t>
  </si>
  <si>
    <t>B. Average</t>
  </si>
  <si>
    <t>(Table 7.1-6)</t>
  </si>
  <si>
    <t>2. Tank designation (e.g. TK001)</t>
  </si>
  <si>
    <t>3. Tank capacity, gal</t>
  </si>
  <si>
    <t>4. Product(s) stored</t>
  </si>
  <si>
    <t>5. Closest nearby city</t>
  </si>
  <si>
    <t>A. New</t>
  </si>
  <si>
    <t>(determines column in</t>
  </si>
  <si>
    <t>Table 7.1-6)</t>
  </si>
  <si>
    <t>C. Aged</t>
  </si>
  <si>
    <t>(Table 7.1-2)</t>
  </si>
  <si>
    <t>(Table 7.1-7)</t>
  </si>
  <si>
    <t>January</t>
  </si>
  <si>
    <t>February</t>
  </si>
  <si>
    <t>March</t>
  </si>
  <si>
    <t>April</t>
  </si>
  <si>
    <t>August</t>
  </si>
  <si>
    <t>September</t>
  </si>
  <si>
    <t>October</t>
  </si>
  <si>
    <t>November</t>
  </si>
  <si>
    <t>December</t>
  </si>
  <si>
    <t>°C</t>
  </si>
  <si>
    <t>mm Hg</t>
  </si>
  <si>
    <t>A (dimensionless)</t>
  </si>
  <si>
    <t>lb-mol/lb-mol</t>
  </si>
  <si>
    <t>lb/lb-mol</t>
  </si>
  <si>
    <t>lb</t>
  </si>
  <si>
    <t>lb-mol/100 lb of mixture</t>
  </si>
  <si>
    <t>Total Losses</t>
  </si>
  <si>
    <t>Yes</t>
  </si>
  <si>
    <t>No</t>
  </si>
  <si>
    <t>lb/lb</t>
  </si>
  <si>
    <t>v = estimated average ambient wind speed at tank site, mph</t>
  </si>
  <si>
    <t>P* = vapor pressure function, dimensionless</t>
  </si>
  <si>
    <t>Average atmospheric pressure, psia</t>
  </si>
  <si>
    <t>Total</t>
  </si>
  <si>
    <t>α = tank surface solar absorptance, dimensionless</t>
  </si>
  <si>
    <t>(rounds tank diameter to nearest 50 ft, minimum 50 ft)</t>
  </si>
  <si>
    <t>(rounds tank diameter to nearest 10 ft, minimum 30 ft)</t>
  </si>
  <si>
    <t>Deck drain</t>
  </si>
  <si>
    <t>Pontoon area roof leg (applies to pontoon-type tanks)</t>
  </si>
  <si>
    <t>Center area roof leg (applies to pontoon-type tanks)</t>
  </si>
  <si>
    <t>Double-deck roof leg (applies to double-deck-type tanks)</t>
  </si>
  <si>
    <t>(determines column in 7.1-13)</t>
  </si>
  <si>
    <t>(estimated # vacuum breakers)</t>
  </si>
  <si>
    <t>11. Tank and external floating roof rim seal type</t>
  </si>
  <si>
    <t>17. Q = annual throughput, bbl/yr</t>
  </si>
  <si>
    <t>15. Choose product from dropdown list (and/or complete 18. below)</t>
  </si>
  <si>
    <t>A. Welded tank, mechanical-shoe seal, primary only (most common)</t>
  </si>
  <si>
    <t>G. Welded tank, vapor-mounted seal, primary only</t>
  </si>
  <si>
    <t>A. Bolted cover, gasketed (default)</t>
  </si>
  <si>
    <t xml:space="preserve">B. Unbolted cover, ungasketed </t>
  </si>
  <si>
    <t>A. Unslotted- ungasketed sliding cover (default)</t>
  </si>
  <si>
    <t>A. Weighted mechanical actuation, gasketed (default)</t>
  </si>
  <si>
    <t>C. Slit fabric seal, 10% open area</t>
  </si>
  <si>
    <t>Deck drain (3-inch diameter)</t>
  </si>
  <si>
    <t>A. Open</t>
  </si>
  <si>
    <t>B. 90% closed</t>
  </si>
  <si>
    <t>A. Adjustable, pontoon area - ungasketed (default)</t>
  </si>
  <si>
    <t>B. Adjustable, pontoon area - gasketed</t>
  </si>
  <si>
    <t>C. Adjustable, pontoon area - sock</t>
  </si>
  <si>
    <t>D. Fixed</t>
  </si>
  <si>
    <t>A. Adjustable, center area - ungasketed (default)</t>
  </si>
  <si>
    <t>B. Adjustable, center area - gasketed</t>
  </si>
  <si>
    <t>C. Adjustable, center area - sock</t>
  </si>
  <si>
    <t>A. Adjustable, double-deck roofs</t>
  </si>
  <si>
    <t>B. Weighted mechanical actuation, gasketed (default)</t>
  </si>
  <si>
    <t>*** In Eq. 2-3, v = 0 for fixed domed roof external floating roof tanks.</t>
  </si>
  <si>
    <t>Access hatch deck fitting loss factor, lb-mol/yr</t>
  </si>
  <si>
    <t>Guide-pole deck fitting loss factor, lb-mol/yr</t>
  </si>
  <si>
    <t>Gauge-float well deck fitting loss factor, lb-mol/yr</t>
  </si>
  <si>
    <t>Gauge-hatch/sample port deck fitting loss factor, lb-mol/yr</t>
  </si>
  <si>
    <t>Vacuum breaker deck fitting loss factor, lb-mol/yr</t>
  </si>
  <si>
    <t>Deck drain deck fitting loss factor, lb-mol/yr</t>
  </si>
  <si>
    <t>Pontoon area roof leg deck fitting loss factor, lb-mol/yr</t>
  </si>
  <si>
    <t>Center area roof leg deck fitting loss factor, lb-mol/yr</t>
  </si>
  <si>
    <t>Double-deck roof leg deck fitting loss factor, lb-mol/yr</t>
  </si>
  <si>
    <t>Rim vent deck fitting loss factor, lb-mol/yr</t>
  </si>
  <si>
    <t>(liquid weight fraction, lb/lb)</t>
  </si>
  <si>
    <t>I. None. Complete 18.</t>
  </si>
  <si>
    <t>AP-42 Section 7.1 Material Properties Reference Tables</t>
  </si>
  <si>
    <t>*The Antoine's equation constants (above) are in the following form of the Antoine's equation:</t>
  </si>
  <si>
    <t>(see 'Material Properties' tab)</t>
  </si>
  <si>
    <t>(Eq. 1-26)</t>
  </si>
  <si>
    <t>Material Properties</t>
  </si>
  <si>
    <t>where:</t>
  </si>
  <si>
    <t>log = log 10</t>
  </si>
  <si>
    <t>A = constant in vapor pressure equation, dimensionless</t>
  </si>
  <si>
    <t>(Table 7.1-3)</t>
  </si>
  <si>
    <t>Summary</t>
  </si>
  <si>
    <t>7. Does the tank have a fixed domed roof? (Yes/No)</t>
  </si>
  <si>
    <t>00106-42-3</t>
  </si>
  <si>
    <t>Xylene (p) {1,4-dimethyl benzene}</t>
  </si>
  <si>
    <t>00095-47-6</t>
  </si>
  <si>
    <t>Xylene (o) {1,2-dimethyl benzene}</t>
  </si>
  <si>
    <t>00108-38-3</t>
  </si>
  <si>
    <t>Xylene (m) {1,3-dimethyl benzene}</t>
  </si>
  <si>
    <t>00075-35-4</t>
  </si>
  <si>
    <t>Vinylidene chloride {1,1-dichloro ethene}</t>
  </si>
  <si>
    <t>00108-05-4</t>
  </si>
  <si>
    <t>Vinyl acetate {acetic acid ethenyl ester}</t>
  </si>
  <si>
    <t>01120-21-4</t>
  </si>
  <si>
    <t>Undecane (n)</t>
  </si>
  <si>
    <t>00565-75-3</t>
  </si>
  <si>
    <t>Trimethylpentane (2,3,4)</t>
  </si>
  <si>
    <t>00560-21-4</t>
  </si>
  <si>
    <t>Trimethylpentane (2,3,3)</t>
  </si>
  <si>
    <t>00564-02-3</t>
  </si>
  <si>
    <t>Trimethylpentane (2,2,3)</t>
  </si>
  <si>
    <t>00075-77-4</t>
  </si>
  <si>
    <t>Trimethylchlorosilane {chlorotrimethylsilane}</t>
  </si>
  <si>
    <t>00095-63-6</t>
  </si>
  <si>
    <t>Trimethylbenzene (1,2,4)</t>
  </si>
  <si>
    <t>00076-13-1</t>
  </si>
  <si>
    <t>Trifluoroethane (1,1,2-trichloro-1,2,2)</t>
  </si>
  <si>
    <t>00629-50-5</t>
  </si>
  <si>
    <t>Tridecane (n)</t>
  </si>
  <si>
    <t>00096-18-4</t>
  </si>
  <si>
    <t>Trichloropropane (1,2,3)</t>
  </si>
  <si>
    <t>00079-01-6</t>
  </si>
  <si>
    <t>Trichloroethylene</t>
  </si>
  <si>
    <t>00079-00-5</t>
  </si>
  <si>
    <t>Trichloroethane (1,1,2)</t>
  </si>
  <si>
    <t>00071-55-6</t>
  </si>
  <si>
    <t>Trichloroethane (1,1,1)</t>
  </si>
  <si>
    <t>00108-88-3</t>
  </si>
  <si>
    <t>Toluene</t>
  </si>
  <si>
    <t>00109-99-9</t>
  </si>
  <si>
    <t>Tetrahydrofuran</t>
  </si>
  <si>
    <t>00127-18-4</t>
  </si>
  <si>
    <t>Tetrachloroethylene</t>
  </si>
  <si>
    <t>00079-34-5</t>
  </si>
  <si>
    <t>Tetrachloroethane (1,1,2,2)</t>
  </si>
  <si>
    <t>00630-20-6</t>
  </si>
  <si>
    <t>Tetrachloroethane (1,1,1,2)</t>
  </si>
  <si>
    <t>00100-42-5</t>
  </si>
  <si>
    <t>Styrene</t>
  </si>
  <si>
    <t>00108-46-3</t>
  </si>
  <si>
    <t>Resorcinol</t>
  </si>
  <si>
    <t>00110-86-1</t>
  </si>
  <si>
    <t>Pyridine</t>
  </si>
  <si>
    <t>00075-56-9</t>
  </si>
  <si>
    <t>Propylene oxide</t>
  </si>
  <si>
    <t>00057-55-6</t>
  </si>
  <si>
    <t>Propylene glycol (1,2) {1,2 propanediol}</t>
  </si>
  <si>
    <t>00115-07-1</t>
  </si>
  <si>
    <t>Propylene {propene}</t>
  </si>
  <si>
    <t>00107-10-8</t>
  </si>
  <si>
    <t>Propylamine (n) {1-propanamine}</t>
  </si>
  <si>
    <t>00627-13-4</t>
  </si>
  <si>
    <t>Propyl nitrate (n) {propyl ester nitric acid}</t>
  </si>
  <si>
    <t>00071-23-8</t>
  </si>
  <si>
    <t>Propyl alcohol (n) {propanol (1)}</t>
  </si>
  <si>
    <t>00075-33-2</t>
  </si>
  <si>
    <t>Propanethiol (2)</t>
  </si>
  <si>
    <t>00107-03-9</t>
  </si>
  <si>
    <t>Propanethiol (1)</t>
  </si>
  <si>
    <t>00074-98-6</t>
  </si>
  <si>
    <t>Propane</t>
  </si>
  <si>
    <t>00108-99-6</t>
  </si>
  <si>
    <t>Picoline (3) {3-methyl pyridine}</t>
  </si>
  <si>
    <t>00075-44-5</t>
  </si>
  <si>
    <t>Phosgene</t>
  </si>
  <si>
    <t>00108-95-2</t>
  </si>
  <si>
    <t>Phenol</t>
  </si>
  <si>
    <t>00085-01-8</t>
  </si>
  <si>
    <t>Phenanthrene</t>
  </si>
  <si>
    <t>00627-19-0</t>
  </si>
  <si>
    <t>Pentyne (1)</t>
  </si>
  <si>
    <t>00109-67-1</t>
  </si>
  <si>
    <t>Pentene (1)</t>
  </si>
  <si>
    <t>00109-66-0</t>
  </si>
  <si>
    <t>Pentane (n)</t>
  </si>
  <si>
    <t>00591-96-8</t>
  </si>
  <si>
    <t>Pentadiene (2,3)</t>
  </si>
  <si>
    <t>00591-93-5</t>
  </si>
  <si>
    <t>Pentadiene (1,4)</t>
  </si>
  <si>
    <t>00591-95-7</t>
  </si>
  <si>
    <t>Pentadiene (1,2)</t>
  </si>
  <si>
    <t>00076-01-7</t>
  </si>
  <si>
    <t>Pentachloroethane</t>
  </si>
  <si>
    <t>00111-66-0</t>
  </si>
  <si>
    <t>Octene (1)</t>
  </si>
  <si>
    <t>00111-87-5</t>
  </si>
  <si>
    <t>Octanol (1)</t>
  </si>
  <si>
    <t>00111-65-9</t>
  </si>
  <si>
    <t>Octane (n)</t>
  </si>
  <si>
    <t>00593-45-3</t>
  </si>
  <si>
    <t>Octadecane (n)</t>
  </si>
  <si>
    <t>00111-84-2</t>
  </si>
  <si>
    <t>Nonane (n)</t>
  </si>
  <si>
    <t>00629-92-5</t>
  </si>
  <si>
    <t>Nonadecane (n)</t>
  </si>
  <si>
    <t>00075-52-5</t>
  </si>
  <si>
    <t>Nitromethane</t>
  </si>
  <si>
    <t>00098-95-3</t>
  </si>
  <si>
    <t>Nitrobenzene</t>
  </si>
  <si>
    <t>00091-20-3</t>
  </si>
  <si>
    <t>Naphthalene</t>
  </si>
  <si>
    <t>00110-91-8</t>
  </si>
  <si>
    <t>Morpholine</t>
  </si>
  <si>
    <t>01634-04-4</t>
  </si>
  <si>
    <t>Methyl-tert-butyl ether {MTBE}</t>
  </si>
  <si>
    <t>00107-83-5</t>
  </si>
  <si>
    <t>Methylpentane (2)</t>
  </si>
  <si>
    <t>00589-34-4</t>
  </si>
  <si>
    <t>Methylhexane (3)</t>
  </si>
  <si>
    <t>00591-76-4</t>
  </si>
  <si>
    <t>Methylhexane (2)</t>
  </si>
  <si>
    <t>00075-09-2</t>
  </si>
  <si>
    <t>Methylene chloride</t>
  </si>
  <si>
    <t>20156-50-7</t>
  </si>
  <si>
    <t>Methyldichlorosilane</t>
  </si>
  <si>
    <t>00096-37-7</t>
  </si>
  <si>
    <t>Methylcyclopentane</t>
  </si>
  <si>
    <t>00108-87-2</t>
  </si>
  <si>
    <t>Methylcyclohexane</t>
  </si>
  <si>
    <t>00098-83-9</t>
  </si>
  <si>
    <t>Methyl styrene (alpha)</t>
  </si>
  <si>
    <t>00557-17-5</t>
  </si>
  <si>
    <t>Methyl propyl ether</t>
  </si>
  <si>
    <t>00080-62-6</t>
  </si>
  <si>
    <t>Methyl methacrylate</t>
  </si>
  <si>
    <t>00108-10-1</t>
  </si>
  <si>
    <t>Methyl isobutyl ketone</t>
  </si>
  <si>
    <t>00078-93-3</t>
  </si>
  <si>
    <t>Methyl ethyl ketone {2-butanone}</t>
  </si>
  <si>
    <t>00067-56-1</t>
  </si>
  <si>
    <t>Methyl alcohol {methanol}</t>
  </si>
  <si>
    <t>00096-33-3</t>
  </si>
  <si>
    <t>Methyl acrylate {methyl ester 2-propenoic acid}</t>
  </si>
  <si>
    <t>00079-20-9</t>
  </si>
  <si>
    <t>Methyl acetate {methyl ester acetic acid}</t>
  </si>
  <si>
    <t>00074-82-8</t>
  </si>
  <si>
    <t>Methane</t>
  </si>
  <si>
    <t>00126-98-7</t>
  </si>
  <si>
    <t>Methacrylonitrile {2-methyl 2-propenenitrile}</t>
  </si>
  <si>
    <t>00527-84-4</t>
  </si>
  <si>
    <t>Isopropylbenzene (1-methyl-2)</t>
  </si>
  <si>
    <t>00098-82-8</t>
  </si>
  <si>
    <t>Isopropyl benzene {cumene}</t>
  </si>
  <si>
    <t>00067-63-0</t>
  </si>
  <si>
    <t>Isopropyl alcohol {isopropanol}</t>
  </si>
  <si>
    <t>00078-79-5</t>
  </si>
  <si>
    <t>Isoprene {2-methyl 1,3-butadiene}</t>
  </si>
  <si>
    <t>00513-35-9</t>
  </si>
  <si>
    <t>Isopentene {2-methyl 2-butene}</t>
  </si>
  <si>
    <t>00078-78-4</t>
  </si>
  <si>
    <t>Isopentane {2-methyl butane}</t>
  </si>
  <si>
    <t>00540-84-1</t>
  </si>
  <si>
    <t>Isooctane {2,2,4-trimethylpentane}</t>
  </si>
  <si>
    <t>00078-83-1</t>
  </si>
  <si>
    <t>Isobutyl alcohol {2-methyl 1-propanol}</t>
  </si>
  <si>
    <t>00115-11-7</t>
  </si>
  <si>
    <t>Isobutene {methylpropene (2)}</t>
  </si>
  <si>
    <t>00075-28-5</t>
  </si>
  <si>
    <t>Isobutane {methylpropane (2)}</t>
  </si>
  <si>
    <t>00074-90-8</t>
  </si>
  <si>
    <t>Hydrogen cyanide {hydrocyanic acid}</t>
  </si>
  <si>
    <t>00592-41-6</t>
  </si>
  <si>
    <t>Hexene (1)</t>
  </si>
  <si>
    <t>00111-27-3</t>
  </si>
  <si>
    <t>Hexanol (1)</t>
  </si>
  <si>
    <t>00110-54-3</t>
  </si>
  <si>
    <t>Hexane (n)</t>
  </si>
  <si>
    <t>00592-42-7</t>
  </si>
  <si>
    <t>Hexadiene (1,5)</t>
  </si>
  <si>
    <t>00592-76-7</t>
  </si>
  <si>
    <t>Heptene (1)</t>
  </si>
  <si>
    <t>00142-82-5</t>
  </si>
  <si>
    <t>Heptane (n)</t>
  </si>
  <si>
    <t>00629-94-7</t>
  </si>
  <si>
    <t>Heneicosane (n)</t>
  </si>
  <si>
    <t>00098-01-1</t>
  </si>
  <si>
    <t>Furfural {2-furancarboxaldehyde}</t>
  </si>
  <si>
    <t>00110-00-9</t>
  </si>
  <si>
    <t>Furan</t>
  </si>
  <si>
    <t>00075-69-4</t>
  </si>
  <si>
    <t>Freon 11 {trichlorofluoromethane}</t>
  </si>
  <si>
    <t>00064-18-6</t>
  </si>
  <si>
    <t>Formic acid</t>
  </si>
  <si>
    <t>00462-06-6</t>
  </si>
  <si>
    <t>Fluorobenzene</t>
  </si>
  <si>
    <t>00206-44-0</t>
  </si>
  <si>
    <t>Fluoranthene</t>
  </si>
  <si>
    <t>00617-78-7</t>
  </si>
  <si>
    <t>Ethylpentane (3)</t>
  </si>
  <si>
    <t>00075-21-8</t>
  </si>
  <si>
    <t>Ethyleneoxide</t>
  </si>
  <si>
    <t>00074-85-1</t>
  </si>
  <si>
    <t>Ethylene {ethene}</t>
  </si>
  <si>
    <t>01640-89-7</t>
  </si>
  <si>
    <t>Ethylcyclopentane</t>
  </si>
  <si>
    <t>00100-41-4</t>
  </si>
  <si>
    <t>Ethylbenzene</t>
  </si>
  <si>
    <t>00075-04-7</t>
  </si>
  <si>
    <t>Ethylamine</t>
  </si>
  <si>
    <t>00060-29-7</t>
  </si>
  <si>
    <t>Ethyl ether {diethyl ether}</t>
  </si>
  <si>
    <t>00075-00-3</t>
  </si>
  <si>
    <t>Ethyl chloride</t>
  </si>
  <si>
    <t>00064-17-5</t>
  </si>
  <si>
    <t>Ethyl alcohol {ethanol}</t>
  </si>
  <si>
    <t>00140-88-5</t>
  </si>
  <si>
    <t>Ethyl acrylate {ethyl ester 2-propenoic acid}</t>
  </si>
  <si>
    <t>00141-78-6</t>
  </si>
  <si>
    <t>Ethyl acetate</t>
  </si>
  <si>
    <t>00141-43-5</t>
  </si>
  <si>
    <t>Ethanolamine (mono)</t>
  </si>
  <si>
    <t>00074-84-0</t>
  </si>
  <si>
    <t>Ethane</t>
  </si>
  <si>
    <t>00106-89-8</t>
  </si>
  <si>
    <t>Epichlorohydrin {chloromethyl oxirane}</t>
  </si>
  <si>
    <t>00112-40-3</t>
  </si>
  <si>
    <t>Dodecane (n)</t>
  </si>
  <si>
    <t>00111-43-3</t>
  </si>
  <si>
    <t>Dipropyl ether {di-n-propyl ether}</t>
  </si>
  <si>
    <t>00123-91-1</t>
  </si>
  <si>
    <t>Dioxane (1,4)</t>
  </si>
  <si>
    <t>00562-49-2</t>
  </si>
  <si>
    <t>Dimethylpentane (3,3)</t>
  </si>
  <si>
    <t>00108-08-7</t>
  </si>
  <si>
    <t>Dimethylpentane (2,4)</t>
  </si>
  <si>
    <t>00565-59-3</t>
  </si>
  <si>
    <t>Dimethylpentane (2,3)</t>
  </si>
  <si>
    <t>00590-35-2</t>
  </si>
  <si>
    <t>Dimethylpentane (2,2)</t>
  </si>
  <si>
    <t>01638-26-2</t>
  </si>
  <si>
    <t>Dimethylcyclopentane (1,1)</t>
  </si>
  <si>
    <t>00079-29-8</t>
  </si>
  <si>
    <t>Dimethylbutane (2,3)</t>
  </si>
  <si>
    <t>00131-11-3</t>
  </si>
  <si>
    <t>Dimethyl phthalate</t>
  </si>
  <si>
    <t>00057-14-7</t>
  </si>
  <si>
    <t>Dimethyl hydrazine (1,1)</t>
  </si>
  <si>
    <t>00068-12-2</t>
  </si>
  <si>
    <t>Dimethyl formamide (n,n)</t>
  </si>
  <si>
    <t>00110-71-4</t>
  </si>
  <si>
    <t>Dimethoxyethane (1,2)</t>
  </si>
  <si>
    <t>00108-20-3</t>
  </si>
  <si>
    <t>Di-isopropyl ether</t>
  </si>
  <si>
    <t>00105-05-5</t>
  </si>
  <si>
    <t>Diethylbenzene (1,4)</t>
  </si>
  <si>
    <t>00141-93-5</t>
  </si>
  <si>
    <t>Diethylbenzene (1,3)</t>
  </si>
  <si>
    <t>00135-01-3</t>
  </si>
  <si>
    <t>Diethylbenzene (1,2)</t>
  </si>
  <si>
    <t>00109-89-7</t>
  </si>
  <si>
    <t>Diethylamine {N-ethyl ethanamine}</t>
  </si>
  <si>
    <t>00352-93-2</t>
  </si>
  <si>
    <t>Diethyl sulfide</t>
  </si>
  <si>
    <t>00096-22-0</t>
  </si>
  <si>
    <t>Diethyl ketone {3-pentanone}</t>
  </si>
  <si>
    <t>00091-66-7</t>
  </si>
  <si>
    <t>Diethyl (n,n) aniline {N,N-diethylbenzenamine}</t>
  </si>
  <si>
    <t>00462-95-3</t>
  </si>
  <si>
    <t>Diethoxymethane</t>
  </si>
  <si>
    <t>00105-57-7</t>
  </si>
  <si>
    <t>Diethoxyethane (1,1)</t>
  </si>
  <si>
    <t>00095-75-0</t>
  </si>
  <si>
    <t>Dichlorotoluene (3,4)</t>
  </si>
  <si>
    <t>00156-60-5</t>
  </si>
  <si>
    <t>Dichloroethylene (trans-1,2)</t>
  </si>
  <si>
    <t>00540-59-0</t>
  </si>
  <si>
    <t>Dichloroethylene (1,2) {1,2 dichloroethene}</t>
  </si>
  <si>
    <t>00107-06-2</t>
  </si>
  <si>
    <t>Dichloroethane (1,2)</t>
  </si>
  <si>
    <t>00075-34-3</t>
  </si>
  <si>
    <t>Dichloroethane (1,1)</t>
  </si>
  <si>
    <t>00109-64-8</t>
  </si>
  <si>
    <t>Dibromopropane (1,3)</t>
  </si>
  <si>
    <t>00078-75-1</t>
  </si>
  <si>
    <t>Dibromopropane (1,2)</t>
  </si>
  <si>
    <t>00124-18-5</t>
  </si>
  <si>
    <t>Decane (-n)</t>
  </si>
  <si>
    <t>00142-29-0</t>
  </si>
  <si>
    <t>Cyclopentene</t>
  </si>
  <si>
    <t>00120-92-3</t>
  </si>
  <si>
    <t>Cyclopentanone</t>
  </si>
  <si>
    <t>00287-92-3</t>
  </si>
  <si>
    <t>Cyclopentane</t>
  </si>
  <si>
    <t>00110-83-8</t>
  </si>
  <si>
    <t>Cyclohexene</t>
  </si>
  <si>
    <t>00108-94-1</t>
  </si>
  <si>
    <t>Cyclohexanone</t>
  </si>
  <si>
    <t>00108-93-0</t>
  </si>
  <si>
    <t>Cyclohexanol</t>
  </si>
  <si>
    <t>00110-82-7</t>
  </si>
  <si>
    <t>Cyclohexane</t>
  </si>
  <si>
    <t>00106-44-5</t>
  </si>
  <si>
    <t>Cresol (p) {4-methyl-phenol}</t>
  </si>
  <si>
    <t>00095-48-7</t>
  </si>
  <si>
    <t>Cresol (o) {2-methyl-phenol}</t>
  </si>
  <si>
    <t>00108-39-4</t>
  </si>
  <si>
    <t>Cresol (m) {3-methyl-phenol}</t>
  </si>
  <si>
    <t>00218-01-9</t>
  </si>
  <si>
    <t>Chrysene {benzo[a]phenanthrene}</t>
  </si>
  <si>
    <t>00095-49-8</t>
  </si>
  <si>
    <t>Chlorotoluene (o) {1-chloro-2methylbenzene}</t>
  </si>
  <si>
    <t>00126-99-8</t>
  </si>
  <si>
    <t>Chloroprene {2-chloro-1,3-butadiene}</t>
  </si>
  <si>
    <t>00067-66-3</t>
  </si>
  <si>
    <t>Chloroform</t>
  </si>
  <si>
    <t>00078-86-4</t>
  </si>
  <si>
    <t>Chlorobutane (2)</t>
  </si>
  <si>
    <t>00108-90-7</t>
  </si>
  <si>
    <t>Chlorobenzene</t>
  </si>
  <si>
    <t>00056-23-5</t>
  </si>
  <si>
    <t>Carbon tetrachloride</t>
  </si>
  <si>
    <t>00075-15-0</t>
  </si>
  <si>
    <t>Carbon disulfide</t>
  </si>
  <si>
    <t>06163-66-2</t>
  </si>
  <si>
    <t>Butyl ether (di-tert)</t>
  </si>
  <si>
    <t>00109-69-3</t>
  </si>
  <si>
    <t>Butyl chloride (-n) {1-chloro-butane}</t>
  </si>
  <si>
    <t>00075-65-0</t>
  </si>
  <si>
    <t>Butyl alcohol (tert) {1,1-dimethyl ethanol}</t>
  </si>
  <si>
    <t>00071-36-3</t>
  </si>
  <si>
    <t>Butyl alcohol (n) {butanol (1)}</t>
  </si>
  <si>
    <t>00624-64-6</t>
  </si>
  <si>
    <t>Butene (trans-2)</t>
  </si>
  <si>
    <t>00563-46-2</t>
  </si>
  <si>
    <t>Butene (2-methyl-1)</t>
  </si>
  <si>
    <t>00590-18-1</t>
  </si>
  <si>
    <t>Butene (cis-2)</t>
  </si>
  <si>
    <t>00106-98-9</t>
  </si>
  <si>
    <t>Butene (1)</t>
  </si>
  <si>
    <t>00106-97-8</t>
  </si>
  <si>
    <t>Butane (n)</t>
  </si>
  <si>
    <t>00106-99-0</t>
  </si>
  <si>
    <t>Butadiene (1,3) {divinyl}</t>
  </si>
  <si>
    <t>00092-52-4</t>
  </si>
  <si>
    <t>Biphenyl</t>
  </si>
  <si>
    <t>00191-24-2</t>
  </si>
  <si>
    <t>Benzo[ghi]perylene</t>
  </si>
  <si>
    <t>00050-32-8</t>
  </si>
  <si>
    <t>Benzo[a]pyrene</t>
  </si>
  <si>
    <t>00056-55-3</t>
  </si>
  <si>
    <t>Benz[a]anthracene</t>
  </si>
  <si>
    <t>00071-43-2</t>
  </si>
  <si>
    <t>Benzene</t>
  </si>
  <si>
    <t>00062-53-3</t>
  </si>
  <si>
    <t>Aniline</t>
  </si>
  <si>
    <t>00107-05-1</t>
  </si>
  <si>
    <t>Allyl chloride {3-chloro-1-propene}</t>
  </si>
  <si>
    <t>00107-18-6</t>
  </si>
  <si>
    <t>Allyl alcohol</t>
  </si>
  <si>
    <t>00107-13-1</t>
  </si>
  <si>
    <t>Acrylonitrile {2-propenenitrile}</t>
  </si>
  <si>
    <t>00079-10-7</t>
  </si>
  <si>
    <t>Acrylic acid {2-propenoic acid}</t>
  </si>
  <si>
    <t>00079-06-1</t>
  </si>
  <si>
    <t>Acrylamide</t>
  </si>
  <si>
    <t>00075-05-8</t>
  </si>
  <si>
    <t>Acetonitrile</t>
  </si>
  <si>
    <t>00067-64-1</t>
  </si>
  <si>
    <t>Acetone</t>
  </si>
  <si>
    <t>00108-24-7</t>
  </si>
  <si>
    <t>Acetic anhydride {acetic acid anhydride}</t>
  </si>
  <si>
    <t>00064-19-7</t>
  </si>
  <si>
    <t>Acetic acid</t>
  </si>
  <si>
    <t>00075-07-0</t>
  </si>
  <si>
    <t>Acetaldehyde</t>
  </si>
  <si>
    <t>Maximum (°F)</t>
  </si>
  <si>
    <t>Minimum (°F)</t>
  </si>
  <si>
    <t>C (°C)</t>
  </si>
  <si>
    <t>B (°C)</t>
  </si>
  <si>
    <t>A dimensionless</t>
  </si>
  <si>
    <t>Constants</t>
  </si>
  <si>
    <t>B = constant in vapor pressure equation, °C</t>
  </si>
  <si>
    <t>C = constant in vapor pressure equation, °C</t>
  </si>
  <si>
    <t>10. Are rim seals tight-fitting (≤ 1/8" gaps) or average-fitting (default)?</t>
  </si>
  <si>
    <r>
      <t>13. C</t>
    </r>
    <r>
      <rPr>
        <vertAlign val="subscript"/>
        <sz val="10"/>
        <color theme="1"/>
        <rFont val="Arial"/>
        <family val="2"/>
      </rPr>
      <t>S</t>
    </r>
    <r>
      <rPr>
        <sz val="10"/>
        <color theme="1"/>
        <rFont val="Arial"/>
        <family val="2"/>
      </rPr>
      <t xml:space="preserve"> = shell clingage factor, bbl/1,000 ft</t>
    </r>
    <r>
      <rPr>
        <vertAlign val="superscript"/>
        <sz val="10"/>
        <color theme="1"/>
        <rFont val="Arial"/>
        <family val="2"/>
      </rPr>
      <t>2</t>
    </r>
  </si>
  <si>
    <r>
      <t>14. Material type (used to determine K</t>
    </r>
    <r>
      <rPr>
        <vertAlign val="subscript"/>
        <sz val="10"/>
        <color theme="1"/>
        <rFont val="Arial"/>
        <family val="2"/>
      </rPr>
      <t>C</t>
    </r>
    <r>
      <rPr>
        <sz val="10"/>
        <color theme="1"/>
        <rFont val="Arial"/>
        <family val="2"/>
      </rPr>
      <t>)</t>
    </r>
  </si>
  <si>
    <r>
      <t>K</t>
    </r>
    <r>
      <rPr>
        <vertAlign val="subscript"/>
        <sz val="10"/>
        <color theme="1"/>
        <rFont val="Arial"/>
        <family val="2"/>
      </rPr>
      <t>C</t>
    </r>
    <r>
      <rPr>
        <sz val="10"/>
        <color theme="1"/>
        <rFont val="Arial"/>
        <family val="2"/>
      </rPr>
      <t xml:space="preserve"> = product factor, dimensionless</t>
    </r>
  </si>
  <si>
    <r>
      <t>W</t>
    </r>
    <r>
      <rPr>
        <vertAlign val="subscript"/>
        <sz val="10"/>
        <color theme="1"/>
        <rFont val="Arial"/>
        <family val="2"/>
      </rPr>
      <t>L</t>
    </r>
    <r>
      <rPr>
        <sz val="10"/>
        <color theme="1"/>
        <rFont val="Arial"/>
        <family val="2"/>
      </rPr>
      <t xml:space="preserve"> = average organic liquid density, lb/gal</t>
    </r>
  </si>
  <si>
    <r>
      <t>T</t>
    </r>
    <r>
      <rPr>
        <vertAlign val="subscript"/>
        <sz val="10"/>
        <color theme="1"/>
        <rFont val="Arial"/>
        <family val="2"/>
      </rPr>
      <t>LA</t>
    </r>
    <r>
      <rPr>
        <sz val="10"/>
        <color theme="1"/>
        <rFont val="Arial"/>
        <family val="2"/>
      </rPr>
      <t xml:space="preserve"> = average daily liquid surface temperature, °C</t>
    </r>
  </si>
  <si>
    <r>
      <t>P</t>
    </r>
    <r>
      <rPr>
        <vertAlign val="subscript"/>
        <sz val="10"/>
        <color theme="1"/>
        <rFont val="Arial"/>
        <family val="2"/>
      </rPr>
      <t>VA</t>
    </r>
    <r>
      <rPr>
        <sz val="10"/>
        <color theme="1"/>
        <rFont val="Arial"/>
        <family val="2"/>
      </rPr>
      <t xml:space="preserve"> = vapor pressure at average liquid surface temperature, mm Hg</t>
    </r>
  </si>
  <si>
    <r>
      <t>bbl/1,000 ft</t>
    </r>
    <r>
      <rPr>
        <vertAlign val="superscript"/>
        <sz val="10"/>
        <color theme="1"/>
        <rFont val="Arial"/>
        <family val="2"/>
      </rPr>
      <t>2</t>
    </r>
    <r>
      <rPr>
        <sz val="10"/>
        <color theme="1"/>
        <rFont val="Arial"/>
        <family val="2"/>
      </rPr>
      <t>. If unknown, select product and shell condition --&gt;</t>
    </r>
  </si>
  <si>
    <r>
      <t>Estimated shell clingage factor, lb/1,000 ft</t>
    </r>
    <r>
      <rPr>
        <vertAlign val="superscript"/>
        <sz val="10"/>
        <color theme="1"/>
        <rFont val="Arial"/>
        <family val="2"/>
      </rPr>
      <t>2</t>
    </r>
  </si>
  <si>
    <r>
      <t>K</t>
    </r>
    <r>
      <rPr>
        <b/>
        <i/>
        <vertAlign val="subscript"/>
        <sz val="10"/>
        <color theme="1"/>
        <rFont val="Arial"/>
        <family val="2"/>
      </rPr>
      <t>Fa</t>
    </r>
    <r>
      <rPr>
        <b/>
        <i/>
        <sz val="10"/>
        <color theme="1"/>
        <rFont val="Arial"/>
        <family val="2"/>
      </rPr>
      <t xml:space="preserve"> (lb-mol/yr)</t>
    </r>
  </si>
  <si>
    <r>
      <t>K</t>
    </r>
    <r>
      <rPr>
        <b/>
        <i/>
        <vertAlign val="subscript"/>
        <sz val="10"/>
        <color theme="1"/>
        <rFont val="Arial"/>
        <family val="2"/>
      </rPr>
      <t>Fb</t>
    </r>
    <r>
      <rPr>
        <b/>
        <i/>
        <sz val="10"/>
        <color theme="1"/>
        <rFont val="Arial"/>
        <family val="2"/>
      </rPr>
      <t xml:space="preserve"> (lb-mol/(mph)</t>
    </r>
    <r>
      <rPr>
        <b/>
        <i/>
        <vertAlign val="superscript"/>
        <sz val="10"/>
        <color theme="1"/>
        <rFont val="Arial"/>
        <family val="2"/>
      </rPr>
      <t>m</t>
    </r>
    <r>
      <rPr>
        <b/>
        <i/>
        <sz val="10"/>
        <color theme="1"/>
        <rFont val="Arial"/>
        <family val="2"/>
      </rPr>
      <t>-yr)</t>
    </r>
  </si>
  <si>
    <r>
      <t>K</t>
    </r>
    <r>
      <rPr>
        <b/>
        <i/>
        <vertAlign val="subscript"/>
        <sz val="10"/>
        <color theme="1"/>
        <rFont val="Arial"/>
        <family val="2"/>
      </rPr>
      <t>Ra</t>
    </r>
    <r>
      <rPr>
        <b/>
        <i/>
        <sz val="10"/>
        <color theme="1"/>
        <rFont val="Arial"/>
        <family val="2"/>
      </rPr>
      <t xml:space="preserve"> (lb-mol/ft*yr)</t>
    </r>
  </si>
  <si>
    <r>
      <t>K</t>
    </r>
    <r>
      <rPr>
        <b/>
        <vertAlign val="subscript"/>
        <sz val="10"/>
        <color theme="1"/>
        <rFont val="Arial"/>
        <family val="2"/>
      </rPr>
      <t>Rb</t>
    </r>
    <r>
      <rPr>
        <b/>
        <sz val="10"/>
        <color theme="1"/>
        <rFont val="Arial"/>
        <family val="2"/>
      </rPr>
      <t xml:space="preserve"> (lb-mol/(mph)</t>
    </r>
    <r>
      <rPr>
        <b/>
        <vertAlign val="superscript"/>
        <sz val="10"/>
        <color theme="1"/>
        <rFont val="Arial"/>
        <family val="2"/>
      </rPr>
      <t>n</t>
    </r>
    <r>
      <rPr>
        <b/>
        <sz val="10"/>
        <color theme="1"/>
        <rFont val="Arial"/>
        <family val="2"/>
      </rPr>
      <t>ft*yr)</t>
    </r>
  </si>
  <si>
    <t>Step 1: Enter external floating roof tank dimensions and design parameters</t>
  </si>
  <si>
    <t>6. Tank diameter, ft</t>
  </si>
  <si>
    <t>8. Tank color</t>
  </si>
  <si>
    <t>9. Tank reflective condition</t>
  </si>
  <si>
    <t>12. Deck fittings</t>
  </si>
  <si>
    <t>18. List individual organic liquid components:</t>
  </si>
  <si>
    <t>Organic liquid component (chemical compound name / CAS #)</t>
  </si>
  <si>
    <t>Hazardous air pollutant? (Yes/No)</t>
  </si>
  <si>
    <t>Antoine's equation constants*</t>
  </si>
  <si>
    <r>
      <t>Liquid density, W</t>
    </r>
    <r>
      <rPr>
        <b/>
        <vertAlign val="subscript"/>
        <sz val="10"/>
        <color theme="1"/>
        <rFont val="Arial"/>
        <family val="2"/>
      </rPr>
      <t>i</t>
    </r>
    <r>
      <rPr>
        <b/>
        <sz val="10"/>
        <color theme="1"/>
        <rFont val="Arial"/>
        <family val="2"/>
      </rPr>
      <t xml:space="preserve"> (lb/gal)</t>
    </r>
  </si>
  <si>
    <r>
      <t>Molecular weight, M</t>
    </r>
    <r>
      <rPr>
        <b/>
        <vertAlign val="subscript"/>
        <sz val="10"/>
        <color theme="1"/>
        <rFont val="Arial"/>
        <family val="2"/>
      </rPr>
      <t>i</t>
    </r>
    <r>
      <rPr>
        <b/>
        <sz val="10"/>
        <color theme="1"/>
        <rFont val="Arial"/>
        <family val="2"/>
      </rPr>
      <t xml:space="preserve"> (lb/lb-mole)</t>
    </r>
  </si>
  <si>
    <r>
      <t>Liquid weight fraction, Z</t>
    </r>
    <r>
      <rPr>
        <b/>
        <vertAlign val="subscript"/>
        <sz val="10"/>
        <color theme="1"/>
        <rFont val="Arial"/>
        <family val="2"/>
      </rPr>
      <t>Li</t>
    </r>
    <r>
      <rPr>
        <b/>
        <sz val="10"/>
        <color theme="1"/>
        <rFont val="Arial"/>
        <family val="2"/>
      </rPr>
      <t xml:space="preserve"> (lb/lb)</t>
    </r>
  </si>
  <si>
    <r>
      <t>Liquid mole fraction, x</t>
    </r>
    <r>
      <rPr>
        <b/>
        <i/>
        <vertAlign val="subscript"/>
        <sz val="10"/>
        <color theme="1"/>
        <rFont val="Arial"/>
        <family val="2"/>
      </rPr>
      <t>i</t>
    </r>
    <r>
      <rPr>
        <b/>
        <i/>
        <sz val="10"/>
        <color theme="1"/>
        <rFont val="Arial"/>
        <family val="2"/>
      </rPr>
      <t xml:space="preserve"> (lb-mol/lb-mol)</t>
    </r>
  </si>
  <si>
    <r>
      <t>16. Z</t>
    </r>
    <r>
      <rPr>
        <vertAlign val="subscript"/>
        <sz val="10"/>
        <color theme="1"/>
        <rFont val="Arial"/>
        <family val="2"/>
      </rPr>
      <t>Li</t>
    </r>
    <r>
      <rPr>
        <sz val="10"/>
        <color theme="1"/>
        <rFont val="Arial"/>
        <family val="2"/>
      </rPr>
      <t xml:space="preserve"> = liquid weight fraction, lb/lb (enter 1.0 if 100% product above)</t>
    </r>
  </si>
  <si>
    <r>
      <t>x</t>
    </r>
    <r>
      <rPr>
        <vertAlign val="subscript"/>
        <sz val="10"/>
        <color theme="1"/>
        <rFont val="Arial"/>
        <family val="2"/>
      </rPr>
      <t>i</t>
    </r>
    <r>
      <rPr>
        <sz val="10"/>
        <color theme="1"/>
        <rFont val="Arial"/>
        <family val="2"/>
      </rPr>
      <t xml:space="preserve"> = liquid mole fraction, lb-mol/lb-mol</t>
    </r>
  </si>
  <si>
    <r>
      <t>M</t>
    </r>
    <r>
      <rPr>
        <vertAlign val="subscript"/>
        <sz val="10"/>
        <color theme="1"/>
        <rFont val="Arial"/>
        <family val="2"/>
      </rPr>
      <t>V</t>
    </r>
    <r>
      <rPr>
        <sz val="10"/>
        <color theme="1"/>
        <rFont val="Arial"/>
        <family val="2"/>
      </rPr>
      <t xml:space="preserve"> = vapor molecular weight, lb/lb-mol</t>
    </r>
  </si>
  <si>
    <r>
      <t>M</t>
    </r>
    <r>
      <rPr>
        <vertAlign val="subscript"/>
        <sz val="10"/>
        <color theme="1"/>
        <rFont val="Arial"/>
        <family val="2"/>
      </rPr>
      <t>L</t>
    </r>
    <r>
      <rPr>
        <sz val="10"/>
        <color theme="1"/>
        <rFont val="Arial"/>
        <family val="2"/>
      </rPr>
      <t xml:space="preserve"> = liquid molecular weight, lb/lb-mol</t>
    </r>
  </si>
  <si>
    <r>
      <t>W</t>
    </r>
    <r>
      <rPr>
        <vertAlign val="subscript"/>
        <sz val="10"/>
        <color theme="1"/>
        <rFont val="Arial"/>
        <family val="2"/>
      </rPr>
      <t>L</t>
    </r>
    <r>
      <rPr>
        <sz val="10"/>
        <color theme="1"/>
        <rFont val="Arial"/>
        <family val="2"/>
      </rPr>
      <t xml:space="preserve"> = liquid density, lb/gal</t>
    </r>
  </si>
  <si>
    <t>vapor pressure equation constant, A (dimensionless)</t>
  </si>
  <si>
    <t>vapor pressure equation constant, B (°R)</t>
  </si>
  <si>
    <t>1. Tank subject item ID (e.g. EQUI 1)</t>
  </si>
  <si>
    <t xml:space="preserve">Instructions: This spreadsheet is only to be used for estimating volatile organic compound (VOC) and hazardous air pollutant (HAP) emissions from routine operational losses from external floating roof tanks. Complete all light blue boxes below unless otherwise instructed. As boxes are completed the red error messages will be resolved.
For internal floating roof tanks, use the spreadsheet titled "Estimating Air Emissions from Internal Floating Roof Storage Tanks".
For roof landing losses (non-routine), use the equations provided in AP-42 Chapter 7, Volume 1, Section 7.1.3.3. </t>
  </si>
  <si>
    <t>Crude oils</t>
  </si>
  <si>
    <t>All other volatile organic liquids</t>
  </si>
  <si>
    <t>B. Aluminum - specular</t>
  </si>
  <si>
    <t>C. Aluminum - diffuse</t>
  </si>
  <si>
    <t>D. Beige/cream</t>
  </si>
  <si>
    <t>G. Gray - light</t>
  </si>
  <si>
    <t>H. Gray - medium</t>
  </si>
  <si>
    <t>I. Green - dark</t>
  </si>
  <si>
    <t>J. Red - primer</t>
  </si>
  <si>
    <t>K. Rust - red iron oxide</t>
  </si>
  <si>
    <t>M. Aluminum - mill finish, unpainted</t>
  </si>
  <si>
    <r>
      <rPr>
        <vertAlign val="superscript"/>
        <sz val="10"/>
        <color theme="1"/>
        <rFont val="Arial"/>
        <family val="2"/>
      </rPr>
      <t>a</t>
    </r>
    <r>
      <rPr>
        <sz val="10"/>
        <color theme="1"/>
        <rFont val="Arial"/>
        <family val="2"/>
      </rPr>
      <t xml:space="preserve"> Reference 8 to AP-42 Section 7.1. If specific information is not available, a white shell and roof, with the paint in good condition, can be assumed to represent the most common or typical tank surface in use. If the tank roof and shell are painted a different color, α is determined from α = (α</t>
    </r>
    <r>
      <rPr>
        <vertAlign val="subscript"/>
        <sz val="10"/>
        <color theme="1"/>
        <rFont val="Arial"/>
        <family val="2"/>
      </rPr>
      <t>R</t>
    </r>
    <r>
      <rPr>
        <sz val="10"/>
        <color theme="1"/>
        <rFont val="Arial"/>
        <family val="2"/>
      </rPr>
      <t xml:space="preserve"> + α</t>
    </r>
    <r>
      <rPr>
        <vertAlign val="subscript"/>
        <sz val="10"/>
        <color theme="1"/>
        <rFont val="Arial"/>
        <family val="2"/>
      </rPr>
      <t>S</t>
    </r>
    <r>
      <rPr>
        <sz val="10"/>
        <color theme="1"/>
        <rFont val="Arial"/>
        <family val="2"/>
      </rPr>
      <t>)/2; where α</t>
    </r>
    <r>
      <rPr>
        <vertAlign val="subscript"/>
        <sz val="10"/>
        <color theme="1"/>
        <rFont val="Arial"/>
        <family val="2"/>
      </rPr>
      <t>R</t>
    </r>
    <r>
      <rPr>
        <sz val="10"/>
        <color theme="1"/>
        <rFont val="Arial"/>
        <family val="2"/>
      </rPr>
      <t xml:space="preserve"> is the tank roof paint solar absorptance and α</t>
    </r>
    <r>
      <rPr>
        <vertAlign val="subscript"/>
        <sz val="10"/>
        <color theme="1"/>
        <rFont val="Arial"/>
        <family val="2"/>
      </rPr>
      <t>S</t>
    </r>
    <r>
      <rPr>
        <sz val="10"/>
        <color theme="1"/>
        <rFont val="Arial"/>
        <family val="2"/>
      </rPr>
      <t xml:space="preserve"> is the tank shell paint solar absorptance.</t>
    </r>
  </si>
  <si>
    <r>
      <t>T</t>
    </r>
    <r>
      <rPr>
        <vertAlign val="subscript"/>
        <sz val="10"/>
        <color theme="1"/>
        <rFont val="Arial"/>
        <family val="2"/>
      </rPr>
      <t>AN</t>
    </r>
  </si>
  <si>
    <r>
      <t>T</t>
    </r>
    <r>
      <rPr>
        <vertAlign val="subscript"/>
        <sz val="10"/>
        <color theme="1"/>
        <rFont val="Arial"/>
        <family val="2"/>
      </rPr>
      <t>AX</t>
    </r>
  </si>
  <si>
    <r>
      <t>Btu/ft</t>
    </r>
    <r>
      <rPr>
        <vertAlign val="superscript"/>
        <sz val="10"/>
        <color theme="1"/>
        <rFont val="Arial"/>
        <family val="2"/>
      </rPr>
      <t>2</t>
    </r>
    <r>
      <rPr>
        <sz val="10"/>
        <color theme="1"/>
        <rFont val="Arial"/>
        <family val="2"/>
      </rPr>
      <t>*d</t>
    </r>
  </si>
  <si>
    <r>
      <t>P</t>
    </r>
    <r>
      <rPr>
        <vertAlign val="subscript"/>
        <sz val="10"/>
        <color theme="1"/>
        <rFont val="Arial"/>
        <family val="2"/>
      </rPr>
      <t>A</t>
    </r>
  </si>
  <si>
    <r>
      <rPr>
        <vertAlign val="superscript"/>
        <sz val="10"/>
        <color theme="1"/>
        <rFont val="Arial"/>
        <family val="2"/>
      </rPr>
      <t>a</t>
    </r>
    <r>
      <rPr>
        <sz val="10"/>
        <color theme="1"/>
        <rFont val="Arial"/>
        <family val="2"/>
      </rPr>
      <t xml:space="preserve"> Reference 14 to AP-42 Section 7.1. Data for this table are 20-year averages for the years 1991through 2010, prepared by the National Renewable Energy Laboratory and compiled in the National Solar Radiation Database. Only Class I sites are summarized in this table, but similar meteorological data for several hundred Class II sites may be obtained from this reference. Similar historical averages of meteorological data from nearby National Weather Servicesites or site-specific data may also be used.</t>
    </r>
  </si>
  <si>
    <r>
      <t>T</t>
    </r>
    <r>
      <rPr>
        <vertAlign val="subscript"/>
        <sz val="10"/>
        <color theme="1"/>
        <rFont val="Arial"/>
        <family val="2"/>
      </rPr>
      <t>AX</t>
    </r>
    <r>
      <rPr>
        <sz val="10"/>
        <color theme="1"/>
        <rFont val="Arial"/>
        <family val="2"/>
      </rPr>
      <t xml:space="preserve"> = daily maximum ambient temperature</t>
    </r>
  </si>
  <si>
    <r>
      <t>T</t>
    </r>
    <r>
      <rPr>
        <vertAlign val="subscript"/>
        <sz val="10"/>
        <color theme="1"/>
        <rFont val="Arial"/>
        <family val="2"/>
      </rPr>
      <t>AN</t>
    </r>
    <r>
      <rPr>
        <sz val="10"/>
        <color theme="1"/>
        <rFont val="Arial"/>
        <family val="2"/>
      </rPr>
      <t xml:space="preserve"> = daily minimum ambient temperature</t>
    </r>
  </si>
  <si>
    <r>
      <t>P</t>
    </r>
    <r>
      <rPr>
        <vertAlign val="subscript"/>
        <sz val="10"/>
        <color theme="1"/>
        <rFont val="Arial"/>
        <family val="2"/>
      </rPr>
      <t>A</t>
    </r>
    <r>
      <rPr>
        <sz val="10"/>
        <color theme="1"/>
        <rFont val="Arial"/>
        <family val="2"/>
      </rPr>
      <t xml:space="preserve"> = average atmospheric pressure</t>
    </r>
  </si>
  <si>
    <r>
      <t>Note: The rim-seal loss factors K</t>
    </r>
    <r>
      <rPr>
        <vertAlign val="subscript"/>
        <sz val="10"/>
        <color theme="1"/>
        <rFont val="Arial"/>
        <family val="2"/>
      </rPr>
      <t>Ra</t>
    </r>
    <r>
      <rPr>
        <sz val="10"/>
        <color theme="1"/>
        <rFont val="Arial"/>
        <family val="2"/>
      </rPr>
      <t>, K</t>
    </r>
    <r>
      <rPr>
        <vertAlign val="subscript"/>
        <sz val="10"/>
        <color theme="1"/>
        <rFont val="Arial"/>
        <family val="2"/>
      </rPr>
      <t>Rb</t>
    </r>
    <r>
      <rPr>
        <sz val="10"/>
        <color theme="1"/>
        <rFont val="Arial"/>
        <family val="2"/>
      </rPr>
      <t>, and n may only be used for wind speeds below 15 miles per hour.</t>
    </r>
  </si>
  <si>
    <r>
      <rPr>
        <vertAlign val="superscript"/>
        <sz val="10"/>
        <color theme="1"/>
        <rFont val="Arial"/>
        <family val="2"/>
      </rPr>
      <t>a</t>
    </r>
    <r>
      <rPr>
        <sz val="10"/>
        <color theme="1"/>
        <rFont val="Arial"/>
        <family val="2"/>
      </rPr>
      <t xml:space="preserve"> References 5 and 15 to AP-42 Section 7.1</t>
    </r>
  </si>
  <si>
    <r>
      <rPr>
        <vertAlign val="superscript"/>
        <sz val="10"/>
        <color theme="1"/>
        <rFont val="Arial"/>
        <family val="2"/>
      </rPr>
      <t>b</t>
    </r>
    <r>
      <rPr>
        <sz val="10"/>
        <color theme="1"/>
        <rFont val="Arial"/>
        <family val="2"/>
      </rPr>
      <t xml:space="preserve"> If no specific information is available, a welded tank with an average-fitting mechanical-shoe primary seal can be used to represent the most common or typical construction and rim-seal system in use for external and domed external floating roof tanks.</t>
    </r>
  </si>
  <si>
    <r>
      <rPr>
        <vertAlign val="superscript"/>
        <sz val="10"/>
        <color theme="1"/>
        <rFont val="Arial"/>
        <family val="2"/>
      </rPr>
      <t>c</t>
    </r>
    <r>
      <rPr>
        <sz val="10"/>
        <color theme="1"/>
        <rFont val="Arial"/>
        <family val="2"/>
      </rPr>
      <t xml:space="preserve"> If no specific information is available, this value can be assumed to represent the most common or typical rim-seal system currently in use for internal floating roof tanks.</t>
    </r>
  </si>
  <si>
    <r>
      <rPr>
        <vertAlign val="superscript"/>
        <sz val="10"/>
        <color theme="1"/>
        <rFont val="Arial"/>
        <family val="2"/>
      </rPr>
      <t>d</t>
    </r>
    <r>
      <rPr>
        <sz val="10"/>
        <color theme="1"/>
        <rFont val="Arial"/>
        <family val="2"/>
      </rPr>
      <t xml:space="preserve"> “Tight-fitting” means that the rim seal is maintained with no gaps greater than 1/8 in. wide between the rim seal and the tank shell. It is not appropriate to use the values for tight-fitting seals unless the seal is known to be maintained with gaps no greater than 1/8 in. through the full range of liquid level in the tank.</t>
    </r>
  </si>
  <si>
    <r>
      <rPr>
        <vertAlign val="superscript"/>
        <sz val="10"/>
        <color theme="1"/>
        <rFont val="Arial"/>
        <family val="2"/>
      </rPr>
      <t>e</t>
    </r>
    <r>
      <rPr>
        <sz val="10"/>
        <color theme="1"/>
        <rFont val="Arial"/>
        <family val="2"/>
      </rPr>
      <t xml:space="preserve"> Table 7.1-8 of AP-42 Section 7.1 does not provide rim seal loss factors for "tight-fitting" seals on riveted tanks. Rim seal loss factors for riveted tanks with "tight-fitting" seals are assumed to be equivalent for riveted tanks with "average-fitting" seals.</t>
    </r>
  </si>
  <si>
    <r>
      <rPr>
        <vertAlign val="superscript"/>
        <sz val="10"/>
        <color theme="1"/>
        <rFont val="Arial"/>
        <family val="2"/>
      </rPr>
      <t>a</t>
    </r>
    <r>
      <rPr>
        <sz val="10"/>
        <color theme="1"/>
        <rFont val="Arial"/>
        <family val="2"/>
      </rPr>
      <t xml:space="preserve"> Reference 5 to AP-42 Section 7.1. If no specific information is available, the values in this table can be assumed to represent the most common or typical condition of tanks currently in use. </t>
    </r>
  </si>
  <si>
    <r>
      <t>N</t>
    </r>
    <r>
      <rPr>
        <vertAlign val="subscript"/>
        <sz val="10"/>
        <color theme="1"/>
        <rFont val="Arial"/>
        <family val="2"/>
      </rPr>
      <t>yb</t>
    </r>
    <r>
      <rPr>
        <sz val="10"/>
        <color theme="1"/>
        <rFont val="Arial"/>
        <family val="2"/>
      </rPr>
      <t xml:space="preserve"> (Table 7.1-13)</t>
    </r>
    <r>
      <rPr>
        <vertAlign val="superscript"/>
        <sz val="10"/>
        <color theme="1"/>
        <rFont val="Arial"/>
        <family val="2"/>
      </rPr>
      <t>j</t>
    </r>
  </si>
  <si>
    <r>
      <t>N</t>
    </r>
    <r>
      <rPr>
        <vertAlign val="subscript"/>
        <sz val="10"/>
        <color theme="1"/>
        <rFont val="Arial"/>
        <family val="2"/>
      </rPr>
      <t>d</t>
    </r>
    <r>
      <rPr>
        <sz val="10"/>
        <color theme="1"/>
        <rFont val="Arial"/>
        <family val="2"/>
      </rPr>
      <t xml:space="preserve"> (Table 7.1-13)</t>
    </r>
  </si>
  <si>
    <r>
      <t>N</t>
    </r>
    <r>
      <rPr>
        <vertAlign val="subscript"/>
        <sz val="10"/>
        <color theme="1"/>
        <rFont val="Arial"/>
        <family val="2"/>
      </rPr>
      <t>1</t>
    </r>
    <r>
      <rPr>
        <sz val="10"/>
        <color theme="1"/>
        <rFont val="Arial"/>
        <family val="2"/>
      </rPr>
      <t xml:space="preserve"> (Table 7.1-15)</t>
    </r>
  </si>
  <si>
    <r>
      <t>Note: The deck-fitting loss factors, K</t>
    </r>
    <r>
      <rPr>
        <vertAlign val="subscript"/>
        <sz val="10"/>
        <color theme="1"/>
        <rFont val="Arial"/>
        <family val="2"/>
      </rPr>
      <t>Fa</t>
    </r>
    <r>
      <rPr>
        <sz val="10"/>
        <color theme="1"/>
        <rFont val="Arial"/>
        <family val="2"/>
      </rPr>
      <t>, K</t>
    </r>
    <r>
      <rPr>
        <vertAlign val="subscript"/>
        <sz val="10"/>
        <color theme="1"/>
        <rFont val="Arial"/>
        <family val="2"/>
      </rPr>
      <t>Fb</t>
    </r>
    <r>
      <rPr>
        <sz val="10"/>
        <color theme="1"/>
        <rFont val="Arial"/>
        <family val="2"/>
      </rPr>
      <t>, and m, may only be used for wind speeds below 15 miles per hour.</t>
    </r>
  </si>
  <si>
    <r>
      <rPr>
        <vertAlign val="superscript"/>
        <sz val="10"/>
        <color theme="1"/>
        <rFont val="Arial"/>
        <family val="2"/>
      </rPr>
      <t>a</t>
    </r>
    <r>
      <rPr>
        <sz val="10"/>
        <color theme="1"/>
        <rFont val="Arial"/>
        <family val="2"/>
      </rPr>
      <t xml:space="preserve"> Reference 5 to AP-42 Section 7.1, unless otherwise indicated.  </t>
    </r>
  </si>
  <si>
    <r>
      <rPr>
        <vertAlign val="superscript"/>
        <sz val="10"/>
        <color theme="1"/>
        <rFont val="Arial"/>
        <family val="2"/>
      </rPr>
      <t>b</t>
    </r>
    <r>
      <rPr>
        <sz val="10"/>
        <color theme="1"/>
        <rFont val="Arial"/>
        <family val="2"/>
      </rPr>
      <t xml:space="preserve"> If no specific information is available, this value can be assumed to represent the most common or typical deck fitting currently in use for external and domed external floating roof tanks.</t>
    </r>
  </si>
  <si>
    <r>
      <rPr>
        <vertAlign val="superscript"/>
        <sz val="10"/>
        <color theme="1"/>
        <rFont val="Arial"/>
        <family val="2"/>
      </rPr>
      <t>c</t>
    </r>
    <r>
      <rPr>
        <sz val="10"/>
        <color theme="1"/>
        <rFont val="Arial"/>
        <family val="2"/>
      </rPr>
      <t xml:space="preserve"> If no specific information is available, this value can be assumed to represent the most common or typical deck fitting currently in use for internal floating roof tanks.</t>
    </r>
  </si>
  <si>
    <r>
      <rPr>
        <vertAlign val="superscript"/>
        <sz val="10"/>
        <color theme="1"/>
        <rFont val="Arial"/>
        <family val="2"/>
      </rPr>
      <t>d</t>
    </r>
    <r>
      <rPr>
        <sz val="10"/>
        <color theme="1"/>
        <rFont val="Arial"/>
        <family val="2"/>
      </rPr>
      <t xml:space="preserve"> Column wells and ladder wells are not typically used with self-supported fixed roofs. </t>
    </r>
  </si>
  <si>
    <r>
      <rPr>
        <vertAlign val="superscript"/>
        <sz val="10"/>
        <color theme="1"/>
        <rFont val="Arial"/>
        <family val="2"/>
      </rPr>
      <t>e</t>
    </r>
    <r>
      <rPr>
        <sz val="10"/>
        <color theme="1"/>
        <rFont val="Arial"/>
        <family val="2"/>
      </rPr>
      <t xml:space="preserve"> References 16 and 19 to AP-42 Section 7.1.</t>
    </r>
  </si>
  <si>
    <r>
      <rPr>
        <vertAlign val="superscript"/>
        <sz val="10"/>
        <color theme="1"/>
        <rFont val="Arial"/>
        <family val="2"/>
      </rPr>
      <t>f</t>
    </r>
    <r>
      <rPr>
        <sz val="10"/>
        <color theme="1"/>
        <rFont val="Arial"/>
        <family val="2"/>
      </rPr>
      <t xml:space="preserve"> There is no typical quantity or configuration of unslotted or slotted guidepoles, and thus tank specific data should be obtained.</t>
    </r>
  </si>
  <si>
    <r>
      <rPr>
        <vertAlign val="superscript"/>
        <sz val="10"/>
        <color theme="1"/>
        <rFont val="Arial"/>
        <family val="2"/>
      </rPr>
      <t>g</t>
    </r>
    <r>
      <rPr>
        <sz val="10"/>
        <color theme="1"/>
        <rFont val="Arial"/>
        <family val="2"/>
      </rPr>
      <t xml:space="preserve"> Tests were conducted with floats positioned with the float wiper at and 1 inch above the sliding cover. The user is cautioned against applying these factors to floats that are positioned with the wiper or top of the float below the sliding cover ("short floats"). The emission factor for such a float is expected to be between the factors for a guidepole without a float and with a float, depending upon the position of the float top and/or wiper within the guidepole.</t>
    </r>
  </si>
  <si>
    <r>
      <rPr>
        <vertAlign val="superscript"/>
        <sz val="10"/>
        <color theme="1"/>
        <rFont val="Arial"/>
        <family val="2"/>
      </rPr>
      <t>h</t>
    </r>
    <r>
      <rPr>
        <sz val="10"/>
        <color theme="1"/>
        <rFont val="Arial"/>
        <family val="2"/>
      </rPr>
      <t xml:space="preserve"> Tests were conducted with floats positioned with the float wiper at varying heights with respect to the sliding cover. This fitting configuration also includes a pole sleeve which restricts the airflow from the well vapor space into the slotted guidepole. Consequently, the float position within the guidepole (at, above, or below the sliding cover) is not expected to significantly affect emission levels for this fitting configuration, since the function of the pole sleeve is to restrict the flow of vapor from the vapor space below the deck into the guidepole.</t>
    </r>
  </si>
  <si>
    <r>
      <rPr>
        <vertAlign val="superscript"/>
        <sz val="10"/>
        <color theme="1"/>
        <rFont val="Arial"/>
        <family val="2"/>
      </rPr>
      <t>j</t>
    </r>
    <r>
      <rPr>
        <sz val="10"/>
        <color theme="1"/>
        <rFont val="Arial"/>
        <family val="2"/>
      </rPr>
      <t xml:space="preserve"> N</t>
    </r>
    <r>
      <rPr>
        <vertAlign val="subscript"/>
        <sz val="10"/>
        <color theme="1"/>
        <rFont val="Arial"/>
        <family val="2"/>
      </rPr>
      <t>vb</t>
    </r>
    <r>
      <rPr>
        <sz val="10"/>
        <color theme="1"/>
        <rFont val="Arial"/>
        <family val="2"/>
      </rPr>
      <t xml:space="preserve"> = 1 for internal floating roof tanks. </t>
    </r>
  </si>
  <si>
    <r>
      <rPr>
        <vertAlign val="superscript"/>
        <sz val="10"/>
        <color theme="1"/>
        <rFont val="Arial"/>
        <family val="2"/>
      </rPr>
      <t>k</t>
    </r>
    <r>
      <rPr>
        <sz val="10"/>
        <color theme="1"/>
        <rFont val="Arial"/>
        <family val="2"/>
      </rPr>
      <t xml:space="preserve"> Stub drains are not used on welded contact internal floating decks.</t>
    </r>
  </si>
  <si>
    <r>
      <rPr>
        <vertAlign val="superscript"/>
        <sz val="10"/>
        <color theme="1"/>
        <rFont val="Arial"/>
        <family val="2"/>
      </rPr>
      <t>m</t>
    </r>
    <r>
      <rPr>
        <sz val="10"/>
        <color theme="1"/>
        <rFont val="Arial"/>
        <family val="2"/>
      </rPr>
      <t xml:space="preserve"> Loss factors for EFR-type deck legs may be used for an IFR if the total height of the leg sleeves, including the portion extending down into the liquid, is similar to that of the EFR-type deck leg.</t>
    </r>
  </si>
  <si>
    <r>
      <rPr>
        <vertAlign val="superscript"/>
        <sz val="10"/>
        <color theme="1"/>
        <rFont val="Arial"/>
        <family val="2"/>
      </rPr>
      <t>n</t>
    </r>
    <r>
      <rPr>
        <sz val="10"/>
        <color theme="1"/>
        <rFont val="Arial"/>
        <family val="2"/>
      </rPr>
      <t xml:space="preserve"> Rim vents are used only with mechanical-shoe primary seals.</t>
    </r>
  </si>
  <si>
    <r>
      <rPr>
        <vertAlign val="superscript"/>
        <sz val="10"/>
        <color theme="1"/>
        <rFont val="Arial"/>
        <family val="2"/>
      </rPr>
      <t>p</t>
    </r>
    <r>
      <rPr>
        <sz val="10"/>
        <color theme="1"/>
        <rFont val="Arial"/>
        <family val="2"/>
      </rPr>
      <t xml:space="preserve"> Deck fittings with only a K</t>
    </r>
    <r>
      <rPr>
        <vertAlign val="subscript"/>
        <sz val="10"/>
        <color theme="1"/>
        <rFont val="Arial"/>
        <family val="2"/>
      </rPr>
      <t>Fa</t>
    </r>
    <r>
      <rPr>
        <sz val="10"/>
        <color theme="1"/>
        <rFont val="Arial"/>
        <family val="2"/>
      </rPr>
      <t>factor and no K</t>
    </r>
    <r>
      <rPr>
        <vertAlign val="subscript"/>
        <sz val="10"/>
        <color theme="1"/>
        <rFont val="Arial"/>
        <family val="2"/>
      </rPr>
      <t>Fb</t>
    </r>
    <r>
      <rPr>
        <sz val="10"/>
        <color theme="1"/>
        <rFont val="Arial"/>
        <family val="2"/>
      </rPr>
      <t xml:space="preserve"> or m factor should not be applied to external floating roof tanks because the emission factor for such deck fittings does not account for wind effects.</t>
    </r>
  </si>
  <si>
    <r>
      <rPr>
        <vertAlign val="superscript"/>
        <sz val="10"/>
        <color theme="1"/>
        <rFont val="Arial"/>
        <family val="2"/>
      </rPr>
      <t>q</t>
    </r>
    <r>
      <rPr>
        <sz val="10"/>
        <color theme="1"/>
        <rFont val="Arial"/>
        <family val="2"/>
      </rPr>
      <t xml:space="preserve"> Emission factors for IFR deck fittings that are not listed in this table may be calculated using equation 2-17.</t>
    </r>
  </si>
  <si>
    <r>
      <rPr>
        <vertAlign val="superscript"/>
        <sz val="10"/>
        <color theme="1"/>
        <rFont val="Arial"/>
        <family val="2"/>
      </rPr>
      <t>a</t>
    </r>
    <r>
      <rPr>
        <sz val="10"/>
        <color theme="1"/>
        <rFont val="Arial"/>
        <family val="2"/>
      </rPr>
      <t xml:space="preserve"> Reference 5 to AP-42 Section 7.1. This table was derived from a survey of users and manufacturers. The actual number of vacuum breakers may vary greatly depending on throughput and manufacturing prerogatives. The actual number of deck drains may also vary greatly depending on the design rainfall and manufacturing prerogatives. For tanks more than 350 feet in diameter, actual tank data or the manufacturer's recommendations may be needed for the number of deck drains. This table should not be used when actual tank data are available.</t>
    </r>
  </si>
  <si>
    <r>
      <rPr>
        <vertAlign val="superscript"/>
        <sz val="10"/>
        <color theme="1"/>
        <rFont val="Arial"/>
        <family val="2"/>
      </rPr>
      <t>b</t>
    </r>
    <r>
      <rPr>
        <sz val="10"/>
        <color theme="1"/>
        <rFont val="Arial"/>
        <family val="2"/>
      </rPr>
      <t xml:space="preserve"> If the actual diameter is between the diameters listed, the closest diameter listed should be used. If the actual diameter is midway between the diameters listed, the next larger diameter should be used. </t>
    </r>
  </si>
  <si>
    <r>
      <rPr>
        <vertAlign val="superscript"/>
        <sz val="10"/>
        <color theme="1"/>
        <rFont val="Arial"/>
        <family val="2"/>
      </rPr>
      <t>c</t>
    </r>
    <r>
      <rPr>
        <sz val="10"/>
        <color theme="1"/>
        <rFont val="Arial"/>
        <family val="2"/>
      </rPr>
      <t xml:space="preserve"> Assume tanks &gt; 300 ft in diameter have at least 7 deck drains (in order for the spreadsheet to estimate deck drain fitting losses, a non-zero value must be used)</t>
    </r>
  </si>
  <si>
    <r>
      <rPr>
        <vertAlign val="superscript"/>
        <sz val="10"/>
        <color theme="1"/>
        <rFont val="Arial"/>
        <family val="2"/>
      </rPr>
      <t>a</t>
    </r>
    <r>
      <rPr>
        <sz val="10"/>
        <color theme="1"/>
        <rFont val="Arial"/>
        <family val="2"/>
      </rPr>
      <t xml:space="preserve"> Reference 5 to AP-42 Section 7.1. This table was derived from a survey of users and manufacturers. The actual number of roof legs may vary greatly depending on age, style of floating roof, loading specifications, and manufacturing prerogatives. This table should not be used when actual tank data are available.</t>
    </r>
  </si>
  <si>
    <r>
      <rPr>
        <vertAlign val="superscript"/>
        <sz val="10"/>
        <color theme="1"/>
        <rFont val="Arial"/>
        <family val="2"/>
      </rPr>
      <t>b</t>
    </r>
    <r>
      <rPr>
        <sz val="10"/>
        <color theme="1"/>
        <rFont val="Arial"/>
        <family val="2"/>
      </rPr>
      <t xml:space="preserve"> If the actual diameter is between the diameters listed, the closest diameter listed should be used. If the actual diameter is midway between the diameters listed, the next larger diameter should be used.</t>
    </r>
  </si>
  <si>
    <r>
      <t>Table 7.1-6. Paint solar absorptance for fixed roof tanks</t>
    </r>
    <r>
      <rPr>
        <b/>
        <vertAlign val="superscript"/>
        <sz val="10"/>
        <color theme="1"/>
        <rFont val="Arial"/>
        <family val="2"/>
      </rPr>
      <t>a</t>
    </r>
  </si>
  <si>
    <r>
      <t>T</t>
    </r>
    <r>
      <rPr>
        <vertAlign val="subscript"/>
        <sz val="10"/>
        <color theme="1"/>
        <rFont val="Arial"/>
        <family val="2"/>
      </rPr>
      <t>AN</t>
    </r>
    <r>
      <rPr>
        <sz val="10"/>
        <color theme="1"/>
        <rFont val="Arial"/>
        <family val="2"/>
      </rPr>
      <t xml:space="preserve"> = estimated daily minimum ambient temperature, °F</t>
    </r>
  </si>
  <si>
    <r>
      <t>T</t>
    </r>
    <r>
      <rPr>
        <vertAlign val="subscript"/>
        <sz val="10"/>
        <color theme="1"/>
        <rFont val="Arial"/>
        <family val="2"/>
      </rPr>
      <t>AX</t>
    </r>
    <r>
      <rPr>
        <sz val="10"/>
        <color theme="1"/>
        <rFont val="Arial"/>
        <family val="2"/>
      </rPr>
      <t xml:space="preserve"> = estimated daily maximum ambient temperature, °F</t>
    </r>
  </si>
  <si>
    <r>
      <t>T</t>
    </r>
    <r>
      <rPr>
        <vertAlign val="subscript"/>
        <sz val="10"/>
        <color theme="1"/>
        <rFont val="Arial"/>
        <family val="2"/>
      </rPr>
      <t>AA</t>
    </r>
    <r>
      <rPr>
        <sz val="10"/>
        <color theme="1"/>
        <rFont val="Arial"/>
        <family val="2"/>
      </rPr>
      <t xml:space="preserve"> = average daily ambient temperature, °R</t>
    </r>
  </si>
  <si>
    <r>
      <t>I = average daily total insolation factor, Btu/(ft</t>
    </r>
    <r>
      <rPr>
        <vertAlign val="superscript"/>
        <sz val="10"/>
        <color theme="1"/>
        <rFont val="Arial"/>
        <family val="2"/>
      </rPr>
      <t>2</t>
    </r>
    <r>
      <rPr>
        <sz val="10"/>
        <color theme="1"/>
        <rFont val="Arial"/>
        <family val="2"/>
      </rPr>
      <t>*day)</t>
    </r>
  </si>
  <si>
    <r>
      <t>T</t>
    </r>
    <r>
      <rPr>
        <vertAlign val="subscript"/>
        <sz val="10"/>
        <color theme="1"/>
        <rFont val="Arial"/>
        <family val="2"/>
      </rPr>
      <t>B</t>
    </r>
    <r>
      <rPr>
        <sz val="10"/>
        <color theme="1"/>
        <rFont val="Arial"/>
        <family val="2"/>
      </rPr>
      <t xml:space="preserve"> = liquid bulk temperature, °R *</t>
    </r>
  </si>
  <si>
    <r>
      <t>T</t>
    </r>
    <r>
      <rPr>
        <vertAlign val="subscript"/>
        <sz val="10"/>
        <color theme="1"/>
        <rFont val="Arial"/>
        <family val="2"/>
      </rPr>
      <t>LA</t>
    </r>
    <r>
      <rPr>
        <sz val="10"/>
        <color theme="1"/>
        <rFont val="Arial"/>
        <family val="2"/>
      </rPr>
      <t xml:space="preserve"> = estimated average daily liquid surface temperature, °R **</t>
    </r>
  </si>
  <si>
    <r>
      <t>T</t>
    </r>
    <r>
      <rPr>
        <vertAlign val="subscript"/>
        <sz val="10"/>
        <color theme="1"/>
        <rFont val="Arial"/>
        <family val="2"/>
      </rPr>
      <t>LA</t>
    </r>
    <r>
      <rPr>
        <sz val="10"/>
        <color theme="1"/>
        <rFont val="Arial"/>
        <family val="2"/>
      </rPr>
      <t>, °F</t>
    </r>
  </si>
  <si>
    <r>
      <t>T</t>
    </r>
    <r>
      <rPr>
        <vertAlign val="subscript"/>
        <sz val="10"/>
        <color theme="1"/>
        <rFont val="Arial"/>
        <family val="2"/>
      </rPr>
      <t>LA</t>
    </r>
    <r>
      <rPr>
        <sz val="10"/>
        <color theme="1"/>
        <rFont val="Arial"/>
        <family val="2"/>
      </rPr>
      <t>, °C</t>
    </r>
  </si>
  <si>
    <r>
      <t>P</t>
    </r>
    <r>
      <rPr>
        <vertAlign val="subscript"/>
        <sz val="10"/>
        <color theme="1"/>
        <rFont val="Arial"/>
        <family val="2"/>
      </rPr>
      <t>VA</t>
    </r>
    <r>
      <rPr>
        <sz val="10"/>
        <color theme="1"/>
        <rFont val="Arial"/>
        <family val="2"/>
      </rPr>
      <t xml:space="preserve"> = true vapor pressure, mm Hg</t>
    </r>
  </si>
  <si>
    <r>
      <t>P</t>
    </r>
    <r>
      <rPr>
        <vertAlign val="subscript"/>
        <sz val="10"/>
        <color theme="1"/>
        <rFont val="Arial"/>
        <family val="2"/>
      </rPr>
      <t>VA</t>
    </r>
    <r>
      <rPr>
        <sz val="10"/>
        <color theme="1"/>
        <rFont val="Arial"/>
        <family val="2"/>
      </rPr>
      <t>, psia</t>
    </r>
  </si>
  <si>
    <r>
      <t>M</t>
    </r>
    <r>
      <rPr>
        <vertAlign val="subscript"/>
        <sz val="10"/>
        <color theme="1"/>
        <rFont val="Arial"/>
        <family val="2"/>
      </rPr>
      <t>V</t>
    </r>
    <r>
      <rPr>
        <sz val="10"/>
        <color theme="1"/>
        <rFont val="Arial"/>
        <family val="2"/>
      </rPr>
      <t xml:space="preserve"> = Vapor Molecular Weight of the Mixture, lb/lb-mol</t>
    </r>
  </si>
  <si>
    <r>
      <t>F</t>
    </r>
    <r>
      <rPr>
        <vertAlign val="subscript"/>
        <sz val="10"/>
        <color theme="1"/>
        <rFont val="Arial"/>
        <family val="2"/>
      </rPr>
      <t>F</t>
    </r>
    <r>
      <rPr>
        <sz val="10"/>
        <color theme="1"/>
        <rFont val="Arial"/>
        <family val="2"/>
      </rPr>
      <t xml:space="preserve"> = total deck fitting loss factor = ΣN</t>
    </r>
    <r>
      <rPr>
        <vertAlign val="subscript"/>
        <sz val="10"/>
        <color theme="1"/>
        <rFont val="Arial"/>
        <family val="2"/>
      </rPr>
      <t>Fi</t>
    </r>
    <r>
      <rPr>
        <sz val="10"/>
        <color theme="1"/>
        <rFont val="Arial"/>
        <family val="2"/>
      </rPr>
      <t>K</t>
    </r>
    <r>
      <rPr>
        <vertAlign val="subscript"/>
        <sz val="10"/>
        <color theme="1"/>
        <rFont val="Arial"/>
        <family val="2"/>
      </rPr>
      <t>Fi</t>
    </r>
    <r>
      <rPr>
        <sz val="10"/>
        <color theme="1"/>
        <rFont val="Arial"/>
        <family val="2"/>
      </rPr>
      <t>, lb-mol/yr</t>
    </r>
  </si>
  <si>
    <r>
      <t>L</t>
    </r>
    <r>
      <rPr>
        <b/>
        <vertAlign val="subscript"/>
        <sz val="10"/>
        <color theme="1"/>
        <rFont val="Arial"/>
        <family val="2"/>
      </rPr>
      <t>R</t>
    </r>
    <r>
      <rPr>
        <b/>
        <sz val="10"/>
        <color theme="1"/>
        <rFont val="Arial"/>
        <family val="2"/>
      </rPr>
      <t xml:space="preserve"> = the rim seal loss, lb/month</t>
    </r>
  </si>
  <si>
    <r>
      <t>= (K</t>
    </r>
    <r>
      <rPr>
        <vertAlign val="subscript"/>
        <sz val="10"/>
        <color theme="1"/>
        <rFont val="Arial"/>
        <family val="2"/>
      </rPr>
      <t>Ra</t>
    </r>
    <r>
      <rPr>
        <sz val="10"/>
        <color theme="1"/>
        <rFont val="Arial"/>
        <family val="2"/>
      </rPr>
      <t xml:space="preserve"> + K</t>
    </r>
    <r>
      <rPr>
        <vertAlign val="subscript"/>
        <sz val="10"/>
        <color theme="1"/>
        <rFont val="Arial"/>
        <family val="2"/>
      </rPr>
      <t>Rb</t>
    </r>
    <r>
      <rPr>
        <sz val="10"/>
        <color theme="1"/>
        <rFont val="Arial"/>
        <family val="2"/>
      </rPr>
      <t xml:space="preserve"> v</t>
    </r>
    <r>
      <rPr>
        <vertAlign val="superscript"/>
        <sz val="10"/>
        <color theme="1"/>
        <rFont val="Arial"/>
        <family val="2"/>
      </rPr>
      <t>n</t>
    </r>
    <r>
      <rPr>
        <sz val="10"/>
        <color theme="1"/>
        <rFont val="Arial"/>
        <family val="2"/>
      </rPr>
      <t>)DP*M</t>
    </r>
    <r>
      <rPr>
        <vertAlign val="subscript"/>
        <sz val="10"/>
        <color theme="1"/>
        <rFont val="Arial"/>
        <family val="2"/>
      </rPr>
      <t>V</t>
    </r>
    <r>
      <rPr>
        <sz val="10"/>
        <color theme="1"/>
        <rFont val="Arial"/>
        <family val="2"/>
      </rPr>
      <t>K</t>
    </r>
    <r>
      <rPr>
        <vertAlign val="subscript"/>
        <sz val="10"/>
        <color theme="1"/>
        <rFont val="Arial"/>
        <family val="2"/>
      </rPr>
      <t>C</t>
    </r>
    <r>
      <rPr>
        <sz val="10"/>
        <color theme="1"/>
        <rFont val="Arial"/>
        <family val="2"/>
      </rPr>
      <t xml:space="preserve"> ***      (Eq. 2-3)</t>
    </r>
  </si>
  <si>
    <r>
      <t>L</t>
    </r>
    <r>
      <rPr>
        <b/>
        <vertAlign val="subscript"/>
        <sz val="10"/>
        <color theme="1"/>
        <rFont val="Arial"/>
        <family val="2"/>
      </rPr>
      <t>F</t>
    </r>
    <r>
      <rPr>
        <b/>
        <sz val="10"/>
        <color theme="1"/>
        <rFont val="Arial"/>
        <family val="2"/>
      </rPr>
      <t xml:space="preserve"> = the deck fitting loss, lb/month</t>
    </r>
  </si>
  <si>
    <r>
      <t>= F</t>
    </r>
    <r>
      <rPr>
        <vertAlign val="subscript"/>
        <sz val="10"/>
        <color theme="1"/>
        <rFont val="Arial"/>
        <family val="2"/>
      </rPr>
      <t>F</t>
    </r>
    <r>
      <rPr>
        <sz val="10"/>
        <color theme="1"/>
        <rFont val="Arial"/>
        <family val="2"/>
      </rPr>
      <t>P*M</t>
    </r>
    <r>
      <rPr>
        <vertAlign val="subscript"/>
        <sz val="10"/>
        <color theme="1"/>
        <rFont val="Arial"/>
        <family val="2"/>
      </rPr>
      <t>V</t>
    </r>
    <r>
      <rPr>
        <sz val="10"/>
        <color theme="1"/>
        <rFont val="Arial"/>
        <family val="2"/>
      </rPr>
      <t>K</t>
    </r>
    <r>
      <rPr>
        <vertAlign val="subscript"/>
        <sz val="10"/>
        <color theme="1"/>
        <rFont val="Arial"/>
        <family val="2"/>
      </rPr>
      <t>C</t>
    </r>
    <r>
      <rPr>
        <sz val="10"/>
        <color theme="1"/>
        <rFont val="Arial"/>
        <family val="2"/>
      </rPr>
      <t xml:space="preserve"> /12   (Eq. 2-13)</t>
    </r>
  </si>
  <si>
    <r>
      <t>L</t>
    </r>
    <r>
      <rPr>
        <b/>
        <vertAlign val="subscript"/>
        <sz val="10"/>
        <color theme="1"/>
        <rFont val="Arial"/>
        <family val="2"/>
      </rPr>
      <t>W</t>
    </r>
    <r>
      <rPr>
        <b/>
        <sz val="10"/>
        <color theme="1"/>
        <rFont val="Arial"/>
        <family val="2"/>
      </rPr>
      <t xml:space="preserve"> = the working (withdrawal) loss, lb/month</t>
    </r>
  </si>
  <si>
    <r>
      <t>= (0.943QC</t>
    </r>
    <r>
      <rPr>
        <vertAlign val="subscript"/>
        <sz val="10"/>
        <color theme="1"/>
        <rFont val="Arial"/>
        <family val="2"/>
      </rPr>
      <t>S</t>
    </r>
    <r>
      <rPr>
        <sz val="10"/>
        <color theme="1"/>
        <rFont val="Arial"/>
        <family val="2"/>
      </rPr>
      <t>W</t>
    </r>
    <r>
      <rPr>
        <vertAlign val="subscript"/>
        <sz val="10"/>
        <color theme="1"/>
        <rFont val="Arial"/>
        <family val="2"/>
      </rPr>
      <t>L</t>
    </r>
    <r>
      <rPr>
        <sz val="10"/>
        <color theme="1"/>
        <rFont val="Arial"/>
        <family val="2"/>
      </rPr>
      <t>/D) ****      (Eq. 2-19)</t>
    </r>
  </si>
  <si>
    <r>
      <rPr>
        <b/>
        <sz val="10"/>
        <color theme="1"/>
        <rFont val="Arial"/>
        <family val="2"/>
      </rPr>
      <t>L</t>
    </r>
    <r>
      <rPr>
        <b/>
        <vertAlign val="subscript"/>
        <sz val="10"/>
        <color theme="1"/>
        <rFont val="Arial"/>
        <family val="2"/>
      </rPr>
      <t>S</t>
    </r>
    <r>
      <rPr>
        <b/>
        <sz val="10"/>
        <color theme="1"/>
        <rFont val="Arial"/>
        <family val="2"/>
      </rPr>
      <t xml:space="preserve"> = standing loss</t>
    </r>
    <r>
      <rPr>
        <sz val="10"/>
        <color theme="1"/>
        <rFont val="Arial"/>
        <family val="2"/>
      </rPr>
      <t xml:space="preserve"> = L</t>
    </r>
    <r>
      <rPr>
        <vertAlign val="subscript"/>
        <sz val="10"/>
        <color theme="1"/>
        <rFont val="Arial"/>
        <family val="2"/>
      </rPr>
      <t>R</t>
    </r>
    <r>
      <rPr>
        <sz val="10"/>
        <color theme="1"/>
        <rFont val="Arial"/>
        <family val="2"/>
      </rPr>
      <t xml:space="preserve"> + L</t>
    </r>
    <r>
      <rPr>
        <vertAlign val="subscript"/>
        <sz val="10"/>
        <color theme="1"/>
        <rFont val="Arial"/>
        <family val="2"/>
      </rPr>
      <t>F</t>
    </r>
    <r>
      <rPr>
        <sz val="10"/>
        <color theme="1"/>
        <rFont val="Arial"/>
        <family val="2"/>
      </rPr>
      <t>, lb/month *****      (Eq. 2-2)</t>
    </r>
  </si>
  <si>
    <r>
      <t>L</t>
    </r>
    <r>
      <rPr>
        <b/>
        <vertAlign val="subscript"/>
        <sz val="10"/>
        <color theme="1"/>
        <rFont val="Arial"/>
        <family val="2"/>
      </rPr>
      <t>T</t>
    </r>
    <r>
      <rPr>
        <b/>
        <sz val="10"/>
        <color theme="1"/>
        <rFont val="Arial"/>
        <family val="2"/>
      </rPr>
      <t xml:space="preserve"> = total routine loss, lb/month</t>
    </r>
    <r>
      <rPr>
        <sz val="10"/>
        <color theme="1"/>
        <rFont val="Arial"/>
        <family val="2"/>
      </rPr>
      <t xml:space="preserve"> = L</t>
    </r>
    <r>
      <rPr>
        <vertAlign val="subscript"/>
        <sz val="10"/>
        <color theme="1"/>
        <rFont val="Arial"/>
        <family val="2"/>
      </rPr>
      <t>S</t>
    </r>
    <r>
      <rPr>
        <sz val="10"/>
        <color theme="1"/>
        <rFont val="Arial"/>
        <family val="2"/>
      </rPr>
      <t xml:space="preserve"> + L</t>
    </r>
    <r>
      <rPr>
        <vertAlign val="subscript"/>
        <sz val="10"/>
        <color theme="1"/>
        <rFont val="Arial"/>
        <family val="2"/>
      </rPr>
      <t>W</t>
    </r>
    <r>
      <rPr>
        <sz val="10"/>
        <color theme="1"/>
        <rFont val="Arial"/>
        <family val="2"/>
      </rPr>
      <t xml:space="preserve">      (Eq. 2-1)</t>
    </r>
  </si>
  <si>
    <r>
      <t>* Eq. 1-31 (calculation of T</t>
    </r>
    <r>
      <rPr>
        <vertAlign val="subscript"/>
        <sz val="10"/>
        <color theme="1"/>
        <rFont val="Arial"/>
        <family val="2"/>
      </rPr>
      <t>B</t>
    </r>
    <r>
      <rPr>
        <sz val="10"/>
        <color theme="1"/>
        <rFont val="Arial"/>
        <family val="2"/>
      </rPr>
      <t>) applies to uninsulated internal or domed external floating roof tanks with H</t>
    </r>
    <r>
      <rPr>
        <vertAlign val="subscript"/>
        <sz val="10"/>
        <color theme="1"/>
        <rFont val="Arial"/>
        <family val="2"/>
      </rPr>
      <t>S</t>
    </r>
    <r>
      <rPr>
        <sz val="10"/>
        <color theme="1"/>
        <rFont val="Arial"/>
        <family val="2"/>
      </rPr>
      <t>/D = 0.5. The liquid bulk temperature should preferably be based on measurements or estimated from process knowledge.</t>
    </r>
  </si>
  <si>
    <r>
      <t>** Eq. 2-6 is a simplified form of Eq. 2-5 (applies to uninsulated internal or domed external floating roof tanks with H</t>
    </r>
    <r>
      <rPr>
        <vertAlign val="subscript"/>
        <sz val="10"/>
        <color theme="1"/>
        <rFont val="Arial"/>
        <family val="2"/>
      </rPr>
      <t>S</t>
    </r>
    <r>
      <rPr>
        <sz val="10"/>
        <color theme="1"/>
        <rFont val="Arial"/>
        <family val="2"/>
      </rPr>
      <t>/D = 0.5 and α</t>
    </r>
    <r>
      <rPr>
        <vertAlign val="subscript"/>
        <sz val="10"/>
        <color theme="1"/>
        <rFont val="Arial"/>
        <family val="2"/>
      </rPr>
      <t>roof surface</t>
    </r>
    <r>
      <rPr>
        <sz val="10"/>
        <color theme="1"/>
        <rFont val="Arial"/>
        <family val="2"/>
      </rPr>
      <t xml:space="preserve"> = α</t>
    </r>
    <r>
      <rPr>
        <vertAlign val="subscript"/>
        <sz val="10"/>
        <color theme="1"/>
        <rFont val="Arial"/>
        <family val="2"/>
      </rPr>
      <t>shell surface</t>
    </r>
    <r>
      <rPr>
        <sz val="10"/>
        <color theme="1"/>
        <rFont val="Arial"/>
        <family val="2"/>
      </rPr>
      <t>). In all other cases, use Eq. 2-5 from AP-42 Chapter 7.1 to calculate T</t>
    </r>
    <r>
      <rPr>
        <vertAlign val="subscript"/>
        <sz val="10"/>
        <color theme="1"/>
        <rFont val="Arial"/>
        <family val="2"/>
      </rPr>
      <t>LA</t>
    </r>
    <r>
      <rPr>
        <sz val="10"/>
        <color theme="1"/>
        <rFont val="Arial"/>
        <family val="2"/>
      </rPr>
      <t>.</t>
    </r>
  </si>
  <si>
    <t>°F  (from Table 7.1-7)</t>
  </si>
  <si>
    <t>mph  (from Table 7.1-7)</t>
  </si>
  <si>
    <t>°R  (Eq. 1-30)</t>
  </si>
  <si>
    <r>
      <t>Btu/(ft</t>
    </r>
    <r>
      <rPr>
        <vertAlign val="superscript"/>
        <sz val="10"/>
        <color theme="1"/>
        <rFont val="Arial"/>
        <family val="2"/>
      </rPr>
      <t>2</t>
    </r>
    <r>
      <rPr>
        <sz val="10"/>
        <color theme="1"/>
        <rFont val="Arial"/>
        <family val="2"/>
      </rPr>
      <t>*day)  (from Table 7.1-7)</t>
    </r>
  </si>
  <si>
    <r>
      <t>°R = T</t>
    </r>
    <r>
      <rPr>
        <vertAlign val="subscript"/>
        <sz val="10"/>
        <color theme="1"/>
        <rFont val="Arial"/>
        <family val="2"/>
      </rPr>
      <t>AA</t>
    </r>
    <r>
      <rPr>
        <sz val="10"/>
        <color theme="1"/>
        <rFont val="Arial"/>
        <family val="2"/>
      </rPr>
      <t xml:space="preserve"> + 0.003α</t>
    </r>
    <r>
      <rPr>
        <vertAlign val="subscript"/>
        <sz val="10"/>
        <color theme="1"/>
        <rFont val="Arial"/>
        <family val="2"/>
      </rPr>
      <t>s</t>
    </r>
    <r>
      <rPr>
        <sz val="10"/>
        <color theme="1"/>
        <rFont val="Arial"/>
        <family val="2"/>
      </rPr>
      <t>I *  (Eq. 1-31)</t>
    </r>
  </si>
  <si>
    <r>
      <t>°R = (0.3T</t>
    </r>
    <r>
      <rPr>
        <vertAlign val="subscript"/>
        <sz val="10"/>
        <color theme="1"/>
        <rFont val="Arial"/>
        <family val="2"/>
      </rPr>
      <t>AA</t>
    </r>
    <r>
      <rPr>
        <sz val="10"/>
        <color theme="1"/>
        <rFont val="Arial"/>
        <family val="2"/>
      </rPr>
      <t>) + (0.7T</t>
    </r>
    <r>
      <rPr>
        <vertAlign val="subscript"/>
        <sz val="10"/>
        <color theme="1"/>
        <rFont val="Arial"/>
        <family val="2"/>
      </rPr>
      <t>B</t>
    </r>
    <r>
      <rPr>
        <sz val="10"/>
        <color theme="1"/>
        <rFont val="Arial"/>
        <family val="2"/>
      </rPr>
      <t>) + (0.004 α I) **  (Eq. 2-6)</t>
    </r>
  </si>
  <si>
    <r>
      <t>psia = exp(A - (B/T</t>
    </r>
    <r>
      <rPr>
        <vertAlign val="subscript"/>
        <sz val="10"/>
        <color theme="1"/>
        <rFont val="Arial"/>
        <family val="2"/>
      </rPr>
      <t>LA</t>
    </r>
    <r>
      <rPr>
        <sz val="10"/>
        <color theme="1"/>
        <rFont val="Arial"/>
        <family val="2"/>
      </rPr>
      <t>, °R)) * x</t>
    </r>
    <r>
      <rPr>
        <vertAlign val="subscript"/>
        <sz val="10"/>
        <color theme="1"/>
        <rFont val="Arial"/>
        <family val="2"/>
      </rPr>
      <t>i</t>
    </r>
    <r>
      <rPr>
        <sz val="10"/>
        <color theme="1"/>
        <rFont val="Arial"/>
        <family val="2"/>
      </rPr>
      <t xml:space="preserve">  (Eqs. 1-25 and 40-3)</t>
    </r>
  </si>
  <si>
    <r>
      <t>mm Hg = 10^(A - (B/((T</t>
    </r>
    <r>
      <rPr>
        <vertAlign val="subscript"/>
        <sz val="10"/>
        <color theme="1"/>
        <rFont val="Arial"/>
        <family val="2"/>
      </rPr>
      <t>LA</t>
    </r>
    <r>
      <rPr>
        <sz val="10"/>
        <color theme="1"/>
        <rFont val="Arial"/>
        <family val="2"/>
      </rPr>
      <t>, °C) + C))) * x</t>
    </r>
    <r>
      <rPr>
        <vertAlign val="subscript"/>
        <sz val="10"/>
        <color theme="1"/>
        <rFont val="Arial"/>
        <family val="2"/>
      </rPr>
      <t>i</t>
    </r>
    <r>
      <rPr>
        <sz val="10"/>
        <color theme="1"/>
        <rFont val="Arial"/>
        <family val="2"/>
      </rPr>
      <t xml:space="preserve">  (Eqs. 1-26 and 40-3)</t>
    </r>
  </si>
  <si>
    <r>
      <t>mm Hg = SUM(Px</t>
    </r>
    <r>
      <rPr>
        <vertAlign val="subscript"/>
        <sz val="10"/>
        <color theme="1"/>
        <rFont val="Arial"/>
        <family val="2"/>
      </rPr>
      <t>i</t>
    </r>
    <r>
      <rPr>
        <sz val="10"/>
        <color theme="1"/>
        <rFont val="Arial"/>
        <family val="2"/>
      </rPr>
      <t>)  (Eq. 1-24)</t>
    </r>
  </si>
  <si>
    <t>psia  (from Table 7.1-7)</t>
  </si>
  <si>
    <r>
      <t>= (P</t>
    </r>
    <r>
      <rPr>
        <vertAlign val="subscript"/>
        <sz val="10"/>
        <color theme="1"/>
        <rFont val="Arial"/>
        <family val="2"/>
      </rPr>
      <t>VA</t>
    </r>
    <r>
      <rPr>
        <sz val="10"/>
        <color theme="1"/>
        <rFont val="Arial"/>
        <family val="2"/>
      </rPr>
      <t xml:space="preserve"> / P</t>
    </r>
    <r>
      <rPr>
        <vertAlign val="subscript"/>
        <sz val="10"/>
        <color theme="1"/>
        <rFont val="Arial"/>
        <family val="2"/>
      </rPr>
      <t>A</t>
    </r>
    <r>
      <rPr>
        <sz val="10"/>
        <color theme="1"/>
        <rFont val="Arial"/>
        <family val="2"/>
      </rPr>
      <t>) / (1 + (1 - (P</t>
    </r>
    <r>
      <rPr>
        <vertAlign val="subscript"/>
        <sz val="10"/>
        <color theme="1"/>
        <rFont val="Arial"/>
        <family val="2"/>
      </rPr>
      <t>VA</t>
    </r>
    <r>
      <rPr>
        <sz val="10"/>
        <color theme="1"/>
        <rFont val="Arial"/>
        <family val="2"/>
      </rPr>
      <t xml:space="preserve"> / P</t>
    </r>
    <r>
      <rPr>
        <vertAlign val="subscript"/>
        <sz val="10"/>
        <color theme="1"/>
        <rFont val="Arial"/>
        <family val="2"/>
      </rPr>
      <t>A</t>
    </r>
    <r>
      <rPr>
        <sz val="10"/>
        <color theme="1"/>
        <rFont val="Arial"/>
        <family val="2"/>
      </rPr>
      <t>))</t>
    </r>
    <r>
      <rPr>
        <vertAlign val="superscript"/>
        <sz val="10"/>
        <color theme="1"/>
        <rFont val="Arial"/>
        <family val="2"/>
      </rPr>
      <t>0.5</t>
    </r>
    <r>
      <rPr>
        <sz val="10"/>
        <color theme="1"/>
        <rFont val="Arial"/>
        <family val="2"/>
      </rPr>
      <t>)</t>
    </r>
    <r>
      <rPr>
        <vertAlign val="superscript"/>
        <sz val="10"/>
        <color theme="1"/>
        <rFont val="Arial"/>
        <family val="2"/>
      </rPr>
      <t>2</t>
    </r>
    <r>
      <rPr>
        <sz val="10"/>
        <color theme="1"/>
        <rFont val="Arial"/>
        <family val="2"/>
      </rPr>
      <t xml:space="preserve">  (Eq. 2-4)</t>
    </r>
  </si>
  <si>
    <r>
      <t>lb-mol/lb-mol = P</t>
    </r>
    <r>
      <rPr>
        <vertAlign val="subscript"/>
        <sz val="10"/>
        <color theme="1"/>
        <rFont val="Arial"/>
        <family val="2"/>
      </rPr>
      <t>i</t>
    </r>
    <r>
      <rPr>
        <sz val="10"/>
        <color theme="1"/>
        <rFont val="Arial"/>
        <family val="2"/>
      </rPr>
      <t xml:space="preserve"> / P</t>
    </r>
    <r>
      <rPr>
        <vertAlign val="subscript"/>
        <sz val="10"/>
        <color theme="1"/>
        <rFont val="Arial"/>
        <family val="2"/>
      </rPr>
      <t>VA</t>
    </r>
    <r>
      <rPr>
        <sz val="10"/>
        <color theme="1"/>
        <rFont val="Arial"/>
        <family val="2"/>
      </rPr>
      <t xml:space="preserve">  (Eq. 40-5)</t>
    </r>
  </si>
  <si>
    <r>
      <t>lb/lb-mol = SUM(M</t>
    </r>
    <r>
      <rPr>
        <vertAlign val="subscript"/>
        <sz val="10"/>
        <color theme="1"/>
        <rFont val="Arial"/>
        <family val="2"/>
      </rPr>
      <t>i</t>
    </r>
    <r>
      <rPr>
        <sz val="10"/>
        <color theme="1"/>
        <rFont val="Arial"/>
        <family val="2"/>
      </rPr>
      <t>y</t>
    </r>
    <r>
      <rPr>
        <vertAlign val="subscript"/>
        <sz val="10"/>
        <color theme="1"/>
        <rFont val="Arial"/>
        <family val="2"/>
      </rPr>
      <t>i</t>
    </r>
    <r>
      <rPr>
        <sz val="10"/>
        <color theme="1"/>
        <rFont val="Arial"/>
        <family val="2"/>
      </rPr>
      <t>)  (Eq. 1-23)</t>
    </r>
  </si>
  <si>
    <r>
      <t>lb/lb = (y</t>
    </r>
    <r>
      <rPr>
        <vertAlign val="subscript"/>
        <sz val="10"/>
        <color theme="1"/>
        <rFont val="Arial"/>
        <family val="2"/>
      </rPr>
      <t>i</t>
    </r>
    <r>
      <rPr>
        <sz val="10"/>
        <color theme="1"/>
        <rFont val="Arial"/>
        <family val="2"/>
      </rPr>
      <t xml:space="preserve"> * M</t>
    </r>
    <r>
      <rPr>
        <vertAlign val="subscript"/>
        <sz val="10"/>
        <color theme="1"/>
        <rFont val="Arial"/>
        <family val="2"/>
      </rPr>
      <t>i</t>
    </r>
    <r>
      <rPr>
        <sz val="10"/>
        <color theme="1"/>
        <rFont val="Arial"/>
        <family val="2"/>
      </rPr>
      <t>) / M</t>
    </r>
    <r>
      <rPr>
        <vertAlign val="subscript"/>
        <sz val="10"/>
        <color theme="1"/>
        <rFont val="Arial"/>
        <family val="2"/>
      </rPr>
      <t>V</t>
    </r>
    <r>
      <rPr>
        <sz val="10"/>
        <color theme="1"/>
        <rFont val="Arial"/>
        <family val="2"/>
      </rPr>
      <t xml:space="preserve">  (Eq. 40-6)</t>
    </r>
  </si>
  <si>
    <t>lb-mol/yr  (Eq. 2-15)</t>
  </si>
  <si>
    <t>lb-mol/yr  (Eq. 2-14)</t>
  </si>
  <si>
    <r>
      <t>lb = (Z</t>
    </r>
    <r>
      <rPr>
        <vertAlign val="subscript"/>
        <sz val="10"/>
        <color theme="1"/>
        <rFont val="Arial"/>
        <family val="2"/>
      </rPr>
      <t>Vi</t>
    </r>
    <r>
      <rPr>
        <sz val="10"/>
        <color theme="1"/>
        <rFont val="Arial"/>
        <family val="2"/>
      </rPr>
      <t>)(L</t>
    </r>
    <r>
      <rPr>
        <vertAlign val="subscript"/>
        <sz val="10"/>
        <color theme="1"/>
        <rFont val="Arial"/>
        <family val="2"/>
      </rPr>
      <t>R</t>
    </r>
    <r>
      <rPr>
        <sz val="10"/>
        <color theme="1"/>
        <rFont val="Arial"/>
        <family val="2"/>
      </rPr>
      <t xml:space="preserve"> + L</t>
    </r>
    <r>
      <rPr>
        <vertAlign val="subscript"/>
        <sz val="10"/>
        <color theme="1"/>
        <rFont val="Arial"/>
        <family val="2"/>
      </rPr>
      <t>F</t>
    </r>
    <r>
      <rPr>
        <sz val="10"/>
        <color theme="1"/>
        <rFont val="Arial"/>
        <family val="2"/>
      </rPr>
      <t>) + (Z</t>
    </r>
    <r>
      <rPr>
        <vertAlign val="subscript"/>
        <sz val="10"/>
        <color theme="1"/>
        <rFont val="Arial"/>
        <family val="2"/>
      </rPr>
      <t>Li</t>
    </r>
    <r>
      <rPr>
        <sz val="10"/>
        <color theme="1"/>
        <rFont val="Arial"/>
        <family val="2"/>
      </rPr>
      <t>)(L</t>
    </r>
    <r>
      <rPr>
        <vertAlign val="subscript"/>
        <sz val="10"/>
        <color theme="1"/>
        <rFont val="Arial"/>
        <family val="2"/>
      </rPr>
      <t>W</t>
    </r>
    <r>
      <rPr>
        <sz val="10"/>
        <color theme="1"/>
        <rFont val="Arial"/>
        <family val="2"/>
      </rPr>
      <t>)  (Eq. 40-2)</t>
    </r>
  </si>
  <si>
    <t>https://www3.epa.gov/ttn/chief/ap42/ch07/</t>
  </si>
  <si>
    <t>Component n (insert additional rows above, as needed)</t>
  </si>
  <si>
    <r>
      <t>Table 7.1-7. Meteorological data (T</t>
    </r>
    <r>
      <rPr>
        <b/>
        <vertAlign val="subscript"/>
        <sz val="10"/>
        <color theme="1"/>
        <rFont val="Arial"/>
        <family val="2"/>
      </rPr>
      <t>AX</t>
    </r>
    <r>
      <rPr>
        <b/>
        <sz val="10"/>
        <color theme="1"/>
        <rFont val="Arial"/>
        <family val="2"/>
      </rPr>
      <t>, T</t>
    </r>
    <r>
      <rPr>
        <b/>
        <vertAlign val="subscript"/>
        <sz val="10"/>
        <color theme="1"/>
        <rFont val="Arial"/>
        <family val="2"/>
      </rPr>
      <t>AN</t>
    </r>
    <r>
      <rPr>
        <b/>
        <sz val="10"/>
        <color theme="1"/>
        <rFont val="Arial"/>
        <family val="2"/>
      </rPr>
      <t>, v, I, P</t>
    </r>
    <r>
      <rPr>
        <b/>
        <vertAlign val="subscript"/>
        <sz val="10"/>
        <color theme="1"/>
        <rFont val="Arial"/>
        <family val="2"/>
      </rPr>
      <t>A</t>
    </r>
    <r>
      <rPr>
        <b/>
        <sz val="10"/>
        <color theme="1"/>
        <rFont val="Arial"/>
        <family val="2"/>
      </rPr>
      <t>) for selected U.S. locations</t>
    </r>
    <r>
      <rPr>
        <b/>
        <vertAlign val="superscript"/>
        <sz val="10"/>
        <color theme="1"/>
        <rFont val="Arial"/>
        <family val="2"/>
      </rPr>
      <t>a</t>
    </r>
  </si>
  <si>
    <r>
      <t>Table 7.1-8. Rim-seal loss factors, K</t>
    </r>
    <r>
      <rPr>
        <b/>
        <vertAlign val="subscript"/>
        <sz val="10"/>
        <color theme="1"/>
        <rFont val="Arial"/>
        <family val="2"/>
      </rPr>
      <t>Ra</t>
    </r>
    <r>
      <rPr>
        <b/>
        <sz val="10"/>
        <color theme="1"/>
        <rFont val="Arial"/>
        <family val="2"/>
      </rPr>
      <t>, K</t>
    </r>
    <r>
      <rPr>
        <b/>
        <vertAlign val="subscript"/>
        <sz val="10"/>
        <color theme="1"/>
        <rFont val="Arial"/>
        <family val="2"/>
      </rPr>
      <t>Rb</t>
    </r>
    <r>
      <rPr>
        <b/>
        <sz val="10"/>
        <color theme="1"/>
        <rFont val="Arial"/>
        <family val="2"/>
      </rPr>
      <t>, and n, for floating roof tanks</t>
    </r>
  </si>
  <si>
    <r>
      <t>Table 7.1-10. Average clingage factors, C</t>
    </r>
    <r>
      <rPr>
        <b/>
        <vertAlign val="subscript"/>
        <sz val="10"/>
        <color theme="1"/>
        <rFont val="Arial"/>
        <family val="2"/>
      </rPr>
      <t>S</t>
    </r>
    <r>
      <rPr>
        <b/>
        <vertAlign val="superscript"/>
        <sz val="10"/>
        <color theme="1"/>
        <rFont val="Arial"/>
        <family val="2"/>
      </rPr>
      <t>a</t>
    </r>
    <r>
      <rPr>
        <b/>
        <sz val="10"/>
        <color theme="1"/>
        <rFont val="Arial"/>
        <family val="2"/>
      </rPr>
      <t xml:space="preserve"> (bbl/10</t>
    </r>
    <r>
      <rPr>
        <b/>
        <vertAlign val="superscript"/>
        <sz val="10"/>
        <color theme="1"/>
        <rFont val="Arial"/>
        <family val="2"/>
      </rPr>
      <t>3</t>
    </r>
    <r>
      <rPr>
        <b/>
        <sz val="10"/>
        <color theme="1"/>
        <rFont val="Arial"/>
        <family val="2"/>
      </rPr>
      <t xml:space="preserve"> ft</t>
    </r>
    <r>
      <rPr>
        <b/>
        <vertAlign val="superscript"/>
        <sz val="10"/>
        <color theme="1"/>
        <rFont val="Arial"/>
        <family val="2"/>
      </rPr>
      <t>2</t>
    </r>
    <r>
      <rPr>
        <b/>
        <sz val="10"/>
        <color theme="1"/>
        <rFont val="Arial"/>
        <family val="2"/>
      </rPr>
      <t>)</t>
    </r>
  </si>
  <si>
    <r>
      <t>Table 7.1-12. Deck-fitting loss factors, K</t>
    </r>
    <r>
      <rPr>
        <b/>
        <vertAlign val="subscript"/>
        <sz val="10"/>
        <color theme="1"/>
        <rFont val="Arial"/>
        <family val="2"/>
      </rPr>
      <t>Fa</t>
    </r>
    <r>
      <rPr>
        <b/>
        <sz val="10"/>
        <color theme="1"/>
        <rFont val="Arial"/>
        <family val="2"/>
      </rPr>
      <t>, K</t>
    </r>
    <r>
      <rPr>
        <b/>
        <vertAlign val="subscript"/>
        <sz val="10"/>
        <color theme="1"/>
        <rFont val="Arial"/>
        <family val="2"/>
      </rPr>
      <t>Fb</t>
    </r>
    <r>
      <rPr>
        <b/>
        <sz val="10"/>
        <color theme="1"/>
        <rFont val="Arial"/>
        <family val="2"/>
      </rPr>
      <t>, and m, and typical number of deck fittings, N</t>
    </r>
    <r>
      <rPr>
        <b/>
        <vertAlign val="subscript"/>
        <sz val="10"/>
        <color theme="1"/>
        <rFont val="Arial"/>
        <family val="2"/>
      </rPr>
      <t>Fa</t>
    </r>
  </si>
  <si>
    <r>
      <t>Table 7.1-13. External floating roof tanks: typical number of vacuum breakers, N</t>
    </r>
    <r>
      <rPr>
        <b/>
        <vertAlign val="subscript"/>
        <sz val="10"/>
        <color theme="1"/>
        <rFont val="Arial"/>
        <family val="2"/>
      </rPr>
      <t>vb</t>
    </r>
    <r>
      <rPr>
        <b/>
        <sz val="10"/>
        <color theme="1"/>
        <rFont val="Arial"/>
        <family val="2"/>
      </rPr>
      <t>, and deck drains, Nd</t>
    </r>
  </si>
  <si>
    <r>
      <t>Table 7.1-14. External floating roof tanks: typical number of roof legs, N</t>
    </r>
    <r>
      <rPr>
        <b/>
        <vertAlign val="subscript"/>
        <sz val="10"/>
        <color theme="1"/>
        <rFont val="Arial"/>
        <family val="2"/>
      </rPr>
      <t>l</t>
    </r>
    <r>
      <rPr>
        <b/>
        <vertAlign val="superscript"/>
        <sz val="10"/>
        <color theme="1"/>
        <rFont val="Arial"/>
        <family val="2"/>
      </rPr>
      <t>a</t>
    </r>
  </si>
  <si>
    <r>
      <t xml:space="preserve">Table 7.1-3 Physical properties of selected petrochemicals </t>
    </r>
    <r>
      <rPr>
        <b/>
        <vertAlign val="superscript"/>
        <sz val="10"/>
        <color theme="1"/>
        <rFont val="Arial"/>
        <family val="2"/>
      </rPr>
      <t>a</t>
    </r>
  </si>
  <si>
    <r>
      <t>Table 7.1-2 Properties (M</t>
    </r>
    <r>
      <rPr>
        <b/>
        <vertAlign val="subscript"/>
        <sz val="10"/>
        <color theme="1"/>
        <rFont val="Arial"/>
        <family val="2"/>
      </rPr>
      <t>V</t>
    </r>
    <r>
      <rPr>
        <b/>
        <sz val="10"/>
        <color theme="1"/>
        <rFont val="Arial"/>
        <family val="2"/>
      </rPr>
      <t>, M</t>
    </r>
    <r>
      <rPr>
        <b/>
        <vertAlign val="subscript"/>
        <sz val="10"/>
        <color theme="1"/>
        <rFont val="Arial"/>
        <family val="2"/>
      </rPr>
      <t>L</t>
    </r>
    <r>
      <rPr>
        <b/>
        <sz val="10"/>
        <color theme="1"/>
        <rFont val="Arial"/>
        <family val="2"/>
      </rPr>
      <t>, P</t>
    </r>
    <r>
      <rPr>
        <b/>
        <vertAlign val="subscript"/>
        <sz val="10"/>
        <color theme="1"/>
        <rFont val="Arial"/>
        <family val="2"/>
      </rPr>
      <t>VA</t>
    </r>
    <r>
      <rPr>
        <b/>
        <sz val="10"/>
        <color theme="1"/>
        <rFont val="Arial"/>
        <family val="2"/>
      </rPr>
      <t>, W</t>
    </r>
    <r>
      <rPr>
        <b/>
        <vertAlign val="subscript"/>
        <sz val="10"/>
        <color theme="1"/>
        <rFont val="Arial"/>
        <family val="2"/>
      </rPr>
      <t>L</t>
    </r>
    <r>
      <rPr>
        <b/>
        <sz val="10"/>
        <color theme="1"/>
        <rFont val="Arial"/>
        <family val="2"/>
      </rPr>
      <t xml:space="preserve">) of selected petroleum liquids </t>
    </r>
    <r>
      <rPr>
        <b/>
        <vertAlign val="superscript"/>
        <sz val="10"/>
        <color theme="1"/>
        <rFont val="Arial"/>
        <family val="2"/>
      </rPr>
      <t>a, e</t>
    </r>
  </si>
  <si>
    <r>
      <t>M</t>
    </r>
    <r>
      <rPr>
        <b/>
        <vertAlign val="subscript"/>
        <sz val="10"/>
        <color theme="1"/>
        <rFont val="Arial"/>
        <family val="2"/>
      </rPr>
      <t>V</t>
    </r>
  </si>
  <si>
    <r>
      <t>M</t>
    </r>
    <r>
      <rPr>
        <b/>
        <vertAlign val="subscript"/>
        <sz val="10"/>
        <color theme="1"/>
        <rFont val="Arial"/>
        <family val="2"/>
      </rPr>
      <t>L</t>
    </r>
  </si>
  <si>
    <r>
      <t>W</t>
    </r>
    <r>
      <rPr>
        <b/>
        <vertAlign val="subscript"/>
        <sz val="10"/>
        <color theme="1"/>
        <rFont val="Arial"/>
        <family val="2"/>
      </rPr>
      <t>L</t>
    </r>
  </si>
  <si>
    <r>
      <t>P</t>
    </r>
    <r>
      <rPr>
        <b/>
        <vertAlign val="subscript"/>
        <sz val="10"/>
        <color theme="1"/>
        <rFont val="Arial"/>
        <family val="2"/>
      </rPr>
      <t>VA</t>
    </r>
  </si>
  <si>
    <r>
      <rPr>
        <vertAlign val="superscript"/>
        <sz val="10"/>
        <color theme="1"/>
        <rFont val="Arial"/>
        <family val="2"/>
      </rPr>
      <t>a</t>
    </r>
    <r>
      <rPr>
        <sz val="10"/>
        <color theme="1"/>
        <rFont val="Arial"/>
        <family val="2"/>
      </rPr>
      <t xml:space="preserve"> References 10 and 11 to AP-42 Section 7.1.</t>
    </r>
  </si>
  <si>
    <r>
      <rPr>
        <vertAlign val="superscript"/>
        <sz val="10"/>
        <color theme="1"/>
        <rFont val="Arial"/>
        <family val="2"/>
      </rPr>
      <t>b</t>
    </r>
    <r>
      <rPr>
        <sz val="10"/>
        <color theme="1"/>
        <rFont val="Arial"/>
        <family val="2"/>
      </rPr>
      <t xml:space="preserve"> Liquid molecular weights from “Memorandum from Patrick B. Murphy, Radian/RTP to James F. Durham, EPA/CPB Concerning Petroleum Refinery Liquid HAP and Properties Data, August 10, 1993,” as adopted in versions 3.1 and 4.0 of EPA’s TANKS software</t>
    </r>
  </si>
  <si>
    <r>
      <rPr>
        <vertAlign val="superscript"/>
        <sz val="10"/>
        <color theme="1"/>
        <rFont val="Arial"/>
        <family val="2"/>
      </rPr>
      <t>c</t>
    </r>
    <r>
      <rPr>
        <sz val="10"/>
        <color theme="1"/>
        <rFont val="Arial"/>
        <family val="2"/>
      </rPr>
      <t xml:space="preserve"> Reference 4  to AP-42 Section 7.1.</t>
    </r>
  </si>
  <si>
    <r>
      <rPr>
        <vertAlign val="superscript"/>
        <sz val="10"/>
        <color theme="1"/>
        <rFont val="Arial"/>
        <family val="2"/>
      </rPr>
      <t>d</t>
    </r>
    <r>
      <rPr>
        <sz val="10"/>
        <color theme="1"/>
        <rFont val="Arial"/>
        <family val="2"/>
      </rPr>
      <t xml:space="preserve"> For motor gasolines, see Figure 7.1-15 of AP-42 Section 7.1;</t>
    </r>
  </si>
  <si>
    <r>
      <t xml:space="preserve">          for Jet Naphtha, Jet Kerosene, and No. 2 Fuel Oil, see Barnett and Hibbard </t>
    </r>
    <r>
      <rPr>
        <vertAlign val="superscript"/>
        <sz val="10"/>
        <color theme="1"/>
        <rFont val="Arial"/>
        <family val="2"/>
      </rPr>
      <t>10</t>
    </r>
    <r>
      <rPr>
        <sz val="10"/>
        <color theme="1"/>
        <rFont val="Arial"/>
        <family val="2"/>
      </rPr>
      <t>;</t>
    </r>
  </si>
  <si>
    <r>
      <t xml:space="preserve">          for No. 6 Fuel Oil. </t>
    </r>
    <r>
      <rPr>
        <vertAlign val="superscript"/>
        <sz val="10"/>
        <color theme="1"/>
        <rFont val="Arial"/>
        <family val="2"/>
      </rPr>
      <t>22</t>
    </r>
  </si>
  <si>
    <r>
      <rPr>
        <vertAlign val="superscript"/>
        <sz val="10"/>
        <color theme="1"/>
        <rFont val="Arial"/>
        <family val="2"/>
      </rPr>
      <t>e</t>
    </r>
    <r>
      <rPr>
        <sz val="10"/>
        <color theme="1"/>
        <rFont val="Arial"/>
        <family val="2"/>
      </rPr>
      <t xml:space="preserve"> Alternatively, in the absence of measured data, a value of 66 lb/lb-mole may be assumed for all gasolines, in that the variability shown as a function of RVP is speculative.</t>
    </r>
  </si>
  <si>
    <r>
      <rPr>
        <vertAlign val="superscript"/>
        <sz val="10"/>
        <color theme="1"/>
        <rFont val="Arial"/>
        <family val="2"/>
      </rPr>
      <t>f</t>
    </r>
    <r>
      <rPr>
        <sz val="10"/>
        <color theme="1"/>
        <rFont val="Arial"/>
        <family val="2"/>
      </rPr>
      <t xml:space="preserve"> This is for a blend of Vacuum Residual Oil with a light distillate cutter stock, or similar mixture. Vapor pressure constants given will result in higher vapor pressure values than shown previously in AP-42 for Residual Oil No. 6.</t>
    </r>
  </si>
  <si>
    <r>
      <rPr>
        <vertAlign val="superscript"/>
        <sz val="10"/>
        <color theme="1"/>
        <rFont val="Arial"/>
        <family val="2"/>
      </rPr>
      <t>g</t>
    </r>
    <r>
      <rPr>
        <sz val="10"/>
        <color theme="1"/>
        <rFont val="Arial"/>
        <family val="2"/>
      </rPr>
      <t xml:space="preserve"> This is the straight residue from the bottom of the vacuum distillation column, prior to any further processing or blending.  Properties given for Vacuum Residual Oil are those given for Residual Oil No. 6 previously in AP-42.</t>
    </r>
  </si>
  <si>
    <r>
      <rPr>
        <vertAlign val="superscript"/>
        <sz val="10"/>
        <color theme="1"/>
        <rFont val="Arial"/>
        <family val="2"/>
      </rPr>
      <t>a</t>
    </r>
    <r>
      <rPr>
        <sz val="10"/>
        <color theme="1"/>
        <rFont val="Arial"/>
        <family val="2"/>
      </rPr>
      <t xml:space="preserve"> Reference 22 of AP-42 Section 7.1.</t>
    </r>
  </si>
  <si>
    <r>
      <rPr>
        <vertAlign val="superscript"/>
        <sz val="10"/>
        <color theme="1"/>
        <rFont val="Arial"/>
        <family val="2"/>
      </rPr>
      <t>b</t>
    </r>
    <r>
      <rPr>
        <sz val="10"/>
        <color theme="1"/>
        <rFont val="Arial"/>
        <family val="2"/>
      </rPr>
      <t xml:space="preserve"> (use the equation provided in footnote b to Table 7.1-3 to calculate vapor pressure in psia)</t>
    </r>
  </si>
  <si>
    <r>
      <rPr>
        <vertAlign val="superscript"/>
        <sz val="10"/>
        <color theme="1"/>
        <rFont val="Arial"/>
        <family val="2"/>
      </rPr>
      <t>c</t>
    </r>
    <r>
      <rPr>
        <sz val="10"/>
        <color theme="1"/>
        <rFont val="Arial"/>
        <family val="2"/>
      </rPr>
      <t xml:space="preserve"> Use of this equation for temperature outside the indicated temperature range may result in loss of accuracy.</t>
    </r>
  </si>
  <si>
    <r>
      <rPr>
        <vertAlign val="superscript"/>
        <sz val="10"/>
        <color theme="1"/>
        <rFont val="Arial"/>
        <family val="2"/>
      </rPr>
      <t>d</t>
    </r>
    <r>
      <rPr>
        <sz val="10"/>
        <color theme="1"/>
        <rFont val="Arial"/>
        <family val="2"/>
      </rPr>
      <t xml:space="preserve"> The superscript denotes temperature in °F; if no superscript is given the density is for 68 °F.</t>
    </r>
  </si>
  <si>
    <r>
      <t>K</t>
    </r>
    <r>
      <rPr>
        <b/>
        <vertAlign val="subscript"/>
        <sz val="10"/>
        <color theme="1"/>
        <rFont val="Arial"/>
        <family val="2"/>
      </rPr>
      <t>ra</t>
    </r>
  </si>
  <si>
    <r>
      <t>K</t>
    </r>
    <r>
      <rPr>
        <b/>
        <vertAlign val="subscript"/>
        <sz val="10"/>
        <color theme="1"/>
        <rFont val="Arial"/>
        <family val="2"/>
      </rPr>
      <t>Rb</t>
    </r>
  </si>
  <si>
    <r>
      <t>[lb-mole/(mph)</t>
    </r>
    <r>
      <rPr>
        <b/>
        <vertAlign val="superscript"/>
        <sz val="10"/>
        <color theme="1"/>
        <rFont val="Arial"/>
        <family val="2"/>
      </rPr>
      <t>n</t>
    </r>
    <r>
      <rPr>
        <b/>
        <sz val="10"/>
        <color theme="1"/>
        <rFont val="Arial"/>
        <family val="2"/>
      </rPr>
      <t>-ft-yr]</t>
    </r>
  </si>
  <si>
    <r>
      <t>K</t>
    </r>
    <r>
      <rPr>
        <b/>
        <vertAlign val="subscript"/>
        <sz val="10"/>
        <color theme="1"/>
        <rFont val="Arial"/>
        <family val="2"/>
      </rPr>
      <t>Fa</t>
    </r>
  </si>
  <si>
    <r>
      <t>K</t>
    </r>
    <r>
      <rPr>
        <b/>
        <vertAlign val="subscript"/>
        <sz val="10"/>
        <color theme="1"/>
        <rFont val="Arial"/>
        <family val="2"/>
      </rPr>
      <t>Fb</t>
    </r>
  </si>
  <si>
    <r>
      <t>(lb-mole/(mph)</t>
    </r>
    <r>
      <rPr>
        <b/>
        <vertAlign val="superscript"/>
        <sz val="10"/>
        <color theme="1"/>
        <rFont val="Arial"/>
        <family val="2"/>
      </rPr>
      <t>m</t>
    </r>
    <r>
      <rPr>
        <b/>
        <sz val="10"/>
        <color theme="1"/>
        <rFont val="Arial"/>
        <family val="2"/>
      </rPr>
      <t>-yr)</t>
    </r>
  </si>
  <si>
    <r>
      <t>**** N</t>
    </r>
    <r>
      <rPr>
        <vertAlign val="subscript"/>
        <sz val="10"/>
        <color theme="1"/>
        <rFont val="Arial"/>
        <family val="2"/>
      </rPr>
      <t>C</t>
    </r>
    <r>
      <rPr>
        <sz val="10"/>
        <color theme="1"/>
        <rFont val="Arial"/>
        <family val="2"/>
      </rPr>
      <t xml:space="preserve"> = 0 for external floating roof tanks. Eq. 2-19 has been simplified.</t>
    </r>
  </si>
  <si>
    <r>
      <t>***** There are no deck seam losses (L</t>
    </r>
    <r>
      <rPr>
        <vertAlign val="subscript"/>
        <sz val="10"/>
        <color theme="1"/>
        <rFont val="Arial"/>
        <family val="2"/>
      </rPr>
      <t>D</t>
    </r>
    <r>
      <rPr>
        <sz val="10"/>
        <color theme="1"/>
        <rFont val="Arial"/>
        <family val="2"/>
      </rPr>
      <t>) for external floating roof tanks. Eqs. 2-2 and 40-2 have been simplified.</t>
    </r>
  </si>
  <si>
    <t>****** When the product dropdown list is used (15. from the previous page), HAP emissions must be calculated using Eq. 40-2 for each known HAP compound.</t>
  </si>
  <si>
    <r>
      <rPr>
        <b/>
        <i/>
        <sz val="10"/>
        <color theme="1"/>
        <rFont val="Arial"/>
        <family val="2"/>
      </rPr>
      <t>New:</t>
    </r>
    <r>
      <rPr>
        <sz val="10"/>
        <color theme="1"/>
        <rFont val="Arial"/>
        <family val="2"/>
      </rPr>
      <t xml:space="preserve"> For paint, paint still retains the fresh shine of having been recently applied; for mill-finish aluminum, surface is shiny. This was previously labeled “Good.”</t>
    </r>
  </si>
  <si>
    <r>
      <rPr>
        <b/>
        <i/>
        <sz val="10"/>
        <color theme="1"/>
        <rFont val="Arial"/>
        <family val="2"/>
      </rPr>
      <t>Average:</t>
    </r>
    <r>
      <rPr>
        <sz val="10"/>
        <color theme="1"/>
        <rFont val="Arial"/>
        <family val="2"/>
      </rPr>
      <t xml:space="preserve"> For paint, paint is in good condition, but theinitial shine has faded; for mill-finish aluminum, surface is oxidized but still bright. The value given in each case is the average of the New and the Aged values for that case, and does not represent new data.</t>
    </r>
  </si>
  <si>
    <r>
      <t>Tight-fitting seals</t>
    </r>
    <r>
      <rPr>
        <b/>
        <vertAlign val="superscript"/>
        <sz val="10"/>
        <color theme="1"/>
        <rFont val="Arial"/>
        <family val="2"/>
      </rPr>
      <t>d</t>
    </r>
  </si>
  <si>
    <t>Average-fitting seals</t>
  </si>
  <si>
    <t>Tank construction and rim-seal system</t>
  </si>
  <si>
    <t>Paint factors (α)</t>
  </si>
  <si>
    <t>Reflective condition (see Note 1)</t>
  </si>
  <si>
    <t>Monthly averages</t>
  </si>
  <si>
    <t>Annual average</t>
  </si>
  <si>
    <t>Shell condition</t>
  </si>
  <si>
    <t>Light rust</t>
  </si>
  <si>
    <t>Dense rust</t>
  </si>
  <si>
    <t>Gunite lining</t>
  </si>
  <si>
    <t>Product stored</t>
  </si>
  <si>
    <t>Loss factors</t>
  </si>
  <si>
    <r>
      <t>Typical number of fittings, N</t>
    </r>
    <r>
      <rPr>
        <b/>
        <vertAlign val="subscript"/>
        <sz val="10"/>
        <color theme="1"/>
        <rFont val="Arial"/>
        <family val="2"/>
      </rPr>
      <t>F</t>
    </r>
  </si>
  <si>
    <r>
      <t xml:space="preserve">Fitting type and construction details </t>
    </r>
    <r>
      <rPr>
        <b/>
        <vertAlign val="superscript"/>
        <sz val="10"/>
        <color theme="1"/>
        <rFont val="Arial"/>
        <family val="2"/>
      </rPr>
      <t>q</t>
    </r>
  </si>
  <si>
    <r>
      <t>Tank diameter D (feet)</t>
    </r>
    <r>
      <rPr>
        <b/>
        <vertAlign val="superscript"/>
        <sz val="10"/>
        <color theme="1"/>
        <rFont val="Arial"/>
        <family val="2"/>
      </rPr>
      <t>b</t>
    </r>
  </si>
  <si>
    <r>
      <t>Number of vacuum breakers, N</t>
    </r>
    <r>
      <rPr>
        <b/>
        <vertAlign val="subscript"/>
        <sz val="10"/>
        <color theme="1"/>
        <rFont val="Arial"/>
        <family val="2"/>
      </rPr>
      <t>vb</t>
    </r>
  </si>
  <si>
    <t>Double-deck roof</t>
  </si>
  <si>
    <t>Pontoon roof</t>
  </si>
  <si>
    <r>
      <t>Number of deck drains, N</t>
    </r>
    <r>
      <rPr>
        <b/>
        <vertAlign val="subscript"/>
        <sz val="10"/>
        <color theme="1"/>
        <rFont val="Arial"/>
        <family val="2"/>
      </rPr>
      <t xml:space="preserve">d </t>
    </r>
    <r>
      <rPr>
        <b/>
        <vertAlign val="superscript"/>
        <sz val="10"/>
        <color theme="1"/>
        <rFont val="Arial"/>
        <family val="2"/>
      </rPr>
      <t>c</t>
    </r>
  </si>
  <si>
    <r>
      <t>Tank diameter, D (feet)</t>
    </r>
    <r>
      <rPr>
        <b/>
        <vertAlign val="superscript"/>
        <sz val="10"/>
        <color theme="1"/>
        <rFont val="Arial"/>
        <family val="2"/>
      </rPr>
      <t>b</t>
    </r>
  </si>
  <si>
    <t># of pontoon legs</t>
  </si>
  <si>
    <t># of center legs</t>
  </si>
  <si>
    <t>Total number of legs</t>
  </si>
  <si>
    <t>Number of legs on a double-deck roof</t>
  </si>
  <si>
    <t>Petroleum liquid mixture</t>
  </si>
  <si>
    <r>
      <t xml:space="preserve">Vapor molecular weight </t>
    </r>
    <r>
      <rPr>
        <b/>
        <vertAlign val="superscript"/>
        <sz val="10"/>
        <color theme="1"/>
        <rFont val="Arial"/>
        <family val="2"/>
      </rPr>
      <t>a</t>
    </r>
  </si>
  <si>
    <r>
      <t xml:space="preserve">Liquid molecular weight </t>
    </r>
    <r>
      <rPr>
        <b/>
        <vertAlign val="superscript"/>
        <sz val="10"/>
        <color theme="1"/>
        <rFont val="Arial"/>
        <family val="2"/>
      </rPr>
      <t>b</t>
    </r>
  </si>
  <si>
    <r>
      <t xml:space="preserve">Liquid density </t>
    </r>
    <r>
      <rPr>
        <b/>
        <vertAlign val="superscript"/>
        <sz val="10"/>
        <color theme="1"/>
        <rFont val="Arial"/>
        <family val="2"/>
      </rPr>
      <t>a</t>
    </r>
  </si>
  <si>
    <r>
      <t xml:space="preserve">Vapor pressure equation constant </t>
    </r>
    <r>
      <rPr>
        <b/>
        <vertAlign val="superscript"/>
        <sz val="10"/>
        <color theme="1"/>
        <rFont val="Arial"/>
        <family val="2"/>
      </rPr>
      <t>d</t>
    </r>
  </si>
  <si>
    <t>True vapor pressure 
(at 60 °F)</t>
  </si>
  <si>
    <t>Chemical name</t>
  </si>
  <si>
    <t>CAS registry no.</t>
  </si>
  <si>
    <t>Molecular weight</t>
  </si>
  <si>
    <r>
      <t xml:space="preserve">Liquid density </t>
    </r>
    <r>
      <rPr>
        <b/>
        <vertAlign val="superscript"/>
        <sz val="10"/>
        <color theme="1"/>
        <rFont val="Arial"/>
        <family val="2"/>
      </rPr>
      <t>d</t>
    </r>
    <r>
      <rPr>
        <b/>
        <sz val="10"/>
        <color theme="1"/>
        <rFont val="Arial"/>
        <family val="2"/>
      </rPr>
      <t xml:space="preserve"> (lb/gal)</t>
    </r>
  </si>
  <si>
    <t>True vapor pressure at 60 °F (psia)</t>
  </si>
  <si>
    <r>
      <t>Temperature range</t>
    </r>
    <r>
      <rPr>
        <b/>
        <vertAlign val="superscript"/>
        <sz val="10"/>
        <color theme="1"/>
        <rFont val="Arial"/>
        <family val="2"/>
      </rPr>
      <t>c</t>
    </r>
  </si>
  <si>
    <t>Normal boiling point (°F)</t>
  </si>
  <si>
    <r>
      <t xml:space="preserve">Antoine's equation </t>
    </r>
    <r>
      <rPr>
        <b/>
        <vertAlign val="superscript"/>
        <sz val="10"/>
        <color theme="1"/>
        <rFont val="Arial"/>
        <family val="2"/>
      </rPr>
      <t>b</t>
    </r>
  </si>
  <si>
    <t>A. Motor gasoline RVP 13</t>
  </si>
  <si>
    <t>B. Motor gasoline RVP 10</t>
  </si>
  <si>
    <t>C. Motor gasoline RVP 7</t>
  </si>
  <si>
    <t>D. Jet naphtha (JP-4)</t>
  </si>
  <si>
    <t>E. Jet kerosene (Jet A)</t>
  </si>
  <si>
    <t>F. No. 2 fuel oil (Diesel)</t>
  </si>
  <si>
    <t>G. No. 6 fuel oil</t>
  </si>
  <si>
    <t>H. Vacuum residual oil</t>
  </si>
  <si>
    <t>Total organic liquid losses, lb</t>
  </si>
  <si>
    <t>Total hazardous air pollutant emissions, lb******</t>
  </si>
  <si>
    <t>Organic liquid losses</t>
  </si>
  <si>
    <t>Hazardous air pollutant (HAP) emissions******</t>
  </si>
  <si>
    <t>Total hazardous air pollutant emissions, lb</t>
  </si>
  <si>
    <t>Step 2: Enter stock properties</t>
  </si>
  <si>
    <r>
      <t>This spreadsheet is based on AP-42 Fifth Edition, chapter 7, volume 1, Liquid Storage Tanks (November 2019)</t>
    </r>
    <r>
      <rPr>
        <sz val="10"/>
        <color theme="10"/>
        <rFont val="Arial"/>
        <family val="2"/>
      </rPr>
      <t xml:space="preserve"> </t>
    </r>
    <r>
      <rPr>
        <sz val="10"/>
        <rFont val="Arial"/>
        <family val="2"/>
      </rPr>
      <t>which can be found on the U.S. Environmental Protection Agency's website at:</t>
    </r>
  </si>
  <si>
    <t>00106-94-5</t>
  </si>
  <si>
    <r>
      <t>Bromopropane (</t>
    </r>
    <r>
      <rPr>
        <i/>
        <sz val="9"/>
        <color theme="1"/>
        <rFont val="Arial"/>
        <family val="2"/>
      </rPr>
      <t>n</t>
    </r>
    <r>
      <rPr>
        <sz val="9"/>
        <color theme="1"/>
        <rFont val="Arial"/>
        <family val="2"/>
      </rPr>
      <t>-propyl bromide)</t>
    </r>
  </si>
  <si>
    <t>lb/hr emissions      (based on highest emitting month)</t>
  </si>
  <si>
    <t>lb/hr emissions (based on annual emissions)</t>
  </si>
  <si>
    <t>Agency Interest ID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</si>
</sst>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
    <numFmt numFmtId="165" formatCode="0.0000"/>
    <numFmt numFmtId="166" formatCode="0.000"/>
    <numFmt numFmtId="167" formatCode="#,##0.0"/>
    <numFmt numFmtId="168" formatCode="[$-F800]dddd\,\ mmmm\ dd\,\ yyyy"/>
  </numFmts>
  <fonts count="37" x14ac:knownFonts="1">
    <font>
      <sz val="11"/>
      <color theme="1"/>
      <name val="Calibri"/>
      <family val="2"/>
      <scheme val="minor"/>
    </font>
    <font>
      <b/>
      <sz val="11"/>
      <color theme="1"/>
      <name val="Calibri"/>
      <family val="2"/>
      <scheme val="minor"/>
    </font>
    <font>
      <vertAlign val="superscript"/>
      <sz val="11"/>
      <color theme="1"/>
      <name val="Calibri"/>
      <family val="2"/>
      <scheme val="minor"/>
    </font>
    <font>
      <b/>
      <sz val="22"/>
      <color rgb="FF000000"/>
      <name val="Arial"/>
      <family val="2"/>
      <charset val="1"/>
    </font>
    <font>
      <sz val="20"/>
      <color rgb="FF000000"/>
      <name val="Arial"/>
      <family val="2"/>
      <charset val="1"/>
    </font>
    <font>
      <sz val="10"/>
      <name val="Arial"/>
      <family val="2"/>
      <charset val="1"/>
    </font>
    <font>
      <sz val="10"/>
      <color rgb="FF000000"/>
      <name val="Arial"/>
      <family val="2"/>
      <charset val="1"/>
    </font>
    <font>
      <sz val="11"/>
      <name val="Arial"/>
      <family val="2"/>
      <charset val="1"/>
    </font>
    <font>
      <sz val="20"/>
      <color rgb="FF000000"/>
      <name val="Arial"/>
      <family val="2"/>
    </font>
    <font>
      <i/>
      <sz val="10"/>
      <color rgb="FF000000"/>
      <name val="Arial"/>
      <family val="2"/>
    </font>
    <font>
      <sz val="11"/>
      <color theme="1"/>
      <name val="Arial"/>
      <family val="2"/>
    </font>
    <font>
      <sz val="10"/>
      <color theme="1"/>
      <name val="Arial"/>
      <family val="2"/>
    </font>
    <font>
      <vertAlign val="subscript"/>
      <sz val="10"/>
      <color theme="1"/>
      <name val="Arial"/>
      <family val="2"/>
    </font>
    <font>
      <vertAlign val="superscript"/>
      <sz val="10"/>
      <color theme="1"/>
      <name val="Arial"/>
      <family val="2"/>
    </font>
    <font>
      <b/>
      <i/>
      <sz val="10"/>
      <color rgb="FFFF0000"/>
      <name val="Arial"/>
      <family val="2"/>
    </font>
    <font>
      <b/>
      <sz val="10"/>
      <color theme="1"/>
      <name val="Arial"/>
      <family val="2"/>
    </font>
    <font>
      <b/>
      <vertAlign val="subscript"/>
      <sz val="10"/>
      <color theme="1"/>
      <name val="Arial"/>
      <family val="2"/>
    </font>
    <font>
      <u/>
      <sz val="10"/>
      <color theme="10"/>
      <name val="Arial"/>
      <family val="2"/>
    </font>
    <font>
      <b/>
      <i/>
      <sz val="10"/>
      <color theme="1"/>
      <name val="Arial"/>
      <family val="2"/>
    </font>
    <font>
      <b/>
      <i/>
      <vertAlign val="subscript"/>
      <sz val="10"/>
      <color theme="1"/>
      <name val="Arial"/>
      <family val="2"/>
    </font>
    <font>
      <i/>
      <sz val="10"/>
      <color theme="1"/>
      <name val="Arial"/>
      <family val="2"/>
    </font>
    <font>
      <b/>
      <i/>
      <vertAlign val="superscript"/>
      <sz val="10"/>
      <color theme="1"/>
      <name val="Arial"/>
      <family val="2"/>
    </font>
    <font>
      <sz val="10"/>
      <name val="Arial"/>
      <family val="2"/>
    </font>
    <font>
      <b/>
      <sz val="10"/>
      <name val="Arial"/>
      <family val="2"/>
    </font>
    <font>
      <sz val="10"/>
      <color rgb="FF000000"/>
      <name val="Arial"/>
      <family val="2"/>
    </font>
    <font>
      <b/>
      <vertAlign val="superscript"/>
      <sz val="10"/>
      <color theme="1"/>
      <name val="Arial"/>
      <family val="2"/>
    </font>
    <font>
      <b/>
      <sz val="20"/>
      <color rgb="FF000000"/>
      <name val="Calibri"/>
      <family val="2"/>
      <scheme val="minor"/>
    </font>
    <font>
      <sz val="10"/>
      <color theme="10"/>
      <name val="Arial"/>
      <family val="2"/>
    </font>
    <font>
      <i/>
      <sz val="10"/>
      <name val="Arial"/>
      <family val="2"/>
    </font>
    <font>
      <b/>
      <sz val="11"/>
      <color theme="1"/>
      <name val="Arial"/>
      <family val="2"/>
    </font>
    <font>
      <b/>
      <u/>
      <sz val="11"/>
      <color theme="1"/>
      <name val="Arial"/>
      <family val="2"/>
    </font>
    <font>
      <b/>
      <i/>
      <sz val="10"/>
      <name val="Arial"/>
      <family val="2"/>
    </font>
    <font>
      <b/>
      <sz val="14"/>
      <color theme="1"/>
      <name val="Calibri"/>
      <family val="2"/>
      <scheme val="minor"/>
    </font>
    <font>
      <b/>
      <sz val="12"/>
      <color theme="1"/>
      <name val="Arial"/>
      <family val="2"/>
    </font>
    <font>
      <sz val="9"/>
      <color theme="1"/>
      <name val="Arial"/>
      <family val="2"/>
    </font>
    <font>
      <i/>
      <sz val="9"/>
      <color theme="1"/>
      <name val="Arial"/>
      <family val="2"/>
    </font>
    <font>
      <b/>
      <sz val="9"/>
      <color theme="1"/>
      <name val="Arial"/>
      <family val="2"/>
    </font>
  </fonts>
  <fills count="7">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rgb="FFD1EAFF"/>
        <bgColor indexed="64"/>
      </patternFill>
    </fill>
    <fill>
      <patternFill patternType="solid">
        <fgColor rgb="FFD1EAFF"/>
        <bgColor rgb="FFCCFFFF"/>
      </patternFill>
    </fill>
    <fill>
      <patternFill patternType="solid">
        <fgColor rgb="FFFFEDC1"/>
        <bgColor rgb="FFFFFFCC"/>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6">
    <xf numFmtId="0" fontId="0" fillId="0" borderId="0"/>
    <xf numFmtId="0" fontId="17" fillId="0" borderId="0" applyNumberFormat="0" applyFill="0" applyBorder="0" applyAlignment="0" applyProtection="0"/>
    <xf numFmtId="0" fontId="3" fillId="0" borderId="0" applyBorder="0" applyProtection="0">
      <alignment horizontal="right" vertical="center"/>
    </xf>
    <xf numFmtId="0" fontId="6" fillId="0" borderId="0" applyBorder="0" applyProtection="0">
      <alignment vertical="center"/>
    </xf>
    <xf numFmtId="0" fontId="7" fillId="5" borderId="0" applyBorder="0" applyProtection="0"/>
    <xf numFmtId="0" fontId="7" fillId="6" borderId="0" applyBorder="0" applyProtection="0"/>
  </cellStyleXfs>
  <cellXfs count="407">
    <xf numFmtId="0" fontId="0" fillId="0" borderId="0" xfId="0"/>
    <xf numFmtId="0" fontId="4" fillId="0" borderId="0" xfId="2" applyFont="1" applyBorder="1" applyAlignment="1" applyProtection="1">
      <alignment horizontal="right" vertical="center"/>
    </xf>
    <xf numFmtId="0" fontId="2" fillId="0" borderId="1" xfId="0" applyFont="1" applyBorder="1" applyAlignment="1"/>
    <xf numFmtId="0" fontId="5" fillId="0" borderId="0" xfId="0" applyFont="1" applyAlignment="1" applyProtection="1">
      <alignment horizontal="left" wrapText="1" indent="5"/>
    </xf>
    <xf numFmtId="0" fontId="0" fillId="0" borderId="0" xfId="0" applyProtection="1"/>
    <xf numFmtId="0" fontId="0" fillId="0" borderId="0" xfId="0" applyFill="1" applyProtection="1"/>
    <xf numFmtId="0" fontId="0" fillId="0" borderId="0" xfId="0" applyAlignment="1" applyProtection="1">
      <alignment horizontal="center"/>
    </xf>
    <xf numFmtId="1" fontId="2" fillId="0" borderId="15" xfId="0" applyNumberFormat="1" applyFont="1" applyBorder="1" applyAlignment="1">
      <alignment horizontal="left"/>
    </xf>
    <xf numFmtId="0" fontId="8" fillId="0" borderId="0" xfId="2" applyFont="1" applyBorder="1" applyAlignment="1" applyProtection="1">
      <alignment horizontal="right" vertical="center"/>
    </xf>
    <xf numFmtId="0" fontId="9" fillId="0" borderId="0" xfId="0" applyFont="1" applyBorder="1" applyAlignment="1" applyProtection="1">
      <alignment horizontal="right" vertical="center"/>
    </xf>
    <xf numFmtId="0" fontId="10" fillId="0" borderId="0" xfId="0" applyFont="1" applyAlignment="1" applyProtection="1">
      <alignment horizontal="center"/>
    </xf>
    <xf numFmtId="0" fontId="11" fillId="0" borderId="0" xfId="0" applyFont="1" applyFill="1" applyProtection="1"/>
    <xf numFmtId="0" fontId="11" fillId="0" borderId="0" xfId="0" applyFont="1" applyFill="1" applyBorder="1" applyProtection="1"/>
    <xf numFmtId="0" fontId="11" fillId="0" borderId="0" xfId="0" applyFont="1" applyFill="1" applyAlignment="1" applyProtection="1">
      <alignment horizontal="left" indent="2"/>
    </xf>
    <xf numFmtId="0" fontId="11" fillId="0" borderId="0" xfId="0" applyFont="1" applyFill="1" applyAlignment="1" applyProtection="1"/>
    <xf numFmtId="0" fontId="11" fillId="0" borderId="0" xfId="0" applyFont="1" applyAlignment="1" applyProtection="1">
      <alignment horizontal="right" indent="1"/>
    </xf>
    <xf numFmtId="0" fontId="11" fillId="0" borderId="0" xfId="0" quotePrefix="1" applyFont="1" applyFill="1" applyAlignment="1" applyProtection="1">
      <alignment horizontal="left" indent="2"/>
    </xf>
    <xf numFmtId="0" fontId="11" fillId="0" borderId="0" xfId="0" applyFont="1" applyFill="1" applyAlignment="1" applyProtection="1">
      <alignment horizontal="left" indent="3"/>
    </xf>
    <xf numFmtId="0" fontId="11" fillId="0" borderId="0" xfId="0" applyFont="1" applyFill="1" applyBorder="1" applyAlignment="1" applyProtection="1">
      <alignment horizontal="left" indent="5"/>
    </xf>
    <xf numFmtId="0" fontId="11" fillId="0" borderId="0" xfId="0" applyFont="1" applyFill="1" applyBorder="1" applyAlignment="1" applyProtection="1">
      <alignment horizontal="left" indent="3"/>
    </xf>
    <xf numFmtId="0" fontId="11" fillId="0" borderId="0" xfId="0" applyFont="1" applyProtection="1"/>
    <xf numFmtId="0" fontId="11" fillId="0" borderId="0" xfId="0" applyFont="1" applyAlignment="1" applyProtection="1">
      <alignment horizontal="right"/>
    </xf>
    <xf numFmtId="0" fontId="11" fillId="0" borderId="0" xfId="0" applyFont="1" applyFill="1" applyBorder="1" applyAlignment="1" applyProtection="1">
      <alignment horizontal="right"/>
    </xf>
    <xf numFmtId="3" fontId="11" fillId="4" borderId="1" xfId="0" applyNumberFormat="1" applyFont="1" applyFill="1" applyBorder="1" applyAlignment="1" applyProtection="1">
      <alignment horizontal="left"/>
      <protection locked="0"/>
    </xf>
    <xf numFmtId="0" fontId="11" fillId="0" borderId="0" xfId="0" applyFont="1" applyFill="1" applyAlignment="1" applyProtection="1">
      <alignment horizontal="left"/>
    </xf>
    <xf numFmtId="0" fontId="11" fillId="0" borderId="0" xfId="0" applyFont="1" applyFill="1" applyAlignment="1" applyProtection="1">
      <alignment horizontal="center"/>
    </xf>
    <xf numFmtId="0" fontId="14" fillId="0" borderId="0" xfId="0" applyFont="1" applyFill="1" applyAlignment="1" applyProtection="1">
      <alignment horizontal="left"/>
    </xf>
    <xf numFmtId="0" fontId="11" fillId="2" borderId="0" xfId="0" applyFont="1" applyFill="1" applyAlignment="1" applyProtection="1">
      <alignment horizontal="left"/>
    </xf>
    <xf numFmtId="0" fontId="11" fillId="2" borderId="0" xfId="0" applyFont="1" applyFill="1" applyProtection="1"/>
    <xf numFmtId="0" fontId="17" fillId="0" borderId="0" xfId="1" applyFont="1"/>
    <xf numFmtId="166" fontId="15" fillId="0" borderId="11" xfId="0" applyNumberFormat="1" applyFont="1" applyFill="1" applyBorder="1" applyAlignment="1" applyProtection="1"/>
    <xf numFmtId="0" fontId="17" fillId="0" borderId="0" xfId="1" applyFont="1" applyAlignment="1">
      <alignment horizontal="center"/>
    </xf>
    <xf numFmtId="166" fontId="11" fillId="4" borderId="1" xfId="0" applyNumberFormat="1" applyFont="1" applyFill="1" applyBorder="1" applyAlignment="1" applyProtection="1">
      <alignment horizontal="left"/>
      <protection locked="0"/>
    </xf>
    <xf numFmtId="166" fontId="11" fillId="4" borderId="13" xfId="0" applyNumberFormat="1" applyFont="1" applyFill="1" applyBorder="1" applyAlignment="1" applyProtection="1">
      <alignment horizontal="center"/>
      <protection locked="0"/>
    </xf>
    <xf numFmtId="166" fontId="11" fillId="4" borderId="1" xfId="0" applyNumberFormat="1" applyFont="1" applyFill="1" applyBorder="1" applyAlignment="1" applyProtection="1">
      <alignment horizontal="center"/>
      <protection locked="0"/>
    </xf>
    <xf numFmtId="164" fontId="11" fillId="4" borderId="1" xfId="0" applyNumberFormat="1" applyFont="1" applyFill="1" applyBorder="1" applyAlignment="1" applyProtection="1">
      <alignment horizontal="center"/>
      <protection locked="0"/>
    </xf>
    <xf numFmtId="2" fontId="11" fillId="4" borderId="1" xfId="0" applyNumberFormat="1" applyFont="1" applyFill="1" applyBorder="1" applyAlignment="1" applyProtection="1">
      <alignment horizontal="center"/>
      <protection locked="0"/>
    </xf>
    <xf numFmtId="166" fontId="20" fillId="3" borderId="0" xfId="0" applyNumberFormat="1" applyFont="1" applyFill="1" applyAlignment="1" applyProtection="1">
      <alignment horizontal="center"/>
    </xf>
    <xf numFmtId="166" fontId="20" fillId="3" borderId="0" xfId="0" applyNumberFormat="1" applyFont="1" applyFill="1" applyBorder="1" applyAlignment="1" applyProtection="1">
      <alignment horizontal="center"/>
    </xf>
    <xf numFmtId="166" fontId="11" fillId="0" borderId="0" xfId="0" applyNumberFormat="1" applyFont="1" applyFill="1" applyBorder="1" applyAlignment="1" applyProtection="1">
      <alignment horizontal="left"/>
    </xf>
    <xf numFmtId="166" fontId="11" fillId="0" borderId="0" xfId="0" applyNumberFormat="1" applyFont="1" applyFill="1" applyBorder="1" applyAlignment="1" applyProtection="1">
      <alignment horizontal="center"/>
    </xf>
    <xf numFmtId="0" fontId="11" fillId="0" borderId="0" xfId="0" applyFont="1" applyFill="1" applyBorder="1" applyAlignment="1" applyProtection="1">
      <alignment horizontal="center"/>
    </xf>
    <xf numFmtId="2" fontId="18" fillId="3" borderId="0" xfId="0" applyNumberFormat="1" applyFont="1" applyFill="1" applyAlignment="1" applyProtection="1">
      <alignment horizontal="center"/>
    </xf>
    <xf numFmtId="166" fontId="14" fillId="0" borderId="0" xfId="0" applyNumberFormat="1" applyFont="1" applyFill="1" applyBorder="1" applyAlignment="1" applyProtection="1">
      <alignment horizontal="left"/>
    </xf>
    <xf numFmtId="2" fontId="18" fillId="3" borderId="0" xfId="0" applyNumberFormat="1" applyFont="1" applyFill="1" applyBorder="1" applyAlignment="1" applyProtection="1">
      <alignment horizontal="center"/>
    </xf>
    <xf numFmtId="2" fontId="20" fillId="3" borderId="0" xfId="0" applyNumberFormat="1" applyFont="1" applyFill="1" applyAlignment="1" applyProtection="1">
      <alignment horizontal="left"/>
    </xf>
    <xf numFmtId="0" fontId="11" fillId="0" borderId="0" xfId="0" applyFont="1" applyAlignment="1" applyProtection="1">
      <alignment horizontal="left"/>
    </xf>
    <xf numFmtId="0" fontId="11" fillId="0" borderId="0" xfId="0" applyFont="1" applyAlignment="1" applyProtection="1">
      <alignment horizontal="center"/>
    </xf>
    <xf numFmtId="2" fontId="20" fillId="0" borderId="0" xfId="0" applyNumberFormat="1" applyFont="1" applyFill="1" applyAlignment="1" applyProtection="1">
      <alignment horizontal="left"/>
    </xf>
    <xf numFmtId="0" fontId="17" fillId="0" borderId="0" xfId="1" applyFont="1" applyFill="1" applyAlignment="1" applyProtection="1">
      <alignment horizontal="left"/>
    </xf>
    <xf numFmtId="0" fontId="11" fillId="4" borderId="1" xfId="0" applyFont="1" applyFill="1" applyBorder="1" applyAlignment="1" applyProtection="1">
      <alignment horizontal="left"/>
      <protection locked="0"/>
    </xf>
    <xf numFmtId="165" fontId="20" fillId="3" borderId="0" xfId="0" applyNumberFormat="1" applyFont="1" applyFill="1" applyAlignment="1" applyProtection="1">
      <alignment horizontal="left"/>
    </xf>
    <xf numFmtId="164" fontId="20" fillId="0" borderId="0" xfId="0" applyNumberFormat="1" applyFont="1" applyFill="1" applyAlignment="1" applyProtection="1">
      <alignment horizontal="left"/>
    </xf>
    <xf numFmtId="164" fontId="20" fillId="3" borderId="0" xfId="0" applyNumberFormat="1" applyFont="1" applyFill="1" applyAlignment="1" applyProtection="1">
      <alignment horizontal="left"/>
    </xf>
    <xf numFmtId="166" fontId="20" fillId="3" borderId="0" xfId="0" applyNumberFormat="1" applyFont="1" applyFill="1" applyBorder="1" applyAlignment="1" applyProtection="1">
      <alignment horizontal="left"/>
    </xf>
    <xf numFmtId="166" fontId="20" fillId="3" borderId="0" xfId="0" applyNumberFormat="1" applyFont="1" applyFill="1" applyAlignment="1" applyProtection="1">
      <alignment horizontal="left"/>
    </xf>
    <xf numFmtId="1" fontId="20" fillId="3" borderId="0" xfId="0" applyNumberFormat="1" applyFont="1" applyFill="1" applyAlignment="1" applyProtection="1">
      <alignment horizontal="left"/>
    </xf>
    <xf numFmtId="0" fontId="14" fillId="0" borderId="11" xfId="0" applyFont="1" applyFill="1" applyBorder="1" applyProtection="1"/>
    <xf numFmtId="0" fontId="18" fillId="0" borderId="0" xfId="0" applyFont="1" applyFill="1" applyAlignment="1" applyProtection="1">
      <alignment horizontal="center"/>
    </xf>
    <xf numFmtId="0" fontId="11" fillId="4" borderId="1" xfId="0" applyFont="1" applyFill="1" applyBorder="1" applyProtection="1">
      <protection locked="0"/>
    </xf>
    <xf numFmtId="0" fontId="11" fillId="4" borderId="1" xfId="0" applyFont="1" applyFill="1" applyBorder="1" applyAlignment="1" applyProtection="1">
      <alignment horizontal="center"/>
      <protection locked="0"/>
    </xf>
    <xf numFmtId="0" fontId="11" fillId="0" borderId="8" xfId="0" applyFont="1" applyBorder="1" applyAlignment="1" applyProtection="1">
      <alignment horizontal="center"/>
    </xf>
    <xf numFmtId="0" fontId="20" fillId="3" borderId="0" xfId="0" applyFont="1" applyFill="1" applyBorder="1" applyAlignment="1" applyProtection="1">
      <alignment horizontal="center"/>
    </xf>
    <xf numFmtId="0" fontId="20" fillId="3" borderId="0" xfId="0" applyFont="1" applyFill="1" applyAlignment="1" applyProtection="1">
      <alignment horizontal="center"/>
    </xf>
    <xf numFmtId="2" fontId="20" fillId="3" borderId="0" xfId="0" applyNumberFormat="1" applyFont="1" applyFill="1" applyAlignment="1" applyProtection="1">
      <alignment horizontal="center"/>
    </xf>
    <xf numFmtId="11" fontId="20" fillId="0" borderId="0" xfId="0" applyNumberFormat="1" applyFont="1" applyFill="1" applyAlignment="1" applyProtection="1">
      <alignment horizontal="center"/>
    </xf>
    <xf numFmtId="0" fontId="11" fillId="4" borderId="1" xfId="0" applyFont="1" applyFill="1" applyBorder="1" applyAlignment="1" applyProtection="1">
      <protection locked="0"/>
    </xf>
    <xf numFmtId="0" fontId="14" fillId="0" borderId="8" xfId="0" applyFont="1" applyFill="1" applyBorder="1" applyAlignment="1" applyProtection="1">
      <alignment horizontal="left" vertical="center"/>
    </xf>
    <xf numFmtId="1" fontId="20" fillId="3" borderId="0" xfId="0" applyNumberFormat="1" applyFont="1" applyFill="1" applyBorder="1" applyAlignment="1" applyProtection="1">
      <alignment horizontal="center"/>
    </xf>
    <xf numFmtId="0" fontId="11" fillId="2" borderId="0" xfId="0" applyFont="1" applyFill="1" applyAlignment="1" applyProtection="1">
      <alignment horizontal="right"/>
    </xf>
    <xf numFmtId="0" fontId="15" fillId="0" borderId="0" xfId="0" applyFont="1" applyFill="1" applyProtection="1"/>
    <xf numFmtId="165" fontId="22" fillId="2" borderId="0" xfId="0" applyNumberFormat="1" applyFont="1" applyFill="1" applyAlignment="1" applyProtection="1">
      <alignment horizontal="left"/>
    </xf>
    <xf numFmtId="0" fontId="15" fillId="0" borderId="0" xfId="0" applyFont="1" applyFill="1" applyAlignment="1" applyProtection="1">
      <alignment horizontal="center"/>
    </xf>
    <xf numFmtId="0" fontId="22" fillId="0" borderId="0" xfId="0" applyFont="1" applyAlignment="1" applyProtection="1">
      <alignment horizontal="left" wrapText="1" indent="5"/>
    </xf>
    <xf numFmtId="0" fontId="23" fillId="0" borderId="0" xfId="0" applyFont="1" applyAlignment="1" applyProtection="1">
      <alignment horizontal="left" vertical="top" wrapText="1"/>
    </xf>
    <xf numFmtId="0" fontId="24" fillId="5" borderId="1" xfId="3" applyFont="1" applyFill="1" applyBorder="1" applyAlignment="1" applyProtection="1">
      <alignment horizontal="left" vertical="center"/>
      <protection locked="0"/>
    </xf>
    <xf numFmtId="0" fontId="23" fillId="0" borderId="0" xfId="0" applyFont="1" applyAlignment="1" applyProtection="1">
      <alignment vertical="top" wrapText="1"/>
    </xf>
    <xf numFmtId="0" fontId="22" fillId="0" borderId="0" xfId="0" applyFont="1" applyFill="1" applyAlignment="1" applyProtection="1">
      <alignment horizontal="left" wrapText="1" indent="5"/>
    </xf>
    <xf numFmtId="0" fontId="23" fillId="0" borderId="0" xfId="0" applyFont="1" applyFill="1" applyAlignment="1" applyProtection="1">
      <alignment vertical="top" wrapText="1"/>
    </xf>
    <xf numFmtId="0" fontId="24" fillId="0" borderId="0" xfId="2" applyFont="1" applyBorder="1" applyAlignment="1" applyProtection="1">
      <alignment horizontal="right" vertical="center"/>
    </xf>
    <xf numFmtId="0" fontId="17" fillId="0" borderId="0" xfId="1" applyFont="1" applyProtection="1"/>
    <xf numFmtId="0" fontId="22" fillId="4" borderId="1" xfId="1" applyFont="1" applyFill="1" applyBorder="1" applyAlignment="1" applyProtection="1">
      <alignment horizontal="left"/>
      <protection locked="0"/>
    </xf>
    <xf numFmtId="3" fontId="22" fillId="4" borderId="1" xfId="1" applyNumberFormat="1" applyFont="1" applyFill="1" applyBorder="1" applyAlignment="1" applyProtection="1">
      <alignment horizontal="left"/>
      <protection locked="0"/>
    </xf>
    <xf numFmtId="0" fontId="22" fillId="0" borderId="0" xfId="0" applyFont="1" applyFill="1" applyAlignment="1" applyProtection="1">
      <alignment vertical="top" wrapText="1"/>
    </xf>
    <xf numFmtId="0" fontId="22" fillId="2" borderId="0" xfId="0" applyFont="1" applyFill="1" applyAlignment="1" applyProtection="1">
      <alignment horizontal="left"/>
    </xf>
    <xf numFmtId="0" fontId="22" fillId="2" borderId="0" xfId="0" applyFont="1" applyFill="1" applyProtection="1"/>
    <xf numFmtId="0" fontId="22" fillId="4" borderId="1" xfId="1" applyFont="1" applyFill="1" applyBorder="1" applyProtection="1">
      <protection locked="0"/>
    </xf>
    <xf numFmtId="0" fontId="22" fillId="2" borderId="0" xfId="0" applyFont="1" applyFill="1" applyAlignment="1" applyProtection="1">
      <alignment horizontal="right"/>
    </xf>
    <xf numFmtId="2" fontId="20" fillId="3" borderId="0" xfId="0" applyNumberFormat="1" applyFont="1" applyFill="1" applyBorder="1" applyAlignment="1" applyProtection="1">
      <alignment horizontal="left"/>
    </xf>
    <xf numFmtId="0" fontId="20" fillId="0" borderId="0" xfId="0" applyFont="1" applyFill="1" applyAlignment="1" applyProtection="1">
      <alignment horizontal="left"/>
    </xf>
    <xf numFmtId="2" fontId="11" fillId="0" borderId="0" xfId="0" applyNumberFormat="1" applyFont="1" applyFill="1" applyBorder="1" applyAlignment="1" applyProtection="1">
      <alignment horizontal="center"/>
    </xf>
    <xf numFmtId="2" fontId="20" fillId="0" borderId="0" xfId="0" applyNumberFormat="1" applyFont="1" applyFill="1" applyBorder="1" applyAlignment="1" applyProtection="1">
      <alignment horizontal="center"/>
    </xf>
    <xf numFmtId="0" fontId="18" fillId="0" borderId="0" xfId="0" applyFont="1" applyFill="1" applyAlignment="1" applyProtection="1">
      <alignment horizontal="center" wrapText="1"/>
    </xf>
    <xf numFmtId="0" fontId="15" fillId="0" borderId="0" xfId="0" applyFont="1" applyFill="1" applyAlignment="1" applyProtection="1">
      <alignment horizontal="center" wrapText="1"/>
    </xf>
    <xf numFmtId="164" fontId="20" fillId="3" borderId="0" xfId="0" applyNumberFormat="1" applyFont="1" applyFill="1" applyAlignment="1" applyProtection="1">
      <alignment horizontal="center"/>
    </xf>
    <xf numFmtId="164" fontId="11" fillId="2" borderId="0" xfId="0" applyNumberFormat="1" applyFont="1" applyFill="1" applyProtection="1"/>
    <xf numFmtId="0" fontId="17" fillId="0" borderId="0" xfId="1" applyFont="1" applyFill="1" applyBorder="1" applyAlignment="1" applyProtection="1">
      <alignment horizontal="left"/>
    </xf>
    <xf numFmtId="0" fontId="26" fillId="0" borderId="0" xfId="2" applyFont="1" applyBorder="1" applyAlignment="1" applyProtection="1">
      <alignment horizontal="left" vertical="top"/>
    </xf>
    <xf numFmtId="0" fontId="15" fillId="2" borderId="0" xfId="0" applyFont="1" applyFill="1" applyAlignment="1" applyProtection="1">
      <alignment horizontal="left"/>
    </xf>
    <xf numFmtId="0" fontId="15" fillId="0" borderId="0" xfId="0" applyFont="1" applyFill="1"/>
    <xf numFmtId="0" fontId="11" fillId="0" borderId="0" xfId="0" applyFont="1" applyFill="1"/>
    <xf numFmtId="0" fontId="11" fillId="0" borderId="1" xfId="0" applyFont="1" applyFill="1" applyBorder="1" applyAlignment="1">
      <alignment horizontal="center"/>
    </xf>
    <xf numFmtId="0" fontId="11" fillId="0" borderId="10" xfId="0" applyFont="1" applyFill="1" applyBorder="1" applyAlignment="1">
      <alignment horizontal="center" vertical="top"/>
    </xf>
    <xf numFmtId="0" fontId="11" fillId="0" borderId="12" xfId="0" applyFont="1" applyFill="1" applyBorder="1" applyAlignment="1">
      <alignment horizontal="center" vertical="top"/>
    </xf>
    <xf numFmtId="0" fontId="11" fillId="0" borderId="13" xfId="0" applyFont="1" applyFill="1" applyBorder="1"/>
    <xf numFmtId="0" fontId="11" fillId="0" borderId="15" xfId="0" applyFont="1" applyFill="1" applyBorder="1"/>
    <xf numFmtId="2" fontId="11" fillId="0" borderId="1" xfId="0" applyNumberFormat="1" applyFont="1" applyFill="1" applyBorder="1" applyAlignment="1">
      <alignment horizontal="center"/>
    </xf>
    <xf numFmtId="0" fontId="13" fillId="0" borderId="15" xfId="0" applyFont="1" applyFill="1" applyBorder="1"/>
    <xf numFmtId="0" fontId="11" fillId="0" borderId="0" xfId="0" applyFont="1" applyFill="1" applyBorder="1"/>
    <xf numFmtId="0" fontId="15" fillId="0" borderId="0" xfId="0" applyFont="1" applyFill="1" applyAlignment="1"/>
    <xf numFmtId="0" fontId="11" fillId="0" borderId="1" xfId="0" applyFont="1" applyFill="1" applyBorder="1"/>
    <xf numFmtId="0" fontId="11" fillId="0" borderId="4" xfId="0" applyFont="1" applyFill="1" applyBorder="1" applyAlignment="1">
      <alignment horizontal="center" wrapText="1"/>
    </xf>
    <xf numFmtId="0" fontId="11" fillId="0" borderId="1" xfId="0" applyFont="1" applyFill="1" applyBorder="1" applyAlignment="1">
      <alignment horizontal="left"/>
    </xf>
    <xf numFmtId="164" fontId="11" fillId="0" borderId="1" xfId="0" applyNumberFormat="1" applyFont="1" applyFill="1" applyBorder="1" applyAlignment="1">
      <alignment horizontal="center"/>
    </xf>
    <xf numFmtId="0" fontId="11" fillId="0" borderId="1" xfId="0" applyFont="1" applyFill="1" applyBorder="1" applyAlignment="1">
      <alignment vertical="center" wrapText="1"/>
    </xf>
    <xf numFmtId="164" fontId="11" fillId="0" borderId="4" xfId="0" applyNumberFormat="1" applyFont="1" applyFill="1" applyBorder="1" applyAlignment="1">
      <alignment horizontal="center" wrapText="1"/>
    </xf>
    <xf numFmtId="1" fontId="11" fillId="0" borderId="1" xfId="0" applyNumberFormat="1" applyFont="1" applyFill="1" applyBorder="1" applyAlignment="1">
      <alignment horizontal="center"/>
    </xf>
    <xf numFmtId="0" fontId="11" fillId="0" borderId="2" xfId="0" applyFont="1" applyFill="1" applyBorder="1" applyAlignment="1">
      <alignment horizontal="center"/>
    </xf>
    <xf numFmtId="0" fontId="11" fillId="0" borderId="0" xfId="0" applyFont="1" applyFill="1" applyAlignment="1"/>
    <xf numFmtId="0" fontId="11" fillId="0" borderId="5" xfId="0" applyFont="1" applyFill="1" applyBorder="1" applyAlignment="1">
      <alignment horizontal="center" vertical="center" wrapText="1"/>
    </xf>
    <xf numFmtId="0" fontId="11" fillId="0" borderId="6" xfId="0" applyFont="1" applyFill="1" applyBorder="1" applyAlignment="1">
      <alignment horizontal="center" vertical="center" wrapText="1"/>
    </xf>
    <xf numFmtId="0" fontId="11" fillId="0" borderId="5" xfId="0" applyFont="1" applyFill="1" applyBorder="1" applyAlignment="1">
      <alignment horizontal="center"/>
    </xf>
    <xf numFmtId="0" fontId="11" fillId="0" borderId="6" xfId="0" applyFont="1" applyFill="1" applyBorder="1" applyAlignment="1">
      <alignment horizontal="center"/>
    </xf>
    <xf numFmtId="0" fontId="11" fillId="0" borderId="7" xfId="0" applyFont="1" applyFill="1" applyBorder="1" applyAlignment="1">
      <alignment horizontal="center"/>
    </xf>
    <xf numFmtId="0" fontId="11" fillId="0" borderId="8" xfId="0" applyFont="1" applyFill="1" applyBorder="1" applyAlignment="1">
      <alignment horizontal="left" indent="1"/>
    </xf>
    <xf numFmtId="0" fontId="13" fillId="0" borderId="0" xfId="0" applyFont="1" applyFill="1" applyBorder="1" applyAlignment="1">
      <alignment horizontal="left" indent="1"/>
    </xf>
    <xf numFmtId="0" fontId="11" fillId="0" borderId="8" xfId="0" applyFont="1" applyFill="1" applyBorder="1" applyAlignment="1">
      <alignment horizontal="right"/>
    </xf>
    <xf numFmtId="0" fontId="11" fillId="0" borderId="0" xfId="0" applyFont="1" applyFill="1" applyBorder="1" applyAlignment="1">
      <alignment horizontal="right"/>
    </xf>
    <xf numFmtId="0" fontId="11" fillId="0" borderId="9" xfId="0" applyFont="1" applyFill="1" applyBorder="1" applyAlignment="1">
      <alignment horizontal="right"/>
    </xf>
    <xf numFmtId="0" fontId="11" fillId="0" borderId="0" xfId="0" applyFont="1" applyFill="1" applyBorder="1" applyAlignment="1">
      <alignment horizontal="left" indent="1"/>
    </xf>
    <xf numFmtId="164" fontId="11" fillId="0" borderId="8" xfId="0" applyNumberFormat="1" applyFont="1" applyFill="1" applyBorder="1" applyAlignment="1">
      <alignment horizontal="right"/>
    </xf>
    <xf numFmtId="164" fontId="11" fillId="0" borderId="9" xfId="0" applyNumberFormat="1" applyFont="1" applyFill="1" applyBorder="1" applyAlignment="1">
      <alignment horizontal="right"/>
    </xf>
    <xf numFmtId="0" fontId="20" fillId="0" borderId="8" xfId="0" applyFont="1" applyFill="1" applyBorder="1" applyAlignment="1">
      <alignment horizontal="right"/>
    </xf>
    <xf numFmtId="0" fontId="20" fillId="0" borderId="0" xfId="0" applyFont="1" applyFill="1" applyBorder="1" applyAlignment="1">
      <alignment horizontal="right"/>
    </xf>
    <xf numFmtId="164" fontId="20" fillId="0" borderId="9" xfId="0" applyNumberFormat="1" applyFont="1" applyFill="1" applyBorder="1" applyAlignment="1">
      <alignment horizontal="right"/>
    </xf>
    <xf numFmtId="0" fontId="13" fillId="0" borderId="0" xfId="0" applyFont="1" applyFill="1"/>
    <xf numFmtId="0" fontId="20" fillId="0" borderId="9" xfId="0" applyFont="1" applyFill="1" applyBorder="1" applyAlignment="1">
      <alignment horizontal="right"/>
    </xf>
    <xf numFmtId="0" fontId="11" fillId="0" borderId="10" xfId="0" applyFont="1" applyFill="1" applyBorder="1" applyAlignment="1">
      <alignment horizontal="left" indent="1"/>
    </xf>
    <xf numFmtId="0" fontId="11" fillId="0" borderId="11" xfId="0" applyFont="1" applyFill="1" applyBorder="1" applyAlignment="1">
      <alignment horizontal="left" indent="1"/>
    </xf>
    <xf numFmtId="0" fontId="11" fillId="0" borderId="10" xfId="0" applyFont="1" applyFill="1" applyBorder="1" applyAlignment="1">
      <alignment horizontal="right"/>
    </xf>
    <xf numFmtId="0" fontId="11" fillId="0" borderId="11" xfId="0" applyFont="1" applyFill="1" applyBorder="1" applyAlignment="1">
      <alignment horizontal="right"/>
    </xf>
    <xf numFmtId="0" fontId="11" fillId="0" borderId="12" xfId="0" applyFont="1" applyFill="1" applyBorder="1" applyAlignment="1">
      <alignment horizontal="right"/>
    </xf>
    <xf numFmtId="0" fontId="20" fillId="0" borderId="10" xfId="0" applyFont="1" applyFill="1" applyBorder="1" applyAlignment="1">
      <alignment horizontal="right"/>
    </xf>
    <xf numFmtId="0" fontId="20" fillId="0" borderId="11" xfId="0" applyFont="1" applyFill="1" applyBorder="1" applyAlignment="1">
      <alignment horizontal="right"/>
    </xf>
    <xf numFmtId="0" fontId="20" fillId="0" borderId="12" xfId="0" applyFont="1" applyFill="1" applyBorder="1" applyAlignment="1">
      <alignment horizontal="right"/>
    </xf>
    <xf numFmtId="0" fontId="15" fillId="0" borderId="0" xfId="0" applyFont="1" applyFill="1" applyAlignment="1">
      <alignment horizontal="left"/>
    </xf>
    <xf numFmtId="165" fontId="11" fillId="0" borderId="1" xfId="0" applyNumberFormat="1" applyFont="1" applyFill="1" applyBorder="1" applyAlignment="1">
      <alignment horizontal="center"/>
    </xf>
    <xf numFmtId="166" fontId="11" fillId="0" borderId="1" xfId="0" applyNumberFormat="1" applyFont="1" applyFill="1" applyBorder="1" applyAlignment="1">
      <alignment horizontal="center"/>
    </xf>
    <xf numFmtId="0" fontId="11" fillId="0" borderId="5" xfId="0" applyFont="1" applyBorder="1" applyAlignment="1">
      <alignment wrapText="1"/>
    </xf>
    <xf numFmtId="0" fontId="11" fillId="0" borderId="7" xfId="0" applyFont="1" applyBorder="1" applyAlignment="1">
      <alignment wrapText="1"/>
    </xf>
    <xf numFmtId="0" fontId="11" fillId="0" borderId="6" xfId="0" applyFont="1" applyBorder="1"/>
    <xf numFmtId="0" fontId="11" fillId="0" borderId="7" xfId="0" applyFont="1" applyBorder="1"/>
    <xf numFmtId="0" fontId="11" fillId="0" borderId="8" xfId="0" applyFont="1" applyBorder="1" applyAlignment="1">
      <alignment wrapText="1"/>
    </xf>
    <xf numFmtId="0" fontId="11" fillId="0" borderId="9" xfId="0" applyFont="1" applyBorder="1" applyAlignment="1">
      <alignment wrapText="1"/>
    </xf>
    <xf numFmtId="0" fontId="11" fillId="0" borderId="0" xfId="0" applyFont="1" applyBorder="1"/>
    <xf numFmtId="0" fontId="11" fillId="0" borderId="9" xfId="0" applyFont="1" applyBorder="1"/>
    <xf numFmtId="0" fontId="11" fillId="0" borderId="8" xfId="0" applyFont="1" applyBorder="1" applyAlignment="1">
      <alignment horizontal="left" wrapText="1" indent="1"/>
    </xf>
    <xf numFmtId="0" fontId="13" fillId="0" borderId="9" xfId="0" applyFont="1" applyBorder="1"/>
    <xf numFmtId="0" fontId="13" fillId="0" borderId="0" xfId="0" applyFont="1" applyBorder="1"/>
    <xf numFmtId="0" fontId="11" fillId="0" borderId="9" xfId="0" applyFont="1" applyBorder="1" applyAlignment="1">
      <alignment horizontal="left" wrapText="1" indent="1"/>
    </xf>
    <xf numFmtId="0" fontId="11" fillId="0" borderId="10" xfId="0" applyFont="1" applyBorder="1" applyAlignment="1">
      <alignment horizontal="left" wrapText="1" indent="1"/>
    </xf>
    <xf numFmtId="0" fontId="11" fillId="0" borderId="12" xfId="0" applyFont="1" applyBorder="1" applyAlignment="1">
      <alignment horizontal="left" wrapText="1" indent="1"/>
    </xf>
    <xf numFmtId="0" fontId="11" fillId="0" borderId="11" xfId="0" applyFont="1" applyFill="1" applyBorder="1"/>
    <xf numFmtId="0" fontId="11" fillId="0" borderId="11" xfId="0" applyFont="1" applyBorder="1"/>
    <xf numFmtId="0" fontId="11" fillId="0" borderId="12" xfId="0" applyFont="1" applyBorder="1"/>
    <xf numFmtId="0" fontId="11" fillId="0" borderId="5" xfId="0" applyFont="1" applyFill="1" applyBorder="1" applyAlignment="1">
      <alignment wrapText="1"/>
    </xf>
    <xf numFmtId="0" fontId="13" fillId="0" borderId="7" xfId="0" applyFont="1" applyFill="1" applyBorder="1"/>
    <xf numFmtId="0" fontId="11" fillId="0" borderId="6" xfId="0" applyFont="1" applyFill="1" applyBorder="1"/>
    <xf numFmtId="0" fontId="11" fillId="0" borderId="7" xfId="0" applyFont="1" applyFill="1" applyBorder="1"/>
    <xf numFmtId="0" fontId="11" fillId="0" borderId="8" xfId="0" applyFont="1" applyFill="1" applyBorder="1" applyAlignment="1">
      <alignment wrapText="1"/>
    </xf>
    <xf numFmtId="0" fontId="13" fillId="0" borderId="9" xfId="0" applyFont="1" applyFill="1" applyBorder="1"/>
    <xf numFmtId="0" fontId="11" fillId="0" borderId="9" xfId="0" applyFont="1" applyFill="1" applyBorder="1"/>
    <xf numFmtId="0" fontId="11" fillId="0" borderId="8" xfId="0" applyFont="1" applyFill="1" applyBorder="1" applyAlignment="1">
      <alignment horizontal="left" wrapText="1" indent="1"/>
    </xf>
    <xf numFmtId="0" fontId="11" fillId="0" borderId="9" xfId="0" applyFont="1" applyFill="1" applyBorder="1" applyAlignment="1">
      <alignment horizontal="left" wrapText="1" indent="1"/>
    </xf>
    <xf numFmtId="0" fontId="11" fillId="0" borderId="10" xfId="0" applyFont="1" applyFill="1" applyBorder="1" applyAlignment="1">
      <alignment horizontal="left" wrapText="1" indent="1"/>
    </xf>
    <xf numFmtId="0" fontId="13" fillId="0" borderId="12" xfId="0" applyFont="1" applyFill="1" applyBorder="1"/>
    <xf numFmtId="0" fontId="11" fillId="0" borderId="12" xfId="0" applyFont="1" applyFill="1" applyBorder="1"/>
    <xf numFmtId="0" fontId="11" fillId="0" borderId="7" xfId="0" applyFont="1" applyFill="1" applyBorder="1" applyAlignment="1">
      <alignment wrapText="1"/>
    </xf>
    <xf numFmtId="0" fontId="11" fillId="0" borderId="9" xfId="0" applyFont="1" applyFill="1" applyBorder="1" applyAlignment="1">
      <alignment wrapText="1"/>
    </xf>
    <xf numFmtId="0" fontId="13" fillId="0" borderId="0" xfId="0" applyFont="1" applyFill="1" applyBorder="1"/>
    <xf numFmtId="0" fontId="11" fillId="0" borderId="12" xfId="0" applyFont="1" applyFill="1" applyBorder="1" applyAlignment="1">
      <alignment horizontal="left" wrapText="1" indent="1"/>
    </xf>
    <xf numFmtId="164" fontId="11" fillId="0" borderId="9" xfId="0" applyNumberFormat="1" applyFont="1" applyFill="1" applyBorder="1"/>
    <xf numFmtId="0" fontId="13" fillId="0" borderId="11" xfId="0" applyFont="1" applyFill="1" applyBorder="1"/>
    <xf numFmtId="0" fontId="11" fillId="0" borderId="5" xfId="0" applyFont="1" applyFill="1" applyBorder="1" applyAlignment="1">
      <alignment horizontal="left" wrapText="1"/>
    </xf>
    <xf numFmtId="0" fontId="11" fillId="0" borderId="7" xfId="0" applyFont="1" applyFill="1" applyBorder="1" applyAlignment="1">
      <alignment horizontal="left" wrapText="1"/>
    </xf>
    <xf numFmtId="0" fontId="11" fillId="0" borderId="8" xfId="0" applyFont="1" applyFill="1" applyBorder="1" applyAlignment="1">
      <alignment horizontal="left" wrapText="1"/>
    </xf>
    <xf numFmtId="0" fontId="11" fillId="0" borderId="9" xfId="0" applyFont="1" applyFill="1" applyBorder="1" applyAlignment="1">
      <alignment horizontal="left" wrapText="1"/>
    </xf>
    <xf numFmtId="164" fontId="11" fillId="0" borderId="0" xfId="0" applyNumberFormat="1" applyFont="1" applyBorder="1"/>
    <xf numFmtId="0" fontId="13" fillId="0" borderId="7" xfId="0" applyFont="1" applyBorder="1"/>
    <xf numFmtId="164" fontId="11" fillId="0" borderId="9" xfId="0" applyNumberFormat="1" applyFont="1" applyBorder="1"/>
    <xf numFmtId="2" fontId="11" fillId="0" borderId="0" xfId="0" applyNumberFormat="1" applyFont="1" applyBorder="1"/>
    <xf numFmtId="0" fontId="13" fillId="0" borderId="12" xfId="0" applyFont="1" applyBorder="1"/>
    <xf numFmtId="2" fontId="11" fillId="0" borderId="11" xfId="0" applyNumberFormat="1" applyFont="1" applyBorder="1"/>
    <xf numFmtId="164" fontId="11" fillId="0" borderId="12" xfId="0" applyNumberFormat="1" applyFont="1" applyBorder="1"/>
    <xf numFmtId="0" fontId="11" fillId="0" borderId="0" xfId="0" applyFont="1" applyFill="1" applyAlignment="1">
      <alignment horizontal="center" vertical="center"/>
    </xf>
    <xf numFmtId="0" fontId="11" fillId="0" borderId="0" xfId="0" applyFont="1" applyFill="1" applyBorder="1" applyAlignment="1">
      <alignment horizontal="left"/>
    </xf>
    <xf numFmtId="0" fontId="11" fillId="0" borderId="1" xfId="0" applyFont="1" applyBorder="1" applyAlignment="1">
      <alignment horizontal="center"/>
    </xf>
    <xf numFmtId="0" fontId="11" fillId="0" borderId="1" xfId="0" applyFont="1" applyBorder="1"/>
    <xf numFmtId="0" fontId="28" fillId="0" borderId="1" xfId="0" applyFont="1" applyFill="1" applyBorder="1" applyAlignment="1">
      <alignment horizontal="center"/>
    </xf>
    <xf numFmtId="0" fontId="11" fillId="0" borderId="0" xfId="0" applyFont="1" applyFill="1" applyBorder="1" applyAlignment="1"/>
    <xf numFmtId="0" fontId="22" fillId="0" borderId="0" xfId="0" applyFont="1" applyFill="1"/>
    <xf numFmtId="0" fontId="11" fillId="0" borderId="0" xfId="0" applyFont="1" applyBorder="1" applyAlignment="1">
      <alignment horizontal="left" wrapText="1"/>
    </xf>
    <xf numFmtId="0" fontId="11" fillId="0" borderId="1" xfId="0" applyFont="1" applyFill="1" applyBorder="1" applyAlignment="1">
      <alignment horizontal="center" wrapText="1"/>
    </xf>
    <xf numFmtId="0" fontId="17" fillId="0" borderId="0" xfId="1" applyFont="1" applyFill="1" applyProtection="1"/>
    <xf numFmtId="0" fontId="15" fillId="0" borderId="0" xfId="0" applyFont="1" applyBorder="1" applyAlignment="1" applyProtection="1">
      <alignment horizontal="center" wrapText="1"/>
    </xf>
    <xf numFmtId="0" fontId="15" fillId="0" borderId="0" xfId="0" applyFont="1" applyFill="1" applyAlignment="1">
      <alignment horizontal="left"/>
    </xf>
    <xf numFmtId="0" fontId="15" fillId="0" borderId="0" xfId="0" applyFont="1" applyAlignment="1">
      <alignment horizontal="left"/>
    </xf>
    <xf numFmtId="0" fontId="10" fillId="0" borderId="0" xfId="0" applyFont="1" applyFill="1"/>
    <xf numFmtId="0" fontId="11" fillId="0" borderId="0" xfId="0" applyFont="1" applyFill="1" applyAlignment="1">
      <alignment horizontal="left" indent="1"/>
    </xf>
    <xf numFmtId="0" fontId="11" fillId="0" borderId="0" xfId="0" applyFont="1" applyFill="1" applyAlignment="1">
      <alignment horizontal="left"/>
    </xf>
    <xf numFmtId="0" fontId="11" fillId="0" borderId="9" xfId="0" quotePrefix="1" applyFont="1" applyFill="1" applyBorder="1" applyAlignment="1">
      <alignment horizontal="left"/>
    </xf>
    <xf numFmtId="0" fontId="29" fillId="0" borderId="0" xfId="0" applyFont="1" applyFill="1"/>
    <xf numFmtId="0" fontId="10" fillId="0" borderId="0" xfId="0" applyFont="1"/>
    <xf numFmtId="0" fontId="15" fillId="0" borderId="6" xfId="0" applyFont="1" applyFill="1" applyBorder="1"/>
    <xf numFmtId="0" fontId="11" fillId="0" borderId="0" xfId="0" quotePrefix="1" applyFont="1" applyFill="1" applyAlignment="1">
      <alignment horizontal="left" indent="2"/>
    </xf>
    <xf numFmtId="0" fontId="11" fillId="0" borderId="11" xfId="0" quotePrefix="1" applyFont="1" applyFill="1" applyBorder="1" applyAlignment="1">
      <alignment horizontal="left" indent="2"/>
    </xf>
    <xf numFmtId="0" fontId="11" fillId="0" borderId="14" xfId="0" applyFont="1" applyFill="1" applyBorder="1"/>
    <xf numFmtId="0" fontId="11" fillId="0" borderId="0" xfId="0" applyFont="1"/>
    <xf numFmtId="0" fontId="10" fillId="0" borderId="0" xfId="0" applyFont="1" applyFill="1" applyBorder="1"/>
    <xf numFmtId="0" fontId="15" fillId="0" borderId="6" xfId="0" applyFont="1" applyBorder="1"/>
    <xf numFmtId="11" fontId="18" fillId="3" borderId="2" xfId="0" applyNumberFormat="1" applyFont="1" applyFill="1" applyBorder="1" applyAlignment="1">
      <alignment horizontal="left"/>
    </xf>
    <xf numFmtId="0" fontId="29" fillId="0" borderId="0" xfId="0" applyFont="1"/>
    <xf numFmtId="0" fontId="15" fillId="0" borderId="0" xfId="0" applyFont="1"/>
    <xf numFmtId="0" fontId="15" fillId="0" borderId="4" xfId="0" applyFont="1" applyFill="1" applyBorder="1" applyAlignment="1">
      <alignment horizontal="left"/>
    </xf>
    <xf numFmtId="11" fontId="20" fillId="3" borderId="3" xfId="0" applyNumberFormat="1" applyFont="1" applyFill="1" applyBorder="1" applyAlignment="1">
      <alignment horizontal="left"/>
    </xf>
    <xf numFmtId="11" fontId="18" fillId="3" borderId="3" xfId="0" applyNumberFormat="1" applyFont="1" applyFill="1" applyBorder="1" applyAlignment="1">
      <alignment horizontal="left"/>
    </xf>
    <xf numFmtId="0" fontId="10" fillId="0" borderId="0" xfId="0" applyFont="1" applyProtection="1"/>
    <xf numFmtId="0" fontId="10" fillId="0" borderId="11" xfId="0" applyFont="1" applyBorder="1"/>
    <xf numFmtId="0" fontId="30" fillId="0" borderId="0" xfId="0" applyFont="1" applyFill="1"/>
    <xf numFmtId="0" fontId="15" fillId="0" borderId="0" xfId="0" applyFont="1" applyFill="1" applyBorder="1" applyAlignment="1" applyProtection="1">
      <alignment horizontal="left"/>
    </xf>
    <xf numFmtId="11" fontId="18" fillId="3" borderId="13" xfId="0" applyNumberFormat="1" applyFont="1" applyFill="1" applyBorder="1" applyAlignment="1" applyProtection="1">
      <alignment horizontal="left"/>
    </xf>
    <xf numFmtId="0" fontId="15" fillId="0" borderId="14" xfId="0" applyFont="1" applyFill="1" applyBorder="1" applyAlignment="1" applyProtection="1">
      <alignment horizontal="left"/>
    </xf>
    <xf numFmtId="11" fontId="20" fillId="3" borderId="13" xfId="0" applyNumberFormat="1" applyFont="1" applyFill="1" applyBorder="1" applyAlignment="1" applyProtection="1">
      <alignment horizontal="left"/>
    </xf>
    <xf numFmtId="0" fontId="11" fillId="0" borderId="14" xfId="0" applyFont="1" applyFill="1" applyBorder="1" applyAlignment="1" applyProtection="1">
      <alignment horizontal="left"/>
    </xf>
    <xf numFmtId="11" fontId="31" fillId="0" borderId="0" xfId="0" applyNumberFormat="1" applyFont="1" applyFill="1" applyBorder="1" applyAlignment="1" applyProtection="1">
      <alignment horizontal="left"/>
    </xf>
    <xf numFmtId="0" fontId="11" fillId="0" borderId="0" xfId="0" quotePrefix="1" applyFont="1" applyFill="1" applyAlignment="1">
      <alignment horizontal="left"/>
    </xf>
    <xf numFmtId="0" fontId="15" fillId="0" borderId="0" xfId="0" applyFont="1" applyFill="1" applyBorder="1" applyAlignment="1">
      <alignment horizontal="left"/>
    </xf>
    <xf numFmtId="11" fontId="20" fillId="3" borderId="6" xfId="0" applyNumberFormat="1" applyFont="1" applyFill="1" applyBorder="1" applyAlignment="1">
      <alignment horizontal="left"/>
    </xf>
    <xf numFmtId="0" fontId="15" fillId="0" borderId="6" xfId="0" applyFont="1" applyFill="1" applyBorder="1" applyAlignment="1">
      <alignment horizontal="left"/>
    </xf>
    <xf numFmtId="0" fontId="11" fillId="0" borderId="0" xfId="0" quotePrefix="1" applyFont="1" applyFill="1" applyBorder="1" applyAlignment="1">
      <alignment horizontal="left"/>
    </xf>
    <xf numFmtId="0" fontId="11" fillId="0" borderId="0" xfId="0" applyFont="1" applyFill="1" applyAlignment="1">
      <alignment horizontal="center"/>
    </xf>
    <xf numFmtId="0" fontId="20" fillId="3" borderId="0" xfId="0" applyFont="1" applyFill="1" applyBorder="1" applyAlignment="1">
      <alignment horizontal="left"/>
    </xf>
    <xf numFmtId="0" fontId="11" fillId="0" borderId="0" xfId="0" applyFont="1" applyFill="1" applyBorder="1" applyAlignment="1">
      <alignment horizontal="center"/>
    </xf>
    <xf numFmtId="0" fontId="20" fillId="3" borderId="11" xfId="0" applyFont="1" applyFill="1" applyBorder="1" applyAlignment="1">
      <alignment horizontal="left"/>
    </xf>
    <xf numFmtId="0" fontId="11" fillId="0" borderId="11" xfId="0" applyFont="1" applyFill="1" applyBorder="1" applyAlignment="1">
      <alignment horizontal="center"/>
    </xf>
    <xf numFmtId="11" fontId="20" fillId="3" borderId="0" xfId="0" applyNumberFormat="1" applyFont="1" applyFill="1" applyBorder="1" applyAlignment="1">
      <alignment horizontal="left"/>
    </xf>
    <xf numFmtId="11" fontId="20" fillId="3" borderId="13" xfId="0" applyNumberFormat="1" applyFont="1" applyFill="1" applyBorder="1" applyAlignment="1">
      <alignment horizontal="left"/>
    </xf>
    <xf numFmtId="0" fontId="11" fillId="0" borderId="14" xfId="0" applyFont="1" applyFill="1" applyBorder="1" applyAlignment="1">
      <alignment horizontal="left"/>
    </xf>
    <xf numFmtId="11" fontId="18" fillId="3" borderId="0" xfId="0" applyNumberFormat="1" applyFont="1" applyFill="1" applyBorder="1" applyAlignment="1">
      <alignment horizontal="left"/>
    </xf>
    <xf numFmtId="164" fontId="20" fillId="3" borderId="3" xfId="0" applyNumberFormat="1" applyFont="1" applyFill="1" applyBorder="1" applyAlignment="1">
      <alignment horizontal="left"/>
    </xf>
    <xf numFmtId="1" fontId="20" fillId="3" borderId="3" xfId="0" applyNumberFormat="1" applyFont="1" applyFill="1" applyBorder="1" applyAlignment="1">
      <alignment horizontal="left"/>
    </xf>
    <xf numFmtId="164" fontId="20" fillId="0" borderId="3" xfId="0" applyNumberFormat="1" applyFont="1" applyFill="1" applyBorder="1" applyAlignment="1" applyProtection="1">
      <alignment horizontal="left"/>
      <protection locked="0"/>
    </xf>
    <xf numFmtId="166" fontId="20" fillId="3" borderId="3" xfId="0" applyNumberFormat="1" applyFont="1" applyFill="1" applyBorder="1" applyAlignment="1">
      <alignment horizontal="left"/>
    </xf>
    <xf numFmtId="0" fontId="20" fillId="3" borderId="3" xfId="0" applyFont="1" applyFill="1" applyBorder="1" applyAlignment="1">
      <alignment horizontal="left"/>
    </xf>
    <xf numFmtId="0" fontId="15" fillId="0" borderId="14" xfId="0" applyFont="1" applyBorder="1" applyProtection="1"/>
    <xf numFmtId="11" fontId="18" fillId="3" borderId="1" xfId="0" applyNumberFormat="1" applyFont="1" applyFill="1" applyBorder="1" applyAlignment="1" applyProtection="1">
      <alignment horizontal="left"/>
    </xf>
    <xf numFmtId="0" fontId="11" fillId="0" borderId="14" xfId="0" applyFont="1" applyBorder="1" applyProtection="1"/>
    <xf numFmtId="11" fontId="20" fillId="3" borderId="1" xfId="0" applyNumberFormat="1" applyFont="1" applyFill="1" applyBorder="1" applyAlignment="1" applyProtection="1">
      <alignment horizontal="left"/>
    </xf>
    <xf numFmtId="0" fontId="17" fillId="0" borderId="0" xfId="1" applyFont="1" applyFill="1" applyProtection="1"/>
    <xf numFmtId="0" fontId="11" fillId="0" borderId="1" xfId="0" applyFont="1" applyFill="1" applyBorder="1" applyAlignment="1">
      <alignment horizontal="center"/>
    </xf>
    <xf numFmtId="0" fontId="15" fillId="0" borderId="1" xfId="0" applyFont="1" applyBorder="1" applyAlignment="1">
      <alignment horizontal="center" wrapText="1"/>
    </xf>
    <xf numFmtId="0" fontId="15" fillId="0" borderId="0" xfId="0" applyFont="1" applyBorder="1" applyAlignment="1">
      <alignment horizontal="center" wrapText="1"/>
    </xf>
    <xf numFmtId="0" fontId="11" fillId="0" borderId="1" xfId="0" applyFont="1" applyBorder="1" applyAlignment="1"/>
    <xf numFmtId="0" fontId="11" fillId="0" borderId="0" xfId="0" applyFont="1" applyBorder="1" applyAlignment="1">
      <alignment horizontal="center"/>
    </xf>
    <xf numFmtId="164" fontId="11" fillId="0" borderId="1" xfId="0" applyNumberFormat="1" applyFont="1" applyBorder="1" applyAlignment="1">
      <alignment horizontal="center"/>
    </xf>
    <xf numFmtId="164" fontId="11" fillId="0" borderId="0" xfId="0" applyNumberFormat="1" applyFont="1" applyBorder="1" applyAlignment="1">
      <alignment horizontal="center"/>
    </xf>
    <xf numFmtId="166" fontId="11" fillId="0" borderId="1" xfId="0" applyNumberFormat="1" applyFont="1" applyBorder="1" applyAlignment="1">
      <alignment horizontal="center"/>
    </xf>
    <xf numFmtId="166" fontId="11" fillId="0" borderId="0" xfId="0" applyNumberFormat="1" applyFont="1" applyBorder="1" applyAlignment="1">
      <alignment horizontal="center"/>
    </xf>
    <xf numFmtId="165" fontId="11" fillId="0" borderId="1" xfId="0" applyNumberFormat="1" applyFont="1" applyBorder="1" applyAlignment="1">
      <alignment horizontal="center"/>
    </xf>
    <xf numFmtId="165" fontId="11" fillId="0" borderId="0" xfId="0" applyNumberFormat="1" applyFont="1" applyBorder="1" applyAlignment="1">
      <alignment horizontal="center"/>
    </xf>
    <xf numFmtId="0" fontId="11" fillId="0" borderId="0" xfId="0" applyFont="1" applyAlignment="1">
      <alignment horizontal="left"/>
    </xf>
    <xf numFmtId="0" fontId="11" fillId="0" borderId="0" xfId="0" applyFont="1" applyAlignment="1">
      <alignment horizontal="left" wrapText="1"/>
    </xf>
    <xf numFmtId="0" fontId="11" fillId="0" borderId="0" xfId="0" applyFont="1" applyAlignment="1">
      <alignment wrapText="1"/>
    </xf>
    <xf numFmtId="0" fontId="11" fillId="0" borderId="0" xfId="0" applyFont="1" applyAlignment="1"/>
    <xf numFmtId="0" fontId="15" fillId="0" borderId="1" xfId="0" applyFont="1" applyBorder="1" applyAlignment="1">
      <alignment horizontal="center"/>
    </xf>
    <xf numFmtId="2" fontId="11" fillId="0" borderId="13" xfId="0" applyNumberFormat="1" applyFont="1" applyBorder="1" applyAlignment="1">
      <alignment horizontal="right"/>
    </xf>
    <xf numFmtId="167" fontId="11" fillId="0" borderId="1" xfId="0" applyNumberFormat="1" applyFont="1" applyBorder="1" applyAlignment="1">
      <alignment horizontal="center"/>
    </xf>
    <xf numFmtId="2" fontId="11" fillId="0" borderId="1" xfId="0" applyNumberFormat="1" applyFont="1" applyBorder="1" applyAlignment="1">
      <alignment horizontal="center"/>
    </xf>
    <xf numFmtId="11" fontId="11" fillId="0" borderId="1" xfId="0" applyNumberFormat="1" applyFont="1" applyBorder="1" applyAlignment="1">
      <alignment horizontal="center"/>
    </xf>
    <xf numFmtId="0" fontId="11" fillId="0" borderId="0" xfId="0" applyFont="1" applyFill="1" applyAlignment="1" applyProtection="1">
      <alignment horizontal="right"/>
    </xf>
    <xf numFmtId="0" fontId="22" fillId="0" borderId="0" xfId="0" applyFont="1" applyFill="1" applyProtection="1"/>
    <xf numFmtId="0" fontId="14" fillId="0" borderId="0" xfId="0" applyFont="1" applyFill="1" applyAlignment="1" applyProtection="1">
      <alignment horizontal="right"/>
    </xf>
    <xf numFmtId="0" fontId="32" fillId="0" borderId="0" xfId="0" applyFont="1" applyProtection="1"/>
    <xf numFmtId="0" fontId="32" fillId="0" borderId="0" xfId="0" applyFont="1" applyFill="1" applyProtection="1"/>
    <xf numFmtId="0" fontId="32" fillId="0" borderId="0" xfId="0" applyFont="1"/>
    <xf numFmtId="0" fontId="32" fillId="0" borderId="0" xfId="0" applyFont="1" applyFill="1"/>
    <xf numFmtId="0" fontId="15" fillId="0" borderId="0" xfId="0" applyFont="1" applyBorder="1" applyProtection="1"/>
    <xf numFmtId="0" fontId="15" fillId="0" borderId="1" xfId="0" applyFont="1" applyFill="1" applyBorder="1" applyAlignment="1">
      <alignment horizontal="center"/>
    </xf>
    <xf numFmtId="0" fontId="15" fillId="0" borderId="1" xfId="0" applyFont="1" applyFill="1" applyBorder="1"/>
    <xf numFmtId="0" fontId="15" fillId="0" borderId="2" xfId="0" applyFont="1" applyFill="1" applyBorder="1" applyAlignment="1">
      <alignment horizontal="center"/>
    </xf>
    <xf numFmtId="0" fontId="15" fillId="0" borderId="4" xfId="0" applyFont="1" applyFill="1" applyBorder="1" applyAlignment="1">
      <alignment horizontal="center"/>
    </xf>
    <xf numFmtId="0" fontId="15" fillId="0" borderId="3" xfId="0" applyFont="1" applyFill="1" applyBorder="1" applyAlignment="1">
      <alignment horizontal="center"/>
    </xf>
    <xf numFmtId="0" fontId="15" fillId="0" borderId="3" xfId="0" applyFont="1" applyFill="1" applyBorder="1" applyProtection="1"/>
    <xf numFmtId="0" fontId="15" fillId="0" borderId="4" xfId="0" applyFont="1" applyBorder="1"/>
    <xf numFmtId="0" fontId="15" fillId="0" borderId="3" xfId="0" applyFont="1" applyFill="1" applyBorder="1"/>
    <xf numFmtId="11" fontId="20" fillId="3" borderId="2" xfId="0" applyNumberFormat="1" applyFont="1" applyFill="1" applyBorder="1" applyAlignment="1">
      <alignment horizontal="left"/>
    </xf>
    <xf numFmtId="0" fontId="20" fillId="3" borderId="3" xfId="0" applyFont="1" applyFill="1" applyBorder="1" applyAlignment="1">
      <alignment horizontal="center"/>
    </xf>
    <xf numFmtId="0" fontId="20" fillId="3" borderId="3" xfId="0" applyFont="1" applyFill="1" applyBorder="1"/>
    <xf numFmtId="0" fontId="20" fillId="3" borderId="4" xfId="0" applyFont="1" applyFill="1" applyBorder="1"/>
    <xf numFmtId="11" fontId="28" fillId="3" borderId="1" xfId="0" applyNumberFormat="1" applyFont="1" applyFill="1" applyBorder="1" applyAlignment="1">
      <alignment horizontal="left"/>
    </xf>
    <xf numFmtId="11" fontId="31" fillId="3" borderId="3" xfId="0" applyNumberFormat="1" applyFont="1" applyFill="1" applyBorder="1" applyAlignment="1">
      <alignment horizontal="left"/>
    </xf>
    <xf numFmtId="0" fontId="15" fillId="0" borderId="4" xfId="0" applyFont="1" applyFill="1" applyBorder="1"/>
    <xf numFmtId="0" fontId="15" fillId="0" borderId="1" xfId="0" applyFont="1" applyBorder="1" applyAlignment="1">
      <alignment horizontal="left" wrapText="1"/>
    </xf>
    <xf numFmtId="0" fontId="33" fillId="0" borderId="0" xfId="0" applyFont="1" applyProtection="1"/>
    <xf numFmtId="0" fontId="33" fillId="0" borderId="0" xfId="0" applyFont="1"/>
    <xf numFmtId="2" fontId="20" fillId="3" borderId="3" xfId="0" applyNumberFormat="1" applyFont="1" applyFill="1" applyBorder="1" applyAlignment="1">
      <alignment horizontal="left"/>
    </xf>
    <xf numFmtId="0" fontId="0" fillId="0" borderId="14" xfId="0" applyBorder="1"/>
    <xf numFmtId="0" fontId="0" fillId="0" borderId="15" xfId="0" applyBorder="1"/>
    <xf numFmtId="0" fontId="34" fillId="0" borderId="1" xfId="0" applyFont="1" applyBorder="1" applyAlignment="1">
      <alignment horizontal="center"/>
    </xf>
    <xf numFmtId="166" fontId="34" fillId="0" borderId="1" xfId="0" applyNumberFormat="1" applyFont="1" applyBorder="1" applyAlignment="1">
      <alignment horizontal="center"/>
    </xf>
    <xf numFmtId="167" fontId="34" fillId="0" borderId="1" xfId="0" applyNumberFormat="1" applyFont="1" applyBorder="1" applyAlignment="1">
      <alignment horizontal="center"/>
    </xf>
    <xf numFmtId="2" fontId="34" fillId="0" borderId="1" xfId="0" applyNumberFormat="1" applyFont="1" applyBorder="1" applyAlignment="1">
      <alignment horizontal="center"/>
    </xf>
    <xf numFmtId="1" fontId="34" fillId="0" borderId="1" xfId="0" applyNumberFormat="1" applyFont="1" applyBorder="1" applyAlignment="1">
      <alignment horizontal="center"/>
    </xf>
    <xf numFmtId="2" fontId="34" fillId="0" borderId="13" xfId="0" applyNumberFormat="1" applyFont="1" applyBorder="1" applyAlignment="1">
      <alignment horizontal="right"/>
    </xf>
    <xf numFmtId="0" fontId="34" fillId="0" borderId="13" xfId="0" applyFont="1" applyBorder="1"/>
    <xf numFmtId="0" fontId="36" fillId="0" borderId="1" xfId="0" applyFont="1" applyBorder="1" applyAlignment="1">
      <alignment horizontal="center" vertical="center" wrapText="1"/>
    </xf>
    <xf numFmtId="11" fontId="34" fillId="0" borderId="1" xfId="0" applyNumberFormat="1" applyFont="1" applyFill="1" applyBorder="1"/>
    <xf numFmtId="11" fontId="11" fillId="0" borderId="1" xfId="0" applyNumberFormat="1" applyFont="1" applyBorder="1"/>
    <xf numFmtId="168" fontId="24" fillId="5" borderId="1" xfId="3" applyNumberFormat="1" applyFont="1" applyFill="1" applyBorder="1" applyAlignment="1" applyProtection="1">
      <alignment horizontal="left" vertical="center"/>
      <protection locked="0"/>
    </xf>
    <xf numFmtId="0" fontId="9" fillId="0" borderId="0" xfId="0" applyFont="1" applyBorder="1" applyAlignment="1" applyProtection="1">
      <alignment horizontal="left" wrapText="1"/>
    </xf>
    <xf numFmtId="0" fontId="18" fillId="3" borderId="0" xfId="0" applyFont="1" applyFill="1" applyBorder="1" applyAlignment="1" applyProtection="1">
      <alignment horizontal="center" wrapText="1"/>
    </xf>
    <xf numFmtId="0" fontId="18" fillId="3" borderId="0" xfId="0" applyFont="1" applyFill="1" applyAlignment="1" applyProtection="1">
      <alignment horizontal="center" wrapText="1"/>
    </xf>
    <xf numFmtId="0" fontId="15" fillId="0" borderId="0" xfId="0" applyFont="1" applyAlignment="1" applyProtection="1">
      <alignment horizontal="center" wrapText="1"/>
    </xf>
    <xf numFmtId="0" fontId="15" fillId="0" borderId="11" xfId="0" applyFont="1" applyBorder="1" applyAlignment="1" applyProtection="1">
      <alignment horizontal="center" wrapText="1"/>
    </xf>
    <xf numFmtId="0" fontId="17" fillId="0" borderId="8" xfId="1" applyFont="1" applyFill="1" applyBorder="1" applyAlignment="1" applyProtection="1">
      <alignment horizontal="left" vertical="center"/>
    </xf>
    <xf numFmtId="0" fontId="17" fillId="0" borderId="8" xfId="1" applyFill="1" applyBorder="1" applyAlignment="1" applyProtection="1">
      <alignment horizontal="left" vertical="center"/>
    </xf>
    <xf numFmtId="0" fontId="15" fillId="0" borderId="0" xfId="0" applyFont="1" applyBorder="1" applyAlignment="1" applyProtection="1">
      <alignment horizontal="center" wrapText="1"/>
    </xf>
    <xf numFmtId="0" fontId="14" fillId="0" borderId="0" xfId="0" applyFont="1" applyFill="1" applyAlignment="1" applyProtection="1">
      <alignment horizontal="left" vertical="center"/>
    </xf>
    <xf numFmtId="0" fontId="15" fillId="0" borderId="0" xfId="0" applyFont="1" applyBorder="1" applyAlignment="1" applyProtection="1">
      <alignment horizontal="right" wrapText="1"/>
    </xf>
    <xf numFmtId="0" fontId="17" fillId="0" borderId="0" xfId="1" applyFont="1" applyFill="1" applyProtection="1"/>
    <xf numFmtId="0" fontId="15" fillId="0" borderId="10" xfId="0" applyFont="1" applyFill="1" applyBorder="1" applyAlignment="1">
      <alignment horizontal="center"/>
    </xf>
    <xf numFmtId="0" fontId="15" fillId="0" borderId="12" xfId="0" applyFont="1" applyFill="1" applyBorder="1" applyAlignment="1">
      <alignment horizontal="center"/>
    </xf>
    <xf numFmtId="0" fontId="15" fillId="0" borderId="5" xfId="0" applyFont="1" applyFill="1" applyBorder="1" applyAlignment="1">
      <alignment horizontal="center"/>
    </xf>
    <xf numFmtId="0" fontId="15" fillId="0" borderId="7" xfId="0" applyFont="1" applyFill="1" applyBorder="1" applyAlignment="1">
      <alignment horizontal="center"/>
    </xf>
    <xf numFmtId="0" fontId="15" fillId="0" borderId="0" xfId="0" applyFont="1" applyFill="1" applyAlignment="1">
      <alignment horizontal="left"/>
    </xf>
    <xf numFmtId="0" fontId="15" fillId="0" borderId="1" xfId="0" applyFont="1" applyFill="1" applyBorder="1" applyAlignment="1">
      <alignment horizontal="center"/>
    </xf>
    <xf numFmtId="0" fontId="15" fillId="0" borderId="1" xfId="0" applyFont="1" applyFill="1" applyBorder="1" applyAlignment="1">
      <alignment horizontal="center" wrapText="1"/>
    </xf>
    <xf numFmtId="0" fontId="15" fillId="0" borderId="5" xfId="0" applyFont="1" applyFill="1" applyBorder="1" applyAlignment="1">
      <alignment horizontal="left"/>
    </xf>
    <xf numFmtId="0" fontId="15" fillId="0" borderId="7" xfId="0" applyFont="1" applyFill="1" applyBorder="1" applyAlignment="1">
      <alignment horizontal="left"/>
    </xf>
    <xf numFmtId="0" fontId="15" fillId="0" borderId="8" xfId="0" applyFont="1" applyFill="1" applyBorder="1" applyAlignment="1">
      <alignment horizontal="left"/>
    </xf>
    <xf numFmtId="0" fontId="15" fillId="0" borderId="9" xfId="0" applyFont="1" applyFill="1" applyBorder="1" applyAlignment="1">
      <alignment horizontal="left"/>
    </xf>
    <xf numFmtId="0" fontId="15" fillId="0" borderId="10" xfId="0" applyFont="1" applyFill="1" applyBorder="1" applyAlignment="1">
      <alignment horizontal="left"/>
    </xf>
    <xf numFmtId="0" fontId="15" fillId="0" borderId="12" xfId="0" applyFont="1" applyFill="1" applyBorder="1" applyAlignment="1">
      <alignment horizontal="left"/>
    </xf>
    <xf numFmtId="0" fontId="11" fillId="0" borderId="0" xfId="0" applyFont="1" applyFill="1" applyBorder="1" applyAlignment="1">
      <alignment horizontal="left" wrapText="1"/>
    </xf>
    <xf numFmtId="0" fontId="15" fillId="0" borderId="5" xfId="0" applyFont="1" applyFill="1" applyBorder="1" applyAlignment="1">
      <alignment horizontal="left" wrapText="1"/>
    </xf>
    <xf numFmtId="0" fontId="15" fillId="0" borderId="7" xfId="0" applyFont="1" applyFill="1" applyBorder="1" applyAlignment="1">
      <alignment horizontal="left" wrapText="1"/>
    </xf>
    <xf numFmtId="0" fontId="15" fillId="0" borderId="8" xfId="0" applyFont="1" applyFill="1" applyBorder="1" applyAlignment="1">
      <alignment horizontal="left" wrapText="1"/>
    </xf>
    <xf numFmtId="0" fontId="15" fillId="0" borderId="9" xfId="0" applyFont="1" applyFill="1" applyBorder="1" applyAlignment="1">
      <alignment horizontal="left" wrapText="1"/>
    </xf>
    <xf numFmtId="0" fontId="15" fillId="0" borderId="10" xfId="0" applyFont="1" applyFill="1" applyBorder="1" applyAlignment="1">
      <alignment horizontal="left" wrapText="1"/>
    </xf>
    <xf numFmtId="0" fontId="15" fillId="0" borderId="12" xfId="0" applyFont="1" applyFill="1" applyBorder="1" applyAlignment="1">
      <alignment horizontal="left" wrapText="1"/>
    </xf>
    <xf numFmtId="0" fontId="15" fillId="0" borderId="13" xfId="0" applyFont="1" applyFill="1" applyBorder="1" applyAlignment="1">
      <alignment horizontal="center"/>
    </xf>
    <xf numFmtId="0" fontId="15" fillId="0" borderId="14" xfId="0" applyFont="1" applyFill="1" applyBorder="1" applyAlignment="1">
      <alignment horizontal="center"/>
    </xf>
    <xf numFmtId="0" fontId="15" fillId="0" borderId="15" xfId="0" applyFont="1" applyFill="1" applyBorder="1" applyAlignment="1">
      <alignment horizontal="center"/>
    </xf>
    <xf numFmtId="0" fontId="11" fillId="0" borderId="0" xfId="0" applyFont="1" applyFill="1" applyAlignment="1">
      <alignment horizontal="left" wrapText="1"/>
    </xf>
    <xf numFmtId="0" fontId="11" fillId="0" borderId="1" xfId="0" applyFont="1" applyFill="1" applyBorder="1" applyAlignment="1">
      <alignment horizontal="center"/>
    </xf>
    <xf numFmtId="0" fontId="15" fillId="0" borderId="2" xfId="0" applyFont="1" applyFill="1" applyBorder="1" applyAlignment="1">
      <alignment horizontal="center" wrapText="1"/>
    </xf>
    <xf numFmtId="0" fontId="15" fillId="0" borderId="4" xfId="0" applyFont="1" applyFill="1" applyBorder="1" applyAlignment="1">
      <alignment horizontal="center" wrapText="1"/>
    </xf>
    <xf numFmtId="0" fontId="15" fillId="0" borderId="1" xfId="0" applyFont="1" applyFill="1" applyBorder="1" applyAlignment="1">
      <alignment horizontal="left"/>
    </xf>
    <xf numFmtId="0" fontId="11" fillId="0" borderId="2" xfId="0" applyFont="1" applyFill="1" applyBorder="1" applyAlignment="1">
      <alignment horizontal="center" wrapText="1"/>
    </xf>
    <xf numFmtId="0" fontId="11" fillId="0" borderId="4" xfId="0" applyFont="1" applyFill="1" applyBorder="1" applyAlignment="1">
      <alignment horizont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4" xfId="0" applyFont="1" applyFill="1" applyBorder="1" applyAlignment="1">
      <alignment horizontal="center" vertical="center" wrapText="1"/>
    </xf>
    <xf numFmtId="0" fontId="11" fillId="0" borderId="1" xfId="0" applyFont="1" applyFill="1" applyBorder="1" applyAlignment="1">
      <alignment horizontal="center" vertical="center"/>
    </xf>
    <xf numFmtId="0" fontId="11" fillId="0" borderId="2"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2"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1" fillId="0" borderId="2" xfId="0" applyFont="1" applyFill="1" applyBorder="1" applyAlignment="1">
      <alignment horizontal="center" vertical="center"/>
    </xf>
    <xf numFmtId="0" fontId="11" fillId="0" borderId="3" xfId="0" applyFont="1" applyFill="1" applyBorder="1" applyAlignment="1">
      <alignment horizontal="center" vertical="center"/>
    </xf>
    <xf numFmtId="0" fontId="11" fillId="0" borderId="4" xfId="0" applyFont="1" applyFill="1" applyBorder="1" applyAlignment="1">
      <alignment horizontal="center" vertical="center"/>
    </xf>
    <xf numFmtId="0" fontId="11" fillId="0" borderId="0" xfId="0" applyFont="1" applyFill="1" applyBorder="1" applyAlignment="1">
      <alignment horizontal="left"/>
    </xf>
    <xf numFmtId="0" fontId="11" fillId="0" borderId="1" xfId="0" applyFont="1" applyFill="1" applyBorder="1" applyAlignment="1">
      <alignment horizontal="left"/>
    </xf>
    <xf numFmtId="0" fontId="11" fillId="0" borderId="1" xfId="0" applyFont="1" applyFill="1" applyBorder="1" applyAlignment="1">
      <alignment vertical="center" wrapText="1"/>
    </xf>
    <xf numFmtId="0" fontId="15" fillId="0" borderId="0" xfId="0" applyFont="1" applyAlignment="1">
      <alignment horizontal="left"/>
    </xf>
    <xf numFmtId="0" fontId="15" fillId="0" borderId="1" xfId="0" applyFont="1" applyBorder="1" applyAlignment="1">
      <alignment horizontal="left" wrapText="1"/>
    </xf>
    <xf numFmtId="0" fontId="15" fillId="0" borderId="13" xfId="0" applyFont="1" applyBorder="1" applyAlignment="1">
      <alignment horizontal="center" wrapText="1"/>
    </xf>
    <xf numFmtId="0" fontId="15" fillId="0" borderId="15" xfId="0" applyFont="1" applyBorder="1" applyAlignment="1">
      <alignment horizontal="center" wrapText="1"/>
    </xf>
    <xf numFmtId="0" fontId="15" fillId="0" borderId="2" xfId="0" applyFont="1" applyBorder="1" applyAlignment="1">
      <alignment horizontal="center" wrapText="1"/>
    </xf>
    <xf numFmtId="0" fontId="15" fillId="0" borderId="4" xfId="0" applyFont="1" applyBorder="1" applyAlignment="1">
      <alignment horizontal="center" wrapText="1"/>
    </xf>
    <xf numFmtId="0" fontId="11" fillId="0" borderId="0" xfId="0" applyFont="1" applyBorder="1" applyAlignment="1">
      <alignment horizontal="left" wrapText="1"/>
    </xf>
    <xf numFmtId="0" fontId="15" fillId="0" borderId="1" xfId="0" applyFont="1" applyBorder="1" applyAlignment="1">
      <alignment horizontal="center" wrapText="1"/>
    </xf>
    <xf numFmtId="0" fontId="1" fillId="0" borderId="1" xfId="0" applyFont="1" applyBorder="1" applyAlignment="1">
      <alignment horizontal="center" wrapText="1"/>
    </xf>
    <xf numFmtId="0" fontId="15" fillId="0" borderId="1" xfId="0" applyFont="1" applyBorder="1" applyAlignment="1">
      <alignment horizontal="center"/>
    </xf>
    <xf numFmtId="0" fontId="1" fillId="0" borderId="1" xfId="0" applyFont="1" applyBorder="1" applyAlignment="1">
      <alignment horizontal="center"/>
    </xf>
    <xf numFmtId="0" fontId="11" fillId="0" borderId="13" xfId="0" applyFont="1" applyBorder="1"/>
    <xf numFmtId="0" fontId="0" fillId="0" borderId="14" xfId="0" applyBorder="1"/>
    <xf numFmtId="0" fontId="0" fillId="0" borderId="15" xfId="0" applyBorder="1"/>
    <xf numFmtId="0" fontId="11" fillId="0" borderId="0" xfId="0" applyFont="1" applyAlignment="1">
      <alignment horizontal="left" wrapText="1"/>
    </xf>
    <xf numFmtId="0" fontId="0" fillId="0" borderId="0" xfId="0" applyAlignment="1">
      <alignment horizontal="left" wrapText="1"/>
    </xf>
    <xf numFmtId="0" fontId="15" fillId="0" borderId="5" xfId="0" applyFont="1" applyBorder="1" applyAlignment="1">
      <alignment horizontal="left"/>
    </xf>
    <xf numFmtId="0" fontId="1" fillId="0" borderId="6" xfId="0" applyFont="1" applyBorder="1" applyAlignment="1">
      <alignment horizontal="left"/>
    </xf>
    <xf numFmtId="0" fontId="1" fillId="0" borderId="7" xfId="0" applyFont="1" applyBorder="1" applyAlignment="1">
      <alignment horizontal="left"/>
    </xf>
    <xf numFmtId="0" fontId="1" fillId="0" borderId="8" xfId="0" applyFont="1" applyBorder="1" applyAlignment="1">
      <alignment horizontal="left"/>
    </xf>
    <xf numFmtId="0" fontId="1" fillId="0" borderId="0" xfId="0" applyFont="1" applyBorder="1" applyAlignment="1">
      <alignment horizontal="left"/>
    </xf>
    <xf numFmtId="0" fontId="1" fillId="0" borderId="9" xfId="0" applyFont="1" applyBorder="1" applyAlignment="1">
      <alignment horizontal="left"/>
    </xf>
    <xf numFmtId="0" fontId="1" fillId="0" borderId="10" xfId="0" applyFont="1" applyBorder="1" applyAlignment="1">
      <alignment horizontal="left"/>
    </xf>
    <xf numFmtId="0" fontId="1" fillId="0" borderId="11" xfId="0" applyFont="1" applyBorder="1" applyAlignment="1">
      <alignment horizontal="left"/>
    </xf>
    <xf numFmtId="0" fontId="1" fillId="0" borderId="12" xfId="0" applyFont="1" applyBorder="1" applyAlignment="1">
      <alignment horizontal="left"/>
    </xf>
    <xf numFmtId="0" fontId="15" fillId="0" borderId="5" xfId="0" applyFont="1" applyBorder="1" applyAlignment="1">
      <alignment horizontal="center" wrapText="1"/>
    </xf>
    <xf numFmtId="0" fontId="1" fillId="0" borderId="7" xfId="0" applyFont="1" applyBorder="1" applyAlignment="1">
      <alignment horizontal="center" wrapText="1"/>
    </xf>
    <xf numFmtId="0" fontId="1" fillId="0" borderId="8" xfId="0" applyFont="1" applyBorder="1" applyAlignment="1">
      <alignment horizontal="center" wrapText="1"/>
    </xf>
    <xf numFmtId="0" fontId="1" fillId="0" borderId="9" xfId="0" applyFont="1" applyBorder="1" applyAlignment="1">
      <alignment horizontal="center" wrapText="1"/>
    </xf>
    <xf numFmtId="0" fontId="1" fillId="0" borderId="10" xfId="0" applyFont="1" applyBorder="1" applyAlignment="1">
      <alignment horizontal="center" wrapText="1"/>
    </xf>
    <xf numFmtId="0" fontId="1" fillId="0" borderId="12" xfId="0" applyFont="1" applyBorder="1" applyAlignment="1">
      <alignment horizontal="center" wrapText="1"/>
    </xf>
  </cellXfs>
  <cellStyles count="6">
    <cellStyle name="Enter Info" xfId="4" xr:uid="{00000000-0005-0000-0000-000000000000}"/>
    <cellStyle name="Hyperlink" xfId="1" builtinId="8" customBuiltin="1"/>
    <cellStyle name="Normal" xfId="0" builtinId="0"/>
    <cellStyle name="PCA Body Text" xfId="3" xr:uid="{00000000-0005-0000-0000-000003000000}"/>
    <cellStyle name="PCA Title" xfId="2" xr:uid="{00000000-0005-0000-0000-000004000000}"/>
    <cellStyle name="Standard Values" xfId="5" xr:uid="{00000000-0005-0000-0000-000005000000}"/>
  </cellStyles>
  <dxfs count="0"/>
  <tableStyles count="0" defaultTableStyle="TableStyleMedium2" defaultPivotStyle="PivotStyleLight16"/>
  <colors>
    <mruColors>
      <color rgb="FFD1EA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8" Type="http://schemas.openxmlformats.org/officeDocument/2006/relationships/image" Target="../media/image9.png"/><Relationship Id="rId13" Type="http://schemas.openxmlformats.org/officeDocument/2006/relationships/image" Target="../media/image14.png"/><Relationship Id="rId3" Type="http://schemas.openxmlformats.org/officeDocument/2006/relationships/image" Target="../media/image4.png"/><Relationship Id="rId7" Type="http://schemas.openxmlformats.org/officeDocument/2006/relationships/image" Target="../media/image8.png"/><Relationship Id="rId12" Type="http://schemas.openxmlformats.org/officeDocument/2006/relationships/image" Target="../media/image13.png"/><Relationship Id="rId2" Type="http://schemas.openxmlformats.org/officeDocument/2006/relationships/image" Target="../media/image3.png"/><Relationship Id="rId1" Type="http://schemas.openxmlformats.org/officeDocument/2006/relationships/image" Target="../media/image2.png"/><Relationship Id="rId6" Type="http://schemas.openxmlformats.org/officeDocument/2006/relationships/image" Target="../media/image7.png"/><Relationship Id="rId11" Type="http://schemas.openxmlformats.org/officeDocument/2006/relationships/image" Target="../media/image12.png"/><Relationship Id="rId5" Type="http://schemas.openxmlformats.org/officeDocument/2006/relationships/image" Target="../media/image6.png"/><Relationship Id="rId10" Type="http://schemas.openxmlformats.org/officeDocument/2006/relationships/image" Target="../media/image11.png"/><Relationship Id="rId4" Type="http://schemas.openxmlformats.org/officeDocument/2006/relationships/image" Target="../media/image5.png"/><Relationship Id="rId9" Type="http://schemas.openxmlformats.org/officeDocument/2006/relationships/image" Target="../media/image10.png"/></Relationships>
</file>

<file path=xl/drawings/drawing1.xml><?xml version="1.0" encoding="utf-8"?>
<xdr:wsDr xmlns:xdr="http://schemas.openxmlformats.org/drawingml/2006/spreadsheetDrawing" xmlns:a="http://schemas.openxmlformats.org/drawingml/2006/main">
  <xdr:oneCellAnchor>
    <xdr:from>
      <xdr:col>4</xdr:col>
      <xdr:colOff>47625</xdr:colOff>
      <xdr:row>60</xdr:row>
      <xdr:rowOff>85725</xdr:rowOff>
    </xdr:from>
    <xdr:ext cx="1643014" cy="380361"/>
    <mc:AlternateContent xmlns:mc="http://schemas.openxmlformats.org/markup-compatibility/2006" xmlns:a14="http://schemas.microsoft.com/office/drawing/2010/main">
      <mc:Choice Requires="a14">
        <xdr:sp macro="" textlink="">
          <xdr:nvSpPr>
            <xdr:cNvPr id="4" name="TextBox 3">
              <a:extLst>
                <a:ext uri="{FF2B5EF4-FFF2-40B4-BE49-F238E27FC236}">
                  <a16:creationId xmlns:a16="http://schemas.microsoft.com/office/drawing/2014/main" id="{00000000-0008-0000-0000-000004000000}"/>
                </a:ext>
              </a:extLst>
            </xdr:cNvPr>
            <xdr:cNvSpPr txBox="1"/>
          </xdr:nvSpPr>
          <xdr:spPr>
            <a:xfrm>
              <a:off x="11915775" y="16887825"/>
              <a:ext cx="1643014" cy="38036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func>
                      <m:funcPr>
                        <m:ctrlPr>
                          <a:rPr lang="en-US" sz="1100" i="1">
                            <a:latin typeface="Cambria Math" panose="02040503050406030204" pitchFamily="18" charset="0"/>
                          </a:rPr>
                        </m:ctrlPr>
                      </m:funcPr>
                      <m:fName>
                        <m:sSub>
                          <m:sSubPr>
                            <m:ctrlPr>
                              <a:rPr lang="en-US" sz="1100" i="1">
                                <a:latin typeface="Cambria Math" panose="02040503050406030204" pitchFamily="18" charset="0"/>
                              </a:rPr>
                            </m:ctrlPr>
                          </m:sSubPr>
                          <m:e>
                            <m:r>
                              <m:rPr>
                                <m:sty m:val="p"/>
                              </m:rPr>
                              <a:rPr lang="en-US" sz="1100" i="0">
                                <a:latin typeface="Cambria Math" panose="02040503050406030204" pitchFamily="18" charset="0"/>
                              </a:rPr>
                              <m:t>log</m:t>
                            </m:r>
                          </m:e>
                          <m:sub>
                            <m:r>
                              <a:rPr lang="en-US" sz="1100" b="0" i="1">
                                <a:latin typeface="Cambria Math" panose="02040503050406030204" pitchFamily="18" charset="0"/>
                              </a:rPr>
                              <m:t>10</m:t>
                            </m:r>
                          </m:sub>
                        </m:sSub>
                      </m:fName>
                      <m:e>
                        <m:sSub>
                          <m:sSubPr>
                            <m:ctrlPr>
                              <a:rPr lang="en-US" sz="1100" i="1">
                                <a:latin typeface="Cambria Math" panose="02040503050406030204" pitchFamily="18" charset="0"/>
                              </a:rPr>
                            </m:ctrlPr>
                          </m:sSubPr>
                          <m:e>
                            <m:r>
                              <a:rPr lang="en-US" sz="1100" b="0" i="1">
                                <a:latin typeface="Cambria Math" panose="02040503050406030204" pitchFamily="18" charset="0"/>
                              </a:rPr>
                              <m:t>𝑃</m:t>
                            </m:r>
                          </m:e>
                          <m:sub>
                            <m:r>
                              <a:rPr lang="en-US" sz="1100" b="0" i="1">
                                <a:latin typeface="Cambria Math" panose="02040503050406030204" pitchFamily="18" charset="0"/>
                              </a:rPr>
                              <m:t>𝑉𝐴</m:t>
                            </m:r>
                          </m:sub>
                        </m:sSub>
                        <m:r>
                          <a:rPr lang="en-US" sz="1100" b="0" i="1">
                            <a:latin typeface="Cambria Math" panose="02040503050406030204" pitchFamily="18" charset="0"/>
                          </a:rPr>
                          <m:t>=</m:t>
                        </m:r>
                        <m:r>
                          <a:rPr lang="en-US" sz="1100" b="0" i="1">
                            <a:latin typeface="Cambria Math" panose="02040503050406030204" pitchFamily="18" charset="0"/>
                          </a:rPr>
                          <m:t>𝐴</m:t>
                        </m:r>
                        <m:r>
                          <a:rPr lang="en-US" sz="1100" b="0" i="1">
                            <a:latin typeface="Cambria Math" panose="02040503050406030204" pitchFamily="18" charset="0"/>
                          </a:rPr>
                          <m:t>−</m:t>
                        </m:r>
                        <m:d>
                          <m:dPr>
                            <m:ctrlPr>
                              <a:rPr lang="en-US" sz="1100" b="0" i="1">
                                <a:latin typeface="Cambria Math" panose="02040503050406030204" pitchFamily="18" charset="0"/>
                              </a:rPr>
                            </m:ctrlPr>
                          </m:dPr>
                          <m:e>
                            <m:f>
                              <m:fPr>
                                <m:ctrlPr>
                                  <a:rPr lang="en-US" sz="1100" b="0" i="1">
                                    <a:latin typeface="Cambria Math" panose="02040503050406030204" pitchFamily="18" charset="0"/>
                                  </a:rPr>
                                </m:ctrlPr>
                              </m:fPr>
                              <m:num>
                                <m:r>
                                  <a:rPr lang="en-US" sz="1100" b="0" i="1">
                                    <a:latin typeface="Cambria Math" panose="02040503050406030204" pitchFamily="18" charset="0"/>
                                  </a:rPr>
                                  <m:t>𝐵</m:t>
                                </m:r>
                              </m:num>
                              <m:den>
                                <m:sSub>
                                  <m:sSubPr>
                                    <m:ctrlPr>
                                      <a:rPr lang="en-US" sz="1100" b="0" i="1">
                                        <a:latin typeface="Cambria Math" panose="02040503050406030204" pitchFamily="18" charset="0"/>
                                      </a:rPr>
                                    </m:ctrlPr>
                                  </m:sSubPr>
                                  <m:e>
                                    <m:r>
                                      <a:rPr lang="en-US" sz="1100" b="0" i="1">
                                        <a:latin typeface="Cambria Math" panose="02040503050406030204" pitchFamily="18" charset="0"/>
                                      </a:rPr>
                                      <m:t>𝑇</m:t>
                                    </m:r>
                                  </m:e>
                                  <m:sub>
                                    <m:r>
                                      <a:rPr lang="en-US" sz="1100" b="0" i="1">
                                        <a:latin typeface="Cambria Math" panose="02040503050406030204" pitchFamily="18" charset="0"/>
                                      </a:rPr>
                                      <m:t>𝐿𝐴</m:t>
                                    </m:r>
                                  </m:sub>
                                </m:sSub>
                                <m:r>
                                  <a:rPr lang="en-US" sz="1100" b="0" i="1">
                                    <a:latin typeface="Cambria Math" panose="02040503050406030204" pitchFamily="18" charset="0"/>
                                  </a:rPr>
                                  <m:t>+</m:t>
                                </m:r>
                                <m:r>
                                  <a:rPr lang="en-US" sz="1100" b="0" i="1">
                                    <a:latin typeface="Cambria Math" panose="02040503050406030204" pitchFamily="18" charset="0"/>
                                  </a:rPr>
                                  <m:t>𝐶</m:t>
                                </m:r>
                              </m:den>
                            </m:f>
                          </m:e>
                        </m:d>
                      </m:e>
                    </m:func>
                  </m:oMath>
                </m:oMathPara>
              </a14:m>
              <a:endParaRPr lang="en-US" sz="1100"/>
            </a:p>
          </xdr:txBody>
        </xdr:sp>
      </mc:Choice>
      <mc:Fallback xmlns="">
        <xdr:sp macro="" textlink="">
          <xdr:nvSpPr>
            <xdr:cNvPr id="4" name="TextBox 3"/>
            <xdr:cNvSpPr txBox="1"/>
          </xdr:nvSpPr>
          <xdr:spPr>
            <a:xfrm>
              <a:off x="11915775" y="16887825"/>
              <a:ext cx="1643014" cy="38036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US" sz="1100" i="0">
                  <a:latin typeface="Cambria Math" panose="02040503050406030204" pitchFamily="18" charset="0"/>
                </a:rPr>
                <a:t>log_</a:t>
              </a:r>
              <a:r>
                <a:rPr lang="en-US" sz="1100" b="0" i="0">
                  <a:latin typeface="Cambria Math" panose="02040503050406030204" pitchFamily="18" charset="0"/>
                </a:rPr>
                <a:t>10⁡〖𝑃_𝑉𝐴=𝐴−(𝐵/(𝑇_𝐿𝐴+𝐶))〗</a:t>
              </a:r>
              <a:endParaRPr lang="en-US" sz="1100"/>
            </a:p>
          </xdr:txBody>
        </xdr:sp>
      </mc:Fallback>
    </mc:AlternateContent>
    <xdr:clientData/>
  </xdr:oneCellAnchor>
  <xdr:twoCellAnchor>
    <xdr:from>
      <xdr:col>2</xdr:col>
      <xdr:colOff>2837889</xdr:colOff>
      <xdr:row>0</xdr:row>
      <xdr:rowOff>0</xdr:rowOff>
    </xdr:from>
    <xdr:to>
      <xdr:col>3</xdr:col>
      <xdr:colOff>1544730</xdr:colOff>
      <xdr:row>1</xdr:row>
      <xdr:rowOff>76200</xdr:rowOff>
    </xdr:to>
    <xdr:sp macro="" textlink="">
      <xdr:nvSpPr>
        <xdr:cNvPr id="5" name="TextBox 4">
          <a:extLst>
            <a:ext uri="{FF2B5EF4-FFF2-40B4-BE49-F238E27FC236}">
              <a16:creationId xmlns:a16="http://schemas.microsoft.com/office/drawing/2014/main" id="{00000000-0008-0000-0000-000005000000}"/>
            </a:ext>
          </a:extLst>
        </xdr:cNvPr>
        <xdr:cNvSpPr txBox="1"/>
      </xdr:nvSpPr>
      <xdr:spPr>
        <a:xfrm>
          <a:off x="7505139" y="0"/>
          <a:ext cx="4031316" cy="12858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algn="r">
            <a:spcBef>
              <a:spcPts val="0"/>
            </a:spcBef>
            <a:spcAft>
              <a:spcPts val="0"/>
            </a:spcAft>
          </a:pPr>
          <a:r>
            <a:rPr lang="en-US" sz="2000">
              <a:effectLst/>
              <a:latin typeface="Calibri" panose="020F0502020204030204" pitchFamily="34" charset="0"/>
              <a:ea typeface="Times New Roman" panose="02020603050405020304" pitchFamily="18" charset="0"/>
              <a:cs typeface="Times New Roman" panose="02020603050405020304" pitchFamily="18" charset="0"/>
            </a:rPr>
            <a:t>Estimating air emissions from external floating roof storage tanks</a:t>
          </a:r>
        </a:p>
        <a:p>
          <a:pPr marL="0" marR="0" algn="r">
            <a:spcBef>
              <a:spcPts val="0"/>
            </a:spcBef>
            <a:spcAft>
              <a:spcPts val="0"/>
            </a:spcAft>
            <a:tabLst>
              <a:tab pos="4560570" algn="r"/>
            </a:tabLst>
          </a:pPr>
          <a:r>
            <a:rPr lang="en-US" sz="1000">
              <a:effectLst/>
              <a:latin typeface="Arial Black" panose="020B0A04020102020204" pitchFamily="34" charset="0"/>
              <a:ea typeface="Times New Roman" panose="02020603050405020304" pitchFamily="18" charset="0"/>
              <a:cs typeface="Times New Roman" panose="02020603050405020304" pitchFamily="18" charset="0"/>
            </a:rPr>
            <a:t>Air Quality Permits Program</a:t>
          </a:r>
        </a:p>
        <a:p>
          <a:pPr marL="0" marR="0" algn="r">
            <a:spcBef>
              <a:spcPts val="100"/>
            </a:spcBef>
            <a:spcAft>
              <a:spcPts val="0"/>
            </a:spcAft>
            <a:tabLst>
              <a:tab pos="4560570" algn="r"/>
            </a:tabLst>
          </a:pPr>
          <a:endParaRPr lang="en-US" sz="600">
            <a:effectLst/>
            <a:latin typeface="Calibri" panose="020F0502020204030204" pitchFamily="34" charset="0"/>
            <a:ea typeface="Times New Roman" panose="02020603050405020304" pitchFamily="18" charset="0"/>
            <a:cs typeface="Times New Roman" panose="02020603050405020304" pitchFamily="18" charset="0"/>
          </a:endParaRPr>
        </a:p>
        <a:p>
          <a:pPr algn="r"/>
          <a:r>
            <a:rPr lang="en-US" sz="800" i="1">
              <a:effectLst/>
              <a:latin typeface="Arial" panose="020B0604020202020204" pitchFamily="34" charset="0"/>
              <a:ea typeface="Times New Roman" panose="02020603050405020304" pitchFamily="18" charset="0"/>
              <a:cs typeface="Times New Roman" panose="02020603050405020304" pitchFamily="18" charset="0"/>
            </a:rPr>
            <a:t>Doc Type: Permit Calculations</a:t>
          </a:r>
        </a:p>
        <a:p>
          <a:pPr algn="r"/>
          <a:endParaRPr lang="en-US" sz="200" b="0" i="1">
            <a:latin typeface="Arial" pitchFamily="34" charset="0"/>
            <a:cs typeface="Arial" pitchFamily="34" charset="0"/>
          </a:endParaRPr>
        </a:p>
        <a:p>
          <a:pPr algn="r"/>
          <a:r>
            <a:rPr lang="en-US" sz="800" b="0" i="1">
              <a:latin typeface="Arial" pitchFamily="34" charset="0"/>
              <a:cs typeface="Arial" pitchFamily="34" charset="0"/>
            </a:rPr>
            <a:t>aq6-13 (5/26/23)</a:t>
          </a:r>
        </a:p>
      </xdr:txBody>
    </xdr:sp>
    <xdr:clientData/>
  </xdr:twoCellAnchor>
  <xdr:twoCellAnchor editAs="oneCell">
    <xdr:from>
      <xdr:col>0</xdr:col>
      <xdr:colOff>0</xdr:colOff>
      <xdr:row>0</xdr:row>
      <xdr:rowOff>100854</xdr:rowOff>
    </xdr:from>
    <xdr:to>
      <xdr:col>1</xdr:col>
      <xdr:colOff>1718422</xdr:colOff>
      <xdr:row>0</xdr:row>
      <xdr:rowOff>786654</xdr:rowOff>
    </xdr:to>
    <xdr:pic>
      <xdr:nvPicPr>
        <xdr:cNvPr id="6" name="Picture 5" descr="Minnesota Pollution Control Agency (MPCA), 520 Lafayette Road North, St. Paul, MN 55155-4194" title="Image of MPCA logo with St. Paul office address">
          <a:extLst>
            <a:ext uri="{FF2B5EF4-FFF2-40B4-BE49-F238E27FC236}">
              <a16:creationId xmlns:a16="http://schemas.microsoft.com/office/drawing/2014/main" id="{00000000-0008-0000-0000-000006000000}"/>
            </a:ext>
          </a:extLst>
        </xdr:cNvPr>
        <xdr:cNvPicPr/>
      </xdr:nvPicPr>
      <xdr:blipFill>
        <a:blip xmlns:r="http://schemas.openxmlformats.org/officeDocument/2006/relationships" r:embed="rId1"/>
        <a:srcRect/>
        <a:stretch>
          <a:fillRect/>
        </a:stretch>
      </xdr:blipFill>
      <xdr:spPr bwMode="auto">
        <a:xfrm>
          <a:off x="0" y="100854"/>
          <a:ext cx="2390775" cy="68580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28575</xdr:rowOff>
    </xdr:from>
    <xdr:to>
      <xdr:col>1</xdr:col>
      <xdr:colOff>1209675</xdr:colOff>
      <xdr:row>2</xdr:row>
      <xdr:rowOff>28575</xdr:rowOff>
    </xdr:to>
    <xdr:sp macro="" textlink="">
      <xdr:nvSpPr>
        <xdr:cNvPr id="2" name="Rectangle 1">
          <a:extLst>
            <a:ext uri="{FF2B5EF4-FFF2-40B4-BE49-F238E27FC236}">
              <a16:creationId xmlns:a16="http://schemas.microsoft.com/office/drawing/2014/main" id="{00000000-0008-0000-0100-000002000000}"/>
            </a:ext>
          </a:extLst>
        </xdr:cNvPr>
        <xdr:cNvSpPr/>
      </xdr:nvSpPr>
      <xdr:spPr>
        <a:xfrm>
          <a:off x="0" y="28575"/>
          <a:ext cx="1819275" cy="2381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45720" tIns="0" rtlCol="0" anchor="t"/>
        <a:lstStyle/>
        <a:p>
          <a:pPr algn="l"/>
          <a:r>
            <a:rPr lang="en-US" sz="1400" b="1">
              <a:solidFill>
                <a:sysClr val="windowText" lastClr="000000"/>
              </a:solidFill>
            </a:rPr>
            <a:t>Emissions calculation</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14</xdr:col>
      <xdr:colOff>80962</xdr:colOff>
      <xdr:row>0</xdr:row>
      <xdr:rowOff>166009</xdr:rowOff>
    </xdr:from>
    <xdr:to>
      <xdr:col>24</xdr:col>
      <xdr:colOff>358548</xdr:colOff>
      <xdr:row>256</xdr:row>
      <xdr:rowOff>81304</xdr:rowOff>
    </xdr:to>
    <xdr:grpSp>
      <xdr:nvGrpSpPr>
        <xdr:cNvPr id="15" name="Group 14">
          <a:extLst>
            <a:ext uri="{FF2B5EF4-FFF2-40B4-BE49-F238E27FC236}">
              <a16:creationId xmlns:a16="http://schemas.microsoft.com/office/drawing/2014/main" id="{00000000-0008-0000-0300-00000F000000}"/>
            </a:ext>
          </a:extLst>
        </xdr:cNvPr>
        <xdr:cNvGrpSpPr/>
      </xdr:nvGrpSpPr>
      <xdr:grpSpPr>
        <a:xfrm>
          <a:off x="12339637" y="166009"/>
          <a:ext cx="6373586" cy="54817395"/>
          <a:chOff x="12381819" y="166009"/>
          <a:chExt cx="6400800" cy="54357474"/>
        </a:xfrm>
      </xdr:grpSpPr>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12381819" y="166009"/>
            <a:ext cx="6400800" cy="5794322"/>
          </a:xfrm>
          <a:prstGeom prst="rect">
            <a:avLst/>
          </a:prstGeom>
        </xdr:spPr>
      </xdr:pic>
      <xdr:pic>
        <xdr:nvPicPr>
          <xdr:cNvPr id="3" name="Picture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a:stretch>
            <a:fillRect/>
          </a:stretch>
        </xdr:blipFill>
        <xdr:spPr>
          <a:xfrm>
            <a:off x="12381819" y="5979796"/>
            <a:ext cx="6400800" cy="2383017"/>
          </a:xfrm>
          <a:prstGeom prst="rect">
            <a:avLst/>
          </a:prstGeom>
        </xdr:spPr>
      </xdr:pic>
      <xdr:pic>
        <xdr:nvPicPr>
          <xdr:cNvPr id="4" name="Picture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3"/>
          <a:stretch>
            <a:fillRect/>
          </a:stretch>
        </xdr:blipFill>
        <xdr:spPr>
          <a:xfrm>
            <a:off x="12381819" y="8386361"/>
            <a:ext cx="6400800" cy="5070342"/>
          </a:xfrm>
          <a:prstGeom prst="rect">
            <a:avLst/>
          </a:prstGeom>
        </xdr:spPr>
      </xdr:pic>
      <xdr:pic>
        <xdr:nvPicPr>
          <xdr:cNvPr id="5" name="Picture 4">
            <a:extLst>
              <a:ext uri="{FF2B5EF4-FFF2-40B4-BE49-F238E27FC236}">
                <a16:creationId xmlns:a16="http://schemas.microsoft.com/office/drawing/2014/main" id="{00000000-0008-0000-0300-000005000000}"/>
              </a:ext>
            </a:extLst>
          </xdr:cNvPr>
          <xdr:cNvPicPr>
            <a:picLocks noChangeAspect="1"/>
          </xdr:cNvPicPr>
        </xdr:nvPicPr>
        <xdr:blipFill>
          <a:blip xmlns:r="http://schemas.openxmlformats.org/officeDocument/2006/relationships" r:embed="rId4"/>
          <a:stretch>
            <a:fillRect/>
          </a:stretch>
        </xdr:blipFill>
        <xdr:spPr>
          <a:xfrm>
            <a:off x="12381819" y="13470047"/>
            <a:ext cx="6400800" cy="3517997"/>
          </a:xfrm>
          <a:prstGeom prst="rect">
            <a:avLst/>
          </a:prstGeom>
        </xdr:spPr>
      </xdr:pic>
      <xdr:pic>
        <xdr:nvPicPr>
          <xdr:cNvPr id="6" name="Picture 5">
            <a:extLst>
              <a:ext uri="{FF2B5EF4-FFF2-40B4-BE49-F238E27FC236}">
                <a16:creationId xmlns:a16="http://schemas.microsoft.com/office/drawing/2014/main" id="{00000000-0008-0000-0300-000006000000}"/>
              </a:ext>
            </a:extLst>
          </xdr:cNvPr>
          <xdr:cNvPicPr>
            <a:picLocks noChangeAspect="1"/>
          </xdr:cNvPicPr>
        </xdr:nvPicPr>
        <xdr:blipFill>
          <a:blip xmlns:r="http://schemas.openxmlformats.org/officeDocument/2006/relationships" r:embed="rId5"/>
          <a:stretch>
            <a:fillRect/>
          </a:stretch>
        </xdr:blipFill>
        <xdr:spPr>
          <a:xfrm>
            <a:off x="12381819" y="16991181"/>
            <a:ext cx="6400800" cy="4884178"/>
          </a:xfrm>
          <a:prstGeom prst="rect">
            <a:avLst/>
          </a:prstGeom>
        </xdr:spPr>
      </xdr:pic>
      <xdr:pic>
        <xdr:nvPicPr>
          <xdr:cNvPr id="7" name="Picture 6">
            <a:extLst>
              <a:ext uri="{FF2B5EF4-FFF2-40B4-BE49-F238E27FC236}">
                <a16:creationId xmlns:a16="http://schemas.microsoft.com/office/drawing/2014/main" id="{00000000-0008-0000-0300-000007000000}"/>
              </a:ext>
            </a:extLst>
          </xdr:cNvPr>
          <xdr:cNvPicPr>
            <a:picLocks noChangeAspect="1"/>
          </xdr:cNvPicPr>
        </xdr:nvPicPr>
        <xdr:blipFill>
          <a:blip xmlns:r="http://schemas.openxmlformats.org/officeDocument/2006/relationships" r:embed="rId6"/>
          <a:stretch>
            <a:fillRect/>
          </a:stretch>
        </xdr:blipFill>
        <xdr:spPr>
          <a:xfrm>
            <a:off x="12381819" y="21898909"/>
            <a:ext cx="6400800" cy="4682519"/>
          </a:xfrm>
          <a:prstGeom prst="rect">
            <a:avLst/>
          </a:prstGeom>
        </xdr:spPr>
      </xdr:pic>
      <xdr:pic>
        <xdr:nvPicPr>
          <xdr:cNvPr id="8" name="Picture 7">
            <a:extLst>
              <a:ext uri="{FF2B5EF4-FFF2-40B4-BE49-F238E27FC236}">
                <a16:creationId xmlns:a16="http://schemas.microsoft.com/office/drawing/2014/main" id="{00000000-0008-0000-0300-000008000000}"/>
              </a:ext>
            </a:extLst>
          </xdr:cNvPr>
          <xdr:cNvPicPr>
            <a:picLocks noChangeAspect="1"/>
          </xdr:cNvPicPr>
        </xdr:nvPicPr>
        <xdr:blipFill>
          <a:blip xmlns:r="http://schemas.openxmlformats.org/officeDocument/2006/relationships" r:embed="rId7"/>
          <a:stretch>
            <a:fillRect/>
          </a:stretch>
        </xdr:blipFill>
        <xdr:spPr>
          <a:xfrm>
            <a:off x="12381819" y="26587968"/>
            <a:ext cx="6400800" cy="3822473"/>
          </a:xfrm>
          <a:prstGeom prst="rect">
            <a:avLst/>
          </a:prstGeom>
        </xdr:spPr>
      </xdr:pic>
      <xdr:pic>
        <xdr:nvPicPr>
          <xdr:cNvPr id="9" name="Picture 8">
            <a:extLst>
              <a:ext uri="{FF2B5EF4-FFF2-40B4-BE49-F238E27FC236}">
                <a16:creationId xmlns:a16="http://schemas.microsoft.com/office/drawing/2014/main" id="{00000000-0008-0000-0300-000009000000}"/>
              </a:ext>
            </a:extLst>
          </xdr:cNvPr>
          <xdr:cNvPicPr>
            <a:picLocks noChangeAspect="1"/>
          </xdr:cNvPicPr>
        </xdr:nvPicPr>
        <xdr:blipFill>
          <a:blip xmlns:r="http://schemas.openxmlformats.org/officeDocument/2006/relationships" r:embed="rId8"/>
          <a:stretch>
            <a:fillRect/>
          </a:stretch>
        </xdr:blipFill>
        <xdr:spPr>
          <a:xfrm>
            <a:off x="12381819" y="30430588"/>
            <a:ext cx="6400800" cy="3122541"/>
          </a:xfrm>
          <a:prstGeom prst="rect">
            <a:avLst/>
          </a:prstGeom>
        </xdr:spPr>
      </xdr:pic>
      <xdr:pic>
        <xdr:nvPicPr>
          <xdr:cNvPr id="10" name="Picture 9">
            <a:extLst>
              <a:ext uri="{FF2B5EF4-FFF2-40B4-BE49-F238E27FC236}">
                <a16:creationId xmlns:a16="http://schemas.microsoft.com/office/drawing/2014/main" id="{00000000-0008-0000-0300-00000A000000}"/>
              </a:ext>
            </a:extLst>
          </xdr:cNvPr>
          <xdr:cNvPicPr>
            <a:picLocks noChangeAspect="1"/>
          </xdr:cNvPicPr>
        </xdr:nvPicPr>
        <xdr:blipFill>
          <a:blip xmlns:r="http://schemas.openxmlformats.org/officeDocument/2006/relationships" r:embed="rId9"/>
          <a:stretch>
            <a:fillRect/>
          </a:stretch>
        </xdr:blipFill>
        <xdr:spPr>
          <a:xfrm>
            <a:off x="12381819" y="33563071"/>
            <a:ext cx="6400800" cy="5630409"/>
          </a:xfrm>
          <a:prstGeom prst="rect">
            <a:avLst/>
          </a:prstGeom>
        </xdr:spPr>
      </xdr:pic>
      <xdr:pic>
        <xdr:nvPicPr>
          <xdr:cNvPr id="11" name="Picture 10">
            <a:extLst>
              <a:ext uri="{FF2B5EF4-FFF2-40B4-BE49-F238E27FC236}">
                <a16:creationId xmlns:a16="http://schemas.microsoft.com/office/drawing/2014/main" id="{00000000-0008-0000-0300-00000B000000}"/>
              </a:ext>
            </a:extLst>
          </xdr:cNvPr>
          <xdr:cNvPicPr>
            <a:picLocks noChangeAspect="1"/>
          </xdr:cNvPicPr>
        </xdr:nvPicPr>
        <xdr:blipFill>
          <a:blip xmlns:r="http://schemas.openxmlformats.org/officeDocument/2006/relationships" r:embed="rId10"/>
          <a:stretch>
            <a:fillRect/>
          </a:stretch>
        </xdr:blipFill>
        <xdr:spPr>
          <a:xfrm>
            <a:off x="12381819" y="39203422"/>
            <a:ext cx="6400800" cy="2915377"/>
          </a:xfrm>
          <a:prstGeom prst="rect">
            <a:avLst/>
          </a:prstGeom>
        </xdr:spPr>
      </xdr:pic>
      <xdr:pic>
        <xdr:nvPicPr>
          <xdr:cNvPr id="12" name="Picture 11">
            <a:extLst>
              <a:ext uri="{FF2B5EF4-FFF2-40B4-BE49-F238E27FC236}">
                <a16:creationId xmlns:a16="http://schemas.microsoft.com/office/drawing/2014/main" id="{00000000-0008-0000-0300-00000C000000}"/>
              </a:ext>
            </a:extLst>
          </xdr:cNvPr>
          <xdr:cNvPicPr>
            <a:picLocks noChangeAspect="1"/>
          </xdr:cNvPicPr>
        </xdr:nvPicPr>
        <xdr:blipFill>
          <a:blip xmlns:r="http://schemas.openxmlformats.org/officeDocument/2006/relationships" r:embed="rId11"/>
          <a:stretch>
            <a:fillRect/>
          </a:stretch>
        </xdr:blipFill>
        <xdr:spPr>
          <a:xfrm>
            <a:off x="12381819" y="42121937"/>
            <a:ext cx="6400800" cy="5445940"/>
          </a:xfrm>
          <a:prstGeom prst="rect">
            <a:avLst/>
          </a:prstGeom>
        </xdr:spPr>
      </xdr:pic>
      <xdr:pic>
        <xdr:nvPicPr>
          <xdr:cNvPr id="13" name="Picture 12">
            <a:extLst>
              <a:ext uri="{FF2B5EF4-FFF2-40B4-BE49-F238E27FC236}">
                <a16:creationId xmlns:a16="http://schemas.microsoft.com/office/drawing/2014/main" id="{00000000-0008-0000-0300-00000D000000}"/>
              </a:ext>
            </a:extLst>
          </xdr:cNvPr>
          <xdr:cNvPicPr>
            <a:picLocks noChangeAspect="1"/>
          </xdr:cNvPicPr>
        </xdr:nvPicPr>
        <xdr:blipFill>
          <a:blip xmlns:r="http://schemas.openxmlformats.org/officeDocument/2006/relationships" r:embed="rId12"/>
          <a:stretch>
            <a:fillRect/>
          </a:stretch>
        </xdr:blipFill>
        <xdr:spPr>
          <a:xfrm>
            <a:off x="12381819" y="47588025"/>
            <a:ext cx="6400800" cy="5230414"/>
          </a:xfrm>
          <a:prstGeom prst="rect">
            <a:avLst/>
          </a:prstGeom>
        </xdr:spPr>
      </xdr:pic>
      <xdr:pic>
        <xdr:nvPicPr>
          <xdr:cNvPr id="14" name="Picture 13">
            <a:extLst>
              <a:ext uri="{FF2B5EF4-FFF2-40B4-BE49-F238E27FC236}">
                <a16:creationId xmlns:a16="http://schemas.microsoft.com/office/drawing/2014/main" id="{00000000-0008-0000-0300-00000E000000}"/>
              </a:ext>
            </a:extLst>
          </xdr:cNvPr>
          <xdr:cNvPicPr>
            <a:picLocks noChangeAspect="1"/>
          </xdr:cNvPicPr>
        </xdr:nvPicPr>
        <xdr:blipFill>
          <a:blip xmlns:r="http://schemas.openxmlformats.org/officeDocument/2006/relationships" r:embed="rId13"/>
          <a:stretch>
            <a:fillRect/>
          </a:stretch>
        </xdr:blipFill>
        <xdr:spPr>
          <a:xfrm>
            <a:off x="12381819" y="52831785"/>
            <a:ext cx="6400800" cy="1691698"/>
          </a:xfrm>
          <a:prstGeom prst="rect">
            <a:avLst/>
          </a:prstGeom>
        </xdr:spPr>
      </xdr:pic>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3.epa.gov/ttn/chief/ap42/ch07/" TargetMode="External"/><Relationship Id="rId1" Type="http://schemas.openxmlformats.org/officeDocument/2006/relationships/hyperlink" Target="https://www3.epa.gov/ttn/chief/ap42/ch07/final/c07s01.pdf"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D1EAFF"/>
    <pageSetUpPr fitToPage="1"/>
  </sheetPr>
  <dimension ref="A1:Y70"/>
  <sheetViews>
    <sheetView showGridLines="0" tabSelected="1" zoomScaleNormal="100" workbookViewId="0">
      <selection activeCell="B3" sqref="B3"/>
    </sheetView>
  </sheetViews>
  <sheetFormatPr defaultRowHeight="15" x14ac:dyDescent="0.25"/>
  <cols>
    <col min="1" max="1" width="10.140625" style="4" customWidth="1"/>
    <col min="2" max="2" width="59.85546875" style="4" customWidth="1"/>
    <col min="3" max="3" width="79.85546875" style="4" customWidth="1"/>
    <col min="4" max="4" width="23.42578125" style="6" customWidth="1"/>
    <col min="5" max="5" width="25.7109375" style="10" customWidth="1"/>
    <col min="6" max="6" width="19.5703125" style="6" customWidth="1"/>
    <col min="7" max="7" width="18.140625" style="4" bestFit="1" customWidth="1"/>
    <col min="8" max="8" width="23.5703125" style="4" bestFit="1" customWidth="1"/>
    <col min="9" max="9" width="18.5703125" style="4" customWidth="1"/>
    <col min="10" max="10" width="26.85546875" style="4" customWidth="1"/>
    <col min="11" max="11" width="21.7109375" style="4" customWidth="1"/>
    <col min="12" max="12" width="21.7109375" style="5" customWidth="1"/>
    <col min="13" max="13" width="10" style="27" bestFit="1" customWidth="1"/>
    <col min="14" max="14" width="27.7109375" style="28" customWidth="1"/>
    <col min="15" max="18" width="9.140625" style="28" customWidth="1"/>
    <col min="19" max="25" width="9.140625" style="20"/>
    <col min="26" max="16384" width="9.140625" style="4"/>
  </cols>
  <sheetData>
    <row r="1" spans="1:16" ht="95.25" customHeight="1" x14ac:dyDescent="0.25">
      <c r="A1" s="1"/>
      <c r="B1" s="1"/>
      <c r="C1" s="97"/>
      <c r="D1" s="1"/>
      <c r="E1" s="8"/>
      <c r="F1" s="3"/>
      <c r="G1" s="3"/>
      <c r="H1" s="3"/>
      <c r="I1" s="3"/>
      <c r="M1" s="98"/>
    </row>
    <row r="2" spans="1:16" ht="30" customHeight="1" x14ac:dyDescent="0.25">
      <c r="A2" s="79"/>
      <c r="B2" s="79"/>
      <c r="C2" s="319" t="s">
        <v>648</v>
      </c>
      <c r="D2" s="319"/>
      <c r="E2" s="319"/>
      <c r="F2" s="73"/>
      <c r="G2" s="73"/>
      <c r="H2" s="73"/>
      <c r="I2" s="73"/>
      <c r="J2" s="20"/>
      <c r="K2" s="20"/>
      <c r="L2" s="11"/>
    </row>
    <row r="3" spans="1:16" ht="30" customHeight="1" x14ac:dyDescent="0.25">
      <c r="A3" s="74" t="s">
        <v>59</v>
      </c>
      <c r="B3" s="75"/>
      <c r="C3" s="319"/>
      <c r="D3" s="319"/>
      <c r="E3" s="319"/>
      <c r="F3" s="73"/>
      <c r="G3" s="73"/>
      <c r="H3" s="73"/>
      <c r="I3" s="73"/>
      <c r="J3" s="20"/>
      <c r="K3" s="20"/>
      <c r="L3" s="11"/>
    </row>
    <row r="4" spans="1:16" ht="30" customHeight="1" x14ac:dyDescent="0.25">
      <c r="A4" s="74" t="s">
        <v>835</v>
      </c>
      <c r="B4" s="75"/>
      <c r="C4" s="319"/>
      <c r="D4" s="319"/>
      <c r="E4" s="319"/>
      <c r="F4" s="73"/>
      <c r="G4" s="73"/>
      <c r="H4" s="73"/>
      <c r="I4" s="73"/>
      <c r="J4" s="20"/>
      <c r="K4" s="20"/>
      <c r="L4" s="11"/>
    </row>
    <row r="5" spans="1:16" ht="30" customHeight="1" x14ac:dyDescent="0.25">
      <c r="A5" s="74" t="s">
        <v>60</v>
      </c>
      <c r="B5" s="318"/>
      <c r="C5" s="319"/>
      <c r="D5" s="319"/>
      <c r="E5" s="319"/>
      <c r="F5" s="73"/>
      <c r="G5" s="73"/>
      <c r="H5" s="73"/>
      <c r="I5" s="73"/>
      <c r="J5" s="20"/>
      <c r="K5" s="20"/>
      <c r="L5" s="11"/>
    </row>
    <row r="6" spans="1:16" x14ac:dyDescent="0.25">
      <c r="A6" s="329" t="s">
        <v>830</v>
      </c>
      <c r="B6" s="329"/>
      <c r="C6" s="329"/>
      <c r="D6" s="329"/>
      <c r="E6" s="9"/>
      <c r="F6" s="73"/>
      <c r="G6" s="73"/>
      <c r="H6" s="73"/>
      <c r="I6" s="73"/>
      <c r="J6" s="20"/>
      <c r="K6" s="20"/>
      <c r="L6" s="11"/>
    </row>
    <row r="7" spans="1:16" x14ac:dyDescent="0.25">
      <c r="A7" s="80" t="s">
        <v>739</v>
      </c>
      <c r="B7" s="80"/>
      <c r="C7" s="80"/>
      <c r="D7" s="76"/>
      <c r="E7" s="9"/>
      <c r="F7" s="73"/>
      <c r="G7" s="73"/>
      <c r="H7" s="73"/>
      <c r="I7" s="73"/>
      <c r="J7" s="20"/>
      <c r="K7" s="20"/>
      <c r="L7" s="11"/>
    </row>
    <row r="8" spans="1:16" x14ac:dyDescent="0.25">
      <c r="A8" s="20"/>
      <c r="B8" s="11" t="s">
        <v>647</v>
      </c>
      <c r="C8" s="81"/>
      <c r="D8" s="76"/>
      <c r="E8" s="26" t="str">
        <f t="shared" ref="E8:E9" si="0">IF(C8=0,"ERROR - COMPLETE "&amp;B8,"")</f>
        <v>ERROR - COMPLETE 1. Tank subject item ID (e.g. EQUI 1)</v>
      </c>
      <c r="F8" s="73"/>
      <c r="G8" s="73"/>
      <c r="H8" s="73"/>
      <c r="I8" s="73"/>
      <c r="J8" s="20"/>
      <c r="K8" s="20"/>
      <c r="L8" s="11"/>
    </row>
    <row r="9" spans="1:16" x14ac:dyDescent="0.25">
      <c r="A9" s="20"/>
      <c r="B9" s="11" t="s">
        <v>145</v>
      </c>
      <c r="C9" s="81"/>
      <c r="D9" s="76"/>
      <c r="E9" s="26" t="str">
        <f t="shared" si="0"/>
        <v>ERROR - COMPLETE 2. Tank designation (e.g. TK001)</v>
      </c>
      <c r="F9" s="77"/>
      <c r="G9" s="73"/>
      <c r="H9" s="73"/>
      <c r="I9" s="73"/>
      <c r="J9" s="20"/>
      <c r="K9" s="20"/>
      <c r="L9" s="11"/>
    </row>
    <row r="10" spans="1:16" x14ac:dyDescent="0.25">
      <c r="A10" s="20"/>
      <c r="B10" s="11" t="s">
        <v>146</v>
      </c>
      <c r="C10" s="82"/>
      <c r="D10" s="83" t="s">
        <v>92</v>
      </c>
      <c r="E10" s="26" t="str">
        <f>IF(C10=0,"ERROR - COMPLETE "&amp;B10,"")</f>
        <v>ERROR - COMPLETE 3. Tank capacity, gal</v>
      </c>
      <c r="F10" s="77"/>
      <c r="G10" s="77"/>
      <c r="H10" s="73"/>
      <c r="I10" s="73"/>
      <c r="J10" s="20"/>
      <c r="K10" s="20"/>
      <c r="L10" s="11"/>
    </row>
    <row r="11" spans="1:16" x14ac:dyDescent="0.25">
      <c r="A11" s="20"/>
      <c r="B11" s="11" t="s">
        <v>147</v>
      </c>
      <c r="C11" s="81"/>
      <c r="D11" s="78"/>
      <c r="E11" s="26" t="str">
        <f>IF(C11=0,"ERROR - COMPLETE "&amp;B11,"")</f>
        <v>ERROR - COMPLETE 4. Product(s) stored</v>
      </c>
      <c r="F11" s="77"/>
      <c r="G11" s="77"/>
      <c r="H11" s="73"/>
      <c r="I11" s="73"/>
      <c r="J11" s="20"/>
      <c r="K11" s="20"/>
      <c r="L11" s="11"/>
      <c r="M11" s="84">
        <f>IF(MROUND(C15,50)&lt;50,50,MROUND(C15,50))</f>
        <v>50</v>
      </c>
      <c r="N11" s="85" t="s">
        <v>180</v>
      </c>
      <c r="O11" s="85"/>
    </row>
    <row r="12" spans="1:16" x14ac:dyDescent="0.25">
      <c r="A12" s="11"/>
      <c r="B12" s="11" t="s">
        <v>148</v>
      </c>
      <c r="C12" s="86"/>
      <c r="D12" s="258" t="s">
        <v>154</v>
      </c>
      <c r="E12" s="26" t="str">
        <f>IF(C12=0,"ERROR - COMPLETE "&amp;B12,"")</f>
        <v>ERROR - COMPLETE 5. Closest nearby city</v>
      </c>
      <c r="F12" s="77"/>
      <c r="G12" s="77"/>
      <c r="H12" s="73"/>
      <c r="I12" s="73"/>
      <c r="J12" s="20"/>
      <c r="K12" s="20"/>
      <c r="L12" s="11"/>
      <c r="M12" s="84">
        <f>IF(MROUND(C15,10)&lt;30,30,MROUND(C15,10))</f>
        <v>30</v>
      </c>
      <c r="N12" s="85" t="s">
        <v>181</v>
      </c>
      <c r="O12" s="87"/>
    </row>
    <row r="13" spans="1:16" x14ac:dyDescent="0.25">
      <c r="A13" s="20"/>
      <c r="B13" s="20"/>
      <c r="C13" s="20"/>
      <c r="D13" s="47"/>
      <c r="E13" s="47"/>
      <c r="F13" s="47"/>
      <c r="G13" s="20"/>
      <c r="H13" s="20"/>
      <c r="I13" s="20"/>
      <c r="J13" s="20"/>
      <c r="K13" s="20"/>
      <c r="L13" s="11"/>
      <c r="M13" s="84"/>
      <c r="N13" s="85" t="s">
        <v>172</v>
      </c>
      <c r="O13" s="85" t="s">
        <v>173</v>
      </c>
    </row>
    <row r="14" spans="1:16" ht="18.75" x14ac:dyDescent="0.3">
      <c r="A14" s="282" t="s">
        <v>627</v>
      </c>
      <c r="B14" s="20"/>
      <c r="C14" s="20"/>
      <c r="D14" s="47"/>
      <c r="E14" s="47"/>
      <c r="F14" s="47"/>
      <c r="G14" s="20"/>
      <c r="H14" s="20"/>
      <c r="I14" s="20"/>
      <c r="J14" s="20"/>
      <c r="K14" s="20"/>
      <c r="L14" s="11"/>
    </row>
    <row r="15" spans="1:16" x14ac:dyDescent="0.25">
      <c r="A15" s="11"/>
      <c r="B15" s="11" t="s">
        <v>628</v>
      </c>
      <c r="C15" s="50"/>
      <c r="D15" s="24" t="s">
        <v>13</v>
      </c>
      <c r="E15" s="26" t="str">
        <f>IF(C15=0,"ERROR - COMPLETE "&amp;B15,"")</f>
        <v>ERROR - COMPLETE 6. Tank diameter, ft</v>
      </c>
      <c r="F15" s="72"/>
      <c r="G15" s="11"/>
      <c r="H15" s="20"/>
      <c r="I15" s="20"/>
      <c r="J15" s="20"/>
      <c r="K15" s="20"/>
      <c r="L15" s="11"/>
      <c r="M15" s="27" t="s">
        <v>149</v>
      </c>
      <c r="N15" s="28">
        <v>3</v>
      </c>
      <c r="O15" s="28" t="e">
        <f>VLOOKUP(C18,M15:N17,2)</f>
        <v>#N/A</v>
      </c>
      <c r="P15" s="28" t="s">
        <v>150</v>
      </c>
    </row>
    <row r="16" spans="1:16" x14ac:dyDescent="0.25">
      <c r="A16" s="11"/>
      <c r="B16" s="12" t="s">
        <v>233</v>
      </c>
      <c r="C16" s="50"/>
      <c r="D16" s="24"/>
      <c r="E16" s="26" t="str">
        <f>IF(C16=0,"ERROR - COMPLETE "&amp;B16,"")</f>
        <v>ERROR - COMPLETE 7. Does the tank have a fixed domed roof? (Yes/No)</v>
      </c>
      <c r="F16" s="72"/>
      <c r="G16" s="11"/>
      <c r="H16" s="20"/>
      <c r="I16" s="20"/>
      <c r="J16" s="20"/>
      <c r="K16" s="20"/>
      <c r="L16" s="11"/>
      <c r="M16" s="27" t="s">
        <v>143</v>
      </c>
      <c r="N16" s="28">
        <v>4</v>
      </c>
      <c r="P16" s="28" t="s">
        <v>151</v>
      </c>
    </row>
    <row r="17" spans="1:25" x14ac:dyDescent="0.25">
      <c r="A17" s="11"/>
      <c r="B17" s="12" t="s">
        <v>629</v>
      </c>
      <c r="C17" s="50"/>
      <c r="D17" s="325" t="s">
        <v>144</v>
      </c>
      <c r="E17" s="26" t="str">
        <f t="shared" ref="E17:E18" si="1">IF(C17=0,"ERROR - COMPLETE "&amp;B17,"")</f>
        <v>ERROR - COMPLETE 8. Tank color</v>
      </c>
      <c r="F17" s="72"/>
      <c r="G17" s="11"/>
      <c r="H17" s="20"/>
      <c r="I17" s="20"/>
      <c r="J17" s="20"/>
      <c r="K17" s="20"/>
      <c r="L17" s="11"/>
      <c r="M17" s="27" t="s">
        <v>152</v>
      </c>
      <c r="N17" s="28">
        <v>5</v>
      </c>
    </row>
    <row r="18" spans="1:25" x14ac:dyDescent="0.25">
      <c r="A18" s="11"/>
      <c r="B18" s="12" t="s">
        <v>630</v>
      </c>
      <c r="C18" s="50"/>
      <c r="D18" s="325"/>
      <c r="E18" s="26" t="str">
        <f t="shared" si="1"/>
        <v>ERROR - COMPLETE 9. Tank reflective condition</v>
      </c>
      <c r="F18" s="72"/>
      <c r="G18" s="11"/>
      <c r="H18" s="20"/>
      <c r="I18" s="20"/>
      <c r="J18" s="20"/>
      <c r="K18" s="20"/>
      <c r="L18" s="11"/>
    </row>
    <row r="19" spans="1:25" ht="18" customHeight="1" x14ac:dyDescent="0.25">
      <c r="A19" s="20"/>
      <c r="B19" s="13" t="s">
        <v>179</v>
      </c>
      <c r="C19" s="88" t="e">
        <f>VLOOKUP(C17,'Reference Tables'!A7:E20,O15)</f>
        <v>#N/A</v>
      </c>
      <c r="D19" s="24" t="s">
        <v>2</v>
      </c>
      <c r="E19" s="26"/>
      <c r="F19" s="25"/>
      <c r="G19" s="89"/>
      <c r="H19" s="90"/>
      <c r="I19" s="91"/>
      <c r="J19" s="91"/>
      <c r="K19" s="91"/>
      <c r="L19" s="91"/>
    </row>
    <row r="20" spans="1:25" ht="18" customHeight="1" x14ac:dyDescent="0.25">
      <c r="A20" s="11"/>
      <c r="B20" s="12" t="s">
        <v>614</v>
      </c>
      <c r="C20" s="59"/>
      <c r="D20" s="324" t="s">
        <v>87</v>
      </c>
      <c r="E20" s="327" t="str">
        <f>IF(OR(C20=0,C21=0),"ERROR - COMPLETE 10. and 11.","")</f>
        <v>ERROR - COMPLETE 10. and 11.</v>
      </c>
      <c r="F20" s="327"/>
      <c r="G20" s="92" t="s">
        <v>625</v>
      </c>
      <c r="H20" s="93" t="s">
        <v>626</v>
      </c>
      <c r="I20" s="92" t="s">
        <v>0</v>
      </c>
      <c r="J20" s="11"/>
      <c r="K20" s="11"/>
      <c r="L20" s="11"/>
      <c r="N20" s="27" t="s">
        <v>100</v>
      </c>
      <c r="O20" s="27" t="s">
        <v>101</v>
      </c>
    </row>
    <row r="21" spans="1:25" ht="18" customHeight="1" x14ac:dyDescent="0.25">
      <c r="A21" s="11"/>
      <c r="B21" s="11" t="s">
        <v>188</v>
      </c>
      <c r="C21" s="59"/>
      <c r="D21" s="324"/>
      <c r="E21" s="327"/>
      <c r="F21" s="327"/>
      <c r="G21" s="63" t="e">
        <f>VLOOKUP(C21,'Reference Tables'!A99:H110,(3+$M$21))</f>
        <v>#N/A</v>
      </c>
      <c r="H21" s="63" t="e">
        <f>VLOOKUP(C21,'Reference Tables'!A99:H110,(4+$M$21))</f>
        <v>#N/A</v>
      </c>
      <c r="I21" s="94" t="e">
        <f>VLOOKUP(C21,'Reference Tables'!A99:H110,(5+$M$21))</f>
        <v>#N/A</v>
      </c>
      <c r="J21" s="11"/>
      <c r="K21" s="11"/>
      <c r="L21" s="11"/>
      <c r="M21" s="27">
        <f>IF(C20="Tight-fitting",3,0)</f>
        <v>0</v>
      </c>
      <c r="N21" s="27" t="s">
        <v>102</v>
      </c>
      <c r="O21" s="69"/>
      <c r="P21" s="95"/>
    </row>
    <row r="22" spans="1:25" s="5" customFormat="1" ht="18" customHeight="1" x14ac:dyDescent="0.25">
      <c r="A22" s="14"/>
      <c r="B22" s="14" t="s">
        <v>631</v>
      </c>
      <c r="C22" s="96" t="s">
        <v>89</v>
      </c>
      <c r="D22" s="72" t="s">
        <v>40</v>
      </c>
      <c r="E22" s="25"/>
      <c r="F22" s="26"/>
      <c r="G22" s="11"/>
      <c r="H22" s="11"/>
      <c r="I22" s="11"/>
      <c r="J22" s="11"/>
      <c r="K22" s="11"/>
      <c r="L22" s="11"/>
      <c r="M22" s="27"/>
      <c r="N22" s="28"/>
      <c r="O22" s="28"/>
      <c r="P22" s="28"/>
      <c r="Q22" s="28"/>
      <c r="R22" s="28"/>
      <c r="S22" s="11"/>
      <c r="T22" s="11"/>
      <c r="U22" s="11"/>
      <c r="V22" s="11"/>
      <c r="W22" s="11"/>
      <c r="X22" s="11"/>
      <c r="Y22" s="11"/>
    </row>
    <row r="23" spans="1:25" ht="18" customHeight="1" x14ac:dyDescent="0.25">
      <c r="A23" s="11"/>
      <c r="B23" s="11"/>
      <c r="C23" s="57" t="str">
        <f>IF(COUNTBLANK(C24:C33)&gt;0,"ERROR - AN OPTION MUST BE SELECTED FROM EACH DROPDOWN LIST BELOW","")</f>
        <v>ERROR - AN OPTION MUST BE SELECTED FROM EACH DROPDOWN LIST BELOW</v>
      </c>
      <c r="D23" s="25" t="s">
        <v>136</v>
      </c>
      <c r="E23" s="26" t="str">
        <f>IF(COUNTBLANK(E24:E33)=10,"","ERROR - SEE BELOW")</f>
        <v>ERROR - SEE BELOW</v>
      </c>
      <c r="F23" s="25" t="s">
        <v>58</v>
      </c>
      <c r="G23" s="58" t="s">
        <v>623</v>
      </c>
      <c r="H23" s="58" t="s">
        <v>624</v>
      </c>
      <c r="I23" s="58" t="s">
        <v>4</v>
      </c>
      <c r="J23" s="58"/>
      <c r="K23" s="58"/>
      <c r="L23" s="58"/>
    </row>
    <row r="24" spans="1:25" ht="18" customHeight="1" x14ac:dyDescent="0.25">
      <c r="A24" s="279"/>
      <c r="B24" s="15" t="s">
        <v>93</v>
      </c>
      <c r="C24" s="59"/>
      <c r="D24" s="60"/>
      <c r="E24" s="61"/>
      <c r="F24" s="62">
        <v>1</v>
      </c>
      <c r="G24" s="63" t="e">
        <f>VLOOKUP(C24,'Reference Tables'!A139:G142,3)</f>
        <v>#N/A</v>
      </c>
      <c r="H24" s="63" t="e">
        <f>VLOOKUP(C24,'Reference Tables'!A139:G142,5)</f>
        <v>#N/A</v>
      </c>
      <c r="I24" s="64" t="e">
        <f>VLOOKUP(C24,'Reference Tables'!A139:G142,7)</f>
        <v>#N/A</v>
      </c>
      <c r="J24" s="65"/>
      <c r="K24" s="65"/>
      <c r="L24" s="65"/>
    </row>
    <row r="25" spans="1:25" ht="18" customHeight="1" x14ac:dyDescent="0.25">
      <c r="A25" s="279"/>
      <c r="B25" s="15" t="s">
        <v>94</v>
      </c>
      <c r="C25" s="66"/>
      <c r="D25" s="60"/>
      <c r="E25" s="67" t="str">
        <f>IF(AND(F25="#N/A",D25=0),"# OF FITTINGS IS REQUIRED","")</f>
        <v># OF FITTINGS IS REQUIRED</v>
      </c>
      <c r="F25" s="68" t="str">
        <f>IF(C25="M. None",0,"#N/A")</f>
        <v>#N/A</v>
      </c>
      <c r="G25" s="63" t="e">
        <f>VLOOKUP(C25,'Reference Tables'!A145:G158,3)</f>
        <v>#N/A</v>
      </c>
      <c r="H25" s="63" t="e">
        <f>VLOOKUP(C25,'Reference Tables'!A145:G158,5)</f>
        <v>#N/A</v>
      </c>
      <c r="I25" s="64" t="e">
        <f>VLOOKUP(C25,'Reference Tables'!A145:G158,7)</f>
        <v>#N/A</v>
      </c>
      <c r="J25" s="65"/>
      <c r="K25" s="65"/>
      <c r="L25" s="65"/>
    </row>
    <row r="26" spans="1:25" ht="18" customHeight="1" x14ac:dyDescent="0.25">
      <c r="A26" s="279"/>
      <c r="B26" s="15" t="s">
        <v>95</v>
      </c>
      <c r="C26" s="59"/>
      <c r="D26" s="60"/>
      <c r="E26" s="61"/>
      <c r="F26" s="62">
        <v>1</v>
      </c>
      <c r="G26" s="63" t="e">
        <f>VLOOKUP(C26,'Reference Tables'!A161:G164,3)</f>
        <v>#N/A</v>
      </c>
      <c r="H26" s="63" t="e">
        <f>VLOOKUP(C26,'Reference Tables'!A161:G164,5)</f>
        <v>#N/A</v>
      </c>
      <c r="I26" s="64" t="e">
        <f>VLOOKUP(C26,'Reference Tables'!A161:G164,7)</f>
        <v>#N/A</v>
      </c>
      <c r="J26" s="65"/>
      <c r="K26" s="65"/>
      <c r="L26" s="65"/>
    </row>
    <row r="27" spans="1:25" ht="18" customHeight="1" x14ac:dyDescent="0.25">
      <c r="A27" s="279"/>
      <c r="B27" s="15" t="s">
        <v>7</v>
      </c>
      <c r="C27" s="59"/>
      <c r="D27" s="60"/>
      <c r="E27" s="61"/>
      <c r="F27" s="62">
        <v>1</v>
      </c>
      <c r="G27" s="63" t="e">
        <f>VLOOKUP(C27,'Reference Tables'!A167:G170,3)</f>
        <v>#N/A</v>
      </c>
      <c r="H27" s="63" t="e">
        <f>VLOOKUP(C27,'Reference Tables'!A167:G170,5)</f>
        <v>#N/A</v>
      </c>
      <c r="I27" s="64" t="e">
        <f>VLOOKUP(C27,'Reference Tables'!A167:G170,7)</f>
        <v>#N/A</v>
      </c>
      <c r="J27" s="65"/>
      <c r="K27" s="65"/>
      <c r="L27" s="65"/>
    </row>
    <row r="28" spans="1:25" ht="18" customHeight="1" x14ac:dyDescent="0.25">
      <c r="A28" s="279"/>
      <c r="B28" s="15" t="s">
        <v>8</v>
      </c>
      <c r="C28" s="59"/>
      <c r="D28" s="60"/>
      <c r="E28" s="61"/>
      <c r="F28" s="62">
        <f>O28</f>
        <v>1</v>
      </c>
      <c r="G28" s="63" t="e">
        <f>VLOOKUP(C28,'Reference Tables'!A173:G177,3)</f>
        <v>#N/A</v>
      </c>
      <c r="H28" s="63" t="e">
        <f>VLOOKUP(C28,'Reference Tables'!A173:G177,5)</f>
        <v>#N/A</v>
      </c>
      <c r="I28" s="64" t="e">
        <f>VLOOKUP(C28,'Reference Tables'!A173:G177,7)</f>
        <v>#N/A</v>
      </c>
      <c r="J28" s="65"/>
      <c r="K28" s="65"/>
      <c r="L28" s="65"/>
      <c r="M28" s="27">
        <f>IF(ISNUMBER(SEARCH("Pontoon",C28)),2,3)</f>
        <v>3</v>
      </c>
      <c r="N28" s="28" t="s">
        <v>186</v>
      </c>
      <c r="O28" s="69">
        <f>VLOOKUP(M11,'Reference Tables'!A229:D236,M28)</f>
        <v>1</v>
      </c>
      <c r="P28" s="28" t="s">
        <v>187</v>
      </c>
    </row>
    <row r="29" spans="1:25" ht="18" customHeight="1" x14ac:dyDescent="0.25">
      <c r="A29" s="279"/>
      <c r="B29" s="15" t="s">
        <v>182</v>
      </c>
      <c r="C29" s="59"/>
      <c r="D29" s="60"/>
      <c r="E29" s="61"/>
      <c r="F29" s="62">
        <f>VLOOKUP(M11,'Reference Tables'!A229:D236,4)</f>
        <v>1</v>
      </c>
      <c r="G29" s="63" t="e">
        <f>VLOOKUP(C28,'Reference Tables'!A180:G182,3)</f>
        <v>#N/A</v>
      </c>
      <c r="H29" s="63" t="e">
        <f>VLOOKUP(C28,'Reference Tables'!A180:G182,5)</f>
        <v>#N/A</v>
      </c>
      <c r="I29" s="64" t="e">
        <f>VLOOKUP(C28,'Reference Tables'!A180:G182,7)</f>
        <v>#N/A</v>
      </c>
      <c r="J29" s="65"/>
      <c r="K29" s="65"/>
      <c r="L29" s="65"/>
      <c r="O29" s="69"/>
    </row>
    <row r="30" spans="1:25" ht="18" customHeight="1" x14ac:dyDescent="0.25">
      <c r="A30" s="279"/>
      <c r="B30" s="15" t="s">
        <v>183</v>
      </c>
      <c r="C30" s="59"/>
      <c r="D30" s="60"/>
      <c r="E30" s="61"/>
      <c r="F30" s="62">
        <f>IF(C30="E. None",0,M30)</f>
        <v>4</v>
      </c>
      <c r="G30" s="63" t="e">
        <f>VLOOKUP(C30,'Reference Tables'!A185:G189,3)</f>
        <v>#N/A</v>
      </c>
      <c r="H30" s="63" t="e">
        <f>VLOOKUP(C30,'Reference Tables'!A185:G189,5)</f>
        <v>#N/A</v>
      </c>
      <c r="I30" s="64" t="e">
        <f>VLOOKUP(C30,'Reference Tables'!A185:G189,7)</f>
        <v>#N/A</v>
      </c>
      <c r="J30" s="65"/>
      <c r="K30" s="65"/>
      <c r="L30" s="65"/>
      <c r="M30" s="27">
        <f>VLOOKUP(M12,'Reference Tables'!A251:E288,2)</f>
        <v>4</v>
      </c>
    </row>
    <row r="31" spans="1:25" ht="18" customHeight="1" x14ac:dyDescent="0.25">
      <c r="A31" s="279"/>
      <c r="B31" s="15" t="s">
        <v>184</v>
      </c>
      <c r="C31" s="59"/>
      <c r="D31" s="60"/>
      <c r="E31" s="61"/>
      <c r="F31" s="62">
        <f>IF(C31="D. None",0,M31)</f>
        <v>2</v>
      </c>
      <c r="G31" s="63" t="e">
        <f>VLOOKUP(C31,'Reference Tables'!A191:G195,3)</f>
        <v>#N/A</v>
      </c>
      <c r="H31" s="63" t="e">
        <f>VLOOKUP(C31,'Reference Tables'!A191:G195,5)</f>
        <v>#N/A</v>
      </c>
      <c r="I31" s="64" t="e">
        <f>VLOOKUP(C31,'Reference Tables'!A191:G195,7)</f>
        <v>#N/A</v>
      </c>
      <c r="J31" s="65"/>
      <c r="K31" s="65"/>
      <c r="L31" s="65"/>
      <c r="M31" s="27">
        <f>VLOOKUP(M12,'Reference Tables'!A251:E288,3)</f>
        <v>2</v>
      </c>
    </row>
    <row r="32" spans="1:25" ht="18" customHeight="1" x14ac:dyDescent="0.25">
      <c r="A32" s="279"/>
      <c r="B32" s="15" t="s">
        <v>185</v>
      </c>
      <c r="C32" s="59"/>
      <c r="D32" s="60"/>
      <c r="E32" s="61"/>
      <c r="F32" s="62">
        <f>IF(C32="C. None",0,M32)</f>
        <v>6</v>
      </c>
      <c r="G32" s="63" t="e">
        <f>VLOOKUP(C32,'Reference Tables'!A197:G199,3)</f>
        <v>#N/A</v>
      </c>
      <c r="H32" s="63" t="e">
        <f>VLOOKUP(C32,'Reference Tables'!A197:G199,5)</f>
        <v>#N/A</v>
      </c>
      <c r="I32" s="64" t="e">
        <f>VLOOKUP(C32,'Reference Tables'!A197:G199,7)</f>
        <v>#N/A</v>
      </c>
      <c r="J32" s="65"/>
      <c r="K32" s="65"/>
      <c r="L32" s="65"/>
      <c r="M32" s="27">
        <f>VLOOKUP(M12,'Reference Tables'!A251:E288,5)</f>
        <v>6</v>
      </c>
    </row>
    <row r="33" spans="1:25" ht="18" customHeight="1" x14ac:dyDescent="0.25">
      <c r="A33" s="279"/>
      <c r="B33" s="15" t="s">
        <v>16</v>
      </c>
      <c r="C33" s="59"/>
      <c r="D33" s="60"/>
      <c r="E33" s="61"/>
      <c r="F33" s="62">
        <v>1</v>
      </c>
      <c r="G33" s="63" t="e">
        <f>VLOOKUP(C33,'Reference Tables'!A202:G204,3)</f>
        <v>#N/A</v>
      </c>
      <c r="H33" s="63" t="e">
        <f>VLOOKUP(C33,'Reference Tables'!A202:G204,5)</f>
        <v>#N/A</v>
      </c>
      <c r="I33" s="64" t="e">
        <f>VLOOKUP(C33,'Reference Tables'!A202:G204,7)</f>
        <v>#N/A</v>
      </c>
      <c r="J33" s="65"/>
      <c r="K33" s="65"/>
      <c r="L33" s="65"/>
    </row>
    <row r="34" spans="1:25" ht="18" customHeight="1" x14ac:dyDescent="0.25">
      <c r="A34" s="11"/>
      <c r="B34" s="16"/>
      <c r="C34" s="52"/>
      <c r="D34" s="24"/>
      <c r="E34" s="25"/>
      <c r="F34" s="25"/>
      <c r="G34" s="70" t="s">
        <v>52</v>
      </c>
      <c r="H34" s="70" t="s">
        <v>53</v>
      </c>
      <c r="I34" s="11"/>
      <c r="J34" s="11"/>
      <c r="K34" s="11"/>
      <c r="L34" s="11"/>
    </row>
    <row r="35" spans="1:25" ht="18" customHeight="1" x14ac:dyDescent="0.3">
      <c r="A35" s="11"/>
      <c r="B35" s="11" t="s">
        <v>615</v>
      </c>
      <c r="C35" s="50"/>
      <c r="D35" s="11" t="s">
        <v>621</v>
      </c>
      <c r="E35" s="25"/>
      <c r="F35" s="25"/>
      <c r="G35" s="59"/>
      <c r="H35" s="59"/>
      <c r="I35" s="203" t="s">
        <v>88</v>
      </c>
      <c r="J35" s="11"/>
      <c r="K35" s="11"/>
      <c r="L35" s="11"/>
      <c r="M35" s="71" t="e">
        <f>VLOOKUP(G35,'Reference Tables'!A126:E128,MATCH(H35,'Reference Tables'!A125:E125,0),0)</f>
        <v>#N/A</v>
      </c>
    </row>
    <row r="36" spans="1:25" ht="18" customHeight="1" x14ac:dyDescent="0.25">
      <c r="A36" s="11"/>
      <c r="B36" s="11"/>
      <c r="C36" s="51" t="e">
        <f>IF(C35&lt;&gt;"",C35,M35)</f>
        <v>#N/A</v>
      </c>
      <c r="D36" s="24" t="s">
        <v>622</v>
      </c>
      <c r="E36" s="25"/>
      <c r="F36" s="26" t="str">
        <f>IF(AND(C35=0,OR(G35=0,H35=0)),"ERROR - COMPLETE BOTH DROPDOWN LISTS ABOVE OR COMPLETE "&amp;B35,"")</f>
        <v>ERROR - COMPLETE BOTH DROPDOWN LISTS ABOVE OR COMPLETE 13. CS = shell clingage factor, bbl/1,000 ft2</v>
      </c>
      <c r="G36" s="11"/>
      <c r="H36" s="11"/>
      <c r="I36" s="11"/>
      <c r="J36" s="11"/>
      <c r="K36" s="11"/>
      <c r="L36" s="11"/>
    </row>
    <row r="37" spans="1:25" ht="18" customHeight="1" x14ac:dyDescent="0.3">
      <c r="A37" s="283" t="s">
        <v>829</v>
      </c>
      <c r="B37" s="11"/>
      <c r="C37" s="52"/>
      <c r="D37" s="24"/>
      <c r="E37" s="25"/>
      <c r="F37" s="25"/>
      <c r="G37" s="11"/>
      <c r="H37" s="11"/>
      <c r="I37" s="11"/>
      <c r="J37" s="11"/>
      <c r="K37" s="11"/>
      <c r="L37" s="11"/>
    </row>
    <row r="38" spans="1:25" ht="18" customHeight="1" x14ac:dyDescent="0.3">
      <c r="A38" s="70"/>
      <c r="B38" s="11" t="s">
        <v>616</v>
      </c>
      <c r="C38" s="50"/>
      <c r="D38" s="24"/>
      <c r="E38" s="26" t="str">
        <f>IF(C38=0,"ERROR - COMPLETE "&amp;B38,"")</f>
        <v>ERROR - COMPLETE 14. Material type (used to determine KC)</v>
      </c>
      <c r="F38" s="25"/>
      <c r="G38" s="11"/>
      <c r="H38" s="11"/>
      <c r="I38" s="11"/>
      <c r="J38" s="11"/>
      <c r="K38" s="11"/>
      <c r="L38" s="11"/>
      <c r="N38" s="27" t="s">
        <v>649</v>
      </c>
      <c r="O38" s="28" t="s">
        <v>650</v>
      </c>
    </row>
    <row r="39" spans="1:25" s="5" customFormat="1" ht="18" customHeight="1" x14ac:dyDescent="0.3">
      <c r="A39" s="11"/>
      <c r="B39" s="17" t="s">
        <v>617</v>
      </c>
      <c r="C39" s="53">
        <f>IF(C38="Crude Oils",0.4,1)</f>
        <v>1</v>
      </c>
      <c r="D39" s="24" t="s">
        <v>2</v>
      </c>
      <c r="E39" s="26"/>
      <c r="F39" s="25"/>
      <c r="G39" s="11"/>
      <c r="H39" s="11"/>
      <c r="I39" s="11"/>
      <c r="J39" s="11"/>
      <c r="K39" s="11"/>
      <c r="L39" s="11"/>
      <c r="M39" s="27"/>
      <c r="N39" s="28"/>
      <c r="O39" s="28"/>
      <c r="P39" s="28"/>
      <c r="Q39" s="28"/>
      <c r="R39" s="28"/>
      <c r="S39" s="11"/>
      <c r="T39" s="11"/>
      <c r="U39" s="11"/>
      <c r="V39" s="11"/>
      <c r="W39" s="11"/>
      <c r="X39" s="11"/>
      <c r="Y39" s="11"/>
    </row>
    <row r="40" spans="1:25" ht="18" customHeight="1" x14ac:dyDescent="0.25">
      <c r="A40" s="70"/>
      <c r="B40" s="11" t="s">
        <v>190</v>
      </c>
      <c r="C40" s="32"/>
      <c r="D40" s="49" t="s">
        <v>153</v>
      </c>
      <c r="E40" s="26" t="str">
        <f>IF(AND(C40=0,C52=0),"ERROR - CHOOSE PRODUCT FROM DROPDOWN LIST","")</f>
        <v>ERROR - CHOOSE PRODUCT FROM DROPDOWN LIST</v>
      </c>
      <c r="F40" s="25"/>
      <c r="G40" s="11"/>
      <c r="H40" s="26"/>
      <c r="I40" s="11"/>
      <c r="J40" s="11"/>
      <c r="K40" s="11"/>
      <c r="L40" s="11"/>
    </row>
    <row r="41" spans="1:25" ht="18" customHeight="1" x14ac:dyDescent="0.3">
      <c r="A41" s="70"/>
      <c r="B41" s="11" t="s">
        <v>640</v>
      </c>
      <c r="C41" s="32"/>
      <c r="D41" s="24" t="s">
        <v>174</v>
      </c>
      <c r="E41" s="26" t="str">
        <f>IF(AND(C40&lt;&gt;"I. None. Complete 18.",C41=0),"ERROR - COMPLETE " &amp;B41,"")</f>
        <v>ERROR - COMPLETE 16. ZLi = liquid weight fraction, lb/lb (enter 1.0 if 100% product above)</v>
      </c>
      <c r="F41" s="25"/>
      <c r="G41" s="11"/>
      <c r="H41" s="26"/>
      <c r="I41" s="11"/>
      <c r="J41" s="11"/>
      <c r="K41" s="11"/>
      <c r="L41" s="11"/>
    </row>
    <row r="42" spans="1:25" ht="18" customHeight="1" x14ac:dyDescent="0.25">
      <c r="A42" s="70"/>
      <c r="B42" s="18" t="s">
        <v>221</v>
      </c>
      <c r="C42" s="54">
        <f>IF(C41&lt;&gt;"",C41,0)</f>
        <v>0</v>
      </c>
      <c r="D42" s="24" t="s">
        <v>174</v>
      </c>
      <c r="E42" s="26"/>
      <c r="F42" s="25"/>
      <c r="G42" s="11"/>
      <c r="H42" s="26"/>
      <c r="I42" s="11"/>
      <c r="J42" s="11"/>
      <c r="K42" s="11"/>
      <c r="L42" s="11"/>
    </row>
    <row r="43" spans="1:25" ht="18" customHeight="1" x14ac:dyDescent="0.3">
      <c r="A43" s="70"/>
      <c r="B43" s="17" t="s">
        <v>641</v>
      </c>
      <c r="C43" s="55" t="e">
        <f>IF(C40&lt;&gt;"I. None. Complete 18.",(100*C42/C45)/K58,0)</f>
        <v>#VALUE!</v>
      </c>
      <c r="D43" s="24" t="s">
        <v>167</v>
      </c>
      <c r="E43" s="25"/>
      <c r="F43" s="25"/>
      <c r="G43" s="11"/>
      <c r="H43" s="26"/>
      <c r="I43" s="11"/>
      <c r="J43" s="11"/>
      <c r="K43" s="11"/>
      <c r="L43" s="11"/>
    </row>
    <row r="44" spans="1:25" ht="18" customHeight="1" x14ac:dyDescent="0.3">
      <c r="A44" s="70"/>
      <c r="B44" s="17" t="s">
        <v>642</v>
      </c>
      <c r="C44" s="56" t="str">
        <f>IF(C$40&lt;&gt;"",(VLOOKUP(C$40,'Material Properties'!A8:H17,3)),"")</f>
        <v/>
      </c>
      <c r="D44" s="24" t="s">
        <v>168</v>
      </c>
      <c r="E44" s="25"/>
      <c r="F44" s="25"/>
      <c r="G44" s="11"/>
      <c r="H44" s="26"/>
      <c r="I44" s="11"/>
      <c r="J44" s="11"/>
      <c r="K44" s="11"/>
      <c r="L44" s="11"/>
    </row>
    <row r="45" spans="1:25" ht="18" customHeight="1" x14ac:dyDescent="0.3">
      <c r="A45" s="70"/>
      <c r="B45" s="17" t="s">
        <v>643</v>
      </c>
      <c r="C45" s="56" t="str">
        <f>IF(C$40&lt;&gt;"",(VLOOKUP(C$40,'Material Properties'!A8:H17,4)),"")</f>
        <v/>
      </c>
      <c r="D45" s="24" t="s">
        <v>168</v>
      </c>
      <c r="E45" s="25"/>
      <c r="F45" s="25"/>
      <c r="G45" s="11"/>
      <c r="H45" s="26"/>
      <c r="I45" s="11"/>
      <c r="J45" s="11"/>
      <c r="K45" s="11"/>
      <c r="L45" s="11"/>
    </row>
    <row r="46" spans="1:25" ht="18" customHeight="1" x14ac:dyDescent="0.3">
      <c r="A46" s="70"/>
      <c r="B46" s="17" t="s">
        <v>644</v>
      </c>
      <c r="C46" s="53" t="str">
        <f>IF(C$40&lt;&gt;"",(VLOOKUP(C$40,'Material Properties'!A8:H17,5)),"")</f>
        <v/>
      </c>
      <c r="D46" s="24" t="s">
        <v>57</v>
      </c>
      <c r="E46" s="25"/>
      <c r="F46" s="25"/>
      <c r="G46" s="11"/>
      <c r="H46" s="26"/>
      <c r="I46" s="11"/>
      <c r="J46" s="11"/>
      <c r="K46" s="11"/>
      <c r="L46" s="11"/>
    </row>
    <row r="47" spans="1:25" ht="18" customHeight="1" x14ac:dyDescent="0.25">
      <c r="A47" s="70"/>
      <c r="B47" s="19" t="s">
        <v>645</v>
      </c>
      <c r="C47" s="55" t="str">
        <f>IF(C$40&lt;&gt;"",(VLOOKUP(C$40,'Material Properties'!A8:H17,6)),"")</f>
        <v/>
      </c>
      <c r="D47" s="24" t="s">
        <v>2</v>
      </c>
      <c r="E47" s="25"/>
      <c r="F47" s="25"/>
      <c r="G47" s="11"/>
      <c r="H47" s="26"/>
      <c r="I47" s="11"/>
      <c r="J47" s="11"/>
      <c r="K47" s="11"/>
      <c r="L47" s="11"/>
    </row>
    <row r="48" spans="1:25" ht="18" customHeight="1" x14ac:dyDescent="0.25">
      <c r="A48" s="70"/>
      <c r="B48" s="19" t="s">
        <v>646</v>
      </c>
      <c r="C48" s="53" t="str">
        <f>IF(C$40&lt;&gt;"",(VLOOKUP(C$40,'Material Properties'!A8:H17,7)),"")</f>
        <v/>
      </c>
      <c r="D48" s="24" t="s">
        <v>142</v>
      </c>
      <c r="E48" s="25"/>
      <c r="F48" s="25"/>
      <c r="G48" s="11"/>
      <c r="H48" s="26"/>
      <c r="I48" s="11"/>
      <c r="J48" s="11"/>
      <c r="K48" s="11"/>
      <c r="L48" s="11"/>
    </row>
    <row r="49" spans="1:15" ht="18" customHeight="1" x14ac:dyDescent="0.25">
      <c r="A49" s="280"/>
      <c r="B49" s="11" t="s">
        <v>189</v>
      </c>
      <c r="C49" s="23"/>
      <c r="D49" s="24" t="s">
        <v>51</v>
      </c>
      <c r="E49" s="25"/>
      <c r="F49" s="26" t="str">
        <f>IF(C49=0,"ERROR - COMPLETE "&amp;B49,"")</f>
        <v>ERROR - COMPLETE 17. Q = annual throughput, bbl/yr</v>
      </c>
      <c r="G49" s="26"/>
      <c r="H49" s="11"/>
      <c r="I49" s="322" t="s">
        <v>637</v>
      </c>
      <c r="J49" s="11"/>
      <c r="K49" s="11"/>
      <c r="L49" s="11"/>
    </row>
    <row r="50" spans="1:15" ht="18" customHeight="1" x14ac:dyDescent="0.25">
      <c r="A50" s="280"/>
      <c r="B50" s="11" t="s">
        <v>632</v>
      </c>
      <c r="C50" s="20"/>
      <c r="D50" s="322" t="s">
        <v>634</v>
      </c>
      <c r="E50" s="328" t="s">
        <v>635</v>
      </c>
      <c r="F50" s="328"/>
      <c r="G50" s="29" t="s">
        <v>231</v>
      </c>
      <c r="H50" s="326" t="s">
        <v>638</v>
      </c>
      <c r="I50" s="322"/>
      <c r="J50" s="322" t="s">
        <v>636</v>
      </c>
      <c r="K50" s="321" t="s">
        <v>170</v>
      </c>
      <c r="L50" s="320" t="s">
        <v>639</v>
      </c>
      <c r="N50" s="27"/>
    </row>
    <row r="51" spans="1:15" ht="18" customHeight="1" x14ac:dyDescent="0.25">
      <c r="A51" s="20"/>
      <c r="B51" s="20"/>
      <c r="C51" s="30" t="s">
        <v>633</v>
      </c>
      <c r="D51" s="323"/>
      <c r="E51" s="204" t="s">
        <v>166</v>
      </c>
      <c r="F51" s="204" t="s">
        <v>609</v>
      </c>
      <c r="G51" s="204" t="s">
        <v>608</v>
      </c>
      <c r="H51" s="323"/>
      <c r="I51" s="31" t="s">
        <v>231</v>
      </c>
      <c r="J51" s="323"/>
      <c r="K51" s="321"/>
      <c r="L51" s="320"/>
      <c r="N51" s="27"/>
    </row>
    <row r="52" spans="1:15" ht="18" customHeight="1" x14ac:dyDescent="0.25">
      <c r="A52" s="20"/>
      <c r="B52" s="281" t="str">
        <f>IF(AND(C52&lt;&gt;0,OR(D52=0,E52=0,F52=0,G52=0,H52=0,I52=0,J52=0)),"ERROR - COMPLETE ALL COLUMNS FOR " &amp;C52,"")</f>
        <v/>
      </c>
      <c r="C52" s="32"/>
      <c r="D52" s="33"/>
      <c r="E52" s="34"/>
      <c r="F52" s="35"/>
      <c r="G52" s="36"/>
      <c r="H52" s="34"/>
      <c r="I52" s="36"/>
      <c r="J52" s="36"/>
      <c r="K52" s="37" t="str">
        <f>IF(H52&lt;&gt;0,100*H52/I52,"")</f>
        <v/>
      </c>
      <c r="L52" s="38" t="str">
        <f>IF(H52&lt;&gt;0,(K52/K$58),"")</f>
        <v/>
      </c>
      <c r="N52" s="27" t="s">
        <v>172</v>
      </c>
      <c r="O52" s="28" t="s">
        <v>173</v>
      </c>
    </row>
    <row r="53" spans="1:15" ht="18" customHeight="1" x14ac:dyDescent="0.25">
      <c r="A53" s="20"/>
      <c r="B53" s="281" t="str">
        <f t="shared" ref="B53:B57" si="2">IF(AND(C53&lt;&gt;0,OR(D53=0,E53=0,F53=0,G53=0,H53=0,I53=0,J53=0)),"ERROR - COMPLETE ALL COLUMNS FOR " &amp;C53,"")</f>
        <v/>
      </c>
      <c r="C53" s="32"/>
      <c r="D53" s="33"/>
      <c r="E53" s="34"/>
      <c r="F53" s="35"/>
      <c r="G53" s="36"/>
      <c r="H53" s="34"/>
      <c r="I53" s="36"/>
      <c r="J53" s="36"/>
      <c r="K53" s="37" t="str">
        <f>IF(H53&lt;&gt;0,100*H53/I53,"")</f>
        <v/>
      </c>
      <c r="L53" s="38" t="str">
        <f>IF(H53&lt;&gt;0,(K53/K$58),"")</f>
        <v/>
      </c>
      <c r="N53" s="27"/>
    </row>
    <row r="54" spans="1:15" ht="18" customHeight="1" x14ac:dyDescent="0.25">
      <c r="A54" s="20"/>
      <c r="B54" s="281" t="str">
        <f t="shared" si="2"/>
        <v/>
      </c>
      <c r="C54" s="32"/>
      <c r="D54" s="33"/>
      <c r="E54" s="34"/>
      <c r="F54" s="35"/>
      <c r="G54" s="36"/>
      <c r="H54" s="34"/>
      <c r="I54" s="36"/>
      <c r="J54" s="36"/>
      <c r="K54" s="37" t="str">
        <f>IF(H54&lt;&gt;0,100*H54/I54,"")</f>
        <v/>
      </c>
      <c r="L54" s="38" t="str">
        <f>IF(H54&lt;&gt;0,(K54/K$58),"")</f>
        <v/>
      </c>
      <c r="N54" s="27"/>
    </row>
    <row r="55" spans="1:15" ht="18" customHeight="1" x14ac:dyDescent="0.25">
      <c r="A55" s="20"/>
      <c r="B55" s="281" t="str">
        <f t="shared" si="2"/>
        <v/>
      </c>
      <c r="C55" s="32"/>
      <c r="D55" s="33"/>
      <c r="E55" s="34"/>
      <c r="F55" s="35"/>
      <c r="G55" s="36"/>
      <c r="H55" s="34"/>
      <c r="I55" s="36"/>
      <c r="J55" s="36"/>
      <c r="K55" s="37" t="str">
        <f t="shared" ref="K55:K57" si="3">IF(H55&lt;&gt;0,100*H55/I55,"")</f>
        <v/>
      </c>
      <c r="L55" s="38" t="str">
        <f t="shared" ref="L55:L57" si="4">IF(H55&lt;&gt;0,(K55/K$58),"")</f>
        <v/>
      </c>
      <c r="N55" s="27"/>
    </row>
    <row r="56" spans="1:15" ht="18" customHeight="1" x14ac:dyDescent="0.25">
      <c r="A56" s="20"/>
      <c r="B56" s="281" t="str">
        <f t="shared" si="2"/>
        <v/>
      </c>
      <c r="C56" s="32"/>
      <c r="D56" s="33"/>
      <c r="E56" s="34"/>
      <c r="F56" s="35"/>
      <c r="G56" s="36"/>
      <c r="H56" s="34"/>
      <c r="I56" s="36"/>
      <c r="J56" s="36"/>
      <c r="K56" s="37" t="str">
        <f t="shared" si="3"/>
        <v/>
      </c>
      <c r="L56" s="38" t="str">
        <f t="shared" si="4"/>
        <v/>
      </c>
      <c r="N56" s="27"/>
    </row>
    <row r="57" spans="1:15" ht="18" customHeight="1" x14ac:dyDescent="0.25">
      <c r="A57" s="20"/>
      <c r="B57" s="281" t="str">
        <f t="shared" si="2"/>
        <v/>
      </c>
      <c r="C57" s="32"/>
      <c r="D57" s="33"/>
      <c r="E57" s="34"/>
      <c r="F57" s="35"/>
      <c r="G57" s="36"/>
      <c r="H57" s="34"/>
      <c r="I57" s="36"/>
      <c r="J57" s="36"/>
      <c r="K57" s="37" t="str">
        <f t="shared" si="3"/>
        <v/>
      </c>
      <c r="L57" s="38" t="str">
        <f t="shared" si="4"/>
        <v/>
      </c>
      <c r="N57" s="27"/>
    </row>
    <row r="58" spans="1:15" ht="18" customHeight="1" x14ac:dyDescent="0.25">
      <c r="A58" s="20"/>
      <c r="B58" s="21" t="s">
        <v>740</v>
      </c>
      <c r="C58" s="39"/>
      <c r="D58" s="40"/>
      <c r="E58" s="40"/>
      <c r="F58" s="41"/>
      <c r="G58" s="41"/>
      <c r="H58" s="42">
        <f>SUM(C42,H52:H57)</f>
        <v>0</v>
      </c>
      <c r="I58" s="43" t="str">
        <f>IF(H58&gt;1,"ERROR - SUM OF LIQUID WEIGHT FRACTIONS &gt; 1.0","")</f>
        <v/>
      </c>
      <c r="J58" s="20"/>
      <c r="K58" s="44" t="e">
        <f>IF(C40&lt;&gt;"I. None. Complete 18.",100*C42/C45,0)+SUM(K52:K57)</f>
        <v>#VALUE!</v>
      </c>
      <c r="L58" s="44" t="e">
        <f>C43+SUM(L52:L57)</f>
        <v>#VALUE!</v>
      </c>
    </row>
    <row r="59" spans="1:15" ht="15.75" x14ac:dyDescent="0.3">
      <c r="A59" s="20"/>
      <c r="B59" s="22" t="s">
        <v>618</v>
      </c>
      <c r="C59" s="45">
        <f>IF(C40&lt;&gt;"",(C41*C46),0)+SUM(H52*J52,H53*J53,H54*J54,H55*J55,H56*J56,H57*J57)</f>
        <v>0</v>
      </c>
      <c r="D59" s="46" t="s">
        <v>57</v>
      </c>
      <c r="E59" s="47"/>
      <c r="F59" s="47"/>
      <c r="G59" s="20"/>
      <c r="H59" s="20"/>
      <c r="I59" s="43" t="str">
        <f>IF(H58&lt;1,"ERROR - SUM OF LIQUID WEIGHT FRACTIONS &lt; 1.0","")</f>
        <v>ERROR - SUM OF LIQUID WEIGHT FRACTIONS &lt; 1.0</v>
      </c>
      <c r="J59" s="20"/>
      <c r="K59" s="20"/>
      <c r="L59" s="11"/>
    </row>
    <row r="60" spans="1:15" x14ac:dyDescent="0.25">
      <c r="A60" s="20"/>
      <c r="B60" s="22"/>
      <c r="C60" s="48"/>
      <c r="D60" s="24"/>
      <c r="E60" s="20" t="s">
        <v>224</v>
      </c>
      <c r="F60" s="47"/>
      <c r="G60" s="20"/>
      <c r="H60" s="20"/>
      <c r="I60" s="20"/>
      <c r="J60" s="20"/>
      <c r="K60" s="20"/>
      <c r="L60" s="11"/>
    </row>
    <row r="61" spans="1:15" x14ac:dyDescent="0.25">
      <c r="A61" s="20"/>
      <c r="B61" s="20"/>
      <c r="C61" s="20"/>
      <c r="D61" s="47"/>
      <c r="E61" s="20"/>
      <c r="F61" s="47"/>
      <c r="G61" s="46" t="s">
        <v>225</v>
      </c>
      <c r="H61" s="20"/>
      <c r="I61" s="20"/>
      <c r="J61" s="20"/>
      <c r="K61" s="20"/>
      <c r="L61" s="11"/>
    </row>
    <row r="62" spans="1:15" x14ac:dyDescent="0.25">
      <c r="A62" s="20"/>
      <c r="B62" s="20"/>
      <c r="C62" s="20"/>
      <c r="D62" s="47"/>
      <c r="E62" s="20"/>
      <c r="F62" s="47" t="s">
        <v>226</v>
      </c>
      <c r="G62" s="29" t="s">
        <v>227</v>
      </c>
      <c r="H62" s="20"/>
      <c r="I62" s="20"/>
      <c r="J62" s="20"/>
      <c r="K62" s="20"/>
      <c r="L62" s="11"/>
    </row>
    <row r="63" spans="1:15" x14ac:dyDescent="0.25">
      <c r="A63" s="20"/>
      <c r="B63" s="20"/>
      <c r="C63" s="20"/>
      <c r="D63" s="47"/>
      <c r="E63" s="20"/>
      <c r="F63" s="47"/>
      <c r="G63" s="20"/>
      <c r="H63" s="20"/>
      <c r="I63" s="20"/>
      <c r="J63" s="20"/>
      <c r="K63" s="20"/>
      <c r="L63" s="11"/>
    </row>
    <row r="64" spans="1:15" x14ac:dyDescent="0.25">
      <c r="A64" s="20"/>
      <c r="B64" s="20"/>
      <c r="C64" s="20"/>
      <c r="D64" s="47"/>
      <c r="E64" s="20" t="s">
        <v>228</v>
      </c>
      <c r="F64" s="46"/>
      <c r="G64" s="20"/>
      <c r="H64" s="20"/>
      <c r="I64" s="20"/>
      <c r="J64" s="20"/>
      <c r="K64" s="20"/>
      <c r="L64" s="11"/>
    </row>
    <row r="65" spans="1:12" x14ac:dyDescent="0.25">
      <c r="A65" s="20"/>
      <c r="B65" s="20"/>
      <c r="C65" s="20"/>
      <c r="D65" s="47"/>
      <c r="E65" s="20" t="s">
        <v>229</v>
      </c>
      <c r="F65" s="47"/>
      <c r="G65" s="20"/>
      <c r="H65" s="20"/>
      <c r="I65" s="20"/>
      <c r="J65" s="20"/>
      <c r="K65" s="20"/>
      <c r="L65" s="11"/>
    </row>
    <row r="66" spans="1:12" x14ac:dyDescent="0.25">
      <c r="A66" s="20"/>
      <c r="B66" s="20"/>
      <c r="C66" s="20"/>
      <c r="D66" s="47"/>
      <c r="E66" s="20" t="s">
        <v>230</v>
      </c>
      <c r="F66" s="47"/>
      <c r="G66" s="20"/>
      <c r="H66" s="20"/>
      <c r="I66" s="20"/>
      <c r="J66" s="20"/>
      <c r="K66" s="20"/>
      <c r="L66" s="11"/>
    </row>
    <row r="67" spans="1:12" x14ac:dyDescent="0.25">
      <c r="A67" s="20"/>
      <c r="B67" s="20"/>
      <c r="C67" s="20"/>
      <c r="D67" s="47"/>
      <c r="E67" s="20" t="s">
        <v>612</v>
      </c>
      <c r="F67" s="47"/>
      <c r="G67" s="20"/>
      <c r="H67" s="20"/>
      <c r="I67" s="20"/>
      <c r="J67" s="20"/>
      <c r="K67" s="20"/>
      <c r="L67" s="11"/>
    </row>
    <row r="68" spans="1:12" x14ac:dyDescent="0.25">
      <c r="A68" s="20"/>
      <c r="B68" s="20"/>
      <c r="C68" s="20"/>
      <c r="D68" s="47"/>
      <c r="E68" s="20" t="s">
        <v>613</v>
      </c>
      <c r="F68" s="47"/>
      <c r="G68" s="20"/>
      <c r="H68" s="20"/>
      <c r="I68" s="20"/>
      <c r="J68" s="20"/>
      <c r="K68" s="20"/>
      <c r="L68" s="11"/>
    </row>
    <row r="69" spans="1:12" ht="15.75" x14ac:dyDescent="0.3">
      <c r="A69" s="20"/>
      <c r="B69" s="20"/>
      <c r="C69" s="20"/>
      <c r="D69" s="47"/>
      <c r="E69" s="20" t="s">
        <v>619</v>
      </c>
      <c r="F69" s="47"/>
      <c r="G69" s="20"/>
      <c r="H69" s="20"/>
      <c r="I69" s="20"/>
      <c r="J69" s="20"/>
      <c r="K69" s="20"/>
      <c r="L69" s="11"/>
    </row>
    <row r="70" spans="1:12" ht="15.75" x14ac:dyDescent="0.3">
      <c r="A70" s="20"/>
      <c r="B70" s="20"/>
      <c r="C70" s="20"/>
      <c r="D70" s="47"/>
      <c r="E70" s="20" t="s">
        <v>620</v>
      </c>
      <c r="F70" s="47"/>
      <c r="G70" s="20"/>
      <c r="H70" s="20"/>
      <c r="I70" s="20"/>
      <c r="J70" s="20"/>
      <c r="K70" s="20"/>
      <c r="L70" s="11"/>
    </row>
  </sheetData>
  <sheetProtection algorithmName="SHA-512" hashValue="Ke7IhYaq1SEEEJZrveN9+VBpifYIgrNcAvCDNoe6l8vsdpQuhws1rnGVm3DTXNptqS7QMSrsNZFxsg/Odlu6uA==" saltValue="iqZHtbgv4hu5w8Txpopv5A==" spinCount="100000" sheet="1" objects="1" scenarios="1"/>
  <mergeCells count="12">
    <mergeCell ref="C2:E5"/>
    <mergeCell ref="L50:L51"/>
    <mergeCell ref="K50:K51"/>
    <mergeCell ref="J50:J51"/>
    <mergeCell ref="D50:D51"/>
    <mergeCell ref="D20:D21"/>
    <mergeCell ref="D17:D18"/>
    <mergeCell ref="H50:H51"/>
    <mergeCell ref="E20:F21"/>
    <mergeCell ref="E50:F50"/>
    <mergeCell ref="I49:I50"/>
    <mergeCell ref="A6:D6"/>
  </mergeCells>
  <dataValidations count="6">
    <dataValidation type="list" showInputMessage="1" showErrorMessage="1" sqref="C20" xr:uid="{00000000-0002-0000-0000-000000000000}">
      <formula1>$M$20:$O$20</formula1>
    </dataValidation>
    <dataValidation type="list" showInputMessage="1" showErrorMessage="1" sqref="C38" xr:uid="{00000000-0002-0000-0000-000001000000}">
      <formula1>$M$38:$O$38</formula1>
    </dataValidation>
    <dataValidation type="list" showInputMessage="1" showErrorMessage="1" sqref="D52:D57" xr:uid="{00000000-0002-0000-0000-000002000000}">
      <formula1>$M$52:$O$52</formula1>
    </dataValidation>
    <dataValidation type="decimal" allowBlank="1" showInputMessage="1" showErrorMessage="1" error="Liquid weight fraction must be between 0 and 1" sqref="H52:H57 C41:C42" xr:uid="{00000000-0002-0000-0000-000003000000}">
      <formula1>0</formula1>
      <formula2>1</formula2>
    </dataValidation>
    <dataValidation type="list" showInputMessage="1" showErrorMessage="1" sqref="C16" xr:uid="{00000000-0002-0000-0000-000004000000}">
      <formula1>$M$13:$O$13</formula1>
    </dataValidation>
    <dataValidation type="list" showInputMessage="1" showErrorMessage="1" sqref="C18" xr:uid="{00000000-0002-0000-0000-000005000000}">
      <formula1>$M$14:$M$17</formula1>
    </dataValidation>
  </dataValidations>
  <hyperlinks>
    <hyperlink ref="A6:C6" r:id="rId1" display="This spreadsheet is based on AP-42 Fifth Edition, chapter 7, volume 1, Liquid Storage Tanks (November 2019)" xr:uid="{00000000-0004-0000-0000-000000000000}"/>
    <hyperlink ref="D20" location="'Reference Tables'!A61" display="(Table 7.1-8)" xr:uid="{00000000-0004-0000-0000-000001000000}"/>
    <hyperlink ref="I35" location="'Reference Tables'!A123" display="(Table 7.1-10)" xr:uid="{00000000-0004-0000-0000-000002000000}"/>
    <hyperlink ref="C22" location="'Reference Tables'!A133" display="(Table 7.1-12)" xr:uid="{00000000-0004-0000-0000-000003000000}"/>
    <hyperlink ref="D20:D21" location="'Reference Tables'!A94" display="(Table 7.1-8)" xr:uid="{00000000-0004-0000-0000-000004000000}"/>
    <hyperlink ref="D17" location="'Reference Tables'!A61" display="(Table 7.1-8)" xr:uid="{00000000-0004-0000-0000-000005000000}"/>
    <hyperlink ref="D17:D18" location="'Reference Tables'!A3" display="(Table 7.1-6)" xr:uid="{00000000-0004-0000-0000-000006000000}"/>
    <hyperlink ref="D12" location="'Reference Tables'!A34" display="(Table 7.1-7)" xr:uid="{00000000-0004-0000-0000-000007000000}"/>
    <hyperlink ref="D40" location="'Material Properties'!A3" display="(Table 7.1-2)" xr:uid="{00000000-0004-0000-0000-000008000000}"/>
    <hyperlink ref="G62" location="'Material Properties'!A1" display="Material Properties" xr:uid="{00000000-0004-0000-0000-000009000000}"/>
    <hyperlink ref="G50" location="'Material Properties'!A34" display="(Table 7.1-3)" xr:uid="{00000000-0004-0000-0000-00000A000000}"/>
    <hyperlink ref="I51" location="'Material Properties'!A33" display="(Table 7.1-3)" xr:uid="{00000000-0004-0000-0000-00000B000000}"/>
    <hyperlink ref="A7" r:id="rId2" xr:uid="{00000000-0004-0000-0000-00000C000000}"/>
  </hyperlinks>
  <pageMargins left="0.7" right="0.7" top="0.75" bottom="0.75" header="0.3" footer="0.3"/>
  <pageSetup scale="35" orientation="landscape" horizontalDpi="1200" verticalDpi="1200" r:id="rId3"/>
  <headerFooter>
    <oddFooter>&amp;L&amp;"Arial,Italic"&amp;8aq6-13  •  5/26/23&amp;C&amp;"Arial,Italic"&amp;8https://www.pca.state.mn.us  •  Available in alternative formats  •  651-296-6300  •  800-657-3864  •  Use your preferred relay service&amp;R&amp;"Arial,Italic"&amp;8Page &amp;P of &amp;N</oddFooter>
  </headerFooter>
  <drawing r:id="rId4"/>
  <extLst>
    <ext xmlns:x14="http://schemas.microsoft.com/office/spreadsheetml/2009/9/main" uri="{CCE6A557-97BC-4b89-ADB6-D9C93CAAB3DF}">
      <x14:dataValidations xmlns:xm="http://schemas.microsoft.com/office/excel/2006/main" count="16">
        <x14:dataValidation type="list" allowBlank="1" showInputMessage="1" showErrorMessage="1" xr:uid="{00000000-0002-0000-0000-000006000000}">
          <x14:formula1>
            <xm:f>'Reference Tables'!$A$98:$A$110</xm:f>
          </x14:formula1>
          <xm:sqref>C21</xm:sqref>
        </x14:dataValidation>
        <x14:dataValidation type="list" showInputMessage="1" showErrorMessage="1" xr:uid="{00000000-0002-0000-0000-000007000000}">
          <x14:formula1>
            <xm:f>'Reference Tables'!$A$125:$A$128</xm:f>
          </x14:formula1>
          <xm:sqref>G35</xm:sqref>
        </x14:dataValidation>
        <x14:dataValidation type="list" showInputMessage="1" showErrorMessage="1" xr:uid="{00000000-0002-0000-0000-000008000000}">
          <x14:formula1>
            <xm:f>'Reference Tables'!$B$125:$E$125</xm:f>
          </x14:formula1>
          <xm:sqref>H35</xm:sqref>
        </x14:dataValidation>
        <x14:dataValidation type="list" showInputMessage="1" showErrorMessage="1" xr:uid="{00000000-0002-0000-0000-000009000000}">
          <x14:formula1>
            <xm:f>'Reference Tables'!$A$37:$A$46</xm:f>
          </x14:formula1>
          <xm:sqref>C12</xm:sqref>
        </x14:dataValidation>
        <x14:dataValidation type="list" showInputMessage="1" showErrorMessage="1" xr:uid="{00000000-0002-0000-0000-00000A000000}">
          <x14:formula1>
            <xm:f>'Reference Tables'!$A$7:$A$20</xm:f>
          </x14:formula1>
          <xm:sqref>C17</xm:sqref>
        </x14:dataValidation>
        <x14:dataValidation type="list" showInputMessage="1" showErrorMessage="1" xr:uid="{00000000-0002-0000-0000-00000B000000}">
          <x14:formula1>
            <xm:f>'Material Properties'!$A$8:$A$17</xm:f>
          </x14:formula1>
          <xm:sqref>C40</xm:sqref>
        </x14:dataValidation>
        <x14:dataValidation type="list" showInputMessage="1" showErrorMessage="1" xr:uid="{00000000-0002-0000-0000-00000C000000}">
          <x14:formula1>
            <xm:f>'Reference Tables'!$A$190:$A$195</xm:f>
          </x14:formula1>
          <xm:sqref>C31</xm:sqref>
        </x14:dataValidation>
        <x14:dataValidation type="list" showInputMessage="1" showErrorMessage="1" xr:uid="{00000000-0002-0000-0000-00000D000000}">
          <x14:formula1>
            <xm:f>'Reference Tables'!$A$184:$A$189</xm:f>
          </x14:formula1>
          <xm:sqref>C30</xm:sqref>
        </x14:dataValidation>
        <x14:dataValidation type="list" showInputMessage="1" showErrorMessage="1" xr:uid="{00000000-0002-0000-0000-00000E000000}">
          <x14:formula1>
            <xm:f>'Reference Tables'!$A$196:$A$199</xm:f>
          </x14:formula1>
          <xm:sqref>C32</xm:sqref>
        </x14:dataValidation>
        <x14:dataValidation type="list" showInputMessage="1" showErrorMessage="1" xr:uid="{00000000-0002-0000-0000-00000F000000}">
          <x14:formula1>
            <xm:f>'Reference Tables'!$A$179:$A$182</xm:f>
          </x14:formula1>
          <xm:sqref>C29</xm:sqref>
        </x14:dataValidation>
        <x14:dataValidation type="list" showInputMessage="1" showErrorMessage="1" xr:uid="{00000000-0002-0000-0000-000010000000}">
          <x14:formula1>
            <xm:f>'Reference Tables'!$A$160:$A$164</xm:f>
          </x14:formula1>
          <xm:sqref>C26</xm:sqref>
        </x14:dataValidation>
        <x14:dataValidation type="list" allowBlank="1" showInputMessage="1" showErrorMessage="1" xr:uid="{00000000-0002-0000-0000-000011000000}">
          <x14:formula1>
            <xm:f>'Reference Tables'!$A$144:$A$158</xm:f>
          </x14:formula1>
          <xm:sqref>C25</xm:sqref>
        </x14:dataValidation>
        <x14:dataValidation type="list" showInputMessage="1" showErrorMessage="1" xr:uid="{00000000-0002-0000-0000-000012000000}">
          <x14:formula1>
            <xm:f>'Reference Tables'!$A$138:$A$142</xm:f>
          </x14:formula1>
          <xm:sqref>C24</xm:sqref>
        </x14:dataValidation>
        <x14:dataValidation type="list" showInputMessage="1" showErrorMessage="1" xr:uid="{00000000-0002-0000-0000-000013000000}">
          <x14:formula1>
            <xm:f>'Reference Tables'!$A$201:$A$204</xm:f>
          </x14:formula1>
          <xm:sqref>C33</xm:sqref>
        </x14:dataValidation>
        <x14:dataValidation type="list" showInputMessage="1" showErrorMessage="1" xr:uid="{00000000-0002-0000-0000-000014000000}">
          <x14:formula1>
            <xm:f>'Reference Tables'!$A$172:$A$177</xm:f>
          </x14:formula1>
          <xm:sqref>C28</xm:sqref>
        </x14:dataValidation>
        <x14:dataValidation type="list" showInputMessage="1" showErrorMessage="1" xr:uid="{00000000-0002-0000-0000-000015000000}">
          <x14:formula1>
            <xm:f>'Reference Tables'!$A$166:$A$170</xm:f>
          </x14:formula1>
          <xm:sqref>C27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V90"/>
  <sheetViews>
    <sheetView showGridLines="0" zoomScaleNormal="100" zoomScaleSheetLayoutView="100" workbookViewId="0">
      <selection activeCell="C6" sqref="C6"/>
    </sheetView>
  </sheetViews>
  <sheetFormatPr defaultRowHeight="12.75" x14ac:dyDescent="0.2"/>
  <cols>
    <col min="1" max="1" width="9.140625" style="217"/>
    <col min="2" max="2" width="57.42578125" style="217" customWidth="1"/>
    <col min="3" max="14" width="12.7109375" style="217" customWidth="1"/>
    <col min="15" max="15" width="11.5703125" style="217" customWidth="1"/>
    <col min="16" max="16" width="9.140625" style="217"/>
    <col min="17" max="17" width="14" style="217" customWidth="1"/>
    <col min="18" max="18" width="14.28515625" style="217" customWidth="1"/>
    <col min="19" max="19" width="9.140625" style="217" customWidth="1"/>
    <col min="20" max="16384" width="9.140625" style="217"/>
  </cols>
  <sheetData>
    <row r="1" spans="1:22" s="212" customFormat="1" ht="18.75" customHeight="1" x14ac:dyDescent="0.2">
      <c r="O1" s="217"/>
      <c r="P1" s="217"/>
      <c r="Q1" s="217"/>
      <c r="R1" s="217"/>
      <c r="S1" s="217"/>
      <c r="T1" s="217"/>
      <c r="U1" s="217"/>
      <c r="V1" s="217"/>
    </row>
    <row r="2" spans="1:22" s="212" customFormat="1" ht="14.25" customHeight="1" x14ac:dyDescent="0.3">
      <c r="A2" s="284" t="str">
        <f>IF('Tank and Material Properties'!B3&lt;&gt;"",'Tank and Material Properties'!B3,"")</f>
        <v/>
      </c>
      <c r="O2" s="217"/>
      <c r="P2" s="217"/>
      <c r="Q2" s="217"/>
      <c r="R2" s="217"/>
      <c r="S2" s="217"/>
      <c r="T2" s="217"/>
      <c r="U2" s="217"/>
      <c r="V2" s="217"/>
    </row>
    <row r="3" spans="1:22" s="212" customFormat="1" ht="14.25" customHeight="1" x14ac:dyDescent="0.2">
      <c r="A3" s="212" t="str">
        <f>IF('Tank and Material Properties'!C8&lt;&gt;"",'Tank and Material Properties'!C8,"")</f>
        <v/>
      </c>
      <c r="O3" s="217"/>
      <c r="P3" s="217"/>
      <c r="Q3" s="217"/>
      <c r="R3" s="217"/>
      <c r="S3" s="217"/>
      <c r="T3" s="217"/>
      <c r="U3" s="217"/>
      <c r="V3" s="217"/>
    </row>
    <row r="4" spans="1:22" s="212" customFormat="1" ht="15" x14ac:dyDescent="0.25">
      <c r="A4" s="212" t="str">
        <f>IF('Tank and Material Properties'!C9&lt;&gt;"",'Tank and Material Properties'!C9,"")</f>
        <v/>
      </c>
      <c r="C4" s="221"/>
      <c r="D4" s="221"/>
      <c r="E4" s="221"/>
      <c r="F4" s="221"/>
      <c r="G4" s="221"/>
      <c r="H4" s="221"/>
      <c r="I4" s="221"/>
      <c r="J4" s="221"/>
      <c r="K4" s="221"/>
      <c r="L4" s="221"/>
      <c r="M4" s="221"/>
      <c r="N4" s="221"/>
      <c r="O4" s="217"/>
      <c r="P4" s="217"/>
      <c r="Q4" s="217"/>
      <c r="R4" s="217"/>
      <c r="S4" s="217"/>
      <c r="T4" s="217"/>
      <c r="U4" s="217"/>
      <c r="V4" s="217"/>
    </row>
    <row r="5" spans="1:22" ht="48" x14ac:dyDescent="0.25">
      <c r="A5" s="303" t="s">
        <v>232</v>
      </c>
      <c r="B5" s="20"/>
      <c r="C5" s="292" t="s">
        <v>155</v>
      </c>
      <c r="D5" s="292" t="s">
        <v>156</v>
      </c>
      <c r="E5" s="292" t="s">
        <v>157</v>
      </c>
      <c r="F5" s="292" t="s">
        <v>158</v>
      </c>
      <c r="G5" s="292" t="s">
        <v>71</v>
      </c>
      <c r="H5" s="292" t="s">
        <v>74</v>
      </c>
      <c r="I5" s="292" t="s">
        <v>75</v>
      </c>
      <c r="J5" s="292" t="s">
        <v>159</v>
      </c>
      <c r="K5" s="292" t="s">
        <v>160</v>
      </c>
      <c r="L5" s="292" t="s">
        <v>161</v>
      </c>
      <c r="M5" s="292" t="s">
        <v>162</v>
      </c>
      <c r="N5" s="292" t="s">
        <v>163</v>
      </c>
      <c r="O5" s="229" t="s">
        <v>171</v>
      </c>
      <c r="P5" s="11"/>
      <c r="Q5" s="315" t="s">
        <v>833</v>
      </c>
      <c r="R5" s="315" t="s">
        <v>834</v>
      </c>
    </row>
    <row r="6" spans="1:22" x14ac:dyDescent="0.2">
      <c r="A6" s="20"/>
      <c r="B6" s="254" t="s">
        <v>824</v>
      </c>
      <c r="C6" s="255" t="e">
        <f>C73</f>
        <v>#N/A</v>
      </c>
      <c r="D6" s="255" t="e">
        <f t="shared" ref="D6:N6" si="0">D73</f>
        <v>#N/A</v>
      </c>
      <c r="E6" s="255" t="e">
        <f t="shared" si="0"/>
        <v>#N/A</v>
      </c>
      <c r="F6" s="255" t="e">
        <f t="shared" si="0"/>
        <v>#N/A</v>
      </c>
      <c r="G6" s="255" t="e">
        <f t="shared" si="0"/>
        <v>#N/A</v>
      </c>
      <c r="H6" s="255" t="e">
        <f t="shared" si="0"/>
        <v>#N/A</v>
      </c>
      <c r="I6" s="255" t="e">
        <f t="shared" si="0"/>
        <v>#N/A</v>
      </c>
      <c r="J6" s="255" t="e">
        <f t="shared" si="0"/>
        <v>#N/A</v>
      </c>
      <c r="K6" s="255" t="e">
        <f t="shared" si="0"/>
        <v>#N/A</v>
      </c>
      <c r="L6" s="255" t="e">
        <f t="shared" si="0"/>
        <v>#N/A</v>
      </c>
      <c r="M6" s="255" t="e">
        <f t="shared" si="0"/>
        <v>#N/A</v>
      </c>
      <c r="N6" s="255" t="e">
        <f t="shared" si="0"/>
        <v>#N/A</v>
      </c>
      <c r="O6" s="230" t="e">
        <f>SUM(C6:N6)</f>
        <v>#N/A</v>
      </c>
      <c r="P6" s="231" t="s">
        <v>169</v>
      </c>
      <c r="Q6" s="316" t="e">
        <f>MAX(C6:N6)/(8760/12)</f>
        <v>#N/A</v>
      </c>
      <c r="R6" s="317" t="e">
        <f>O6/8760</f>
        <v>#N/A</v>
      </c>
    </row>
    <row r="7" spans="1:22" x14ac:dyDescent="0.2">
      <c r="A7" s="20"/>
      <c r="B7" s="256" t="str">
        <f>IF(AND('Tank and Material Properties'!C52&lt;&gt;0,'Tank and Material Properties'!D52="Yes"),'Tank and Material Properties'!C52&amp;" Emissions, lb","")</f>
        <v/>
      </c>
      <c r="C7" s="257" t="str">
        <f>C77</f>
        <v/>
      </c>
      <c r="D7" s="257" t="str">
        <f t="shared" ref="D7:O7" si="1">D77</f>
        <v/>
      </c>
      <c r="E7" s="257" t="str">
        <f t="shared" si="1"/>
        <v/>
      </c>
      <c r="F7" s="257" t="str">
        <f t="shared" si="1"/>
        <v/>
      </c>
      <c r="G7" s="257" t="str">
        <f t="shared" si="1"/>
        <v/>
      </c>
      <c r="H7" s="257" t="str">
        <f t="shared" si="1"/>
        <v/>
      </c>
      <c r="I7" s="257" t="str">
        <f t="shared" si="1"/>
        <v/>
      </c>
      <c r="J7" s="257" t="str">
        <f t="shared" si="1"/>
        <v/>
      </c>
      <c r="K7" s="257" t="str">
        <f t="shared" si="1"/>
        <v/>
      </c>
      <c r="L7" s="257" t="str">
        <f t="shared" si="1"/>
        <v/>
      </c>
      <c r="M7" s="257" t="str">
        <f t="shared" si="1"/>
        <v/>
      </c>
      <c r="N7" s="257" t="str">
        <f t="shared" si="1"/>
        <v/>
      </c>
      <c r="O7" s="232">
        <f t="shared" si="1"/>
        <v>0</v>
      </c>
      <c r="P7" s="233" t="s">
        <v>169</v>
      </c>
      <c r="Q7" s="316" t="str">
        <f>IF(O7&gt;0,MAX(C7:N7)/(8760/12),"")</f>
        <v/>
      </c>
      <c r="R7" s="316" t="str">
        <f>IF(O7&gt;0,O7/8760,"")</f>
        <v/>
      </c>
    </row>
    <row r="8" spans="1:22" x14ac:dyDescent="0.2">
      <c r="A8" s="20"/>
      <c r="B8" s="256" t="str">
        <f>IF(AND('Tank and Material Properties'!C53&lt;&gt;0,'Tank and Material Properties'!D53="Yes"),'Tank and Material Properties'!C53&amp;" Emissions, lb","")</f>
        <v/>
      </c>
      <c r="C8" s="257" t="str">
        <f t="shared" ref="C8:O8" si="2">C78</f>
        <v/>
      </c>
      <c r="D8" s="257" t="str">
        <f t="shared" si="2"/>
        <v/>
      </c>
      <c r="E8" s="257" t="str">
        <f t="shared" si="2"/>
        <v/>
      </c>
      <c r="F8" s="257" t="str">
        <f t="shared" si="2"/>
        <v/>
      </c>
      <c r="G8" s="257" t="str">
        <f t="shared" si="2"/>
        <v/>
      </c>
      <c r="H8" s="257" t="str">
        <f t="shared" si="2"/>
        <v/>
      </c>
      <c r="I8" s="257" t="str">
        <f t="shared" si="2"/>
        <v/>
      </c>
      <c r="J8" s="257" t="str">
        <f t="shared" si="2"/>
        <v/>
      </c>
      <c r="K8" s="257" t="str">
        <f t="shared" si="2"/>
        <v/>
      </c>
      <c r="L8" s="257" t="str">
        <f t="shared" si="2"/>
        <v/>
      </c>
      <c r="M8" s="257" t="str">
        <f t="shared" si="2"/>
        <v/>
      </c>
      <c r="N8" s="257" t="str">
        <f t="shared" si="2"/>
        <v/>
      </c>
      <c r="O8" s="232">
        <f t="shared" si="2"/>
        <v>0</v>
      </c>
      <c r="P8" s="233" t="s">
        <v>169</v>
      </c>
      <c r="Q8" s="316" t="str">
        <f t="shared" ref="Q8:Q12" si="3">IF(O8&gt;0,MAX(C8:N8)/(8760/12),"")</f>
        <v/>
      </c>
      <c r="R8" s="316" t="str">
        <f t="shared" ref="R8:R12" si="4">IF(O8&gt;0,O8/8760,"")</f>
        <v/>
      </c>
    </row>
    <row r="9" spans="1:22" x14ac:dyDescent="0.2">
      <c r="A9" s="20"/>
      <c r="B9" s="256" t="str">
        <f>IF(AND('Tank and Material Properties'!C54&lt;&gt;0,'Tank and Material Properties'!D54="Yes"),'Tank and Material Properties'!C54&amp;" Emissions, lb","")</f>
        <v/>
      </c>
      <c r="C9" s="257" t="str">
        <f t="shared" ref="C9:O9" si="5">C79</f>
        <v/>
      </c>
      <c r="D9" s="257" t="str">
        <f t="shared" si="5"/>
        <v/>
      </c>
      <c r="E9" s="257" t="str">
        <f t="shared" si="5"/>
        <v/>
      </c>
      <c r="F9" s="257" t="str">
        <f t="shared" si="5"/>
        <v/>
      </c>
      <c r="G9" s="257" t="str">
        <f t="shared" si="5"/>
        <v/>
      </c>
      <c r="H9" s="257" t="str">
        <f t="shared" si="5"/>
        <v/>
      </c>
      <c r="I9" s="257" t="str">
        <f t="shared" si="5"/>
        <v/>
      </c>
      <c r="J9" s="257" t="str">
        <f t="shared" si="5"/>
        <v/>
      </c>
      <c r="K9" s="257" t="str">
        <f t="shared" si="5"/>
        <v/>
      </c>
      <c r="L9" s="257" t="str">
        <f t="shared" si="5"/>
        <v/>
      </c>
      <c r="M9" s="257" t="str">
        <f t="shared" si="5"/>
        <v/>
      </c>
      <c r="N9" s="257" t="str">
        <f t="shared" si="5"/>
        <v/>
      </c>
      <c r="O9" s="232">
        <f t="shared" si="5"/>
        <v>0</v>
      </c>
      <c r="P9" s="233" t="s">
        <v>169</v>
      </c>
      <c r="Q9" s="316" t="str">
        <f t="shared" si="3"/>
        <v/>
      </c>
      <c r="R9" s="316" t="str">
        <f>IF(O9&gt;0,O9/8760,"")</f>
        <v/>
      </c>
    </row>
    <row r="10" spans="1:22" x14ac:dyDescent="0.2">
      <c r="A10" s="20"/>
      <c r="B10" s="256" t="str">
        <f>IF(AND('Tank and Material Properties'!C55&lt;&gt;0,'Tank and Material Properties'!D55="Yes"),'Tank and Material Properties'!C55&amp;" Emissions, lb","")</f>
        <v/>
      </c>
      <c r="C10" s="257" t="str">
        <f t="shared" ref="C10:O10" si="6">C80</f>
        <v/>
      </c>
      <c r="D10" s="257" t="str">
        <f t="shared" si="6"/>
        <v/>
      </c>
      <c r="E10" s="257" t="str">
        <f t="shared" si="6"/>
        <v/>
      </c>
      <c r="F10" s="257" t="str">
        <f t="shared" si="6"/>
        <v/>
      </c>
      <c r="G10" s="257" t="str">
        <f t="shared" si="6"/>
        <v/>
      </c>
      <c r="H10" s="257" t="str">
        <f t="shared" si="6"/>
        <v/>
      </c>
      <c r="I10" s="257" t="str">
        <f t="shared" si="6"/>
        <v/>
      </c>
      <c r="J10" s="257" t="str">
        <f t="shared" si="6"/>
        <v/>
      </c>
      <c r="K10" s="257" t="str">
        <f t="shared" si="6"/>
        <v/>
      </c>
      <c r="L10" s="257" t="str">
        <f t="shared" si="6"/>
        <v/>
      </c>
      <c r="M10" s="257" t="str">
        <f t="shared" si="6"/>
        <v/>
      </c>
      <c r="N10" s="257" t="str">
        <f t="shared" si="6"/>
        <v/>
      </c>
      <c r="O10" s="232">
        <f t="shared" si="6"/>
        <v>0</v>
      </c>
      <c r="P10" s="233" t="s">
        <v>169</v>
      </c>
      <c r="Q10" s="316" t="str">
        <f t="shared" si="3"/>
        <v/>
      </c>
      <c r="R10" s="316" t="str">
        <f t="shared" si="4"/>
        <v/>
      </c>
    </row>
    <row r="11" spans="1:22" x14ac:dyDescent="0.2">
      <c r="A11" s="20"/>
      <c r="B11" s="256" t="str">
        <f>IF(AND('Tank and Material Properties'!C56&lt;&gt;0,'Tank and Material Properties'!D56="Yes"),'Tank and Material Properties'!C56&amp;" Emissions, lb","")</f>
        <v/>
      </c>
      <c r="C11" s="257" t="str">
        <f t="shared" ref="C11:O11" si="7">C81</f>
        <v/>
      </c>
      <c r="D11" s="257" t="str">
        <f t="shared" si="7"/>
        <v/>
      </c>
      <c r="E11" s="257" t="str">
        <f t="shared" si="7"/>
        <v/>
      </c>
      <c r="F11" s="257" t="str">
        <f t="shared" si="7"/>
        <v/>
      </c>
      <c r="G11" s="257" t="str">
        <f t="shared" si="7"/>
        <v/>
      </c>
      <c r="H11" s="257" t="str">
        <f t="shared" si="7"/>
        <v/>
      </c>
      <c r="I11" s="257" t="str">
        <f t="shared" si="7"/>
        <v/>
      </c>
      <c r="J11" s="257" t="str">
        <f t="shared" si="7"/>
        <v/>
      </c>
      <c r="K11" s="257" t="str">
        <f t="shared" si="7"/>
        <v/>
      </c>
      <c r="L11" s="257" t="str">
        <f t="shared" si="7"/>
        <v/>
      </c>
      <c r="M11" s="257" t="str">
        <f t="shared" si="7"/>
        <v/>
      </c>
      <c r="N11" s="257" t="str">
        <f t="shared" si="7"/>
        <v/>
      </c>
      <c r="O11" s="232">
        <f t="shared" si="7"/>
        <v>0</v>
      </c>
      <c r="P11" s="233" t="s">
        <v>169</v>
      </c>
      <c r="Q11" s="316" t="str">
        <f t="shared" si="3"/>
        <v/>
      </c>
      <c r="R11" s="316" t="str">
        <f t="shared" si="4"/>
        <v/>
      </c>
    </row>
    <row r="12" spans="1:22" x14ac:dyDescent="0.2">
      <c r="A12" s="20"/>
      <c r="B12" s="256" t="str">
        <f>IF(AND('Tank and Material Properties'!C57&lt;&gt;0,'Tank and Material Properties'!D57="Yes"),'Tank and Material Properties'!C57&amp;" Emissions, lb","")</f>
        <v/>
      </c>
      <c r="C12" s="257" t="str">
        <f t="shared" ref="C12:O13" si="8">C82</f>
        <v/>
      </c>
      <c r="D12" s="257" t="str">
        <f t="shared" si="8"/>
        <v/>
      </c>
      <c r="E12" s="257" t="str">
        <f t="shared" si="8"/>
        <v/>
      </c>
      <c r="F12" s="257" t="str">
        <f t="shared" si="8"/>
        <v/>
      </c>
      <c r="G12" s="257" t="str">
        <f t="shared" si="8"/>
        <v/>
      </c>
      <c r="H12" s="257" t="str">
        <f t="shared" si="8"/>
        <v/>
      </c>
      <c r="I12" s="257" t="str">
        <f t="shared" si="8"/>
        <v/>
      </c>
      <c r="J12" s="257" t="str">
        <f t="shared" si="8"/>
        <v/>
      </c>
      <c r="K12" s="257" t="str">
        <f t="shared" si="8"/>
        <v/>
      </c>
      <c r="L12" s="257" t="str">
        <f t="shared" si="8"/>
        <v/>
      </c>
      <c r="M12" s="257" t="str">
        <f t="shared" si="8"/>
        <v/>
      </c>
      <c r="N12" s="257" t="str">
        <f t="shared" si="8"/>
        <v/>
      </c>
      <c r="O12" s="232">
        <f t="shared" si="8"/>
        <v>0</v>
      </c>
      <c r="P12" s="233" t="s">
        <v>169</v>
      </c>
      <c r="Q12" s="316" t="str">
        <f t="shared" si="3"/>
        <v/>
      </c>
      <c r="R12" s="316" t="str">
        <f t="shared" si="4"/>
        <v/>
      </c>
    </row>
    <row r="13" spans="1:22" x14ac:dyDescent="0.2">
      <c r="A13" s="20"/>
      <c r="B13" s="254" t="s">
        <v>825</v>
      </c>
      <c r="C13" s="255">
        <f t="shared" si="8"/>
        <v>0</v>
      </c>
      <c r="D13" s="255">
        <f t="shared" si="8"/>
        <v>0</v>
      </c>
      <c r="E13" s="255">
        <f t="shared" si="8"/>
        <v>0</v>
      </c>
      <c r="F13" s="255">
        <f t="shared" si="8"/>
        <v>0</v>
      </c>
      <c r="G13" s="255">
        <f t="shared" si="8"/>
        <v>0</v>
      </c>
      <c r="H13" s="255">
        <f t="shared" si="8"/>
        <v>0</v>
      </c>
      <c r="I13" s="255">
        <f t="shared" si="8"/>
        <v>0</v>
      </c>
      <c r="J13" s="255">
        <f t="shared" si="8"/>
        <v>0</v>
      </c>
      <c r="K13" s="255">
        <f t="shared" si="8"/>
        <v>0</v>
      </c>
      <c r="L13" s="255">
        <f t="shared" si="8"/>
        <v>0</v>
      </c>
      <c r="M13" s="255">
        <f t="shared" si="8"/>
        <v>0</v>
      </c>
      <c r="N13" s="255">
        <f t="shared" si="8"/>
        <v>0</v>
      </c>
      <c r="O13" s="230">
        <f t="shared" si="8"/>
        <v>0</v>
      </c>
      <c r="P13" s="231" t="s">
        <v>169</v>
      </c>
      <c r="Q13" s="316" t="str">
        <f>IF(O13&gt;0,MAX(C13:N13)/(8760/12),"")</f>
        <v/>
      </c>
      <c r="R13" s="316" t="str">
        <f>IF(O13&gt;0,O13/8760,"")</f>
        <v/>
      </c>
    </row>
    <row r="14" spans="1:22" s="212" customFormat="1" ht="14.25" x14ac:dyDescent="0.2">
      <c r="A14" s="226"/>
      <c r="B14" s="286"/>
      <c r="C14" s="234"/>
      <c r="D14" s="234"/>
      <c r="E14" s="234"/>
      <c r="F14" s="234"/>
      <c r="G14" s="234"/>
      <c r="H14" s="234"/>
      <c r="I14" s="234"/>
      <c r="J14" s="234"/>
      <c r="K14" s="234"/>
      <c r="L14" s="234"/>
      <c r="M14" s="234"/>
      <c r="N14" s="234"/>
      <c r="O14" s="234"/>
      <c r="P14" s="229"/>
      <c r="Q14" s="217"/>
      <c r="R14" s="217"/>
      <c r="S14" s="217"/>
      <c r="T14" s="217"/>
      <c r="U14" s="217"/>
      <c r="V14" s="217"/>
    </row>
    <row r="15" spans="1:22" s="212" customFormat="1" ht="22.5" customHeight="1" x14ac:dyDescent="0.25">
      <c r="A15" s="304" t="s">
        <v>826</v>
      </c>
      <c r="B15" s="217"/>
      <c r="C15" s="217"/>
      <c r="D15" s="217"/>
      <c r="E15" s="217"/>
      <c r="F15" s="217"/>
      <c r="G15" s="217"/>
      <c r="H15" s="217"/>
      <c r="I15" s="217"/>
      <c r="J15" s="217"/>
      <c r="K15" s="217"/>
      <c r="L15" s="217"/>
      <c r="M15" s="217"/>
      <c r="N15" s="217"/>
      <c r="O15" s="217"/>
      <c r="P15" s="217"/>
      <c r="Q15" s="217"/>
      <c r="R15" s="217"/>
      <c r="S15" s="217"/>
      <c r="T15" s="217"/>
      <c r="U15" s="217"/>
      <c r="V15" s="217"/>
    </row>
    <row r="16" spans="1:22" s="212" customFormat="1" ht="14.25" x14ac:dyDescent="0.2">
      <c r="B16" s="227"/>
      <c r="C16" s="293" t="s">
        <v>155</v>
      </c>
      <c r="D16" s="293" t="s">
        <v>156</v>
      </c>
      <c r="E16" s="293" t="s">
        <v>157</v>
      </c>
      <c r="F16" s="293" t="s">
        <v>158</v>
      </c>
      <c r="G16" s="293" t="s">
        <v>71</v>
      </c>
      <c r="H16" s="293" t="s">
        <v>74</v>
      </c>
      <c r="I16" s="293" t="s">
        <v>75</v>
      </c>
      <c r="J16" s="293" t="s">
        <v>159</v>
      </c>
      <c r="K16" s="293" t="s">
        <v>160</v>
      </c>
      <c r="L16" s="293" t="s">
        <v>161</v>
      </c>
      <c r="M16" s="293" t="s">
        <v>162</v>
      </c>
      <c r="N16" s="293" t="s">
        <v>163</v>
      </c>
      <c r="O16" s="217"/>
      <c r="P16" s="217"/>
      <c r="Q16" s="217"/>
      <c r="R16" s="217"/>
      <c r="S16" s="217"/>
      <c r="T16" s="217"/>
      <c r="U16" s="217"/>
      <c r="V16" s="217"/>
    </row>
    <row r="17" spans="1:22" s="212" customFormat="1" ht="14.25" x14ac:dyDescent="0.2">
      <c r="A17" s="207"/>
      <c r="B17" s="100" t="s">
        <v>175</v>
      </c>
      <c r="C17" s="249" t="e">
        <f>VLOOKUP('Tank and Material Properties'!$C$12,'Reference Tables'!$A$56:$P$64,4)</f>
        <v>#N/A</v>
      </c>
      <c r="D17" s="249" t="e">
        <f>VLOOKUP('Tank and Material Properties'!$C$12,'Reference Tables'!$A$56:$P$64,5)</f>
        <v>#N/A</v>
      </c>
      <c r="E17" s="249" t="e">
        <f>VLOOKUP('Tank and Material Properties'!$C$12,'Reference Tables'!$A$56:$P$64,6)</f>
        <v>#N/A</v>
      </c>
      <c r="F17" s="249" t="e">
        <f>VLOOKUP('Tank and Material Properties'!$C$12,'Reference Tables'!$A$56:$P$64,7)</f>
        <v>#N/A</v>
      </c>
      <c r="G17" s="249" t="e">
        <f>VLOOKUP('Tank and Material Properties'!$C$12,'Reference Tables'!$A$56:$P$64,8)</f>
        <v>#N/A</v>
      </c>
      <c r="H17" s="249" t="e">
        <f>VLOOKUP('Tank and Material Properties'!$C$12,'Reference Tables'!$A$56:$P$64,9)</f>
        <v>#N/A</v>
      </c>
      <c r="I17" s="249" t="e">
        <f>VLOOKUP('Tank and Material Properties'!$C$12,'Reference Tables'!$A$56:$P$64,10)</f>
        <v>#N/A</v>
      </c>
      <c r="J17" s="249" t="e">
        <f>VLOOKUP('Tank and Material Properties'!$C$12,'Reference Tables'!$A$56:$P$64,11)</f>
        <v>#N/A</v>
      </c>
      <c r="K17" s="249" t="e">
        <f>VLOOKUP('Tank and Material Properties'!$C$12,'Reference Tables'!$A$56:$P$64,12)</f>
        <v>#N/A</v>
      </c>
      <c r="L17" s="249" t="e">
        <f>VLOOKUP('Tank and Material Properties'!$C$12,'Reference Tables'!$A$56:$P$64,13)</f>
        <v>#N/A</v>
      </c>
      <c r="M17" s="249" t="e">
        <f>VLOOKUP('Tank and Material Properties'!$C$12,'Reference Tables'!$A$56:$P$64,14)</f>
        <v>#N/A</v>
      </c>
      <c r="N17" s="249" t="e">
        <f>VLOOKUP('Tank and Material Properties'!$C$12,'Reference Tables'!$A$56:$P$64,15)</f>
        <v>#N/A</v>
      </c>
      <c r="O17" s="209" t="s">
        <v>723</v>
      </c>
      <c r="P17" s="100"/>
      <c r="Q17" s="100"/>
      <c r="R17" s="100"/>
      <c r="S17" s="100"/>
      <c r="T17" s="100"/>
      <c r="U17" s="100"/>
      <c r="V17" s="217"/>
    </row>
    <row r="18" spans="1:22" s="212" customFormat="1" ht="15.75" x14ac:dyDescent="0.3">
      <c r="A18" s="207"/>
      <c r="B18" s="100" t="s">
        <v>700</v>
      </c>
      <c r="C18" s="249" t="e">
        <f>VLOOKUP('Tank and Material Properties'!$C$12,'Reference Tables'!$A$38:$P$46,4)</f>
        <v>#N/A</v>
      </c>
      <c r="D18" s="249" t="e">
        <f>VLOOKUP('Tank and Material Properties'!$C$12,'Reference Tables'!$A$38:$P$46,5)</f>
        <v>#N/A</v>
      </c>
      <c r="E18" s="249" t="e">
        <f>VLOOKUP('Tank and Material Properties'!$C$12,'Reference Tables'!$A$38:$P$46,6)</f>
        <v>#N/A</v>
      </c>
      <c r="F18" s="249" t="e">
        <f>VLOOKUP('Tank and Material Properties'!$C$12,'Reference Tables'!$A$38:$P$46,7)</f>
        <v>#N/A</v>
      </c>
      <c r="G18" s="249" t="e">
        <f>VLOOKUP('Tank and Material Properties'!$C$12,'Reference Tables'!$A$38:$P$46,8)</f>
        <v>#N/A</v>
      </c>
      <c r="H18" s="249" t="e">
        <f>VLOOKUP('Tank and Material Properties'!$C$12,'Reference Tables'!$A$38:$P$46,9)</f>
        <v>#N/A</v>
      </c>
      <c r="I18" s="249" t="e">
        <f>VLOOKUP('Tank and Material Properties'!$C$12,'Reference Tables'!$A$38:$P$46,10)</f>
        <v>#N/A</v>
      </c>
      <c r="J18" s="249" t="e">
        <f>VLOOKUP('Tank and Material Properties'!$C$12,'Reference Tables'!$A$38:$P$46,11)</f>
        <v>#N/A</v>
      </c>
      <c r="K18" s="249" t="e">
        <f>VLOOKUP('Tank and Material Properties'!$C$12,'Reference Tables'!$A$38:$P$46,12)</f>
        <v>#N/A</v>
      </c>
      <c r="L18" s="249" t="e">
        <f>VLOOKUP('Tank and Material Properties'!$C$12,'Reference Tables'!$A$38:$P$46,13)</f>
        <v>#N/A</v>
      </c>
      <c r="M18" s="249" t="e">
        <f>VLOOKUP('Tank and Material Properties'!$C$12,'Reference Tables'!$A$38:$P$46,14)</f>
        <v>#N/A</v>
      </c>
      <c r="N18" s="249" t="e">
        <f>VLOOKUP('Tank and Material Properties'!$C$12,'Reference Tables'!$A$38:$P$46,15)</f>
        <v>#N/A</v>
      </c>
      <c r="O18" s="209" t="s">
        <v>722</v>
      </c>
      <c r="P18" s="100"/>
      <c r="Q18" s="100"/>
      <c r="R18" s="100"/>
      <c r="S18" s="100"/>
      <c r="T18" s="100"/>
      <c r="U18" s="100"/>
      <c r="V18" s="217"/>
    </row>
    <row r="19" spans="1:22" s="212" customFormat="1" ht="15.75" x14ac:dyDescent="0.3">
      <c r="A19" s="207"/>
      <c r="B19" s="100" t="s">
        <v>701</v>
      </c>
      <c r="C19" s="249" t="e">
        <f>VLOOKUP('Tank and Material Properties'!$C$12,'Reference Tables'!$A$47:$P$55,4)</f>
        <v>#N/A</v>
      </c>
      <c r="D19" s="249" t="e">
        <f>VLOOKUP('Tank and Material Properties'!$C$12,'Reference Tables'!$A$47:$P$55,5)</f>
        <v>#N/A</v>
      </c>
      <c r="E19" s="249" t="e">
        <f>VLOOKUP('Tank and Material Properties'!$C$12,'Reference Tables'!$A$47:$P$55,6)</f>
        <v>#N/A</v>
      </c>
      <c r="F19" s="249" t="e">
        <f>VLOOKUP('Tank and Material Properties'!$C$12,'Reference Tables'!$A$47:$P$55,7)</f>
        <v>#N/A</v>
      </c>
      <c r="G19" s="249" t="e">
        <f>VLOOKUP('Tank and Material Properties'!$C$12,'Reference Tables'!$A$47:$P$55,8)</f>
        <v>#N/A</v>
      </c>
      <c r="H19" s="249" t="e">
        <f>VLOOKUP('Tank and Material Properties'!$C$12,'Reference Tables'!$A$47:$P$55,9)</f>
        <v>#N/A</v>
      </c>
      <c r="I19" s="249" t="e">
        <f>VLOOKUP('Tank and Material Properties'!$C$12,'Reference Tables'!$A$47:$P$55,10)</f>
        <v>#N/A</v>
      </c>
      <c r="J19" s="249" t="e">
        <f>VLOOKUP('Tank and Material Properties'!$C$12,'Reference Tables'!$A$47:$P$55,11)</f>
        <v>#N/A</v>
      </c>
      <c r="K19" s="249" t="e">
        <f>VLOOKUP('Tank and Material Properties'!$C$12,'Reference Tables'!$A$47:$P$55,12)</f>
        <v>#N/A</v>
      </c>
      <c r="L19" s="249" t="e">
        <f>VLOOKUP('Tank and Material Properties'!$C$12,'Reference Tables'!$A$47:$P$55,13)</f>
        <v>#N/A</v>
      </c>
      <c r="M19" s="249" t="e">
        <f>VLOOKUP('Tank and Material Properties'!$C$12,'Reference Tables'!$A$47:$P$55,14)</f>
        <v>#N/A</v>
      </c>
      <c r="N19" s="249" t="e">
        <f>VLOOKUP('Tank and Material Properties'!$C$12,'Reference Tables'!$A$47:$P$55,15)</f>
        <v>#N/A</v>
      </c>
      <c r="O19" s="209" t="s">
        <v>722</v>
      </c>
      <c r="P19" s="100"/>
      <c r="Q19" s="100"/>
      <c r="R19" s="100"/>
      <c r="S19" s="100"/>
      <c r="T19" s="100"/>
      <c r="U19" s="100"/>
      <c r="V19" s="217"/>
    </row>
    <row r="20" spans="1:22" s="212" customFormat="1" ht="15.75" x14ac:dyDescent="0.3">
      <c r="A20" s="207"/>
      <c r="B20" s="100" t="s">
        <v>702</v>
      </c>
      <c r="C20" s="249" t="e">
        <f>((C18+459.7)+(C19+459.7))/2</f>
        <v>#N/A</v>
      </c>
      <c r="D20" s="249" t="e">
        <f>((D18+459.7)+(D19+459.7))/2</f>
        <v>#N/A</v>
      </c>
      <c r="E20" s="249" t="e">
        <f>((E18+459.7)+(E19+459.7))/2</f>
        <v>#N/A</v>
      </c>
      <c r="F20" s="249" t="e">
        <f>((F18+459.7)+(F19+459.7))/2</f>
        <v>#N/A</v>
      </c>
      <c r="G20" s="249" t="e">
        <f t="shared" ref="G20:N20" si="9">((G18+459.7)+(G19+459.7))/2</f>
        <v>#N/A</v>
      </c>
      <c r="H20" s="249" t="e">
        <f t="shared" si="9"/>
        <v>#N/A</v>
      </c>
      <c r="I20" s="249" t="e">
        <f t="shared" si="9"/>
        <v>#N/A</v>
      </c>
      <c r="J20" s="249" t="e">
        <f t="shared" si="9"/>
        <v>#N/A</v>
      </c>
      <c r="K20" s="249" t="e">
        <f t="shared" si="9"/>
        <v>#N/A</v>
      </c>
      <c r="L20" s="249" t="e">
        <f t="shared" si="9"/>
        <v>#N/A</v>
      </c>
      <c r="M20" s="249" t="e">
        <f t="shared" si="9"/>
        <v>#N/A</v>
      </c>
      <c r="N20" s="249" t="e">
        <f t="shared" si="9"/>
        <v>#N/A</v>
      </c>
      <c r="O20" s="209" t="s">
        <v>724</v>
      </c>
      <c r="P20" s="100"/>
      <c r="Q20" s="100"/>
      <c r="R20" s="100"/>
      <c r="S20" s="100"/>
      <c r="T20" s="100"/>
      <c r="U20" s="100"/>
      <c r="V20" s="217"/>
    </row>
    <row r="21" spans="1:22" s="212" customFormat="1" ht="14.25" x14ac:dyDescent="0.2">
      <c r="A21" s="207"/>
      <c r="B21" s="100" t="s">
        <v>703</v>
      </c>
      <c r="C21" s="250" t="e">
        <f>VLOOKUP('Tank and Material Properties'!$C$12,'Reference Tables'!$A$65:$P$73,4)</f>
        <v>#N/A</v>
      </c>
      <c r="D21" s="250" t="e">
        <f>VLOOKUP('Tank and Material Properties'!$C$12,'Reference Tables'!$A$65:$P$73,5)</f>
        <v>#N/A</v>
      </c>
      <c r="E21" s="250" t="e">
        <f>VLOOKUP('Tank and Material Properties'!$C$12,'Reference Tables'!$A$65:$P$73,6)</f>
        <v>#N/A</v>
      </c>
      <c r="F21" s="250" t="e">
        <f>VLOOKUP('Tank and Material Properties'!$C$12,'Reference Tables'!$A$65:$P$73,7)</f>
        <v>#N/A</v>
      </c>
      <c r="G21" s="250" t="e">
        <f>VLOOKUP('Tank and Material Properties'!$C$12,'Reference Tables'!$A$65:$P$73,8)</f>
        <v>#N/A</v>
      </c>
      <c r="H21" s="250" t="e">
        <f>VLOOKUP('Tank and Material Properties'!$C$12,'Reference Tables'!$A$65:$P$73,9)</f>
        <v>#N/A</v>
      </c>
      <c r="I21" s="250" t="e">
        <f>VLOOKUP('Tank and Material Properties'!$C$12,'Reference Tables'!$A$65:$P$73,10)</f>
        <v>#N/A</v>
      </c>
      <c r="J21" s="250" t="e">
        <f>VLOOKUP('Tank and Material Properties'!$C$12,'Reference Tables'!$A$65:$P$73,11)</f>
        <v>#N/A</v>
      </c>
      <c r="K21" s="250" t="e">
        <f>VLOOKUP('Tank and Material Properties'!$C$12,'Reference Tables'!$A$65:$P$73,12)</f>
        <v>#N/A</v>
      </c>
      <c r="L21" s="250" t="e">
        <f>VLOOKUP('Tank and Material Properties'!$C$12,'Reference Tables'!$A$65:$P$73,13)</f>
        <v>#N/A</v>
      </c>
      <c r="M21" s="250" t="e">
        <f>VLOOKUP('Tank and Material Properties'!$C$12,'Reference Tables'!$A$65:$P$73,14)</f>
        <v>#N/A</v>
      </c>
      <c r="N21" s="250" t="e">
        <f>VLOOKUP('Tank and Material Properties'!$C$12,'Reference Tables'!$A$65:$P$73,15)</f>
        <v>#N/A</v>
      </c>
      <c r="O21" s="100" t="s">
        <v>725</v>
      </c>
      <c r="P21" s="100"/>
      <c r="Q21" s="100"/>
      <c r="R21" s="100"/>
      <c r="S21" s="100"/>
      <c r="T21" s="100"/>
      <c r="U21" s="100"/>
      <c r="V21" s="217"/>
    </row>
    <row r="22" spans="1:22" s="212" customFormat="1" ht="15.75" x14ac:dyDescent="0.3">
      <c r="A22" s="207"/>
      <c r="B22" s="100" t="s">
        <v>704</v>
      </c>
      <c r="C22" s="251" t="e">
        <f>C20+(0.003*'Tank and Material Properties'!$C$19*C21)</f>
        <v>#N/A</v>
      </c>
      <c r="D22" s="251" t="e">
        <f>D20+(0.003*'Tank and Material Properties'!$C$19*D21)</f>
        <v>#N/A</v>
      </c>
      <c r="E22" s="251" t="e">
        <f>E20+(0.003*'Tank and Material Properties'!$C$19*E21)</f>
        <v>#N/A</v>
      </c>
      <c r="F22" s="251" t="e">
        <f>F20+(0.003*'Tank and Material Properties'!$C$19*F21)</f>
        <v>#N/A</v>
      </c>
      <c r="G22" s="251" t="e">
        <f>G20+(0.003*'Tank and Material Properties'!$C$19*G21)</f>
        <v>#N/A</v>
      </c>
      <c r="H22" s="251" t="e">
        <f>H20+(0.003*'Tank and Material Properties'!$C$19*H21)</f>
        <v>#N/A</v>
      </c>
      <c r="I22" s="251" t="e">
        <f>I20+(0.003*'Tank and Material Properties'!$C$19*I21)</f>
        <v>#N/A</v>
      </c>
      <c r="J22" s="251" t="e">
        <f>J20+(0.003*'Tank and Material Properties'!$C$19*J21)</f>
        <v>#N/A</v>
      </c>
      <c r="K22" s="251" t="e">
        <f>K20+(0.003*'Tank and Material Properties'!$C$19*K21)</f>
        <v>#N/A</v>
      </c>
      <c r="L22" s="251" t="e">
        <f>L20+(0.003*'Tank and Material Properties'!$C$19*L21)</f>
        <v>#N/A</v>
      </c>
      <c r="M22" s="251" t="e">
        <f>M20+(0.003*'Tank and Material Properties'!$C$19*M21)</f>
        <v>#N/A</v>
      </c>
      <c r="N22" s="251" t="e">
        <f>N20+(0.003*'Tank and Material Properties'!$C$19*N21)</f>
        <v>#N/A</v>
      </c>
      <c r="O22" s="100" t="s">
        <v>726</v>
      </c>
      <c r="P22" s="209"/>
      <c r="Q22" s="100"/>
      <c r="R22" s="100"/>
      <c r="S22" s="100"/>
      <c r="T22" s="100"/>
      <c r="U22" s="100"/>
      <c r="V22" s="217"/>
    </row>
    <row r="23" spans="1:22" s="212" customFormat="1" ht="15.75" x14ac:dyDescent="0.3">
      <c r="A23" s="207"/>
      <c r="B23" s="100" t="s">
        <v>705</v>
      </c>
      <c r="C23" s="251" t="e">
        <f>(0.3*C20)+(0.7*C22)+(0.004*'Tank and Material Properties'!$C$19*C21)</f>
        <v>#N/A</v>
      </c>
      <c r="D23" s="251" t="e">
        <f>(0.3*D20)+(0.7*D22)+(0.004*'Tank and Material Properties'!$C$19*D21)</f>
        <v>#N/A</v>
      </c>
      <c r="E23" s="251" t="e">
        <f>(0.3*E20)+(0.7*E22)+(0.004*'Tank and Material Properties'!$C$19*E21)</f>
        <v>#N/A</v>
      </c>
      <c r="F23" s="251" t="e">
        <f>(0.3*F20)+(0.7*F22)+(0.004*'Tank and Material Properties'!$C$19*F21)</f>
        <v>#N/A</v>
      </c>
      <c r="G23" s="251" t="e">
        <f>(0.3*G20)+(0.7*G22)+(0.004*'Tank and Material Properties'!$C$19*G21)</f>
        <v>#N/A</v>
      </c>
      <c r="H23" s="251" t="e">
        <f>(0.3*H20)+(0.7*H22)+(0.004*'Tank and Material Properties'!$C$19*H21)</f>
        <v>#N/A</v>
      </c>
      <c r="I23" s="251" t="e">
        <f>(0.3*I20)+(0.7*I22)+(0.004*'Tank and Material Properties'!$C$19*I21)</f>
        <v>#N/A</v>
      </c>
      <c r="J23" s="251" t="e">
        <f>(0.3*J20)+(0.7*J22)+(0.004*'Tank and Material Properties'!$C$19*J21)</f>
        <v>#N/A</v>
      </c>
      <c r="K23" s="251" t="e">
        <f>(0.3*K20)+(0.7*K22)+(0.004*'Tank and Material Properties'!$C$19*K21)</f>
        <v>#N/A</v>
      </c>
      <c r="L23" s="251" t="e">
        <f>(0.3*L20)+(0.7*L22)+(0.004*'Tank and Material Properties'!$C$19*L21)</f>
        <v>#N/A</v>
      </c>
      <c r="M23" s="251" t="e">
        <f>(0.3*M20)+(0.7*M22)+(0.004*'Tank and Material Properties'!$C$19*M21)</f>
        <v>#N/A</v>
      </c>
      <c r="N23" s="251" t="e">
        <f>(0.3*N20)+(0.7*N22)+(0.004*'Tank and Material Properties'!$C$19*N21)</f>
        <v>#N/A</v>
      </c>
      <c r="O23" s="100" t="s">
        <v>727</v>
      </c>
      <c r="P23" s="100"/>
      <c r="Q23" s="100"/>
      <c r="R23" s="100"/>
      <c r="S23" s="100"/>
      <c r="T23" s="100"/>
      <c r="U23" s="100"/>
      <c r="V23" s="217"/>
    </row>
    <row r="24" spans="1:22" s="212" customFormat="1" ht="15.75" x14ac:dyDescent="0.3">
      <c r="A24" s="207"/>
      <c r="B24" s="208" t="s">
        <v>706</v>
      </c>
      <c r="C24" s="249" t="e">
        <f>CONVERT(C23,"Rank","F")</f>
        <v>#N/A</v>
      </c>
      <c r="D24" s="249" t="e">
        <f t="shared" ref="D24:M24" si="10">CONVERT(D23,"Rank","F")</f>
        <v>#N/A</v>
      </c>
      <c r="E24" s="249" t="e">
        <f t="shared" si="10"/>
        <v>#N/A</v>
      </c>
      <c r="F24" s="249" t="e">
        <f t="shared" si="10"/>
        <v>#N/A</v>
      </c>
      <c r="G24" s="249" t="e">
        <f t="shared" si="10"/>
        <v>#N/A</v>
      </c>
      <c r="H24" s="249" t="e">
        <f t="shared" si="10"/>
        <v>#N/A</v>
      </c>
      <c r="I24" s="249" t="e">
        <f t="shared" si="10"/>
        <v>#N/A</v>
      </c>
      <c r="J24" s="249" t="e">
        <f t="shared" si="10"/>
        <v>#N/A</v>
      </c>
      <c r="K24" s="249" t="e">
        <f t="shared" si="10"/>
        <v>#N/A</v>
      </c>
      <c r="L24" s="249" t="e">
        <f t="shared" si="10"/>
        <v>#N/A</v>
      </c>
      <c r="M24" s="249" t="e">
        <f t="shared" si="10"/>
        <v>#N/A</v>
      </c>
      <c r="N24" s="249" t="e">
        <f>CONVERT(N23,"Rank","F")</f>
        <v>#N/A</v>
      </c>
      <c r="O24" s="100" t="s">
        <v>141</v>
      </c>
      <c r="P24" s="100"/>
      <c r="Q24" s="100"/>
      <c r="R24" s="100"/>
      <c r="S24" s="100"/>
      <c r="T24" s="100"/>
      <c r="U24" s="100"/>
      <c r="V24" s="217"/>
    </row>
    <row r="25" spans="1:22" s="212" customFormat="1" ht="15.75" x14ac:dyDescent="0.3">
      <c r="A25" s="207"/>
      <c r="B25" s="208" t="s">
        <v>707</v>
      </c>
      <c r="C25" s="249" t="e">
        <f>CONVERT(C23,"Rank","C")</f>
        <v>#N/A</v>
      </c>
      <c r="D25" s="249" t="e">
        <f t="shared" ref="D25:N25" si="11">CONVERT(D23,"Rank","C")</f>
        <v>#N/A</v>
      </c>
      <c r="E25" s="249" t="e">
        <f t="shared" si="11"/>
        <v>#N/A</v>
      </c>
      <c r="F25" s="249" t="e">
        <f t="shared" si="11"/>
        <v>#N/A</v>
      </c>
      <c r="G25" s="249" t="e">
        <f t="shared" si="11"/>
        <v>#N/A</v>
      </c>
      <c r="H25" s="249" t="e">
        <f t="shared" si="11"/>
        <v>#N/A</v>
      </c>
      <c r="I25" s="249" t="e">
        <f t="shared" si="11"/>
        <v>#N/A</v>
      </c>
      <c r="J25" s="249" t="e">
        <f t="shared" si="11"/>
        <v>#N/A</v>
      </c>
      <c r="K25" s="249" t="e">
        <f t="shared" si="11"/>
        <v>#N/A</v>
      </c>
      <c r="L25" s="249" t="e">
        <f t="shared" si="11"/>
        <v>#N/A</v>
      </c>
      <c r="M25" s="249" t="e">
        <f t="shared" si="11"/>
        <v>#N/A</v>
      </c>
      <c r="N25" s="249" t="e">
        <f t="shared" si="11"/>
        <v>#N/A</v>
      </c>
      <c r="O25" s="100" t="s">
        <v>164</v>
      </c>
      <c r="P25" s="100"/>
      <c r="Q25" s="100"/>
      <c r="R25" s="100"/>
      <c r="S25" s="100"/>
      <c r="T25" s="100"/>
      <c r="U25" s="100"/>
      <c r="V25" s="217"/>
    </row>
    <row r="26" spans="1:22" s="212" customFormat="1" ht="15.75" x14ac:dyDescent="0.3">
      <c r="A26" s="207"/>
      <c r="B26" s="209" t="str">
        <f>IF(AND('Tank and Material Properties'!C40&lt;&gt;0,'Tank and Material Properties'!C40&lt;&gt;"I. None. Complete 18."),'Tank and Material Properties'!C40&amp; " Partial Pressure, psia","")</f>
        <v/>
      </c>
      <c r="C26" s="224" t="str">
        <f>IF(AND('Tank and Material Properties'!$C$40&lt;&gt;0,'Tank and Material Properties'!$C$40&lt;&gt;"I. None. Complete 18."),EXP('Tank and Material Properties'!$C$47-('Tank and Material Properties'!$C$48/C23))*'Tank and Material Properties'!$C$43,"")</f>
        <v/>
      </c>
      <c r="D26" s="224" t="str">
        <f>IF(AND('Tank and Material Properties'!$C$40&lt;&gt;0,'Tank and Material Properties'!$C$40&lt;&gt;"I. None. Complete 18."),EXP('Tank and Material Properties'!$C$47-('Tank and Material Properties'!$C$48/D23))*'Tank and Material Properties'!$C$43,"")</f>
        <v/>
      </c>
      <c r="E26" s="224" t="str">
        <f>IF(AND('Tank and Material Properties'!$C$40&lt;&gt;0,'Tank and Material Properties'!$C$40&lt;&gt;"I. None. Complete 18."),EXP('Tank and Material Properties'!$C$47-('Tank and Material Properties'!$C$48/E23))*'Tank and Material Properties'!$C$43,"")</f>
        <v/>
      </c>
      <c r="F26" s="224" t="str">
        <f>IF(AND('Tank and Material Properties'!$C$40&lt;&gt;0,'Tank and Material Properties'!$C$40&lt;&gt;"I. None. Complete 18."),EXP('Tank and Material Properties'!$C$47-('Tank and Material Properties'!$C$48/F23))*'Tank and Material Properties'!$C$43,"")</f>
        <v/>
      </c>
      <c r="G26" s="224" t="str">
        <f>IF(AND('Tank and Material Properties'!$C$40&lt;&gt;0,'Tank and Material Properties'!$C$40&lt;&gt;"I. None. Complete 18."),EXP('Tank and Material Properties'!$C$47-('Tank and Material Properties'!$C$48/G23))*'Tank and Material Properties'!$C$43,"")</f>
        <v/>
      </c>
      <c r="H26" s="224" t="str">
        <f>IF(AND('Tank and Material Properties'!$C$40&lt;&gt;0,'Tank and Material Properties'!$C$40&lt;&gt;"I. None. Complete 18."),EXP('Tank and Material Properties'!$C$47-('Tank and Material Properties'!$C$48/H23))*'Tank and Material Properties'!$C$43,"")</f>
        <v/>
      </c>
      <c r="I26" s="224" t="str">
        <f>IF(AND('Tank and Material Properties'!$C$40&lt;&gt;0,'Tank and Material Properties'!$C$40&lt;&gt;"I. None. Complete 18."),EXP('Tank and Material Properties'!$C$47-('Tank and Material Properties'!$C$48/I23))*'Tank and Material Properties'!$C$43,"")</f>
        <v/>
      </c>
      <c r="J26" s="224" t="str">
        <f>IF(AND('Tank and Material Properties'!$C$40&lt;&gt;0,'Tank and Material Properties'!$C$40&lt;&gt;"I. None. Complete 18."),EXP('Tank and Material Properties'!$C$47-('Tank and Material Properties'!$C$48/J23))*'Tank and Material Properties'!$C$43,"")</f>
        <v/>
      </c>
      <c r="K26" s="224" t="str">
        <f>IF(AND('Tank and Material Properties'!$C$40&lt;&gt;0,'Tank and Material Properties'!$C$40&lt;&gt;"I. None. Complete 18."),EXP('Tank and Material Properties'!$C$47-('Tank and Material Properties'!$C$48/K23))*'Tank and Material Properties'!$C$43,"")</f>
        <v/>
      </c>
      <c r="L26" s="224" t="str">
        <f>IF(AND('Tank and Material Properties'!$C$40&lt;&gt;0,'Tank and Material Properties'!$C$40&lt;&gt;"I. None. Complete 18."),EXP('Tank and Material Properties'!$C$47-('Tank and Material Properties'!$C$48/L23))*'Tank and Material Properties'!$C$43,"")</f>
        <v/>
      </c>
      <c r="M26" s="224" t="str">
        <f>IF(AND('Tank and Material Properties'!$C$40&lt;&gt;0,'Tank and Material Properties'!$C$40&lt;&gt;"I. None. Complete 18."),EXP('Tank and Material Properties'!$C$47-('Tank and Material Properties'!$C$48/M23))*'Tank and Material Properties'!$C$43,"")</f>
        <v/>
      </c>
      <c r="N26" s="224" t="str">
        <f>IF(AND('Tank and Material Properties'!$C$40&lt;&gt;0,'Tank and Material Properties'!$C$40&lt;&gt;"I. None. Complete 18."),EXP('Tank and Material Properties'!$C$47-('Tank and Material Properties'!$C$48/N23))*'Tank and Material Properties'!$C$43,"")</f>
        <v/>
      </c>
      <c r="O26" s="100" t="s">
        <v>728</v>
      </c>
      <c r="P26" s="100"/>
      <c r="Q26" s="100"/>
      <c r="R26" s="100"/>
      <c r="S26" s="100"/>
      <c r="T26" s="100"/>
      <c r="U26" s="100"/>
      <c r="V26" s="217"/>
    </row>
    <row r="27" spans="1:22" s="212" customFormat="1" ht="14.25" x14ac:dyDescent="0.2">
      <c r="A27" s="207"/>
      <c r="B27" s="208" t="str">
        <f>IF(AND('Tank and Material Properties'!C40&lt;&gt;0,'Tank and Material Properties'!C40&lt;&gt;"I. None. Complete 18."),'Tank and Material Properties'!C40&amp; " Partial Pressure, mm Hg","")</f>
        <v/>
      </c>
      <c r="C27" s="224" t="str">
        <f>IF(C26&lt;&gt;"",CONVERT(C26,"psi","mmHg"),"")</f>
        <v/>
      </c>
      <c r="D27" s="224" t="str">
        <f t="shared" ref="D27:N27" si="12">IF(D26&lt;&gt;"",CONVERT(D26,"psi","mmHg"),"")</f>
        <v/>
      </c>
      <c r="E27" s="224" t="str">
        <f t="shared" si="12"/>
        <v/>
      </c>
      <c r="F27" s="224" t="str">
        <f t="shared" si="12"/>
        <v/>
      </c>
      <c r="G27" s="224" t="str">
        <f t="shared" si="12"/>
        <v/>
      </c>
      <c r="H27" s="224" t="str">
        <f t="shared" si="12"/>
        <v/>
      </c>
      <c r="I27" s="224" t="str">
        <f t="shared" si="12"/>
        <v/>
      </c>
      <c r="J27" s="224" t="str">
        <f t="shared" si="12"/>
        <v/>
      </c>
      <c r="K27" s="224" t="str">
        <f t="shared" si="12"/>
        <v/>
      </c>
      <c r="L27" s="224" t="str">
        <f t="shared" si="12"/>
        <v/>
      </c>
      <c r="M27" s="224" t="str">
        <f t="shared" si="12"/>
        <v/>
      </c>
      <c r="N27" s="224" t="str">
        <f t="shared" si="12"/>
        <v/>
      </c>
      <c r="O27" s="100" t="s">
        <v>165</v>
      </c>
      <c r="P27" s="100"/>
      <c r="Q27" s="100"/>
      <c r="R27" s="100"/>
      <c r="S27" s="100"/>
      <c r="T27" s="100"/>
      <c r="U27" s="100"/>
      <c r="V27" s="217"/>
    </row>
    <row r="28" spans="1:22" s="212" customFormat="1" ht="15.75" x14ac:dyDescent="0.3">
      <c r="A28" s="207"/>
      <c r="B28" s="209" t="str">
        <f>IF('Tank and Material Properties'!C52&lt;&gt;0,'Tank and Material Properties'!C52&amp; " Partial Pressure, mm Hg","")</f>
        <v/>
      </c>
      <c r="C28" s="224" t="str">
        <f>IF('Tank and Material Properties'!$C52&lt;&gt;0,10^('Tank and Material Properties'!$E52-('Tank and Material Properties'!$F52/(C$25+'Tank and Material Properties'!$G52)))*'Tank and Material Properties'!$L52,"")</f>
        <v/>
      </c>
      <c r="D28" s="224" t="str">
        <f>IF('Tank and Material Properties'!$C52&lt;&gt;0,10^('Tank and Material Properties'!$E52-('Tank and Material Properties'!$F52/(D$25+'Tank and Material Properties'!$G52)))*'Tank and Material Properties'!$L52,"")</f>
        <v/>
      </c>
      <c r="E28" s="224" t="str">
        <f>IF('Tank and Material Properties'!$C52&lt;&gt;0,10^('Tank and Material Properties'!$E52-('Tank and Material Properties'!$F52/(E$25+'Tank and Material Properties'!$G52)))*'Tank and Material Properties'!$L52,"")</f>
        <v/>
      </c>
      <c r="F28" s="224" t="str">
        <f>IF('Tank and Material Properties'!$C52&lt;&gt;0,10^('Tank and Material Properties'!$E52-('Tank and Material Properties'!$F52/(F$25+'Tank and Material Properties'!$G52)))*'Tank and Material Properties'!$L52,"")</f>
        <v/>
      </c>
      <c r="G28" s="224" t="str">
        <f>IF('Tank and Material Properties'!$C52&lt;&gt;0,10^('Tank and Material Properties'!$E52-('Tank and Material Properties'!$F52/(G$25+'Tank and Material Properties'!$G52)))*'Tank and Material Properties'!$L52,"")</f>
        <v/>
      </c>
      <c r="H28" s="224" t="str">
        <f>IF('Tank and Material Properties'!$C52&lt;&gt;0,10^('Tank and Material Properties'!$E52-('Tank and Material Properties'!$F52/(H$25+'Tank and Material Properties'!$G52)))*'Tank and Material Properties'!$L52,"")</f>
        <v/>
      </c>
      <c r="I28" s="224" t="str">
        <f>IF('Tank and Material Properties'!$C52&lt;&gt;0,10^('Tank and Material Properties'!$E52-('Tank and Material Properties'!$F52/(I$25+'Tank and Material Properties'!$G52)))*'Tank and Material Properties'!$L52,"")</f>
        <v/>
      </c>
      <c r="J28" s="224" t="str">
        <f>IF('Tank and Material Properties'!$C52&lt;&gt;0,10^('Tank and Material Properties'!$E52-('Tank and Material Properties'!$F52/(J$25+'Tank and Material Properties'!$G52)))*'Tank and Material Properties'!$L52,"")</f>
        <v/>
      </c>
      <c r="K28" s="224" t="str">
        <f>IF('Tank and Material Properties'!$C52&lt;&gt;0,10^('Tank and Material Properties'!$E52-('Tank and Material Properties'!$F52/(K$25+'Tank and Material Properties'!$G52)))*'Tank and Material Properties'!$L52,"")</f>
        <v/>
      </c>
      <c r="L28" s="224" t="str">
        <f>IF('Tank and Material Properties'!$C52&lt;&gt;0,10^('Tank and Material Properties'!$E52-('Tank and Material Properties'!$F52/(L$25+'Tank and Material Properties'!$G52)))*'Tank and Material Properties'!$L52,"")</f>
        <v/>
      </c>
      <c r="M28" s="224" t="str">
        <f>IF('Tank and Material Properties'!$C52&lt;&gt;0,10^('Tank and Material Properties'!$E52-('Tank and Material Properties'!$F52/(M$25+'Tank and Material Properties'!$G52)))*'Tank and Material Properties'!$L52,"")</f>
        <v/>
      </c>
      <c r="N28" s="224" t="str">
        <f>IF('Tank and Material Properties'!$C52&lt;&gt;0,10^('Tank and Material Properties'!$E52-('Tank and Material Properties'!$F52/(N$25+'Tank and Material Properties'!$G52)))*'Tank and Material Properties'!$L52,"")</f>
        <v/>
      </c>
      <c r="O28" s="209" t="s">
        <v>729</v>
      </c>
      <c r="P28" s="100"/>
      <c r="Q28" s="100"/>
      <c r="R28" s="100"/>
      <c r="S28" s="100"/>
      <c r="T28" s="100"/>
      <c r="U28" s="100"/>
      <c r="V28" s="217"/>
    </row>
    <row r="29" spans="1:22" s="212" customFormat="1" ht="15.75" x14ac:dyDescent="0.3">
      <c r="A29" s="207"/>
      <c r="B29" s="209" t="str">
        <f>IF('Tank and Material Properties'!C53&lt;&gt;0,'Tank and Material Properties'!C53&amp; " Partial Pressure, mm Hg","")</f>
        <v/>
      </c>
      <c r="C29" s="224" t="str">
        <f>IF('Tank and Material Properties'!$C53&lt;&gt;0,10^('Tank and Material Properties'!$E53-('Tank and Material Properties'!$F53/(C$25+'Tank and Material Properties'!$G53)))*'Tank and Material Properties'!$L53,"")</f>
        <v/>
      </c>
      <c r="D29" s="224" t="str">
        <f>IF('Tank and Material Properties'!$C53&lt;&gt;0,10^('Tank and Material Properties'!$E53-('Tank and Material Properties'!$F53/(D$25+'Tank and Material Properties'!$G53)))*'Tank and Material Properties'!$L53,"")</f>
        <v/>
      </c>
      <c r="E29" s="224" t="str">
        <f>IF('Tank and Material Properties'!$C53&lt;&gt;0,10^('Tank and Material Properties'!$E53-('Tank and Material Properties'!$F53/(E$25+'Tank and Material Properties'!$G53)))*'Tank and Material Properties'!$L53,"")</f>
        <v/>
      </c>
      <c r="F29" s="224" t="str">
        <f>IF('Tank and Material Properties'!$C53&lt;&gt;0,10^('Tank and Material Properties'!$E53-('Tank and Material Properties'!$F53/(F$25+'Tank and Material Properties'!$G53)))*'Tank and Material Properties'!$L53,"")</f>
        <v/>
      </c>
      <c r="G29" s="224" t="str">
        <f>IF('Tank and Material Properties'!$C53&lt;&gt;0,10^('Tank and Material Properties'!$E53-('Tank and Material Properties'!$F53/(G$25+'Tank and Material Properties'!$G53)))*'Tank and Material Properties'!$L53,"")</f>
        <v/>
      </c>
      <c r="H29" s="224" t="str">
        <f>IF('Tank and Material Properties'!$C53&lt;&gt;0,10^('Tank and Material Properties'!$E53-('Tank and Material Properties'!$F53/(H$25+'Tank and Material Properties'!$G53)))*'Tank and Material Properties'!$L53,"")</f>
        <v/>
      </c>
      <c r="I29" s="224" t="str">
        <f>IF('Tank and Material Properties'!$C53&lt;&gt;0,10^('Tank and Material Properties'!$E53-('Tank and Material Properties'!$F53/(I$25+'Tank and Material Properties'!$G53)))*'Tank and Material Properties'!$L53,"")</f>
        <v/>
      </c>
      <c r="J29" s="224" t="str">
        <f>IF('Tank and Material Properties'!$C53&lt;&gt;0,10^('Tank and Material Properties'!$E53-('Tank and Material Properties'!$F53/(J$25+'Tank and Material Properties'!$G53)))*'Tank and Material Properties'!$L53,"")</f>
        <v/>
      </c>
      <c r="K29" s="224" t="str">
        <f>IF('Tank and Material Properties'!$C53&lt;&gt;0,10^('Tank and Material Properties'!$E53-('Tank and Material Properties'!$F53/(K$25+'Tank and Material Properties'!$G53)))*'Tank and Material Properties'!$L53,"")</f>
        <v/>
      </c>
      <c r="L29" s="224" t="str">
        <f>IF('Tank and Material Properties'!$C53&lt;&gt;0,10^('Tank and Material Properties'!$E53-('Tank and Material Properties'!$F53/(L$25+'Tank and Material Properties'!$G53)))*'Tank and Material Properties'!$L53,"")</f>
        <v/>
      </c>
      <c r="M29" s="224" t="str">
        <f>IF('Tank and Material Properties'!$C53&lt;&gt;0,10^('Tank and Material Properties'!$E53-('Tank and Material Properties'!$F53/(M$25+'Tank and Material Properties'!$G53)))*'Tank and Material Properties'!$L53,"")</f>
        <v/>
      </c>
      <c r="N29" s="224" t="str">
        <f>IF('Tank and Material Properties'!$C53&lt;&gt;0,10^('Tank and Material Properties'!$E53-('Tank and Material Properties'!$F53/(N$25+'Tank and Material Properties'!$G53)))*'Tank and Material Properties'!$L53,"")</f>
        <v/>
      </c>
      <c r="O29" s="209" t="s">
        <v>729</v>
      </c>
      <c r="P29" s="100"/>
      <c r="Q29" s="100"/>
      <c r="R29" s="100"/>
      <c r="S29" s="100"/>
      <c r="T29" s="100"/>
      <c r="U29" s="100"/>
      <c r="V29" s="217"/>
    </row>
    <row r="30" spans="1:22" s="212" customFormat="1" ht="15.75" x14ac:dyDescent="0.3">
      <c r="A30" s="207"/>
      <c r="B30" s="209" t="str">
        <f>IF('Tank and Material Properties'!C54&lt;&gt;0,'Tank and Material Properties'!C54&amp; " Partial Pressure, mm Hg","")</f>
        <v/>
      </c>
      <c r="C30" s="224" t="str">
        <f>IF('Tank and Material Properties'!$C54&lt;&gt;0,10^('Tank and Material Properties'!$E54-('Tank and Material Properties'!$F54/(C$25+'Tank and Material Properties'!$G54)))*'Tank and Material Properties'!$L54,"")</f>
        <v/>
      </c>
      <c r="D30" s="224" t="str">
        <f>IF('Tank and Material Properties'!$C54&lt;&gt;0,10^('Tank and Material Properties'!$E54-('Tank and Material Properties'!$F54/(D$25+'Tank and Material Properties'!$G54)))*'Tank and Material Properties'!$L54,"")</f>
        <v/>
      </c>
      <c r="E30" s="224" t="str">
        <f>IF('Tank and Material Properties'!$C54&lt;&gt;0,10^('Tank and Material Properties'!$E54-('Tank and Material Properties'!$F54/(E$25+'Tank and Material Properties'!$G54)))*'Tank and Material Properties'!$L54,"")</f>
        <v/>
      </c>
      <c r="F30" s="224" t="str">
        <f>IF('Tank and Material Properties'!$C54&lt;&gt;0,10^('Tank and Material Properties'!$E54-('Tank and Material Properties'!$F54/(F$25+'Tank and Material Properties'!$G54)))*'Tank and Material Properties'!$L54,"")</f>
        <v/>
      </c>
      <c r="G30" s="224" t="str">
        <f>IF('Tank and Material Properties'!$C54&lt;&gt;0,10^('Tank and Material Properties'!$E54-('Tank and Material Properties'!$F54/(G$25+'Tank and Material Properties'!$G54)))*'Tank and Material Properties'!$L54,"")</f>
        <v/>
      </c>
      <c r="H30" s="224" t="str">
        <f>IF('Tank and Material Properties'!$C54&lt;&gt;0,10^('Tank and Material Properties'!$E54-('Tank and Material Properties'!$F54/(H$25+'Tank and Material Properties'!$G54)))*'Tank and Material Properties'!$L54,"")</f>
        <v/>
      </c>
      <c r="I30" s="224" t="str">
        <f>IF('Tank and Material Properties'!$C54&lt;&gt;0,10^('Tank and Material Properties'!$E54-('Tank and Material Properties'!$F54/(I$25+'Tank and Material Properties'!$G54)))*'Tank and Material Properties'!$L54,"")</f>
        <v/>
      </c>
      <c r="J30" s="224" t="str">
        <f>IF('Tank and Material Properties'!$C54&lt;&gt;0,10^('Tank and Material Properties'!$E54-('Tank and Material Properties'!$F54/(J$25+'Tank and Material Properties'!$G54)))*'Tank and Material Properties'!$L54,"")</f>
        <v/>
      </c>
      <c r="K30" s="224" t="str">
        <f>IF('Tank and Material Properties'!$C54&lt;&gt;0,10^('Tank and Material Properties'!$E54-('Tank and Material Properties'!$F54/(K$25+'Tank and Material Properties'!$G54)))*'Tank and Material Properties'!$L54,"")</f>
        <v/>
      </c>
      <c r="L30" s="224" t="str">
        <f>IF('Tank and Material Properties'!$C54&lt;&gt;0,10^('Tank and Material Properties'!$E54-('Tank and Material Properties'!$F54/(L$25+'Tank and Material Properties'!$G54)))*'Tank and Material Properties'!$L54,"")</f>
        <v/>
      </c>
      <c r="M30" s="224" t="str">
        <f>IF('Tank and Material Properties'!$C54&lt;&gt;0,10^('Tank and Material Properties'!$E54-('Tank and Material Properties'!$F54/(M$25+'Tank and Material Properties'!$G54)))*'Tank and Material Properties'!$L54,"")</f>
        <v/>
      </c>
      <c r="N30" s="224" t="str">
        <f>IF('Tank and Material Properties'!$C54&lt;&gt;0,10^('Tank and Material Properties'!$E54-('Tank and Material Properties'!$F54/(N$25+'Tank and Material Properties'!$G54)))*'Tank and Material Properties'!$L54,"")</f>
        <v/>
      </c>
      <c r="O30" s="209" t="s">
        <v>729</v>
      </c>
      <c r="P30" s="100"/>
      <c r="Q30" s="100"/>
      <c r="R30" s="100"/>
      <c r="S30" s="100"/>
      <c r="T30" s="100"/>
      <c r="U30" s="100"/>
      <c r="V30" s="217"/>
    </row>
    <row r="31" spans="1:22" s="212" customFormat="1" ht="15.75" x14ac:dyDescent="0.3">
      <c r="A31" s="207"/>
      <c r="B31" s="209" t="str">
        <f>IF('Tank and Material Properties'!C55&lt;&gt;0,'Tank and Material Properties'!C55&amp; " Partial Pressure, mm Hg","")</f>
        <v/>
      </c>
      <c r="C31" s="224" t="str">
        <f>IF('Tank and Material Properties'!$C55&lt;&gt;0,10^('Tank and Material Properties'!$E55-('Tank and Material Properties'!$F55/(C$25+'Tank and Material Properties'!$G55)))*'Tank and Material Properties'!$L55,"")</f>
        <v/>
      </c>
      <c r="D31" s="224" t="str">
        <f>IF('Tank and Material Properties'!$C55&lt;&gt;0,10^('Tank and Material Properties'!$E55-('Tank and Material Properties'!$F55/(D$25+'Tank and Material Properties'!$G55)))*'Tank and Material Properties'!$L55,"")</f>
        <v/>
      </c>
      <c r="E31" s="224" t="str">
        <f>IF('Tank and Material Properties'!$C55&lt;&gt;0,10^('Tank and Material Properties'!$E55-('Tank and Material Properties'!$F55/(E$25+'Tank and Material Properties'!$G55)))*'Tank and Material Properties'!$L55,"")</f>
        <v/>
      </c>
      <c r="F31" s="224" t="str">
        <f>IF('Tank and Material Properties'!$C55&lt;&gt;0,10^('Tank and Material Properties'!$E55-('Tank and Material Properties'!$F55/(F$25+'Tank and Material Properties'!$G55)))*'Tank and Material Properties'!$L55,"")</f>
        <v/>
      </c>
      <c r="G31" s="224" t="str">
        <f>IF('Tank and Material Properties'!$C55&lt;&gt;0,10^('Tank and Material Properties'!$E55-('Tank and Material Properties'!$F55/(G$25+'Tank and Material Properties'!$G55)))*'Tank and Material Properties'!$L55,"")</f>
        <v/>
      </c>
      <c r="H31" s="224" t="str">
        <f>IF('Tank and Material Properties'!$C55&lt;&gt;0,10^('Tank and Material Properties'!$E55-('Tank and Material Properties'!$F55/(H$25+'Tank and Material Properties'!$G55)))*'Tank and Material Properties'!$L55,"")</f>
        <v/>
      </c>
      <c r="I31" s="224" t="str">
        <f>IF('Tank and Material Properties'!$C55&lt;&gt;0,10^('Tank and Material Properties'!$E55-('Tank and Material Properties'!$F55/(I$25+'Tank and Material Properties'!$G55)))*'Tank and Material Properties'!$L55,"")</f>
        <v/>
      </c>
      <c r="J31" s="224" t="str">
        <f>IF('Tank and Material Properties'!$C55&lt;&gt;0,10^('Tank and Material Properties'!$E55-('Tank and Material Properties'!$F55/(J$25+'Tank and Material Properties'!$G55)))*'Tank and Material Properties'!$L55,"")</f>
        <v/>
      </c>
      <c r="K31" s="224" t="str">
        <f>IF('Tank and Material Properties'!$C55&lt;&gt;0,10^('Tank and Material Properties'!$E55-('Tank and Material Properties'!$F55/(K$25+'Tank and Material Properties'!$G55)))*'Tank and Material Properties'!$L55,"")</f>
        <v/>
      </c>
      <c r="L31" s="224" t="str">
        <f>IF('Tank and Material Properties'!$C55&lt;&gt;0,10^('Tank and Material Properties'!$E55-('Tank and Material Properties'!$F55/(L$25+'Tank and Material Properties'!$G55)))*'Tank and Material Properties'!$L55,"")</f>
        <v/>
      </c>
      <c r="M31" s="224" t="str">
        <f>IF('Tank and Material Properties'!$C55&lt;&gt;0,10^('Tank and Material Properties'!$E55-('Tank and Material Properties'!$F55/(M$25+'Tank and Material Properties'!$G55)))*'Tank and Material Properties'!$L55,"")</f>
        <v/>
      </c>
      <c r="N31" s="224" t="str">
        <f>IF('Tank and Material Properties'!$C55&lt;&gt;0,10^('Tank and Material Properties'!$E55-('Tank and Material Properties'!$F55/(N$25+'Tank and Material Properties'!$G55)))*'Tank and Material Properties'!$L55,"")</f>
        <v/>
      </c>
      <c r="O31" s="209" t="s">
        <v>729</v>
      </c>
      <c r="P31" s="100"/>
      <c r="Q31" s="100"/>
      <c r="R31" s="100"/>
      <c r="S31" s="100"/>
      <c r="T31" s="100"/>
      <c r="U31" s="100"/>
      <c r="V31" s="217"/>
    </row>
    <row r="32" spans="1:22" s="212" customFormat="1" ht="15.75" x14ac:dyDescent="0.3">
      <c r="A32" s="207"/>
      <c r="B32" s="209" t="str">
        <f>IF('Tank and Material Properties'!C56&lt;&gt;0,'Tank and Material Properties'!C56&amp; " Partial Pressure, mm Hg","")</f>
        <v/>
      </c>
      <c r="C32" s="224" t="str">
        <f>IF('Tank and Material Properties'!$C56&lt;&gt;0,10^('Tank and Material Properties'!$E56-('Tank and Material Properties'!$F56/(C$25+'Tank and Material Properties'!$G56)))*'Tank and Material Properties'!$L56,"")</f>
        <v/>
      </c>
      <c r="D32" s="224" t="str">
        <f>IF('Tank and Material Properties'!$C56&lt;&gt;0,10^('Tank and Material Properties'!$E56-('Tank and Material Properties'!$F56/(D$25+'Tank and Material Properties'!$G56)))*'Tank and Material Properties'!$L56,"")</f>
        <v/>
      </c>
      <c r="E32" s="224" t="str">
        <f>IF('Tank and Material Properties'!$C56&lt;&gt;0,10^('Tank and Material Properties'!$E56-('Tank and Material Properties'!$F56/(E$25+'Tank and Material Properties'!$G56)))*'Tank and Material Properties'!$L56,"")</f>
        <v/>
      </c>
      <c r="F32" s="224" t="str">
        <f>IF('Tank and Material Properties'!$C56&lt;&gt;0,10^('Tank and Material Properties'!$E56-('Tank and Material Properties'!$F56/(F$25+'Tank and Material Properties'!$G56)))*'Tank and Material Properties'!$L56,"")</f>
        <v/>
      </c>
      <c r="G32" s="224" t="str">
        <f>IF('Tank and Material Properties'!$C56&lt;&gt;0,10^('Tank and Material Properties'!$E56-('Tank and Material Properties'!$F56/(G$25+'Tank and Material Properties'!$G56)))*'Tank and Material Properties'!$L56,"")</f>
        <v/>
      </c>
      <c r="H32" s="224" t="str">
        <f>IF('Tank and Material Properties'!$C56&lt;&gt;0,10^('Tank and Material Properties'!$E56-('Tank and Material Properties'!$F56/(H$25+'Tank and Material Properties'!$G56)))*'Tank and Material Properties'!$L56,"")</f>
        <v/>
      </c>
      <c r="I32" s="224" t="str">
        <f>IF('Tank and Material Properties'!$C56&lt;&gt;0,10^('Tank and Material Properties'!$E56-('Tank and Material Properties'!$F56/(I$25+'Tank and Material Properties'!$G56)))*'Tank and Material Properties'!$L56,"")</f>
        <v/>
      </c>
      <c r="J32" s="224" t="str">
        <f>IF('Tank and Material Properties'!$C56&lt;&gt;0,10^('Tank and Material Properties'!$E56-('Tank and Material Properties'!$F56/(J$25+'Tank and Material Properties'!$G56)))*'Tank and Material Properties'!$L56,"")</f>
        <v/>
      </c>
      <c r="K32" s="224" t="str">
        <f>IF('Tank and Material Properties'!$C56&lt;&gt;0,10^('Tank and Material Properties'!$E56-('Tank and Material Properties'!$F56/(K$25+'Tank and Material Properties'!$G56)))*'Tank and Material Properties'!$L56,"")</f>
        <v/>
      </c>
      <c r="L32" s="224" t="str">
        <f>IF('Tank and Material Properties'!$C56&lt;&gt;0,10^('Tank and Material Properties'!$E56-('Tank and Material Properties'!$F56/(L$25+'Tank and Material Properties'!$G56)))*'Tank and Material Properties'!$L56,"")</f>
        <v/>
      </c>
      <c r="M32" s="224" t="str">
        <f>IF('Tank and Material Properties'!$C56&lt;&gt;0,10^('Tank and Material Properties'!$E56-('Tank and Material Properties'!$F56/(M$25+'Tank and Material Properties'!$G56)))*'Tank and Material Properties'!$L56,"")</f>
        <v/>
      </c>
      <c r="N32" s="224" t="str">
        <f>IF('Tank and Material Properties'!$C56&lt;&gt;0,10^('Tank and Material Properties'!$E56-('Tank and Material Properties'!$F56/(N$25+'Tank and Material Properties'!$G56)))*'Tank and Material Properties'!$L56,"")</f>
        <v/>
      </c>
      <c r="O32" s="209" t="s">
        <v>729</v>
      </c>
      <c r="P32" s="100"/>
      <c r="Q32" s="100"/>
      <c r="R32" s="100"/>
      <c r="S32" s="100"/>
      <c r="T32" s="100"/>
      <c r="U32" s="100"/>
      <c r="V32" s="217"/>
    </row>
    <row r="33" spans="1:22" s="212" customFormat="1" ht="15.75" x14ac:dyDescent="0.3">
      <c r="A33" s="207"/>
      <c r="B33" s="209" t="str">
        <f>IF('Tank and Material Properties'!C57&lt;&gt;0,'Tank and Material Properties'!C57&amp; " Partial Pressure, mm Hg","")</f>
        <v/>
      </c>
      <c r="C33" s="224" t="str">
        <f>IF('Tank and Material Properties'!$C57&lt;&gt;0,10^('Tank and Material Properties'!$E57-('Tank and Material Properties'!$F57/(C$25+'Tank and Material Properties'!$G57)))*'Tank and Material Properties'!$L57,"")</f>
        <v/>
      </c>
      <c r="D33" s="224" t="str">
        <f>IF('Tank and Material Properties'!$C57&lt;&gt;0,10^('Tank and Material Properties'!$E57-('Tank and Material Properties'!$F57/(D$25+'Tank and Material Properties'!$G57)))*'Tank and Material Properties'!$L57,"")</f>
        <v/>
      </c>
      <c r="E33" s="224" t="str">
        <f>IF('Tank and Material Properties'!$C57&lt;&gt;0,10^('Tank and Material Properties'!$E57-('Tank and Material Properties'!$F57/(E$25+'Tank and Material Properties'!$G57)))*'Tank and Material Properties'!$L57,"")</f>
        <v/>
      </c>
      <c r="F33" s="224" t="str">
        <f>IF('Tank and Material Properties'!$C57&lt;&gt;0,10^('Tank and Material Properties'!$E57-('Tank and Material Properties'!$F57/(F$25+'Tank and Material Properties'!$G57)))*'Tank and Material Properties'!$L57,"")</f>
        <v/>
      </c>
      <c r="G33" s="224" t="str">
        <f>IF('Tank and Material Properties'!$C57&lt;&gt;0,10^('Tank and Material Properties'!$E57-('Tank and Material Properties'!$F57/(G$25+'Tank and Material Properties'!$G57)))*'Tank and Material Properties'!$L57,"")</f>
        <v/>
      </c>
      <c r="H33" s="224" t="str">
        <f>IF('Tank and Material Properties'!$C57&lt;&gt;0,10^('Tank and Material Properties'!$E57-('Tank and Material Properties'!$F57/(H$25+'Tank and Material Properties'!$G57)))*'Tank and Material Properties'!$L57,"")</f>
        <v/>
      </c>
      <c r="I33" s="224" t="str">
        <f>IF('Tank and Material Properties'!$C57&lt;&gt;0,10^('Tank and Material Properties'!$E57-('Tank and Material Properties'!$F57/(I$25+'Tank and Material Properties'!$G57)))*'Tank and Material Properties'!$L57,"")</f>
        <v/>
      </c>
      <c r="J33" s="224" t="str">
        <f>IF('Tank and Material Properties'!$C57&lt;&gt;0,10^('Tank and Material Properties'!$E57-('Tank and Material Properties'!$F57/(J$25+'Tank and Material Properties'!$G57)))*'Tank and Material Properties'!$L57,"")</f>
        <v/>
      </c>
      <c r="K33" s="224" t="str">
        <f>IF('Tank and Material Properties'!$C57&lt;&gt;0,10^('Tank and Material Properties'!$E57-('Tank and Material Properties'!$F57/(K$25+'Tank and Material Properties'!$G57)))*'Tank and Material Properties'!$L57,"")</f>
        <v/>
      </c>
      <c r="L33" s="224" t="str">
        <f>IF('Tank and Material Properties'!$C57&lt;&gt;0,10^('Tank and Material Properties'!$E57-('Tank and Material Properties'!$F57/(L$25+'Tank and Material Properties'!$G57)))*'Tank and Material Properties'!$L57,"")</f>
        <v/>
      </c>
      <c r="M33" s="224" t="str">
        <f>IF('Tank and Material Properties'!$C57&lt;&gt;0,10^('Tank and Material Properties'!$E57-('Tank and Material Properties'!$F57/(M$25+'Tank and Material Properties'!$G57)))*'Tank and Material Properties'!$L57,"")</f>
        <v/>
      </c>
      <c r="N33" s="224" t="str">
        <f>IF('Tank and Material Properties'!$C57&lt;&gt;0,10^('Tank and Material Properties'!$E57-('Tank and Material Properties'!$F57/(N$25+'Tank and Material Properties'!$G57)))*'Tank and Material Properties'!$L57,"")</f>
        <v/>
      </c>
      <c r="O33" s="209" t="s">
        <v>729</v>
      </c>
      <c r="P33" s="100"/>
      <c r="Q33" s="100"/>
      <c r="R33" s="100"/>
      <c r="S33" s="100"/>
      <c r="T33" s="100"/>
      <c r="U33" s="100"/>
      <c r="V33" s="217"/>
    </row>
    <row r="34" spans="1:22" s="212" customFormat="1" ht="15.75" x14ac:dyDescent="0.3">
      <c r="A34" s="207"/>
      <c r="B34" s="100" t="s">
        <v>708</v>
      </c>
      <c r="C34" s="249">
        <f>SUM(C27:C33)</f>
        <v>0</v>
      </c>
      <c r="D34" s="249">
        <f t="shared" ref="D34:N34" si="13">SUM(D27:D33)</f>
        <v>0</v>
      </c>
      <c r="E34" s="249">
        <f t="shared" si="13"/>
        <v>0</v>
      </c>
      <c r="F34" s="249">
        <f t="shared" si="13"/>
        <v>0</v>
      </c>
      <c r="G34" s="249">
        <f t="shared" si="13"/>
        <v>0</v>
      </c>
      <c r="H34" s="249">
        <f t="shared" si="13"/>
        <v>0</v>
      </c>
      <c r="I34" s="249">
        <f t="shared" si="13"/>
        <v>0</v>
      </c>
      <c r="J34" s="249">
        <f t="shared" si="13"/>
        <v>0</v>
      </c>
      <c r="K34" s="249">
        <f t="shared" si="13"/>
        <v>0</v>
      </c>
      <c r="L34" s="249">
        <f t="shared" si="13"/>
        <v>0</v>
      </c>
      <c r="M34" s="249">
        <f t="shared" si="13"/>
        <v>0</v>
      </c>
      <c r="N34" s="249">
        <f t="shared" si="13"/>
        <v>0</v>
      </c>
      <c r="O34" s="209" t="s">
        <v>730</v>
      </c>
      <c r="P34" s="100"/>
      <c r="Q34" s="100"/>
      <c r="R34" s="100"/>
      <c r="S34" s="100"/>
      <c r="T34" s="100"/>
      <c r="U34" s="100"/>
      <c r="V34" s="217"/>
    </row>
    <row r="35" spans="1:22" s="212" customFormat="1" ht="15.75" x14ac:dyDescent="0.3">
      <c r="A35" s="207"/>
      <c r="B35" s="208" t="s">
        <v>709</v>
      </c>
      <c r="C35" s="252">
        <f>CONVERT(C34,"mmHg","psi")</f>
        <v>0</v>
      </c>
      <c r="D35" s="252">
        <f t="shared" ref="D35:N35" si="14">CONVERT(D34,"mmHg","psi")</f>
        <v>0</v>
      </c>
      <c r="E35" s="252">
        <f t="shared" si="14"/>
        <v>0</v>
      </c>
      <c r="F35" s="252">
        <f t="shared" si="14"/>
        <v>0</v>
      </c>
      <c r="G35" s="252">
        <f t="shared" si="14"/>
        <v>0</v>
      </c>
      <c r="H35" s="252">
        <f t="shared" si="14"/>
        <v>0</v>
      </c>
      <c r="I35" s="252">
        <f t="shared" si="14"/>
        <v>0</v>
      </c>
      <c r="J35" s="252">
        <f t="shared" si="14"/>
        <v>0</v>
      </c>
      <c r="K35" s="252">
        <f t="shared" si="14"/>
        <v>0</v>
      </c>
      <c r="L35" s="252">
        <f t="shared" si="14"/>
        <v>0</v>
      </c>
      <c r="M35" s="252">
        <f t="shared" si="14"/>
        <v>0</v>
      </c>
      <c r="N35" s="252">
        <f t="shared" si="14"/>
        <v>0</v>
      </c>
      <c r="O35" s="209" t="s">
        <v>124</v>
      </c>
      <c r="P35" s="100"/>
      <c r="Q35" s="100"/>
      <c r="R35" s="100"/>
      <c r="S35" s="100"/>
      <c r="T35" s="100"/>
      <c r="U35" s="100"/>
      <c r="V35" s="217"/>
    </row>
    <row r="36" spans="1:22" s="212" customFormat="1" ht="15" x14ac:dyDescent="0.25">
      <c r="A36" s="228"/>
      <c r="B36" s="195" t="s">
        <v>177</v>
      </c>
      <c r="C36" s="253" t="e">
        <f>VLOOKUP('Tank and Material Properties'!$C$12,'Reference Tables'!A74:P82,16)</f>
        <v>#N/A</v>
      </c>
      <c r="D36" s="253" t="e">
        <f t="shared" ref="D36:N36" si="15">$C$36</f>
        <v>#N/A</v>
      </c>
      <c r="E36" s="253" t="e">
        <f t="shared" si="15"/>
        <v>#N/A</v>
      </c>
      <c r="F36" s="253" t="e">
        <f t="shared" si="15"/>
        <v>#N/A</v>
      </c>
      <c r="G36" s="253" t="e">
        <f t="shared" si="15"/>
        <v>#N/A</v>
      </c>
      <c r="H36" s="253" t="e">
        <f t="shared" si="15"/>
        <v>#N/A</v>
      </c>
      <c r="I36" s="253" t="e">
        <f t="shared" si="15"/>
        <v>#N/A</v>
      </c>
      <c r="J36" s="253" t="e">
        <f t="shared" si="15"/>
        <v>#N/A</v>
      </c>
      <c r="K36" s="253" t="e">
        <f t="shared" si="15"/>
        <v>#N/A</v>
      </c>
      <c r="L36" s="253" t="e">
        <f t="shared" si="15"/>
        <v>#N/A</v>
      </c>
      <c r="M36" s="253" t="e">
        <f t="shared" si="15"/>
        <v>#N/A</v>
      </c>
      <c r="N36" s="253" t="e">
        <f t="shared" si="15"/>
        <v>#N/A</v>
      </c>
      <c r="O36" s="209" t="s">
        <v>731</v>
      </c>
      <c r="P36" s="100"/>
      <c r="Q36" s="100"/>
      <c r="R36" s="100"/>
      <c r="S36" s="100"/>
      <c r="T36" s="100"/>
      <c r="U36" s="100"/>
      <c r="V36" s="217"/>
    </row>
    <row r="37" spans="1:22" s="212" customFormat="1" ht="15.75" x14ac:dyDescent="0.3">
      <c r="A37" s="207"/>
      <c r="B37" s="100" t="s">
        <v>176</v>
      </c>
      <c r="C37" s="224" t="e">
        <f t="shared" ref="C37:N37" si="16">((C35/C36)/((1+(1-(C35/C36))^0.5)^2))</f>
        <v>#N/A</v>
      </c>
      <c r="D37" s="224" t="e">
        <f t="shared" si="16"/>
        <v>#N/A</v>
      </c>
      <c r="E37" s="224" t="e">
        <f t="shared" si="16"/>
        <v>#N/A</v>
      </c>
      <c r="F37" s="224" t="e">
        <f t="shared" si="16"/>
        <v>#N/A</v>
      </c>
      <c r="G37" s="224" t="e">
        <f t="shared" si="16"/>
        <v>#N/A</v>
      </c>
      <c r="H37" s="224" t="e">
        <f t="shared" si="16"/>
        <v>#N/A</v>
      </c>
      <c r="I37" s="224" t="e">
        <f t="shared" si="16"/>
        <v>#N/A</v>
      </c>
      <c r="J37" s="224" t="e">
        <f t="shared" si="16"/>
        <v>#N/A</v>
      </c>
      <c r="K37" s="224" t="e">
        <f t="shared" si="16"/>
        <v>#N/A</v>
      </c>
      <c r="L37" s="224" t="e">
        <f t="shared" si="16"/>
        <v>#N/A</v>
      </c>
      <c r="M37" s="224" t="e">
        <f t="shared" si="16"/>
        <v>#N/A</v>
      </c>
      <c r="N37" s="224" t="e">
        <f t="shared" si="16"/>
        <v>#N/A</v>
      </c>
      <c r="O37" s="235" t="s">
        <v>732</v>
      </c>
      <c r="P37" s="100"/>
      <c r="Q37" s="100"/>
      <c r="R37" s="100"/>
      <c r="S37" s="100"/>
      <c r="T37" s="100"/>
      <c r="U37" s="100"/>
      <c r="V37" s="217"/>
    </row>
    <row r="38" spans="1:22" s="212" customFormat="1" ht="15.75" x14ac:dyDescent="0.3">
      <c r="A38" s="207"/>
      <c r="B38" s="209" t="str">
        <f>IF(AND('Tank and Material Properties'!C40&lt;&gt;0,'Tank and Material Properties'!C40&lt;&gt;"I. None. Complete 18."),'Tank and Material Properties'!C40&amp;" Vapor Mole Fraction (yi)","")</f>
        <v/>
      </c>
      <c r="C38" s="252" t="str">
        <f>IF(C27&lt;&gt;"",C27/C$34,"")</f>
        <v/>
      </c>
      <c r="D38" s="252" t="str">
        <f t="shared" ref="D38:N38" si="17">IF(D27&lt;&gt;"",D27/D$34,"")</f>
        <v/>
      </c>
      <c r="E38" s="252" t="str">
        <f t="shared" si="17"/>
        <v/>
      </c>
      <c r="F38" s="252" t="str">
        <f t="shared" si="17"/>
        <v/>
      </c>
      <c r="G38" s="252" t="str">
        <f t="shared" si="17"/>
        <v/>
      </c>
      <c r="H38" s="252" t="str">
        <f t="shared" si="17"/>
        <v/>
      </c>
      <c r="I38" s="252" t="str">
        <f t="shared" si="17"/>
        <v/>
      </c>
      <c r="J38" s="252" t="str">
        <f t="shared" si="17"/>
        <v/>
      </c>
      <c r="K38" s="252" t="str">
        <f t="shared" si="17"/>
        <v/>
      </c>
      <c r="L38" s="252" t="str">
        <f t="shared" si="17"/>
        <v/>
      </c>
      <c r="M38" s="252" t="str">
        <f t="shared" si="17"/>
        <v/>
      </c>
      <c r="N38" s="252" t="str">
        <f t="shared" si="17"/>
        <v/>
      </c>
      <c r="O38" s="209" t="s">
        <v>733</v>
      </c>
      <c r="P38" s="100"/>
      <c r="Q38" s="100"/>
      <c r="R38" s="100"/>
      <c r="S38" s="100"/>
      <c r="T38" s="100"/>
      <c r="U38" s="100"/>
      <c r="V38" s="217"/>
    </row>
    <row r="39" spans="1:22" s="212" customFormat="1" ht="15.75" x14ac:dyDescent="0.3">
      <c r="A39" s="207"/>
      <c r="B39" s="209" t="str">
        <f>IF('Tank and Material Properties'!C52&lt;&gt;0,'Tank and Material Properties'!C52&amp;" Vapor Mole Fraction (yi)","")</f>
        <v/>
      </c>
      <c r="C39" s="252" t="str">
        <f>IF('Tank and Material Properties'!$C52&lt;&gt;"",C28/C$34,"")</f>
        <v/>
      </c>
      <c r="D39" s="252" t="str">
        <f>IF('Tank and Material Properties'!$C52&lt;&gt;"",D28/D$34,"")</f>
        <v/>
      </c>
      <c r="E39" s="252" t="str">
        <f>IF('Tank and Material Properties'!$C52&lt;&gt;"",E28/E$34,"")</f>
        <v/>
      </c>
      <c r="F39" s="252" t="str">
        <f>IF('Tank and Material Properties'!$C52&lt;&gt;"",F28/F$34,"")</f>
        <v/>
      </c>
      <c r="G39" s="252" t="str">
        <f>IF('Tank and Material Properties'!$C52&lt;&gt;"",G28/G$34,"")</f>
        <v/>
      </c>
      <c r="H39" s="252" t="str">
        <f>IF('Tank and Material Properties'!$C52&lt;&gt;"",H28/H$34,"")</f>
        <v/>
      </c>
      <c r="I39" s="252" t="str">
        <f>IF('Tank and Material Properties'!$C52&lt;&gt;"",I28/I$34,"")</f>
        <v/>
      </c>
      <c r="J39" s="252" t="str">
        <f>IF('Tank and Material Properties'!$C52&lt;&gt;"",J28/J$34,"")</f>
        <v/>
      </c>
      <c r="K39" s="252" t="str">
        <f>IF('Tank and Material Properties'!$C52&lt;&gt;"",K28/K$34,"")</f>
        <v/>
      </c>
      <c r="L39" s="252" t="str">
        <f>IF('Tank and Material Properties'!$C52&lt;&gt;"",L28/L$34,"")</f>
        <v/>
      </c>
      <c r="M39" s="252" t="str">
        <f>IF('Tank and Material Properties'!$C52&lt;&gt;"",M28/M$34,"")</f>
        <v/>
      </c>
      <c r="N39" s="252" t="str">
        <f>IF('Tank and Material Properties'!$C52&lt;&gt;"",N28/N$34,"")</f>
        <v/>
      </c>
      <c r="O39" s="209" t="s">
        <v>733</v>
      </c>
      <c r="P39" s="100"/>
      <c r="Q39" s="100"/>
      <c r="R39" s="100"/>
      <c r="S39" s="100"/>
      <c r="T39" s="100"/>
      <c r="U39" s="100"/>
      <c r="V39" s="217"/>
    </row>
    <row r="40" spans="1:22" s="212" customFormat="1" ht="15.75" x14ac:dyDescent="0.3">
      <c r="A40" s="207"/>
      <c r="B40" s="209" t="str">
        <f>IF('Tank and Material Properties'!C53&lt;&gt;0,'Tank and Material Properties'!C53&amp;" Vapor Mole Fraction (yi)","")</f>
        <v/>
      </c>
      <c r="C40" s="252" t="str">
        <f>IF('Tank and Material Properties'!$C53&lt;&gt;"",C29/C$34,"")</f>
        <v/>
      </c>
      <c r="D40" s="252" t="str">
        <f>IF('Tank and Material Properties'!$C53&lt;&gt;"",D29/D$34,"")</f>
        <v/>
      </c>
      <c r="E40" s="252" t="str">
        <f>IF('Tank and Material Properties'!$C53&lt;&gt;"",E29/E$34,"")</f>
        <v/>
      </c>
      <c r="F40" s="252" t="str">
        <f>IF('Tank and Material Properties'!$C53&lt;&gt;"",F29/F$34,"")</f>
        <v/>
      </c>
      <c r="G40" s="252" t="str">
        <f>IF('Tank and Material Properties'!$C53&lt;&gt;"",G29/G$34,"")</f>
        <v/>
      </c>
      <c r="H40" s="252" t="str">
        <f>IF('Tank and Material Properties'!$C53&lt;&gt;"",H29/H$34,"")</f>
        <v/>
      </c>
      <c r="I40" s="252" t="str">
        <f>IF('Tank and Material Properties'!$C53&lt;&gt;"",I29/I$34,"")</f>
        <v/>
      </c>
      <c r="J40" s="252" t="str">
        <f>IF('Tank and Material Properties'!$C53&lt;&gt;"",J29/J$34,"")</f>
        <v/>
      </c>
      <c r="K40" s="252" t="str">
        <f>IF('Tank and Material Properties'!$C53&lt;&gt;"",K29/K$34,"")</f>
        <v/>
      </c>
      <c r="L40" s="252" t="str">
        <f>IF('Tank and Material Properties'!$C53&lt;&gt;"",L29/L$34,"")</f>
        <v/>
      </c>
      <c r="M40" s="252" t="str">
        <f>IF('Tank and Material Properties'!$C53&lt;&gt;"",M29/M$34,"")</f>
        <v/>
      </c>
      <c r="N40" s="252" t="str">
        <f>IF('Tank and Material Properties'!$C53&lt;&gt;"",N29/N$34,"")</f>
        <v/>
      </c>
      <c r="O40" s="209" t="s">
        <v>733</v>
      </c>
      <c r="P40" s="100"/>
      <c r="Q40" s="100"/>
      <c r="R40" s="100"/>
      <c r="S40" s="100"/>
      <c r="T40" s="100"/>
      <c r="U40" s="100"/>
      <c r="V40" s="217"/>
    </row>
    <row r="41" spans="1:22" s="212" customFormat="1" ht="15.75" x14ac:dyDescent="0.3">
      <c r="A41" s="207"/>
      <c r="B41" s="209" t="str">
        <f>IF('Tank and Material Properties'!C54&lt;&gt;0,'Tank and Material Properties'!C54&amp;" Vapor Mole Fraction (yi)","")</f>
        <v/>
      </c>
      <c r="C41" s="252" t="str">
        <f>IF('Tank and Material Properties'!$C54&lt;&gt;"",C30/C$34,"")</f>
        <v/>
      </c>
      <c r="D41" s="252" t="str">
        <f>IF('Tank and Material Properties'!$C54&lt;&gt;"",D30/D$34,"")</f>
        <v/>
      </c>
      <c r="E41" s="252" t="str">
        <f>IF('Tank and Material Properties'!$C54&lt;&gt;"",E30/E$34,"")</f>
        <v/>
      </c>
      <c r="F41" s="252" t="str">
        <f>IF('Tank and Material Properties'!$C54&lt;&gt;"",F30/F$34,"")</f>
        <v/>
      </c>
      <c r="G41" s="252" t="str">
        <f>IF('Tank and Material Properties'!$C54&lt;&gt;"",G30/G$34,"")</f>
        <v/>
      </c>
      <c r="H41" s="252" t="str">
        <f>IF('Tank and Material Properties'!$C54&lt;&gt;"",H30/H$34,"")</f>
        <v/>
      </c>
      <c r="I41" s="252" t="str">
        <f>IF('Tank and Material Properties'!$C54&lt;&gt;"",I30/I$34,"")</f>
        <v/>
      </c>
      <c r="J41" s="252" t="str">
        <f>IF('Tank and Material Properties'!$C54&lt;&gt;"",J30/J$34,"")</f>
        <v/>
      </c>
      <c r="K41" s="252" t="str">
        <f>IF('Tank and Material Properties'!$C54&lt;&gt;"",K30/K$34,"")</f>
        <v/>
      </c>
      <c r="L41" s="252" t="str">
        <f>IF('Tank and Material Properties'!$C54&lt;&gt;"",L30/L$34,"")</f>
        <v/>
      </c>
      <c r="M41" s="252" t="str">
        <f>IF('Tank and Material Properties'!$C54&lt;&gt;"",M30/M$34,"")</f>
        <v/>
      </c>
      <c r="N41" s="252" t="str">
        <f>IF('Tank and Material Properties'!$C54&lt;&gt;"",N30/N$34,"")</f>
        <v/>
      </c>
      <c r="O41" s="209" t="s">
        <v>733</v>
      </c>
      <c r="P41" s="100"/>
      <c r="Q41" s="100"/>
      <c r="R41" s="100"/>
      <c r="S41" s="100"/>
      <c r="T41" s="100"/>
      <c r="U41" s="100"/>
      <c r="V41" s="217"/>
    </row>
    <row r="42" spans="1:22" s="212" customFormat="1" ht="15.75" x14ac:dyDescent="0.3">
      <c r="A42" s="207"/>
      <c r="B42" s="209" t="str">
        <f>IF('Tank and Material Properties'!C55&lt;&gt;0,'Tank and Material Properties'!C55&amp;" Vapor Mole Fraction (yi)","")</f>
        <v/>
      </c>
      <c r="C42" s="252" t="str">
        <f>IF('Tank and Material Properties'!$C55&lt;&gt;"",C31/C$34,"")</f>
        <v/>
      </c>
      <c r="D42" s="252" t="str">
        <f>IF('Tank and Material Properties'!$C55&lt;&gt;"",D31/D$34,"")</f>
        <v/>
      </c>
      <c r="E42" s="252" t="str">
        <f>IF('Tank and Material Properties'!$C55&lt;&gt;"",E31/E$34,"")</f>
        <v/>
      </c>
      <c r="F42" s="252" t="str">
        <f>IF('Tank and Material Properties'!$C55&lt;&gt;"",F31/F$34,"")</f>
        <v/>
      </c>
      <c r="G42" s="252" t="str">
        <f>IF('Tank and Material Properties'!$C55&lt;&gt;"",G31/G$34,"")</f>
        <v/>
      </c>
      <c r="H42" s="252" t="str">
        <f>IF('Tank and Material Properties'!$C55&lt;&gt;"",H31/H$34,"")</f>
        <v/>
      </c>
      <c r="I42" s="252" t="str">
        <f>IF('Tank and Material Properties'!$C55&lt;&gt;"",I31/I$34,"")</f>
        <v/>
      </c>
      <c r="J42" s="252" t="str">
        <f>IF('Tank and Material Properties'!$C55&lt;&gt;"",J31/J$34,"")</f>
        <v/>
      </c>
      <c r="K42" s="252" t="str">
        <f>IF('Tank and Material Properties'!$C55&lt;&gt;"",K31/K$34,"")</f>
        <v/>
      </c>
      <c r="L42" s="252" t="str">
        <f>IF('Tank and Material Properties'!$C55&lt;&gt;"",L31/L$34,"")</f>
        <v/>
      </c>
      <c r="M42" s="252" t="str">
        <f>IF('Tank and Material Properties'!$C55&lt;&gt;"",M31/M$34,"")</f>
        <v/>
      </c>
      <c r="N42" s="252" t="str">
        <f>IF('Tank and Material Properties'!$C55&lt;&gt;"",N31/N$34,"")</f>
        <v/>
      </c>
      <c r="O42" s="209" t="s">
        <v>733</v>
      </c>
      <c r="P42" s="100"/>
      <c r="Q42" s="100"/>
      <c r="R42" s="100"/>
      <c r="S42" s="100"/>
      <c r="T42" s="100"/>
      <c r="U42" s="100"/>
      <c r="V42" s="217"/>
    </row>
    <row r="43" spans="1:22" s="212" customFormat="1" ht="15.75" x14ac:dyDescent="0.3">
      <c r="A43" s="207"/>
      <c r="B43" s="209" t="str">
        <f>IF('Tank and Material Properties'!C56&lt;&gt;0,'Tank and Material Properties'!C56&amp;" Vapor Mole Fraction (yi)","")</f>
        <v/>
      </c>
      <c r="C43" s="252" t="str">
        <f>IF('Tank and Material Properties'!$C56&lt;&gt;"",C32/C$34,"")</f>
        <v/>
      </c>
      <c r="D43" s="252" t="str">
        <f>IF('Tank and Material Properties'!$C56&lt;&gt;"",D32/D$34,"")</f>
        <v/>
      </c>
      <c r="E43" s="252" t="str">
        <f>IF('Tank and Material Properties'!$C56&lt;&gt;"",E32/E$34,"")</f>
        <v/>
      </c>
      <c r="F43" s="252" t="str">
        <f>IF('Tank and Material Properties'!$C56&lt;&gt;"",F32/F$34,"")</f>
        <v/>
      </c>
      <c r="G43" s="252" t="str">
        <f>IF('Tank and Material Properties'!$C56&lt;&gt;"",G32/G$34,"")</f>
        <v/>
      </c>
      <c r="H43" s="252" t="str">
        <f>IF('Tank and Material Properties'!$C56&lt;&gt;"",H32/H$34,"")</f>
        <v/>
      </c>
      <c r="I43" s="252" t="str">
        <f>IF('Tank and Material Properties'!$C56&lt;&gt;"",I32/I$34,"")</f>
        <v/>
      </c>
      <c r="J43" s="252" t="str">
        <f>IF('Tank and Material Properties'!$C56&lt;&gt;"",J32/J$34,"")</f>
        <v/>
      </c>
      <c r="K43" s="252" t="str">
        <f>IF('Tank and Material Properties'!$C56&lt;&gt;"",K32/K$34,"")</f>
        <v/>
      </c>
      <c r="L43" s="252" t="str">
        <f>IF('Tank and Material Properties'!$C56&lt;&gt;"",L32/L$34,"")</f>
        <v/>
      </c>
      <c r="M43" s="252" t="str">
        <f>IF('Tank and Material Properties'!$C56&lt;&gt;"",M32/M$34,"")</f>
        <v/>
      </c>
      <c r="N43" s="252" t="str">
        <f>IF('Tank and Material Properties'!$C56&lt;&gt;"",N32/N$34,"")</f>
        <v/>
      </c>
      <c r="O43" s="209" t="s">
        <v>733</v>
      </c>
      <c r="P43" s="100"/>
      <c r="Q43" s="100"/>
      <c r="R43" s="100"/>
      <c r="S43" s="100"/>
      <c r="T43" s="100"/>
      <c r="U43" s="100"/>
      <c r="V43" s="217"/>
    </row>
    <row r="44" spans="1:22" s="212" customFormat="1" ht="15.75" x14ac:dyDescent="0.3">
      <c r="A44" s="207"/>
      <c r="B44" s="209" t="str">
        <f>IF('Tank and Material Properties'!C57&lt;&gt;0,'Tank and Material Properties'!C57&amp;" Vapor Mole Fraction (yi)","")</f>
        <v/>
      </c>
      <c r="C44" s="252" t="str">
        <f>IF('Tank and Material Properties'!$C57&lt;&gt;"",C33/C$34,"")</f>
        <v/>
      </c>
      <c r="D44" s="252" t="str">
        <f>IF('Tank and Material Properties'!$C57&lt;&gt;"",D33/D$34,"")</f>
        <v/>
      </c>
      <c r="E44" s="252" t="str">
        <f>IF('Tank and Material Properties'!$C57&lt;&gt;"",E33/E$34,"")</f>
        <v/>
      </c>
      <c r="F44" s="252" t="str">
        <f>IF('Tank and Material Properties'!$C57&lt;&gt;"",F33/F$34,"")</f>
        <v/>
      </c>
      <c r="G44" s="252" t="str">
        <f>IF('Tank and Material Properties'!$C57&lt;&gt;"",G33/G$34,"")</f>
        <v/>
      </c>
      <c r="H44" s="252" t="str">
        <f>IF('Tank and Material Properties'!$C57&lt;&gt;"",H33/H$34,"")</f>
        <v/>
      </c>
      <c r="I44" s="252" t="str">
        <f>IF('Tank and Material Properties'!$C57&lt;&gt;"",I33/I$34,"")</f>
        <v/>
      </c>
      <c r="J44" s="252" t="str">
        <f>IF('Tank and Material Properties'!$C57&lt;&gt;"",J33/J$34,"")</f>
        <v/>
      </c>
      <c r="K44" s="252" t="str">
        <f>IF('Tank and Material Properties'!$C57&lt;&gt;"",K33/K$34,"")</f>
        <v/>
      </c>
      <c r="L44" s="252" t="str">
        <f>IF('Tank and Material Properties'!$C57&lt;&gt;"",L33/L$34,"")</f>
        <v/>
      </c>
      <c r="M44" s="252" t="str">
        <f>IF('Tank and Material Properties'!$C57&lt;&gt;"",M33/M$34,"")</f>
        <v/>
      </c>
      <c r="N44" s="252" t="str">
        <f>IF('Tank and Material Properties'!$C57&lt;&gt;"",N33/N$34,"")</f>
        <v/>
      </c>
      <c r="O44" s="209" t="s">
        <v>733</v>
      </c>
      <c r="P44" s="100"/>
      <c r="Q44" s="100"/>
      <c r="R44" s="100"/>
      <c r="S44" s="100"/>
      <c r="T44" s="100"/>
      <c r="U44" s="100"/>
      <c r="V44" s="217"/>
    </row>
    <row r="45" spans="1:22" s="212" customFormat="1" ht="15.75" x14ac:dyDescent="0.3">
      <c r="A45" s="207"/>
      <c r="B45" s="209" t="s">
        <v>710</v>
      </c>
      <c r="C45" s="305">
        <f>IF(AND('Tank and Material Properties'!$C$40&lt;&gt;0,'Tank and Material Properties'!$C$40&lt;&gt;"I. None. Complete 18."),'Tank and Material Properties'!$C$44*C38,0)+IF('Tank and Material Properties'!$C$52&lt;&gt;"",'Tank and Material Properties'!$I52*C39,0)+IF('Tank and Material Properties'!$C$53&lt;&gt;"",'Tank and Material Properties'!$I53*C40,0)+IF('Tank and Material Properties'!$C$54&lt;&gt;"",'Tank and Material Properties'!$I54*C41,0)+IF('Tank and Material Properties'!$C$55&lt;&gt;"",'Tank and Material Properties'!$I55*C42,0)+IF('Tank and Material Properties'!$C$56&lt;&gt;"",'Tank and Material Properties'!$I56*C43,0)+IF('Tank and Material Properties'!$C$57&lt;&gt;"",'Tank and Material Properties'!$I57*C44,0)</f>
        <v>0</v>
      </c>
      <c r="D45" s="305">
        <f>IF(AND('Tank and Material Properties'!$C$40&lt;&gt;0,'Tank and Material Properties'!$C$40&lt;&gt;"I. None. Complete 18."),'Tank and Material Properties'!$C$44*D38,0)+IF('Tank and Material Properties'!$C$52&lt;&gt;"",'Tank and Material Properties'!$I52*D39,0)+IF('Tank and Material Properties'!$C$53&lt;&gt;"",'Tank and Material Properties'!$I53*D40,0)+IF('Tank and Material Properties'!$C$54&lt;&gt;"",'Tank and Material Properties'!$I54*D41,0)+IF('Tank and Material Properties'!$C$55&lt;&gt;"",'Tank and Material Properties'!$I55*D42,0)+IF('Tank and Material Properties'!$C$56&lt;&gt;"",'Tank and Material Properties'!$I56*D43,0)+IF('Tank and Material Properties'!$C$57&lt;&gt;"",'Tank and Material Properties'!$I57*D44,0)</f>
        <v>0</v>
      </c>
      <c r="E45" s="305">
        <f>IF(AND('Tank and Material Properties'!$C$40&lt;&gt;0,'Tank and Material Properties'!$C$40&lt;&gt;"I. None. Complete 18."),'Tank and Material Properties'!$C$44*E38,0)+IF('Tank and Material Properties'!$C$52&lt;&gt;"",'Tank and Material Properties'!$I52*E39,0)+IF('Tank and Material Properties'!$C$53&lt;&gt;"",'Tank and Material Properties'!$I53*E40,0)+IF('Tank and Material Properties'!$C$54&lt;&gt;"",'Tank and Material Properties'!$I54*E41,0)+IF('Tank and Material Properties'!$C$55&lt;&gt;"",'Tank and Material Properties'!$I55*E42,0)+IF('Tank and Material Properties'!$C$56&lt;&gt;"",'Tank and Material Properties'!$I56*E43,0)+IF('Tank and Material Properties'!$C$57&lt;&gt;"",'Tank and Material Properties'!$I57*E44,0)</f>
        <v>0</v>
      </c>
      <c r="F45" s="305">
        <f>IF(AND('Tank and Material Properties'!$C$40&lt;&gt;0,'Tank and Material Properties'!$C$40&lt;&gt;"I. None. Complete 18."),'Tank and Material Properties'!$C$44*F38,0)+IF('Tank and Material Properties'!$C$52&lt;&gt;"",'Tank and Material Properties'!$I52*F39,0)+IF('Tank and Material Properties'!$C$53&lt;&gt;"",'Tank and Material Properties'!$I53*F40,0)+IF('Tank and Material Properties'!$C$54&lt;&gt;"",'Tank and Material Properties'!$I54*F41,0)+IF('Tank and Material Properties'!$C$55&lt;&gt;"",'Tank and Material Properties'!$I55*F42,0)+IF('Tank and Material Properties'!$C$56&lt;&gt;"",'Tank and Material Properties'!$I56*F43,0)+IF('Tank and Material Properties'!$C$57&lt;&gt;"",'Tank and Material Properties'!$I57*F44,0)</f>
        <v>0</v>
      </c>
      <c r="G45" s="305">
        <f>IF(AND('Tank and Material Properties'!$C$40&lt;&gt;0,'Tank and Material Properties'!$C$40&lt;&gt;"I. None. Complete 18."),'Tank and Material Properties'!$C$44*G38,0)+IF('Tank and Material Properties'!$C$52&lt;&gt;"",'Tank and Material Properties'!$I52*G39,0)+IF('Tank and Material Properties'!$C$53&lt;&gt;"",'Tank and Material Properties'!$I53*G40,0)+IF('Tank and Material Properties'!$C$54&lt;&gt;"",'Tank and Material Properties'!$I54*G41,0)+IF('Tank and Material Properties'!$C$55&lt;&gt;"",'Tank and Material Properties'!$I55*G42,0)+IF('Tank and Material Properties'!$C$56&lt;&gt;"",'Tank and Material Properties'!$I56*G43,0)+IF('Tank and Material Properties'!$C$57&lt;&gt;"",'Tank and Material Properties'!$I57*G44,0)</f>
        <v>0</v>
      </c>
      <c r="H45" s="305">
        <f>IF(AND('Tank and Material Properties'!$C$40&lt;&gt;0,'Tank and Material Properties'!$C$40&lt;&gt;"I. None. Complete 18."),'Tank and Material Properties'!$C$44*H38,0)+IF('Tank and Material Properties'!$C$52&lt;&gt;"",'Tank and Material Properties'!$I52*H39,0)+IF('Tank and Material Properties'!$C$53&lt;&gt;"",'Tank and Material Properties'!$I53*H40,0)+IF('Tank and Material Properties'!$C$54&lt;&gt;"",'Tank and Material Properties'!$I54*H41,0)+IF('Tank and Material Properties'!$C$55&lt;&gt;"",'Tank and Material Properties'!$I55*H42,0)+IF('Tank and Material Properties'!$C$56&lt;&gt;"",'Tank and Material Properties'!$I56*H43,0)+IF('Tank and Material Properties'!$C$57&lt;&gt;"",'Tank and Material Properties'!$I57*H44,0)</f>
        <v>0</v>
      </c>
      <c r="I45" s="305">
        <f>IF(AND('Tank and Material Properties'!$C$40&lt;&gt;0,'Tank and Material Properties'!$C$40&lt;&gt;"I. None. Complete 18."),'Tank and Material Properties'!$C$44*I38,0)+IF('Tank and Material Properties'!$C$52&lt;&gt;"",'Tank and Material Properties'!$I52*I39,0)+IF('Tank and Material Properties'!$C$53&lt;&gt;"",'Tank and Material Properties'!$I53*I40,0)+IF('Tank and Material Properties'!$C$54&lt;&gt;"",'Tank and Material Properties'!$I54*I41,0)+IF('Tank and Material Properties'!$C$55&lt;&gt;"",'Tank and Material Properties'!$I55*I42,0)+IF('Tank and Material Properties'!$C$56&lt;&gt;"",'Tank and Material Properties'!$I56*I43,0)+IF('Tank and Material Properties'!$C$57&lt;&gt;"",'Tank and Material Properties'!$I57*I44,0)</f>
        <v>0</v>
      </c>
      <c r="J45" s="305">
        <f>IF(AND('Tank and Material Properties'!$C$40&lt;&gt;0,'Tank and Material Properties'!$C$40&lt;&gt;"I. None. Complete 18."),'Tank and Material Properties'!$C$44*J38,0)+IF('Tank and Material Properties'!$C$52&lt;&gt;"",'Tank and Material Properties'!$I52*J39,0)+IF('Tank and Material Properties'!$C$53&lt;&gt;"",'Tank and Material Properties'!$I53*J40,0)+IF('Tank and Material Properties'!$C$54&lt;&gt;"",'Tank and Material Properties'!$I54*J41,0)+IF('Tank and Material Properties'!$C$55&lt;&gt;"",'Tank and Material Properties'!$I55*J42,0)+IF('Tank and Material Properties'!$C$56&lt;&gt;"",'Tank and Material Properties'!$I56*J43,0)+IF('Tank and Material Properties'!$C$57&lt;&gt;"",'Tank and Material Properties'!$I57*J44,0)</f>
        <v>0</v>
      </c>
      <c r="K45" s="305">
        <f>IF(AND('Tank and Material Properties'!$C$40&lt;&gt;0,'Tank and Material Properties'!$C$40&lt;&gt;"I. None. Complete 18."),'Tank and Material Properties'!$C$44*K38,0)+IF('Tank and Material Properties'!$C$52&lt;&gt;"",'Tank and Material Properties'!$I52*K39,0)+IF('Tank and Material Properties'!$C$53&lt;&gt;"",'Tank and Material Properties'!$I53*K40,0)+IF('Tank and Material Properties'!$C$54&lt;&gt;"",'Tank and Material Properties'!$I54*K41,0)+IF('Tank and Material Properties'!$C$55&lt;&gt;"",'Tank and Material Properties'!$I55*K42,0)+IF('Tank and Material Properties'!$C$56&lt;&gt;"",'Tank and Material Properties'!$I56*K43,0)+IF('Tank and Material Properties'!$C$57&lt;&gt;"",'Tank and Material Properties'!$I57*K44,0)</f>
        <v>0</v>
      </c>
      <c r="L45" s="305">
        <f>IF(AND('Tank and Material Properties'!$C$40&lt;&gt;0,'Tank and Material Properties'!$C$40&lt;&gt;"I. None. Complete 18."),'Tank and Material Properties'!$C$44*L38,0)+IF('Tank and Material Properties'!$C$52&lt;&gt;"",'Tank and Material Properties'!$I52*L39,0)+IF('Tank and Material Properties'!$C$53&lt;&gt;"",'Tank and Material Properties'!$I53*L40,0)+IF('Tank and Material Properties'!$C$54&lt;&gt;"",'Tank and Material Properties'!$I54*L41,0)+IF('Tank and Material Properties'!$C$55&lt;&gt;"",'Tank and Material Properties'!$I55*L42,0)+IF('Tank and Material Properties'!$C$56&lt;&gt;"",'Tank and Material Properties'!$I56*L43,0)+IF('Tank and Material Properties'!$C$57&lt;&gt;"",'Tank and Material Properties'!$I57*L44,0)</f>
        <v>0</v>
      </c>
      <c r="M45" s="305">
        <f>IF(AND('Tank and Material Properties'!$C$40&lt;&gt;0,'Tank and Material Properties'!$C$40&lt;&gt;"I. None. Complete 18."),'Tank and Material Properties'!$C$44*M38,0)+IF('Tank and Material Properties'!$C$52&lt;&gt;"",'Tank and Material Properties'!$I52*M39,0)+IF('Tank and Material Properties'!$C$53&lt;&gt;"",'Tank and Material Properties'!$I53*M40,0)+IF('Tank and Material Properties'!$C$54&lt;&gt;"",'Tank and Material Properties'!$I54*M41,0)+IF('Tank and Material Properties'!$C$55&lt;&gt;"",'Tank and Material Properties'!$I55*M42,0)+IF('Tank and Material Properties'!$C$56&lt;&gt;"",'Tank and Material Properties'!$I56*M43,0)+IF('Tank and Material Properties'!$C$57&lt;&gt;"",'Tank and Material Properties'!$I57*M44,0)</f>
        <v>0</v>
      </c>
      <c r="N45" s="305">
        <f>IF(AND('Tank and Material Properties'!$C$40&lt;&gt;0,'Tank and Material Properties'!$C$40&lt;&gt;"I. None. Complete 18."),'Tank and Material Properties'!$C$44*N38,0)+IF('Tank and Material Properties'!$C$52&lt;&gt;"",'Tank and Material Properties'!$I52*N39,0)+IF('Tank and Material Properties'!$C$53&lt;&gt;"",'Tank and Material Properties'!$I53*N40,0)+IF('Tank and Material Properties'!$C$54&lt;&gt;"",'Tank and Material Properties'!$I54*N41,0)+IF('Tank and Material Properties'!$C$55&lt;&gt;"",'Tank and Material Properties'!$I55*N42,0)+IF('Tank and Material Properties'!$C$56&lt;&gt;"",'Tank and Material Properties'!$I56*N43,0)+IF('Tank and Material Properties'!$C$57&lt;&gt;"",'Tank and Material Properties'!$I57*N44,0)</f>
        <v>0</v>
      </c>
      <c r="O45" s="209" t="s">
        <v>734</v>
      </c>
      <c r="P45" s="100"/>
      <c r="Q45" s="100"/>
      <c r="R45" s="100"/>
      <c r="S45" s="100"/>
      <c r="T45" s="100"/>
      <c r="U45" s="100"/>
      <c r="V45" s="217"/>
    </row>
    <row r="46" spans="1:22" s="212" customFormat="1" ht="15.75" x14ac:dyDescent="0.3">
      <c r="A46" s="207"/>
      <c r="B46" s="209" t="str">
        <f>IF(AND('Tank and Material Properties'!C40&lt;&gt;0,'Tank and Material Properties'!C40&lt;&gt;"I. None. Complete 18."),'Tank and Material Properties'!C40&amp;" Vapor Weight Fraction (Zvi)","")</f>
        <v/>
      </c>
      <c r="C46" s="252" t="str">
        <f>IF(AND('Tank and Material Properties'!$C$40&lt;&gt;0,'Tank and Material Properties'!$C$40&lt;&gt;"I. None. Complete 18."),C38*'Tank and Material Properties'!$C$44/'Emissions Calculation'!C$45,"")</f>
        <v/>
      </c>
      <c r="D46" s="252" t="str">
        <f>IF(AND('Tank and Material Properties'!$C$40&lt;&gt;0,'Tank and Material Properties'!$C$40&lt;&gt;"I. None. Complete 18."),D38*'Tank and Material Properties'!$C$44/'Emissions Calculation'!D$45,"")</f>
        <v/>
      </c>
      <c r="E46" s="252" t="str">
        <f>IF(AND('Tank and Material Properties'!$C$40&lt;&gt;0,'Tank and Material Properties'!$C$40&lt;&gt;"I. None. Complete 18."),E38*'Tank and Material Properties'!$C$44/'Emissions Calculation'!E$45,"")</f>
        <v/>
      </c>
      <c r="F46" s="252" t="str">
        <f>IF(AND('Tank and Material Properties'!$C$40&lt;&gt;0,'Tank and Material Properties'!$C$40&lt;&gt;"I. None. Complete 18."),F38*'Tank and Material Properties'!$C$44/'Emissions Calculation'!F$45,"")</f>
        <v/>
      </c>
      <c r="G46" s="252" t="str">
        <f>IF(AND('Tank and Material Properties'!$C$40&lt;&gt;0,'Tank and Material Properties'!$C$40&lt;&gt;"I. None. Complete 18."),G38*'Tank and Material Properties'!$C$44/'Emissions Calculation'!G$45,"")</f>
        <v/>
      </c>
      <c r="H46" s="252" t="str">
        <f>IF(AND('Tank and Material Properties'!$C$40&lt;&gt;0,'Tank and Material Properties'!$C$40&lt;&gt;"I. None. Complete 18."),H38*'Tank and Material Properties'!$C$44/'Emissions Calculation'!H$45,"")</f>
        <v/>
      </c>
      <c r="I46" s="252" t="str">
        <f>IF(AND('Tank and Material Properties'!$C$40&lt;&gt;0,'Tank and Material Properties'!$C$40&lt;&gt;"I. None. Complete 18."),I38*'Tank and Material Properties'!$C$44/'Emissions Calculation'!I$45,"")</f>
        <v/>
      </c>
      <c r="J46" s="252" t="str">
        <f>IF(AND('Tank and Material Properties'!$C$40&lt;&gt;0,'Tank and Material Properties'!$C$40&lt;&gt;"I. None. Complete 18."),J38*'Tank and Material Properties'!$C$44/'Emissions Calculation'!J$45,"")</f>
        <v/>
      </c>
      <c r="K46" s="252" t="str">
        <f>IF(AND('Tank and Material Properties'!$C$40&lt;&gt;0,'Tank and Material Properties'!$C$40&lt;&gt;"I. None. Complete 18."),K38*'Tank and Material Properties'!$C$44/'Emissions Calculation'!K$45,"")</f>
        <v/>
      </c>
      <c r="L46" s="252" t="str">
        <f>IF(AND('Tank and Material Properties'!$C$40&lt;&gt;0,'Tank and Material Properties'!$C$40&lt;&gt;"I. None. Complete 18."),L38*'Tank and Material Properties'!$C$44/'Emissions Calculation'!L$45,"")</f>
        <v/>
      </c>
      <c r="M46" s="252" t="str">
        <f>IF(AND('Tank and Material Properties'!$C$40&lt;&gt;0,'Tank and Material Properties'!$C$40&lt;&gt;"I. None. Complete 18."),M38*'Tank and Material Properties'!$C$44/'Emissions Calculation'!M$45,"")</f>
        <v/>
      </c>
      <c r="N46" s="252" t="str">
        <f>IF(AND('Tank and Material Properties'!$C$40&lt;&gt;0,'Tank and Material Properties'!$C$40&lt;&gt;"I. None. Complete 18."),N38*'Tank and Material Properties'!$C$44/'Emissions Calculation'!N$45,"")</f>
        <v/>
      </c>
      <c r="O46" s="209" t="s">
        <v>735</v>
      </c>
      <c r="P46" s="100"/>
      <c r="Q46" s="100"/>
      <c r="R46" s="100"/>
      <c r="S46" s="100"/>
      <c r="T46" s="100"/>
      <c r="U46" s="100"/>
      <c r="V46" s="217"/>
    </row>
    <row r="47" spans="1:22" s="212" customFormat="1" ht="15.75" x14ac:dyDescent="0.3">
      <c r="A47" s="207"/>
      <c r="B47" s="209" t="str">
        <f>IF('Tank and Material Properties'!C52&lt;&gt;0,'Tank and Material Properties'!C52&amp;" Vapor Weight Fraction (Zvi)","")</f>
        <v/>
      </c>
      <c r="C47" s="252" t="str">
        <f>IF('Tank and Material Properties'!$C52&lt;&gt;"",C39*'Tank and Material Properties'!$I52/'Emissions Calculation'!C$45,"")</f>
        <v/>
      </c>
      <c r="D47" s="252" t="str">
        <f>IF('Tank and Material Properties'!$C52&lt;&gt;"",D39*'Tank and Material Properties'!$I52/'Emissions Calculation'!D$45,"")</f>
        <v/>
      </c>
      <c r="E47" s="252" t="str">
        <f>IF('Tank and Material Properties'!$C52&lt;&gt;"",E39*'Tank and Material Properties'!$I52/'Emissions Calculation'!E$45,"")</f>
        <v/>
      </c>
      <c r="F47" s="252" t="str">
        <f>IF('Tank and Material Properties'!$C52&lt;&gt;"",F39*'Tank and Material Properties'!$I52/'Emissions Calculation'!F$45,"")</f>
        <v/>
      </c>
      <c r="G47" s="252" t="str">
        <f>IF('Tank and Material Properties'!$C52&lt;&gt;"",G39*'Tank and Material Properties'!$I52/'Emissions Calculation'!G$45,"")</f>
        <v/>
      </c>
      <c r="H47" s="252" t="str">
        <f>IF('Tank and Material Properties'!$C52&lt;&gt;"",H39*'Tank and Material Properties'!$I52/'Emissions Calculation'!H$45,"")</f>
        <v/>
      </c>
      <c r="I47" s="252" t="str">
        <f>IF('Tank and Material Properties'!$C52&lt;&gt;"",I39*'Tank and Material Properties'!$I52/'Emissions Calculation'!I$45,"")</f>
        <v/>
      </c>
      <c r="J47" s="252" t="str">
        <f>IF('Tank and Material Properties'!$C52&lt;&gt;"",J39*'Tank and Material Properties'!$I52/'Emissions Calculation'!J$45,"")</f>
        <v/>
      </c>
      <c r="K47" s="252" t="str">
        <f>IF('Tank and Material Properties'!$C52&lt;&gt;"",K39*'Tank and Material Properties'!$I52/'Emissions Calculation'!K$45,"")</f>
        <v/>
      </c>
      <c r="L47" s="252" t="str">
        <f>IF('Tank and Material Properties'!$C52&lt;&gt;"",L39*'Tank and Material Properties'!$I52/'Emissions Calculation'!L$45,"")</f>
        <v/>
      </c>
      <c r="M47" s="252" t="str">
        <f>IF('Tank and Material Properties'!$C52&lt;&gt;"",M39*'Tank and Material Properties'!$I52/'Emissions Calculation'!M$45,"")</f>
        <v/>
      </c>
      <c r="N47" s="252" t="str">
        <f>IF('Tank and Material Properties'!$C52&lt;&gt;"",N39*'Tank and Material Properties'!$I52/'Emissions Calculation'!N$45,"")</f>
        <v/>
      </c>
      <c r="O47" s="209" t="s">
        <v>735</v>
      </c>
      <c r="P47" s="100"/>
      <c r="Q47" s="100"/>
      <c r="R47" s="100"/>
      <c r="S47" s="100"/>
      <c r="T47" s="100"/>
      <c r="U47" s="100"/>
      <c r="V47" s="217"/>
    </row>
    <row r="48" spans="1:22" s="212" customFormat="1" ht="15.75" x14ac:dyDescent="0.3">
      <c r="A48" s="207"/>
      <c r="B48" s="209" t="str">
        <f>IF('Tank and Material Properties'!C53&lt;&gt;0,'Tank and Material Properties'!C53&amp;" Vapor Weight Fraction (Zvi)","")</f>
        <v/>
      </c>
      <c r="C48" s="252" t="str">
        <f>IF('Tank and Material Properties'!$C53&lt;&gt;"",C40*'Tank and Material Properties'!$I53/'Emissions Calculation'!C$45,"")</f>
        <v/>
      </c>
      <c r="D48" s="252" t="str">
        <f>IF('Tank and Material Properties'!$C53&lt;&gt;"",D40*'Tank and Material Properties'!$I53/'Emissions Calculation'!D$45,"")</f>
        <v/>
      </c>
      <c r="E48" s="252" t="str">
        <f>IF('Tank and Material Properties'!$C53&lt;&gt;"",E40*'Tank and Material Properties'!$I53/'Emissions Calculation'!E$45,"")</f>
        <v/>
      </c>
      <c r="F48" s="252" t="str">
        <f>IF('Tank and Material Properties'!$C53&lt;&gt;"",F40*'Tank and Material Properties'!$I53/'Emissions Calculation'!F$45,"")</f>
        <v/>
      </c>
      <c r="G48" s="252" t="str">
        <f>IF('Tank and Material Properties'!$C53&lt;&gt;"",G40*'Tank and Material Properties'!$I53/'Emissions Calculation'!G$45,"")</f>
        <v/>
      </c>
      <c r="H48" s="252" t="str">
        <f>IF('Tank and Material Properties'!$C53&lt;&gt;"",H40*'Tank and Material Properties'!$I53/'Emissions Calculation'!H$45,"")</f>
        <v/>
      </c>
      <c r="I48" s="252" t="str">
        <f>IF('Tank and Material Properties'!$C53&lt;&gt;"",I40*'Tank and Material Properties'!$I53/'Emissions Calculation'!I$45,"")</f>
        <v/>
      </c>
      <c r="J48" s="252" t="str">
        <f>IF('Tank and Material Properties'!$C53&lt;&gt;"",J40*'Tank and Material Properties'!$I53/'Emissions Calculation'!J$45,"")</f>
        <v/>
      </c>
      <c r="K48" s="252" t="str">
        <f>IF('Tank and Material Properties'!$C53&lt;&gt;"",K40*'Tank and Material Properties'!$I53/'Emissions Calculation'!K$45,"")</f>
        <v/>
      </c>
      <c r="L48" s="252" t="str">
        <f>IF('Tank and Material Properties'!$C53&lt;&gt;"",L40*'Tank and Material Properties'!$I53/'Emissions Calculation'!L$45,"")</f>
        <v/>
      </c>
      <c r="M48" s="252" t="str">
        <f>IF('Tank and Material Properties'!$C53&lt;&gt;"",M40*'Tank and Material Properties'!$I53/'Emissions Calculation'!M$45,"")</f>
        <v/>
      </c>
      <c r="N48" s="252" t="str">
        <f>IF('Tank and Material Properties'!$C53&lt;&gt;"",N40*'Tank and Material Properties'!$I53/'Emissions Calculation'!N$45,"")</f>
        <v/>
      </c>
      <c r="O48" s="209" t="s">
        <v>735</v>
      </c>
      <c r="P48" s="100"/>
      <c r="Q48" s="100"/>
      <c r="R48" s="100"/>
      <c r="S48" s="100"/>
      <c r="T48" s="100"/>
      <c r="U48" s="100"/>
      <c r="V48" s="217"/>
    </row>
    <row r="49" spans="1:22" s="212" customFormat="1" ht="15.75" x14ac:dyDescent="0.3">
      <c r="A49" s="207"/>
      <c r="B49" s="209" t="str">
        <f>IF('Tank and Material Properties'!C54&lt;&gt;0,'Tank and Material Properties'!C54&amp;" Vapor Weight Fraction (Zvi)","")</f>
        <v/>
      </c>
      <c r="C49" s="252" t="str">
        <f>IF('Tank and Material Properties'!$C54&lt;&gt;"",C41*'Tank and Material Properties'!$I54/'Emissions Calculation'!C$45,"")</f>
        <v/>
      </c>
      <c r="D49" s="252" t="str">
        <f>IF('Tank and Material Properties'!$C54&lt;&gt;"",D41*'Tank and Material Properties'!$I54/'Emissions Calculation'!D$45,"")</f>
        <v/>
      </c>
      <c r="E49" s="252" t="str">
        <f>IF('Tank and Material Properties'!$C54&lt;&gt;"",E41*'Tank and Material Properties'!$I54/'Emissions Calculation'!E$45,"")</f>
        <v/>
      </c>
      <c r="F49" s="252" t="str">
        <f>IF('Tank and Material Properties'!$C54&lt;&gt;"",F41*'Tank and Material Properties'!$I54/'Emissions Calculation'!F$45,"")</f>
        <v/>
      </c>
      <c r="G49" s="252" t="str">
        <f>IF('Tank and Material Properties'!$C54&lt;&gt;"",G41*'Tank and Material Properties'!$I54/'Emissions Calculation'!G$45,"")</f>
        <v/>
      </c>
      <c r="H49" s="252" t="str">
        <f>IF('Tank and Material Properties'!$C54&lt;&gt;"",H41*'Tank and Material Properties'!$I54/'Emissions Calculation'!H$45,"")</f>
        <v/>
      </c>
      <c r="I49" s="252" t="str">
        <f>IF('Tank and Material Properties'!$C54&lt;&gt;"",I41*'Tank and Material Properties'!$I54/'Emissions Calculation'!I$45,"")</f>
        <v/>
      </c>
      <c r="J49" s="252" t="str">
        <f>IF('Tank and Material Properties'!$C54&lt;&gt;"",J41*'Tank and Material Properties'!$I54/'Emissions Calculation'!J$45,"")</f>
        <v/>
      </c>
      <c r="K49" s="252" t="str">
        <f>IF('Tank and Material Properties'!$C54&lt;&gt;"",K41*'Tank and Material Properties'!$I54/'Emissions Calculation'!K$45,"")</f>
        <v/>
      </c>
      <c r="L49" s="252" t="str">
        <f>IF('Tank and Material Properties'!$C54&lt;&gt;"",L41*'Tank and Material Properties'!$I54/'Emissions Calculation'!L$45,"")</f>
        <v/>
      </c>
      <c r="M49" s="252" t="str">
        <f>IF('Tank and Material Properties'!$C54&lt;&gt;"",M41*'Tank and Material Properties'!$I54/'Emissions Calculation'!M$45,"")</f>
        <v/>
      </c>
      <c r="N49" s="252" t="str">
        <f>IF('Tank and Material Properties'!$C54&lt;&gt;"",N41*'Tank and Material Properties'!$I54/'Emissions Calculation'!N$45,"")</f>
        <v/>
      </c>
      <c r="O49" s="209" t="s">
        <v>735</v>
      </c>
      <c r="P49" s="100"/>
      <c r="Q49" s="100"/>
      <c r="R49" s="100"/>
      <c r="S49" s="100"/>
      <c r="T49" s="100"/>
      <c r="U49" s="100"/>
      <c r="V49" s="217"/>
    </row>
    <row r="50" spans="1:22" s="212" customFormat="1" ht="15.75" x14ac:dyDescent="0.3">
      <c r="A50" s="207"/>
      <c r="B50" s="209" t="str">
        <f>IF('Tank and Material Properties'!C55&lt;&gt;0,'Tank and Material Properties'!C55&amp;" Vapor Weight Fraction (Zvi)","")</f>
        <v/>
      </c>
      <c r="C50" s="252" t="str">
        <f>IF('Tank and Material Properties'!$C55&lt;&gt;"",C42*'Tank and Material Properties'!$I55/'Emissions Calculation'!C$45,"")</f>
        <v/>
      </c>
      <c r="D50" s="252" t="str">
        <f>IF('Tank and Material Properties'!$C55&lt;&gt;"",D42*'Tank and Material Properties'!$I55/'Emissions Calculation'!D$45,"")</f>
        <v/>
      </c>
      <c r="E50" s="252" t="str">
        <f>IF('Tank and Material Properties'!$C55&lt;&gt;"",E42*'Tank and Material Properties'!$I55/'Emissions Calculation'!E$45,"")</f>
        <v/>
      </c>
      <c r="F50" s="252" t="str">
        <f>IF('Tank and Material Properties'!$C55&lt;&gt;"",F42*'Tank and Material Properties'!$I55/'Emissions Calculation'!F$45,"")</f>
        <v/>
      </c>
      <c r="G50" s="252" t="str">
        <f>IF('Tank and Material Properties'!$C55&lt;&gt;"",G42*'Tank and Material Properties'!$I55/'Emissions Calculation'!G$45,"")</f>
        <v/>
      </c>
      <c r="H50" s="252" t="str">
        <f>IF('Tank and Material Properties'!$C55&lt;&gt;"",H42*'Tank and Material Properties'!$I55/'Emissions Calculation'!H$45,"")</f>
        <v/>
      </c>
      <c r="I50" s="252" t="str">
        <f>IF('Tank and Material Properties'!$C55&lt;&gt;"",I42*'Tank and Material Properties'!$I55/'Emissions Calculation'!I$45,"")</f>
        <v/>
      </c>
      <c r="J50" s="252" t="str">
        <f>IF('Tank and Material Properties'!$C55&lt;&gt;"",J42*'Tank and Material Properties'!$I55/'Emissions Calculation'!J$45,"")</f>
        <v/>
      </c>
      <c r="K50" s="252" t="str">
        <f>IF('Tank and Material Properties'!$C55&lt;&gt;"",K42*'Tank and Material Properties'!$I55/'Emissions Calculation'!K$45,"")</f>
        <v/>
      </c>
      <c r="L50" s="252" t="str">
        <f>IF('Tank and Material Properties'!$C55&lt;&gt;"",L42*'Tank and Material Properties'!$I55/'Emissions Calculation'!L$45,"")</f>
        <v/>
      </c>
      <c r="M50" s="252" t="str">
        <f>IF('Tank and Material Properties'!$C55&lt;&gt;"",M42*'Tank and Material Properties'!$I55/'Emissions Calculation'!M$45,"")</f>
        <v/>
      </c>
      <c r="N50" s="252" t="str">
        <f>IF('Tank and Material Properties'!$C55&lt;&gt;"",N42*'Tank and Material Properties'!$I55/'Emissions Calculation'!N$45,"")</f>
        <v/>
      </c>
      <c r="O50" s="209" t="s">
        <v>735</v>
      </c>
      <c r="P50" s="100"/>
      <c r="Q50" s="100"/>
      <c r="R50" s="100"/>
      <c r="S50" s="100"/>
      <c r="T50" s="100"/>
      <c r="U50" s="100"/>
      <c r="V50" s="217"/>
    </row>
    <row r="51" spans="1:22" s="212" customFormat="1" ht="15.75" x14ac:dyDescent="0.3">
      <c r="A51" s="207"/>
      <c r="B51" s="209" t="str">
        <f>IF('Tank and Material Properties'!C56&lt;&gt;0,'Tank and Material Properties'!C56&amp;" Vapor Weight Fraction (Zvi)","")</f>
        <v/>
      </c>
      <c r="C51" s="252" t="str">
        <f>IF('Tank and Material Properties'!$C56&lt;&gt;"",C43*'Tank and Material Properties'!$I56/'Emissions Calculation'!C$45,"")</f>
        <v/>
      </c>
      <c r="D51" s="252" t="str">
        <f>IF('Tank and Material Properties'!$C56&lt;&gt;"",D43*'Tank and Material Properties'!$I56/'Emissions Calculation'!D$45,"")</f>
        <v/>
      </c>
      <c r="E51" s="252" t="str">
        <f>IF('Tank and Material Properties'!$C56&lt;&gt;"",E43*'Tank and Material Properties'!$I56/'Emissions Calculation'!E$45,"")</f>
        <v/>
      </c>
      <c r="F51" s="252" t="str">
        <f>IF('Tank and Material Properties'!$C56&lt;&gt;"",F43*'Tank and Material Properties'!$I56/'Emissions Calculation'!F$45,"")</f>
        <v/>
      </c>
      <c r="G51" s="252" t="str">
        <f>IF('Tank and Material Properties'!$C56&lt;&gt;"",G43*'Tank and Material Properties'!$I56/'Emissions Calculation'!G$45,"")</f>
        <v/>
      </c>
      <c r="H51" s="252" t="str">
        <f>IF('Tank and Material Properties'!$C56&lt;&gt;"",H43*'Tank and Material Properties'!$I56/'Emissions Calculation'!H$45,"")</f>
        <v/>
      </c>
      <c r="I51" s="252" t="str">
        <f>IF('Tank and Material Properties'!$C56&lt;&gt;"",I43*'Tank and Material Properties'!$I56/'Emissions Calculation'!I$45,"")</f>
        <v/>
      </c>
      <c r="J51" s="252" t="str">
        <f>IF('Tank and Material Properties'!$C56&lt;&gt;"",J43*'Tank and Material Properties'!$I56/'Emissions Calculation'!J$45,"")</f>
        <v/>
      </c>
      <c r="K51" s="252" t="str">
        <f>IF('Tank and Material Properties'!$C56&lt;&gt;"",K43*'Tank and Material Properties'!$I56/'Emissions Calculation'!K$45,"")</f>
        <v/>
      </c>
      <c r="L51" s="252" t="str">
        <f>IF('Tank and Material Properties'!$C56&lt;&gt;"",L43*'Tank and Material Properties'!$I56/'Emissions Calculation'!L$45,"")</f>
        <v/>
      </c>
      <c r="M51" s="252" t="str">
        <f>IF('Tank and Material Properties'!$C56&lt;&gt;"",M43*'Tank and Material Properties'!$I56/'Emissions Calculation'!M$45,"")</f>
        <v/>
      </c>
      <c r="N51" s="252" t="str">
        <f>IF('Tank and Material Properties'!$C56&lt;&gt;"",N43*'Tank and Material Properties'!$I56/'Emissions Calculation'!N$45,"")</f>
        <v/>
      </c>
      <c r="O51" s="209" t="s">
        <v>735</v>
      </c>
      <c r="P51" s="100"/>
      <c r="Q51" s="100"/>
      <c r="R51" s="100"/>
      <c r="S51" s="100"/>
      <c r="T51" s="100"/>
      <c r="U51" s="100"/>
      <c r="V51" s="217"/>
    </row>
    <row r="52" spans="1:22" s="212" customFormat="1" ht="15.75" x14ac:dyDescent="0.3">
      <c r="A52" s="207"/>
      <c r="B52" s="209" t="str">
        <f>IF('Tank and Material Properties'!C57&lt;&gt;0,'Tank and Material Properties'!C57&amp;" Vapor Weight Fraction (Zvi)","")</f>
        <v/>
      </c>
      <c r="C52" s="252" t="str">
        <f>IF('Tank and Material Properties'!$C57&lt;&gt;"",C44*'Tank and Material Properties'!$I57/'Emissions Calculation'!C$45,"")</f>
        <v/>
      </c>
      <c r="D52" s="252" t="str">
        <f>IF('Tank and Material Properties'!$C57&lt;&gt;"",D44*'Tank and Material Properties'!$I57/'Emissions Calculation'!D$45,"")</f>
        <v/>
      </c>
      <c r="E52" s="252" t="str">
        <f>IF('Tank and Material Properties'!$C57&lt;&gt;"",E44*'Tank and Material Properties'!$I57/'Emissions Calculation'!E$45,"")</f>
        <v/>
      </c>
      <c r="F52" s="252" t="str">
        <f>IF('Tank and Material Properties'!$C57&lt;&gt;"",F44*'Tank and Material Properties'!$I57/'Emissions Calculation'!F$45,"")</f>
        <v/>
      </c>
      <c r="G52" s="252" t="str">
        <f>IF('Tank and Material Properties'!$C57&lt;&gt;"",G44*'Tank and Material Properties'!$I57/'Emissions Calculation'!G$45,"")</f>
        <v/>
      </c>
      <c r="H52" s="252" t="str">
        <f>IF('Tank and Material Properties'!$C57&lt;&gt;"",H44*'Tank and Material Properties'!$I57/'Emissions Calculation'!H$45,"")</f>
        <v/>
      </c>
      <c r="I52" s="252" t="str">
        <f>IF('Tank and Material Properties'!$C57&lt;&gt;"",I44*'Tank and Material Properties'!$I57/'Emissions Calculation'!I$45,"")</f>
        <v/>
      </c>
      <c r="J52" s="252" t="str">
        <f>IF('Tank and Material Properties'!$C57&lt;&gt;"",J44*'Tank and Material Properties'!$I57/'Emissions Calculation'!J$45,"")</f>
        <v/>
      </c>
      <c r="K52" s="252" t="str">
        <f>IF('Tank and Material Properties'!$C57&lt;&gt;"",K44*'Tank and Material Properties'!$I57/'Emissions Calculation'!K$45,"")</f>
        <v/>
      </c>
      <c r="L52" s="252" t="str">
        <f>IF('Tank and Material Properties'!$C57&lt;&gt;"",L44*'Tank and Material Properties'!$I57/'Emissions Calculation'!L$45,"")</f>
        <v/>
      </c>
      <c r="M52" s="252" t="str">
        <f>IF('Tank and Material Properties'!$C57&lt;&gt;"",M44*'Tank and Material Properties'!$I57/'Emissions Calculation'!M$45,"")</f>
        <v/>
      </c>
      <c r="N52" s="252" t="str">
        <f>IF('Tank and Material Properties'!$C57&lt;&gt;"",N44*'Tank and Material Properties'!$I57/'Emissions Calculation'!N$45,"")</f>
        <v/>
      </c>
      <c r="O52" s="209" t="s">
        <v>735</v>
      </c>
      <c r="P52" s="100"/>
      <c r="Q52" s="100"/>
      <c r="R52" s="100"/>
      <c r="S52" s="100"/>
      <c r="T52" s="100"/>
      <c r="U52" s="100"/>
      <c r="V52" s="217"/>
    </row>
    <row r="53" spans="1:22" s="212" customFormat="1" ht="14.25" x14ac:dyDescent="0.2">
      <c r="A53" s="207"/>
      <c r="B53" s="209" t="s">
        <v>211</v>
      </c>
      <c r="C53" s="224" t="e">
        <f>IF('Tank and Material Properties'!$D24&lt;&gt;"",'Tank and Material Properties'!$D24,'Tank and Material Properties'!$F24)*IF('Tank and Material Properties'!$C$16="YES",('Tank and Material Properties'!$G24),('Tank and Material Properties'!$G24+('Tank and Material Properties'!$H24*(0.7*C$17)^'Tank and Material Properties'!$I24)))</f>
        <v>#N/A</v>
      </c>
      <c r="D53" s="224" t="e">
        <f>IF('Tank and Material Properties'!$D24&lt;&gt;"",'Tank and Material Properties'!$D24,'Tank and Material Properties'!$F24)*IF('Tank and Material Properties'!$C$16="YES",('Tank and Material Properties'!$G24),('Tank and Material Properties'!$G24+('Tank and Material Properties'!$H24*(0.7*D$17)^'Tank and Material Properties'!$I24)))</f>
        <v>#N/A</v>
      </c>
      <c r="E53" s="224" t="e">
        <f>IF('Tank and Material Properties'!$D24&lt;&gt;"",'Tank and Material Properties'!$D24,'Tank and Material Properties'!$F24)*IF('Tank and Material Properties'!$C$16="YES",('Tank and Material Properties'!$G24),('Tank and Material Properties'!$G24+('Tank and Material Properties'!$H24*(0.7*E$17)^'Tank and Material Properties'!$I24)))</f>
        <v>#N/A</v>
      </c>
      <c r="F53" s="224" t="e">
        <f>IF('Tank and Material Properties'!$D24&lt;&gt;"",'Tank and Material Properties'!$D24,'Tank and Material Properties'!$F24)*IF('Tank and Material Properties'!$C$16="YES",('Tank and Material Properties'!$G24),('Tank and Material Properties'!$G24+('Tank and Material Properties'!$H24*(0.7*F$17)^'Tank and Material Properties'!$I24)))</f>
        <v>#N/A</v>
      </c>
      <c r="G53" s="224" t="e">
        <f>IF('Tank and Material Properties'!$D24&lt;&gt;"",'Tank and Material Properties'!$D24,'Tank and Material Properties'!$F24)*IF('Tank and Material Properties'!$C$16="YES",('Tank and Material Properties'!$G24),('Tank and Material Properties'!$G24+('Tank and Material Properties'!$H24*(0.7*G$17)^'Tank and Material Properties'!$I24)))</f>
        <v>#N/A</v>
      </c>
      <c r="H53" s="224" t="e">
        <f>IF('Tank and Material Properties'!$D24&lt;&gt;"",'Tank and Material Properties'!$D24,'Tank and Material Properties'!$F24)*IF('Tank and Material Properties'!$C$16="YES",('Tank and Material Properties'!$G24),('Tank and Material Properties'!$G24+('Tank and Material Properties'!$H24*(0.7*H$17)^'Tank and Material Properties'!$I24)))</f>
        <v>#N/A</v>
      </c>
      <c r="I53" s="224" t="e">
        <f>IF('Tank and Material Properties'!$D24&lt;&gt;"",'Tank and Material Properties'!$D24,'Tank and Material Properties'!$F24)*IF('Tank and Material Properties'!$C$16="YES",('Tank and Material Properties'!$G24),('Tank and Material Properties'!$G24+('Tank and Material Properties'!$H24*(0.7*I$17)^'Tank and Material Properties'!$I24)))</f>
        <v>#N/A</v>
      </c>
      <c r="J53" s="224" t="e">
        <f>IF('Tank and Material Properties'!$D24&lt;&gt;"",'Tank and Material Properties'!$D24,'Tank and Material Properties'!$F24)*IF('Tank and Material Properties'!$C$16="YES",('Tank and Material Properties'!$G24),('Tank and Material Properties'!$G24+('Tank and Material Properties'!$H24*(0.7*J$17)^'Tank and Material Properties'!$I24)))</f>
        <v>#N/A</v>
      </c>
      <c r="K53" s="224" t="e">
        <f>IF('Tank and Material Properties'!$D24&lt;&gt;"",'Tank and Material Properties'!$D24,'Tank and Material Properties'!$F24)*IF('Tank and Material Properties'!$C$16="YES",('Tank and Material Properties'!$G24),('Tank and Material Properties'!$G24+('Tank and Material Properties'!$H24*(0.7*K$17)^'Tank and Material Properties'!$I24)))</f>
        <v>#N/A</v>
      </c>
      <c r="L53" s="224" t="e">
        <f>IF('Tank and Material Properties'!$D24&lt;&gt;"",'Tank and Material Properties'!$D24,'Tank and Material Properties'!$F24)*IF('Tank and Material Properties'!$C$16="YES",('Tank and Material Properties'!$G24),('Tank and Material Properties'!$G24+('Tank and Material Properties'!$H24*(0.7*L$17)^'Tank and Material Properties'!$I24)))</f>
        <v>#N/A</v>
      </c>
      <c r="M53" s="224" t="e">
        <f>IF('Tank and Material Properties'!$D24&lt;&gt;"",'Tank and Material Properties'!$D24,'Tank and Material Properties'!$F24)*IF('Tank and Material Properties'!$C$16="YES",('Tank and Material Properties'!$G24),('Tank and Material Properties'!$G24+('Tank and Material Properties'!$H24*(0.7*M$17)^'Tank and Material Properties'!$I24)))</f>
        <v>#N/A</v>
      </c>
      <c r="N53" s="224" t="e">
        <f>IF('Tank and Material Properties'!$D24&lt;&gt;"",'Tank and Material Properties'!$D24,'Tank and Material Properties'!$F24)*IF('Tank and Material Properties'!$C$16="YES",('Tank and Material Properties'!$G24),('Tank and Material Properties'!$G24+('Tank and Material Properties'!$H24*(0.7*N$17)^'Tank and Material Properties'!$I24)))</f>
        <v>#N/A</v>
      </c>
      <c r="O53" s="209" t="s">
        <v>736</v>
      </c>
      <c r="P53" s="100"/>
      <c r="Q53" s="100"/>
      <c r="R53" s="100"/>
      <c r="S53" s="100"/>
      <c r="T53" s="100"/>
      <c r="U53" s="100"/>
      <c r="V53" s="217"/>
    </row>
    <row r="54" spans="1:22" s="212" customFormat="1" ht="14.25" x14ac:dyDescent="0.2">
      <c r="A54" s="207"/>
      <c r="B54" s="209" t="s">
        <v>212</v>
      </c>
      <c r="C54" s="224" t="e">
        <f>IF('Tank and Material Properties'!$D25&lt;&gt;"",'Tank and Material Properties'!$D25,'Tank and Material Properties'!$F25)*IF('Tank and Material Properties'!$C$16="YES",('Tank and Material Properties'!$G25),('Tank and Material Properties'!$G25+('Tank and Material Properties'!$H25*(0.7*C$17)^'Tank and Material Properties'!$I25)))</f>
        <v>#VALUE!</v>
      </c>
      <c r="D54" s="224" t="e">
        <f>IF('Tank and Material Properties'!$D25&lt;&gt;"",'Tank and Material Properties'!$D25,'Tank and Material Properties'!$F25)*IF('Tank and Material Properties'!$C$16="YES",('Tank and Material Properties'!$G25),('Tank and Material Properties'!$G25+('Tank and Material Properties'!$H25*(0.7*D$17)^'Tank and Material Properties'!$I25)))</f>
        <v>#VALUE!</v>
      </c>
      <c r="E54" s="224" t="e">
        <f>IF('Tank and Material Properties'!$D25&lt;&gt;"",'Tank and Material Properties'!$D25,'Tank and Material Properties'!$F25)*IF('Tank and Material Properties'!$C$16="YES",('Tank and Material Properties'!$G25),('Tank and Material Properties'!$G25+('Tank and Material Properties'!$H25*(0.7*E$17)^'Tank and Material Properties'!$I25)))</f>
        <v>#VALUE!</v>
      </c>
      <c r="F54" s="224" t="e">
        <f>IF('Tank and Material Properties'!$D25&lt;&gt;"",'Tank and Material Properties'!$D25,'Tank and Material Properties'!$F25)*IF('Tank and Material Properties'!$C$16="YES",('Tank and Material Properties'!$G25),('Tank and Material Properties'!$G25+('Tank and Material Properties'!$H25*(0.7*F$17)^'Tank and Material Properties'!$I25)))</f>
        <v>#VALUE!</v>
      </c>
      <c r="G54" s="224" t="e">
        <f>IF('Tank and Material Properties'!$D25&lt;&gt;"",'Tank and Material Properties'!$D25,'Tank and Material Properties'!$F25)*IF('Tank and Material Properties'!$C$16="YES",('Tank and Material Properties'!$G25),('Tank and Material Properties'!$G25+('Tank and Material Properties'!$H25*(0.7*G$17)^'Tank and Material Properties'!$I25)))</f>
        <v>#VALUE!</v>
      </c>
      <c r="H54" s="224" t="e">
        <f>IF('Tank and Material Properties'!$D25&lt;&gt;"",'Tank and Material Properties'!$D25,'Tank and Material Properties'!$F25)*IF('Tank and Material Properties'!$C$16="YES",('Tank and Material Properties'!$G25),('Tank and Material Properties'!$G25+('Tank and Material Properties'!$H25*(0.7*H$17)^'Tank and Material Properties'!$I25)))</f>
        <v>#VALUE!</v>
      </c>
      <c r="I54" s="224" t="e">
        <f>IF('Tank and Material Properties'!$D25&lt;&gt;"",'Tank and Material Properties'!$D25,'Tank and Material Properties'!$F25)*IF('Tank and Material Properties'!$C$16="YES",('Tank and Material Properties'!$G25),('Tank and Material Properties'!$G25+('Tank and Material Properties'!$H25*(0.7*I$17)^'Tank and Material Properties'!$I25)))</f>
        <v>#VALUE!</v>
      </c>
      <c r="J54" s="224" t="e">
        <f>IF('Tank and Material Properties'!$D25&lt;&gt;"",'Tank and Material Properties'!$D25,'Tank and Material Properties'!$F25)*IF('Tank and Material Properties'!$C$16="YES",('Tank and Material Properties'!$G25),('Tank and Material Properties'!$G25+('Tank and Material Properties'!$H25*(0.7*J$17)^'Tank and Material Properties'!$I25)))</f>
        <v>#VALUE!</v>
      </c>
      <c r="K54" s="224" t="e">
        <f>IF('Tank and Material Properties'!$D25&lt;&gt;"",'Tank and Material Properties'!$D25,'Tank and Material Properties'!$F25)*IF('Tank and Material Properties'!$C$16="YES",('Tank and Material Properties'!$G25),('Tank and Material Properties'!$G25+('Tank and Material Properties'!$H25*(0.7*K$17)^'Tank and Material Properties'!$I25)))</f>
        <v>#VALUE!</v>
      </c>
      <c r="L54" s="224" t="e">
        <f>IF('Tank and Material Properties'!$D25&lt;&gt;"",'Tank and Material Properties'!$D25,'Tank and Material Properties'!$F25)*IF('Tank and Material Properties'!$C$16="YES",('Tank and Material Properties'!$G25),('Tank and Material Properties'!$G25+('Tank and Material Properties'!$H25*(0.7*L$17)^'Tank and Material Properties'!$I25)))</f>
        <v>#VALUE!</v>
      </c>
      <c r="M54" s="224" t="e">
        <f>IF('Tank and Material Properties'!$D25&lt;&gt;"",'Tank and Material Properties'!$D25,'Tank and Material Properties'!$F25)*IF('Tank and Material Properties'!$C$16="YES",('Tank and Material Properties'!$G25),('Tank and Material Properties'!$G25+('Tank and Material Properties'!$H25*(0.7*M$17)^'Tank and Material Properties'!$I25)))</f>
        <v>#VALUE!</v>
      </c>
      <c r="N54" s="224" t="e">
        <f>IF('Tank and Material Properties'!$D25&lt;&gt;"",'Tank and Material Properties'!$D25,'Tank and Material Properties'!$F25)*IF('Tank and Material Properties'!$C$16="YES",('Tank and Material Properties'!$G25),('Tank and Material Properties'!$G25+('Tank and Material Properties'!$H25*(0.7*N$17)^'Tank and Material Properties'!$I25)))</f>
        <v>#VALUE!</v>
      </c>
      <c r="O54" s="209" t="s">
        <v>736</v>
      </c>
      <c r="P54" s="100"/>
      <c r="Q54" s="100"/>
      <c r="R54" s="100"/>
      <c r="S54" s="100"/>
      <c r="T54" s="100"/>
      <c r="U54" s="100"/>
      <c r="V54" s="217"/>
    </row>
    <row r="55" spans="1:22" s="212" customFormat="1" ht="14.25" x14ac:dyDescent="0.2">
      <c r="A55" s="207"/>
      <c r="B55" s="209" t="s">
        <v>213</v>
      </c>
      <c r="C55" s="224" t="e">
        <f>IF('Tank and Material Properties'!$D26&lt;&gt;"",'Tank and Material Properties'!$D26,'Tank and Material Properties'!$F26)*IF('Tank and Material Properties'!$C$16="YES",('Tank and Material Properties'!$G26),('Tank and Material Properties'!$G26+('Tank and Material Properties'!$H26*(0.7*C$17)^'Tank and Material Properties'!$I26)))</f>
        <v>#N/A</v>
      </c>
      <c r="D55" s="224" t="e">
        <f>IF('Tank and Material Properties'!$D26&lt;&gt;"",'Tank and Material Properties'!$D26,'Tank and Material Properties'!$F26)*IF('Tank and Material Properties'!$C$16="YES",('Tank and Material Properties'!$G26),('Tank and Material Properties'!$G26+('Tank and Material Properties'!$H26*(0.7*D$17)^'Tank and Material Properties'!$I26)))</f>
        <v>#N/A</v>
      </c>
      <c r="E55" s="224" t="e">
        <f>IF('Tank and Material Properties'!$D26&lt;&gt;"",'Tank and Material Properties'!$D26,'Tank and Material Properties'!$F26)*IF('Tank and Material Properties'!$C$16="YES",('Tank and Material Properties'!$G26),('Tank and Material Properties'!$G26+('Tank and Material Properties'!$H26*(0.7*E$17)^'Tank and Material Properties'!$I26)))</f>
        <v>#N/A</v>
      </c>
      <c r="F55" s="224" t="e">
        <f>IF('Tank and Material Properties'!$D26&lt;&gt;"",'Tank and Material Properties'!$D26,'Tank and Material Properties'!$F26)*IF('Tank and Material Properties'!$C$16="YES",('Tank and Material Properties'!$G26),('Tank and Material Properties'!$G26+('Tank and Material Properties'!$H26*(0.7*F$17)^'Tank and Material Properties'!$I26)))</f>
        <v>#N/A</v>
      </c>
      <c r="G55" s="224" t="e">
        <f>IF('Tank and Material Properties'!$D26&lt;&gt;"",'Tank and Material Properties'!$D26,'Tank and Material Properties'!$F26)*IF('Tank and Material Properties'!$C$16="YES",('Tank and Material Properties'!$G26),('Tank and Material Properties'!$G26+('Tank and Material Properties'!$H26*(0.7*G$17)^'Tank and Material Properties'!$I26)))</f>
        <v>#N/A</v>
      </c>
      <c r="H55" s="224" t="e">
        <f>IF('Tank and Material Properties'!$D26&lt;&gt;"",'Tank and Material Properties'!$D26,'Tank and Material Properties'!$F26)*IF('Tank and Material Properties'!$C$16="YES",('Tank and Material Properties'!$G26),('Tank and Material Properties'!$G26+('Tank and Material Properties'!$H26*(0.7*H$17)^'Tank and Material Properties'!$I26)))</f>
        <v>#N/A</v>
      </c>
      <c r="I55" s="224" t="e">
        <f>IF('Tank and Material Properties'!$D26&lt;&gt;"",'Tank and Material Properties'!$D26,'Tank and Material Properties'!$F26)*IF('Tank and Material Properties'!$C$16="YES",('Tank and Material Properties'!$G26),('Tank and Material Properties'!$G26+('Tank and Material Properties'!$H26*(0.7*I$17)^'Tank and Material Properties'!$I26)))</f>
        <v>#N/A</v>
      </c>
      <c r="J55" s="224" t="e">
        <f>IF('Tank and Material Properties'!$D26&lt;&gt;"",'Tank and Material Properties'!$D26,'Tank and Material Properties'!$F26)*IF('Tank and Material Properties'!$C$16="YES",('Tank and Material Properties'!$G26),('Tank and Material Properties'!$G26+('Tank and Material Properties'!$H26*(0.7*J$17)^'Tank and Material Properties'!$I26)))</f>
        <v>#N/A</v>
      </c>
      <c r="K55" s="224" t="e">
        <f>IF('Tank and Material Properties'!$D26&lt;&gt;"",'Tank and Material Properties'!$D26,'Tank and Material Properties'!$F26)*IF('Tank and Material Properties'!$C$16="YES",('Tank and Material Properties'!$G26),('Tank and Material Properties'!$G26+('Tank and Material Properties'!$H26*(0.7*K$17)^'Tank and Material Properties'!$I26)))</f>
        <v>#N/A</v>
      </c>
      <c r="L55" s="224" t="e">
        <f>IF('Tank and Material Properties'!$D26&lt;&gt;"",'Tank and Material Properties'!$D26,'Tank and Material Properties'!$F26)*IF('Tank and Material Properties'!$C$16="YES",('Tank and Material Properties'!$G26),('Tank and Material Properties'!$G26+('Tank and Material Properties'!$H26*(0.7*L$17)^'Tank and Material Properties'!$I26)))</f>
        <v>#N/A</v>
      </c>
      <c r="M55" s="224" t="e">
        <f>IF('Tank and Material Properties'!$D26&lt;&gt;"",'Tank and Material Properties'!$D26,'Tank and Material Properties'!$F26)*IF('Tank and Material Properties'!$C$16="YES",('Tank and Material Properties'!$G26),('Tank and Material Properties'!$G26+('Tank and Material Properties'!$H26*(0.7*M$17)^'Tank and Material Properties'!$I26)))</f>
        <v>#N/A</v>
      </c>
      <c r="N55" s="224" t="e">
        <f>IF('Tank and Material Properties'!$D26&lt;&gt;"",'Tank and Material Properties'!$D26,'Tank and Material Properties'!$F26)*IF('Tank and Material Properties'!$C$16="YES",('Tank and Material Properties'!$G26),('Tank and Material Properties'!$G26+('Tank and Material Properties'!$H26*(0.7*N$17)^'Tank and Material Properties'!$I26)))</f>
        <v>#N/A</v>
      </c>
      <c r="O55" s="209" t="s">
        <v>736</v>
      </c>
      <c r="P55" s="100"/>
      <c r="Q55" s="100"/>
      <c r="R55" s="100"/>
      <c r="S55" s="100"/>
      <c r="T55" s="100"/>
      <c r="U55" s="100"/>
      <c r="V55" s="217"/>
    </row>
    <row r="56" spans="1:22" s="212" customFormat="1" ht="14.25" x14ac:dyDescent="0.2">
      <c r="A56" s="207"/>
      <c r="B56" s="209" t="s">
        <v>214</v>
      </c>
      <c r="C56" s="224" t="e">
        <f>IF('Tank and Material Properties'!$D27&lt;&gt;"",'Tank and Material Properties'!$D27,'Tank and Material Properties'!$F27)*IF('Tank and Material Properties'!$C$16="YES",('Tank and Material Properties'!$G27),('Tank and Material Properties'!$G27+('Tank and Material Properties'!$H27*(0.7*C$17)^'Tank and Material Properties'!$I27)))</f>
        <v>#N/A</v>
      </c>
      <c r="D56" s="224" t="e">
        <f>IF('Tank and Material Properties'!$D27&lt;&gt;"",'Tank and Material Properties'!$D27,'Tank and Material Properties'!$F27)*IF('Tank and Material Properties'!$C$16="YES",('Tank and Material Properties'!$G27),('Tank and Material Properties'!$G27+('Tank and Material Properties'!$H27*(0.7*D$17)^'Tank and Material Properties'!$I27)))</f>
        <v>#N/A</v>
      </c>
      <c r="E56" s="224" t="e">
        <f>IF('Tank and Material Properties'!$D27&lt;&gt;"",'Tank and Material Properties'!$D27,'Tank and Material Properties'!$F27)*IF('Tank and Material Properties'!$C$16="YES",('Tank and Material Properties'!$G27),('Tank and Material Properties'!$G27+('Tank and Material Properties'!$H27*(0.7*E$17)^'Tank and Material Properties'!$I27)))</f>
        <v>#N/A</v>
      </c>
      <c r="F56" s="224" t="e">
        <f>IF('Tank and Material Properties'!$D27&lt;&gt;"",'Tank and Material Properties'!$D27,'Tank and Material Properties'!$F27)*IF('Tank and Material Properties'!$C$16="YES",('Tank and Material Properties'!$G27),('Tank and Material Properties'!$G27+('Tank and Material Properties'!$H27*(0.7*F$17)^'Tank and Material Properties'!$I27)))</f>
        <v>#N/A</v>
      </c>
      <c r="G56" s="224" t="e">
        <f>IF('Tank and Material Properties'!$D27&lt;&gt;"",'Tank and Material Properties'!$D27,'Tank and Material Properties'!$F27)*IF('Tank and Material Properties'!$C$16="YES",('Tank and Material Properties'!$G27),('Tank and Material Properties'!$G27+('Tank and Material Properties'!$H27*(0.7*G$17)^'Tank and Material Properties'!$I27)))</f>
        <v>#N/A</v>
      </c>
      <c r="H56" s="224" t="e">
        <f>IF('Tank and Material Properties'!$D27&lt;&gt;"",'Tank and Material Properties'!$D27,'Tank and Material Properties'!$F27)*IF('Tank and Material Properties'!$C$16="YES",('Tank and Material Properties'!$G27),('Tank and Material Properties'!$G27+('Tank and Material Properties'!$H27*(0.7*H$17)^'Tank and Material Properties'!$I27)))</f>
        <v>#N/A</v>
      </c>
      <c r="I56" s="224" t="e">
        <f>IF('Tank and Material Properties'!$D27&lt;&gt;"",'Tank and Material Properties'!$D27,'Tank and Material Properties'!$F27)*IF('Tank and Material Properties'!$C$16="YES",('Tank and Material Properties'!$G27),('Tank and Material Properties'!$G27+('Tank and Material Properties'!$H27*(0.7*I$17)^'Tank and Material Properties'!$I27)))</f>
        <v>#N/A</v>
      </c>
      <c r="J56" s="224" t="e">
        <f>IF('Tank and Material Properties'!$D27&lt;&gt;"",'Tank and Material Properties'!$D27,'Tank and Material Properties'!$F27)*IF('Tank and Material Properties'!$C$16="YES",('Tank and Material Properties'!$G27),('Tank and Material Properties'!$G27+('Tank and Material Properties'!$H27*(0.7*J$17)^'Tank and Material Properties'!$I27)))</f>
        <v>#N/A</v>
      </c>
      <c r="K56" s="224" t="e">
        <f>IF('Tank and Material Properties'!$D27&lt;&gt;"",'Tank and Material Properties'!$D27,'Tank and Material Properties'!$F27)*IF('Tank and Material Properties'!$C$16="YES",('Tank and Material Properties'!$G27),('Tank and Material Properties'!$G27+('Tank and Material Properties'!$H27*(0.7*K$17)^'Tank and Material Properties'!$I27)))</f>
        <v>#N/A</v>
      </c>
      <c r="L56" s="224" t="e">
        <f>IF('Tank and Material Properties'!$D27&lt;&gt;"",'Tank and Material Properties'!$D27,'Tank and Material Properties'!$F27)*IF('Tank and Material Properties'!$C$16="YES",('Tank and Material Properties'!$G27),('Tank and Material Properties'!$G27+('Tank and Material Properties'!$H27*(0.7*L$17)^'Tank and Material Properties'!$I27)))</f>
        <v>#N/A</v>
      </c>
      <c r="M56" s="224" t="e">
        <f>IF('Tank and Material Properties'!$D27&lt;&gt;"",'Tank and Material Properties'!$D27,'Tank and Material Properties'!$F27)*IF('Tank and Material Properties'!$C$16="YES",('Tank and Material Properties'!$G27),('Tank and Material Properties'!$G27+('Tank and Material Properties'!$H27*(0.7*M$17)^'Tank and Material Properties'!$I27)))</f>
        <v>#N/A</v>
      </c>
      <c r="N56" s="224" t="e">
        <f>IF('Tank and Material Properties'!$D27&lt;&gt;"",'Tank and Material Properties'!$D27,'Tank and Material Properties'!$F27)*IF('Tank and Material Properties'!$C$16="YES",('Tank and Material Properties'!$G27),('Tank and Material Properties'!$G27+('Tank and Material Properties'!$H27*(0.7*N$17)^'Tank and Material Properties'!$I27)))</f>
        <v>#N/A</v>
      </c>
      <c r="O56" s="209" t="s">
        <v>736</v>
      </c>
      <c r="P56" s="100"/>
      <c r="Q56" s="100"/>
      <c r="R56" s="100"/>
      <c r="S56" s="100"/>
      <c r="T56" s="100"/>
      <c r="U56" s="100"/>
      <c r="V56" s="217"/>
    </row>
    <row r="57" spans="1:22" s="212" customFormat="1" ht="14.25" x14ac:dyDescent="0.2">
      <c r="A57" s="207"/>
      <c r="B57" s="209" t="s">
        <v>215</v>
      </c>
      <c r="C57" s="224" t="e">
        <f>IF('Tank and Material Properties'!$D28&lt;&gt;"",'Tank and Material Properties'!$D28,'Tank and Material Properties'!$F28)*IF('Tank and Material Properties'!$C$16="YES",('Tank and Material Properties'!$G28),('Tank and Material Properties'!$G28+('Tank and Material Properties'!$H28*(0.7*C$17)^'Tank and Material Properties'!$I28)))</f>
        <v>#N/A</v>
      </c>
      <c r="D57" s="224" t="e">
        <f>IF('Tank and Material Properties'!$D28&lt;&gt;"",'Tank and Material Properties'!$D28,'Tank and Material Properties'!$F28)*IF('Tank and Material Properties'!$C$16="YES",('Tank and Material Properties'!$G28),('Tank and Material Properties'!$G28+('Tank and Material Properties'!$H28*(0.7*D$17)^'Tank and Material Properties'!$I28)))</f>
        <v>#N/A</v>
      </c>
      <c r="E57" s="224" t="e">
        <f>IF('Tank and Material Properties'!$D28&lt;&gt;"",'Tank and Material Properties'!$D28,'Tank and Material Properties'!$F28)*IF('Tank and Material Properties'!$C$16="YES",('Tank and Material Properties'!$G28),('Tank and Material Properties'!$G28+('Tank and Material Properties'!$H28*(0.7*E$17)^'Tank and Material Properties'!$I28)))</f>
        <v>#N/A</v>
      </c>
      <c r="F57" s="224" t="e">
        <f>IF('Tank and Material Properties'!$D28&lt;&gt;"",'Tank and Material Properties'!$D28,'Tank and Material Properties'!$F28)*IF('Tank and Material Properties'!$C$16="YES",('Tank and Material Properties'!$G28),('Tank and Material Properties'!$G28+('Tank and Material Properties'!$H28*(0.7*F$17)^'Tank and Material Properties'!$I28)))</f>
        <v>#N/A</v>
      </c>
      <c r="G57" s="224" t="e">
        <f>IF('Tank and Material Properties'!$D28&lt;&gt;"",'Tank and Material Properties'!$D28,'Tank and Material Properties'!$F28)*IF('Tank and Material Properties'!$C$16="YES",('Tank and Material Properties'!$G28),('Tank and Material Properties'!$G28+('Tank and Material Properties'!$H28*(0.7*G$17)^'Tank and Material Properties'!$I28)))</f>
        <v>#N/A</v>
      </c>
      <c r="H57" s="224" t="e">
        <f>IF('Tank and Material Properties'!$D28&lt;&gt;"",'Tank and Material Properties'!$D28,'Tank and Material Properties'!$F28)*IF('Tank and Material Properties'!$C$16="YES",('Tank and Material Properties'!$G28),('Tank and Material Properties'!$G28+('Tank and Material Properties'!$H28*(0.7*H$17)^'Tank and Material Properties'!$I28)))</f>
        <v>#N/A</v>
      </c>
      <c r="I57" s="224" t="e">
        <f>IF('Tank and Material Properties'!$D28&lt;&gt;"",'Tank and Material Properties'!$D28,'Tank and Material Properties'!$F28)*IF('Tank and Material Properties'!$C$16="YES",('Tank and Material Properties'!$G28),('Tank and Material Properties'!$G28+('Tank and Material Properties'!$H28*(0.7*I$17)^'Tank and Material Properties'!$I28)))</f>
        <v>#N/A</v>
      </c>
      <c r="J57" s="224" t="e">
        <f>IF('Tank and Material Properties'!$D28&lt;&gt;"",'Tank and Material Properties'!$D28,'Tank and Material Properties'!$F28)*IF('Tank and Material Properties'!$C$16="YES",('Tank and Material Properties'!$G28),('Tank and Material Properties'!$G28+('Tank and Material Properties'!$H28*(0.7*J$17)^'Tank and Material Properties'!$I28)))</f>
        <v>#N/A</v>
      </c>
      <c r="K57" s="224" t="e">
        <f>IF('Tank and Material Properties'!$D28&lt;&gt;"",'Tank and Material Properties'!$D28,'Tank and Material Properties'!$F28)*IF('Tank and Material Properties'!$C$16="YES",('Tank and Material Properties'!$G28),('Tank and Material Properties'!$G28+('Tank and Material Properties'!$H28*(0.7*K$17)^'Tank and Material Properties'!$I28)))</f>
        <v>#N/A</v>
      </c>
      <c r="L57" s="224" t="e">
        <f>IF('Tank and Material Properties'!$D28&lt;&gt;"",'Tank and Material Properties'!$D28,'Tank and Material Properties'!$F28)*IF('Tank and Material Properties'!$C$16="YES",('Tank and Material Properties'!$G28),('Tank and Material Properties'!$G28+('Tank and Material Properties'!$H28*(0.7*L$17)^'Tank and Material Properties'!$I28)))</f>
        <v>#N/A</v>
      </c>
      <c r="M57" s="224" t="e">
        <f>IF('Tank and Material Properties'!$D28&lt;&gt;"",'Tank and Material Properties'!$D28,'Tank and Material Properties'!$F28)*IF('Tank and Material Properties'!$C$16="YES",('Tank and Material Properties'!$G28),('Tank and Material Properties'!$G28+('Tank and Material Properties'!$H28*(0.7*M$17)^'Tank and Material Properties'!$I28)))</f>
        <v>#N/A</v>
      </c>
      <c r="N57" s="224" t="e">
        <f>IF('Tank and Material Properties'!$D28&lt;&gt;"",'Tank and Material Properties'!$D28,'Tank and Material Properties'!$F28)*IF('Tank and Material Properties'!$C$16="YES",('Tank and Material Properties'!$G28),('Tank and Material Properties'!$G28+('Tank and Material Properties'!$H28*(0.7*N$17)^'Tank and Material Properties'!$I28)))</f>
        <v>#N/A</v>
      </c>
      <c r="O57" s="209" t="s">
        <v>736</v>
      </c>
      <c r="P57" s="100"/>
      <c r="Q57" s="100"/>
      <c r="R57" s="100"/>
      <c r="S57" s="100"/>
      <c r="T57" s="100"/>
      <c r="U57" s="100"/>
      <c r="V57" s="217"/>
    </row>
    <row r="58" spans="1:22" s="212" customFormat="1" ht="14.25" x14ac:dyDescent="0.2">
      <c r="A58" s="207"/>
      <c r="B58" s="209" t="s">
        <v>216</v>
      </c>
      <c r="C58" s="224" t="e">
        <f>IF('Tank and Material Properties'!$D29&lt;&gt;"",'Tank and Material Properties'!$D29,'Tank and Material Properties'!$F29)*IF('Tank and Material Properties'!$C$16="YES",('Tank and Material Properties'!$G29),('Tank and Material Properties'!$G29+('Tank and Material Properties'!$H29*(0.7*C$17)^'Tank and Material Properties'!$I29)))</f>
        <v>#N/A</v>
      </c>
      <c r="D58" s="224" t="e">
        <f>IF('Tank and Material Properties'!$D29&lt;&gt;"",'Tank and Material Properties'!$D29,'Tank and Material Properties'!$F29)*IF('Tank and Material Properties'!$C$16="YES",('Tank and Material Properties'!$G29),('Tank and Material Properties'!$G29+('Tank and Material Properties'!$H29*(0.7*D$17)^'Tank and Material Properties'!$I29)))</f>
        <v>#N/A</v>
      </c>
      <c r="E58" s="224" t="e">
        <f>IF('Tank and Material Properties'!$D29&lt;&gt;"",'Tank and Material Properties'!$D29,'Tank and Material Properties'!$F29)*IF('Tank and Material Properties'!$C$16="YES",('Tank and Material Properties'!$G29),('Tank and Material Properties'!$G29+('Tank and Material Properties'!$H29*(0.7*E$17)^'Tank and Material Properties'!$I29)))</f>
        <v>#N/A</v>
      </c>
      <c r="F58" s="224" t="e">
        <f>IF('Tank and Material Properties'!$D29&lt;&gt;"",'Tank and Material Properties'!$D29,'Tank and Material Properties'!$F29)*IF('Tank and Material Properties'!$C$16="YES",('Tank and Material Properties'!$G29),('Tank and Material Properties'!$G29+('Tank and Material Properties'!$H29*(0.7*F$17)^'Tank and Material Properties'!$I29)))</f>
        <v>#N/A</v>
      </c>
      <c r="G58" s="224" t="e">
        <f>IF('Tank and Material Properties'!$D29&lt;&gt;"",'Tank and Material Properties'!$D29,'Tank and Material Properties'!$F29)*IF('Tank and Material Properties'!$C$16="YES",('Tank and Material Properties'!$G29),('Tank and Material Properties'!$G29+('Tank and Material Properties'!$H29*(0.7*G$17)^'Tank and Material Properties'!$I29)))</f>
        <v>#N/A</v>
      </c>
      <c r="H58" s="224" t="e">
        <f>IF('Tank and Material Properties'!$D29&lt;&gt;"",'Tank and Material Properties'!$D29,'Tank and Material Properties'!$F29)*IF('Tank and Material Properties'!$C$16="YES",('Tank and Material Properties'!$G29),('Tank and Material Properties'!$G29+('Tank and Material Properties'!$H29*(0.7*H$17)^'Tank and Material Properties'!$I29)))</f>
        <v>#N/A</v>
      </c>
      <c r="I58" s="224" t="e">
        <f>IF('Tank and Material Properties'!$D29&lt;&gt;"",'Tank and Material Properties'!$D29,'Tank and Material Properties'!$F29)*IF('Tank and Material Properties'!$C$16="YES",('Tank and Material Properties'!$G29),('Tank and Material Properties'!$G29+('Tank and Material Properties'!$H29*(0.7*I$17)^'Tank and Material Properties'!$I29)))</f>
        <v>#N/A</v>
      </c>
      <c r="J58" s="224" t="e">
        <f>IF('Tank and Material Properties'!$D29&lt;&gt;"",'Tank and Material Properties'!$D29,'Tank and Material Properties'!$F29)*IF('Tank and Material Properties'!$C$16="YES",('Tank and Material Properties'!$G29),('Tank and Material Properties'!$G29+('Tank and Material Properties'!$H29*(0.7*J$17)^'Tank and Material Properties'!$I29)))</f>
        <v>#N/A</v>
      </c>
      <c r="K58" s="224" t="e">
        <f>IF('Tank and Material Properties'!$D29&lt;&gt;"",'Tank and Material Properties'!$D29,'Tank and Material Properties'!$F29)*IF('Tank and Material Properties'!$C$16="YES",('Tank and Material Properties'!$G29),('Tank and Material Properties'!$G29+('Tank and Material Properties'!$H29*(0.7*K$17)^'Tank and Material Properties'!$I29)))</f>
        <v>#N/A</v>
      </c>
      <c r="L58" s="224" t="e">
        <f>IF('Tank and Material Properties'!$D29&lt;&gt;"",'Tank and Material Properties'!$D29,'Tank and Material Properties'!$F29)*IF('Tank and Material Properties'!$C$16="YES",('Tank and Material Properties'!$G29),('Tank and Material Properties'!$G29+('Tank and Material Properties'!$H29*(0.7*L$17)^'Tank and Material Properties'!$I29)))</f>
        <v>#N/A</v>
      </c>
      <c r="M58" s="224" t="e">
        <f>IF('Tank and Material Properties'!$D29&lt;&gt;"",'Tank and Material Properties'!$D29,'Tank and Material Properties'!$F29)*IF('Tank and Material Properties'!$C$16="YES",('Tank and Material Properties'!$G29),('Tank and Material Properties'!$G29+('Tank and Material Properties'!$H29*(0.7*M$17)^'Tank and Material Properties'!$I29)))</f>
        <v>#N/A</v>
      </c>
      <c r="N58" s="224" t="e">
        <f>IF('Tank and Material Properties'!$D29&lt;&gt;"",'Tank and Material Properties'!$D29,'Tank and Material Properties'!$F29)*IF('Tank and Material Properties'!$C$16="YES",('Tank and Material Properties'!$G29),('Tank and Material Properties'!$G29+('Tank and Material Properties'!$H29*(0.7*N$17)^'Tank and Material Properties'!$I29)))</f>
        <v>#N/A</v>
      </c>
      <c r="O58" s="209" t="s">
        <v>736</v>
      </c>
      <c r="P58" s="100"/>
      <c r="Q58" s="100"/>
      <c r="R58" s="100"/>
      <c r="S58" s="100"/>
      <c r="T58" s="100"/>
      <c r="U58" s="100"/>
      <c r="V58" s="217"/>
    </row>
    <row r="59" spans="1:22" s="212" customFormat="1" ht="14.25" x14ac:dyDescent="0.2">
      <c r="A59" s="207"/>
      <c r="B59" s="209" t="s">
        <v>217</v>
      </c>
      <c r="C59" s="224" t="e">
        <f>IF('Tank and Material Properties'!$D30&lt;&gt;"",'Tank and Material Properties'!$D30,'Tank and Material Properties'!$F30)*IF('Tank and Material Properties'!$C$16="YES",('Tank and Material Properties'!$G30),('Tank and Material Properties'!$G30+('Tank and Material Properties'!$H30*(0.7*C$17)^'Tank and Material Properties'!$I30)))</f>
        <v>#N/A</v>
      </c>
      <c r="D59" s="224" t="e">
        <f>IF('Tank and Material Properties'!$D30&lt;&gt;"",'Tank and Material Properties'!$D30,'Tank and Material Properties'!$F30)*IF('Tank and Material Properties'!$C$16="YES",('Tank and Material Properties'!$G30),('Tank and Material Properties'!$G30+('Tank and Material Properties'!$H30*(0.7*D$17)^'Tank and Material Properties'!$I30)))</f>
        <v>#N/A</v>
      </c>
      <c r="E59" s="224" t="e">
        <f>IF('Tank and Material Properties'!$D30&lt;&gt;"",'Tank and Material Properties'!$D30,'Tank and Material Properties'!$F30)*IF('Tank and Material Properties'!$C$16="YES",('Tank and Material Properties'!$G30),('Tank and Material Properties'!$G30+('Tank and Material Properties'!$H30*(0.7*E$17)^'Tank and Material Properties'!$I30)))</f>
        <v>#N/A</v>
      </c>
      <c r="F59" s="224" t="e">
        <f>IF('Tank and Material Properties'!$D30&lt;&gt;"",'Tank and Material Properties'!$D30,'Tank and Material Properties'!$F30)*IF('Tank and Material Properties'!$C$16="YES",('Tank and Material Properties'!$G30),('Tank and Material Properties'!$G30+('Tank and Material Properties'!$H30*(0.7*F$17)^'Tank and Material Properties'!$I30)))</f>
        <v>#N/A</v>
      </c>
      <c r="G59" s="224" t="e">
        <f>IF('Tank and Material Properties'!$D30&lt;&gt;"",'Tank and Material Properties'!$D30,'Tank and Material Properties'!$F30)*IF('Tank and Material Properties'!$C$16="YES",('Tank and Material Properties'!$G30),('Tank and Material Properties'!$G30+('Tank and Material Properties'!$H30*(0.7*G$17)^'Tank and Material Properties'!$I30)))</f>
        <v>#N/A</v>
      </c>
      <c r="H59" s="224" t="e">
        <f>IF('Tank and Material Properties'!$D30&lt;&gt;"",'Tank and Material Properties'!$D30,'Tank and Material Properties'!$F30)*IF('Tank and Material Properties'!$C$16="YES",('Tank and Material Properties'!$G30),('Tank and Material Properties'!$G30+('Tank and Material Properties'!$H30*(0.7*H$17)^'Tank and Material Properties'!$I30)))</f>
        <v>#N/A</v>
      </c>
      <c r="I59" s="224" t="e">
        <f>IF('Tank and Material Properties'!$D30&lt;&gt;"",'Tank and Material Properties'!$D30,'Tank and Material Properties'!$F30)*IF('Tank and Material Properties'!$C$16="YES",('Tank and Material Properties'!$G30),('Tank and Material Properties'!$G30+('Tank and Material Properties'!$H30*(0.7*I$17)^'Tank and Material Properties'!$I30)))</f>
        <v>#N/A</v>
      </c>
      <c r="J59" s="224" t="e">
        <f>IF('Tank and Material Properties'!$D30&lt;&gt;"",'Tank and Material Properties'!$D30,'Tank and Material Properties'!$F30)*IF('Tank and Material Properties'!$C$16="YES",('Tank and Material Properties'!$G30),('Tank and Material Properties'!$G30+('Tank and Material Properties'!$H30*(0.7*J$17)^'Tank and Material Properties'!$I30)))</f>
        <v>#N/A</v>
      </c>
      <c r="K59" s="224" t="e">
        <f>IF('Tank and Material Properties'!$D30&lt;&gt;"",'Tank and Material Properties'!$D30,'Tank and Material Properties'!$F30)*IF('Tank and Material Properties'!$C$16="YES",('Tank and Material Properties'!$G30),('Tank and Material Properties'!$G30+('Tank and Material Properties'!$H30*(0.7*K$17)^'Tank and Material Properties'!$I30)))</f>
        <v>#N/A</v>
      </c>
      <c r="L59" s="224" t="e">
        <f>IF('Tank and Material Properties'!$D30&lt;&gt;"",'Tank and Material Properties'!$D30,'Tank and Material Properties'!$F30)*IF('Tank and Material Properties'!$C$16="YES",('Tank and Material Properties'!$G30),('Tank and Material Properties'!$G30+('Tank and Material Properties'!$H30*(0.7*L$17)^'Tank and Material Properties'!$I30)))</f>
        <v>#N/A</v>
      </c>
      <c r="M59" s="224" t="e">
        <f>IF('Tank and Material Properties'!$D30&lt;&gt;"",'Tank and Material Properties'!$D30,'Tank and Material Properties'!$F30)*IF('Tank and Material Properties'!$C$16="YES",('Tank and Material Properties'!$G30),('Tank and Material Properties'!$G30+('Tank and Material Properties'!$H30*(0.7*M$17)^'Tank and Material Properties'!$I30)))</f>
        <v>#N/A</v>
      </c>
      <c r="N59" s="224" t="e">
        <f>IF('Tank and Material Properties'!$D30&lt;&gt;"",'Tank and Material Properties'!$D30,'Tank and Material Properties'!$F30)*IF('Tank and Material Properties'!$C$16="YES",('Tank and Material Properties'!$G30),('Tank and Material Properties'!$G30+('Tank and Material Properties'!$H30*(0.7*N$17)^'Tank and Material Properties'!$I30)))</f>
        <v>#N/A</v>
      </c>
      <c r="O59" s="209" t="s">
        <v>736</v>
      </c>
      <c r="P59" s="100"/>
      <c r="Q59" s="100"/>
      <c r="R59" s="100"/>
      <c r="S59" s="100"/>
      <c r="T59" s="100"/>
      <c r="U59" s="100"/>
      <c r="V59" s="217"/>
    </row>
    <row r="60" spans="1:22" s="212" customFormat="1" ht="14.25" x14ac:dyDescent="0.2">
      <c r="A60" s="207"/>
      <c r="B60" s="209" t="s">
        <v>218</v>
      </c>
      <c r="C60" s="224" t="e">
        <f>IF('Tank and Material Properties'!$D31&lt;&gt;"",'Tank and Material Properties'!$D31,'Tank and Material Properties'!$F31)*IF('Tank and Material Properties'!$C$16="YES",('Tank and Material Properties'!$G31),('Tank and Material Properties'!$G31+('Tank and Material Properties'!$H31*(0.7*C$17)^'Tank and Material Properties'!$I31)))</f>
        <v>#N/A</v>
      </c>
      <c r="D60" s="224" t="e">
        <f>IF('Tank and Material Properties'!$D31&lt;&gt;"",'Tank and Material Properties'!$D31,'Tank and Material Properties'!$F31)*IF('Tank and Material Properties'!$C$16="YES",('Tank and Material Properties'!$G31),('Tank and Material Properties'!$G31+('Tank and Material Properties'!$H31*(0.7*D$17)^'Tank and Material Properties'!$I31)))</f>
        <v>#N/A</v>
      </c>
      <c r="E60" s="224" t="e">
        <f>IF('Tank and Material Properties'!$D31&lt;&gt;"",'Tank and Material Properties'!$D31,'Tank and Material Properties'!$F31)*IF('Tank and Material Properties'!$C$16="YES",('Tank and Material Properties'!$G31),('Tank and Material Properties'!$G31+('Tank and Material Properties'!$H31*(0.7*E$17)^'Tank and Material Properties'!$I31)))</f>
        <v>#N/A</v>
      </c>
      <c r="F60" s="224" t="e">
        <f>IF('Tank and Material Properties'!$D31&lt;&gt;"",'Tank and Material Properties'!$D31,'Tank and Material Properties'!$F31)*IF('Tank and Material Properties'!$C$16="YES",('Tank and Material Properties'!$G31),('Tank and Material Properties'!$G31+('Tank and Material Properties'!$H31*(0.7*F$17)^'Tank and Material Properties'!$I31)))</f>
        <v>#N/A</v>
      </c>
      <c r="G60" s="224" t="e">
        <f>IF('Tank and Material Properties'!$D31&lt;&gt;"",'Tank and Material Properties'!$D31,'Tank and Material Properties'!$F31)*IF('Tank and Material Properties'!$C$16="YES",('Tank and Material Properties'!$G31),('Tank and Material Properties'!$G31+('Tank and Material Properties'!$H31*(0.7*G$17)^'Tank and Material Properties'!$I31)))</f>
        <v>#N/A</v>
      </c>
      <c r="H60" s="224" t="e">
        <f>IF('Tank and Material Properties'!$D31&lt;&gt;"",'Tank and Material Properties'!$D31,'Tank and Material Properties'!$F31)*IF('Tank and Material Properties'!$C$16="YES",('Tank and Material Properties'!$G31),('Tank and Material Properties'!$G31+('Tank and Material Properties'!$H31*(0.7*H$17)^'Tank and Material Properties'!$I31)))</f>
        <v>#N/A</v>
      </c>
      <c r="I60" s="224" t="e">
        <f>IF('Tank and Material Properties'!$D31&lt;&gt;"",'Tank and Material Properties'!$D31,'Tank and Material Properties'!$F31)*IF('Tank and Material Properties'!$C$16="YES",('Tank and Material Properties'!$G31),('Tank and Material Properties'!$G31+('Tank and Material Properties'!$H31*(0.7*I$17)^'Tank and Material Properties'!$I31)))</f>
        <v>#N/A</v>
      </c>
      <c r="J60" s="224" t="e">
        <f>IF('Tank and Material Properties'!$D31&lt;&gt;"",'Tank and Material Properties'!$D31,'Tank and Material Properties'!$F31)*IF('Tank and Material Properties'!$C$16="YES",('Tank and Material Properties'!$G31),('Tank and Material Properties'!$G31+('Tank and Material Properties'!$H31*(0.7*J$17)^'Tank and Material Properties'!$I31)))</f>
        <v>#N/A</v>
      </c>
      <c r="K60" s="224" t="e">
        <f>IF('Tank and Material Properties'!$D31&lt;&gt;"",'Tank and Material Properties'!$D31,'Tank and Material Properties'!$F31)*IF('Tank and Material Properties'!$C$16="YES",('Tank and Material Properties'!$G31),('Tank and Material Properties'!$G31+('Tank and Material Properties'!$H31*(0.7*K$17)^'Tank and Material Properties'!$I31)))</f>
        <v>#N/A</v>
      </c>
      <c r="L60" s="224" t="e">
        <f>IF('Tank and Material Properties'!$D31&lt;&gt;"",'Tank and Material Properties'!$D31,'Tank and Material Properties'!$F31)*IF('Tank and Material Properties'!$C$16="YES",('Tank and Material Properties'!$G31),('Tank and Material Properties'!$G31+('Tank and Material Properties'!$H31*(0.7*L$17)^'Tank and Material Properties'!$I31)))</f>
        <v>#N/A</v>
      </c>
      <c r="M60" s="224" t="e">
        <f>IF('Tank and Material Properties'!$D31&lt;&gt;"",'Tank and Material Properties'!$D31,'Tank and Material Properties'!$F31)*IF('Tank and Material Properties'!$C$16="YES",('Tank and Material Properties'!$G31),('Tank and Material Properties'!$G31+('Tank and Material Properties'!$H31*(0.7*M$17)^'Tank and Material Properties'!$I31)))</f>
        <v>#N/A</v>
      </c>
      <c r="N60" s="224" t="e">
        <f>IF('Tank and Material Properties'!$D31&lt;&gt;"",'Tank and Material Properties'!$D31,'Tank and Material Properties'!$F31)*IF('Tank and Material Properties'!$C$16="YES",('Tank and Material Properties'!$G31),('Tank and Material Properties'!$G31+('Tank and Material Properties'!$H31*(0.7*N$17)^'Tank and Material Properties'!$I31)))</f>
        <v>#N/A</v>
      </c>
      <c r="O60" s="209" t="s">
        <v>736</v>
      </c>
      <c r="P60" s="100"/>
      <c r="Q60" s="100"/>
      <c r="R60" s="100"/>
      <c r="S60" s="100"/>
      <c r="T60" s="100"/>
      <c r="U60" s="100"/>
      <c r="V60" s="217"/>
    </row>
    <row r="61" spans="1:22" s="212" customFormat="1" ht="14.25" x14ac:dyDescent="0.2">
      <c r="A61" s="207"/>
      <c r="B61" s="209" t="s">
        <v>219</v>
      </c>
      <c r="C61" s="224" t="e">
        <f>IF('Tank and Material Properties'!$D32&lt;&gt;"",'Tank and Material Properties'!$D32,'Tank and Material Properties'!$F32)*IF('Tank and Material Properties'!$C$16="YES",('Tank and Material Properties'!$G32),('Tank and Material Properties'!$G32+('Tank and Material Properties'!$H32*(0.7*C$17)^'Tank and Material Properties'!$I32)))</f>
        <v>#N/A</v>
      </c>
      <c r="D61" s="224" t="e">
        <f>IF('Tank and Material Properties'!$D32&lt;&gt;"",'Tank and Material Properties'!$D32,'Tank and Material Properties'!$F32)*IF('Tank and Material Properties'!$C$16="YES",('Tank and Material Properties'!$G32),('Tank and Material Properties'!$G32+('Tank and Material Properties'!$H32*(0.7*D$17)^'Tank and Material Properties'!$I32)))</f>
        <v>#N/A</v>
      </c>
      <c r="E61" s="224" t="e">
        <f>IF('Tank and Material Properties'!$D32&lt;&gt;"",'Tank and Material Properties'!$D32,'Tank and Material Properties'!$F32)*IF('Tank and Material Properties'!$C$16="YES",('Tank and Material Properties'!$G32),('Tank and Material Properties'!$G32+('Tank and Material Properties'!$H32*(0.7*E$17)^'Tank and Material Properties'!$I32)))</f>
        <v>#N/A</v>
      </c>
      <c r="F61" s="224" t="e">
        <f>IF('Tank and Material Properties'!$D32&lt;&gt;"",'Tank and Material Properties'!$D32,'Tank and Material Properties'!$F32)*IF('Tank and Material Properties'!$C$16="YES",('Tank and Material Properties'!$G32),('Tank and Material Properties'!$G32+('Tank and Material Properties'!$H32*(0.7*F$17)^'Tank and Material Properties'!$I32)))</f>
        <v>#N/A</v>
      </c>
      <c r="G61" s="224" t="e">
        <f>IF('Tank and Material Properties'!$D32&lt;&gt;"",'Tank and Material Properties'!$D32,'Tank and Material Properties'!$F32)*IF('Tank and Material Properties'!$C$16="YES",('Tank and Material Properties'!$G32),('Tank and Material Properties'!$G32+('Tank and Material Properties'!$H32*(0.7*G$17)^'Tank and Material Properties'!$I32)))</f>
        <v>#N/A</v>
      </c>
      <c r="H61" s="224" t="e">
        <f>IF('Tank and Material Properties'!$D32&lt;&gt;"",'Tank and Material Properties'!$D32,'Tank and Material Properties'!$F32)*IF('Tank and Material Properties'!$C$16="YES",('Tank and Material Properties'!$G32),('Tank and Material Properties'!$G32+('Tank and Material Properties'!$H32*(0.7*H$17)^'Tank and Material Properties'!$I32)))</f>
        <v>#N/A</v>
      </c>
      <c r="I61" s="224" t="e">
        <f>IF('Tank and Material Properties'!$D32&lt;&gt;"",'Tank and Material Properties'!$D32,'Tank and Material Properties'!$F32)*IF('Tank and Material Properties'!$C$16="YES",('Tank and Material Properties'!$G32),('Tank and Material Properties'!$G32+('Tank and Material Properties'!$H32*(0.7*I$17)^'Tank and Material Properties'!$I32)))</f>
        <v>#N/A</v>
      </c>
      <c r="J61" s="224" t="e">
        <f>IF('Tank and Material Properties'!$D32&lt;&gt;"",'Tank and Material Properties'!$D32,'Tank and Material Properties'!$F32)*IF('Tank and Material Properties'!$C$16="YES",('Tank and Material Properties'!$G32),('Tank and Material Properties'!$G32+('Tank and Material Properties'!$H32*(0.7*J$17)^'Tank and Material Properties'!$I32)))</f>
        <v>#N/A</v>
      </c>
      <c r="K61" s="224" t="e">
        <f>IF('Tank and Material Properties'!$D32&lt;&gt;"",'Tank and Material Properties'!$D32,'Tank and Material Properties'!$F32)*IF('Tank and Material Properties'!$C$16="YES",('Tank and Material Properties'!$G32),('Tank and Material Properties'!$G32+('Tank and Material Properties'!$H32*(0.7*K$17)^'Tank and Material Properties'!$I32)))</f>
        <v>#N/A</v>
      </c>
      <c r="L61" s="224" t="e">
        <f>IF('Tank and Material Properties'!$D32&lt;&gt;"",'Tank and Material Properties'!$D32,'Tank and Material Properties'!$F32)*IF('Tank and Material Properties'!$C$16="YES",('Tank and Material Properties'!$G32),('Tank and Material Properties'!$G32+('Tank and Material Properties'!$H32*(0.7*L$17)^'Tank and Material Properties'!$I32)))</f>
        <v>#N/A</v>
      </c>
      <c r="M61" s="224" t="e">
        <f>IF('Tank and Material Properties'!$D32&lt;&gt;"",'Tank and Material Properties'!$D32,'Tank and Material Properties'!$F32)*IF('Tank and Material Properties'!$C$16="YES",('Tank and Material Properties'!$G32),('Tank and Material Properties'!$G32+('Tank and Material Properties'!$H32*(0.7*M$17)^'Tank and Material Properties'!$I32)))</f>
        <v>#N/A</v>
      </c>
      <c r="N61" s="224" t="e">
        <f>IF('Tank and Material Properties'!$D32&lt;&gt;"",'Tank and Material Properties'!$D32,'Tank and Material Properties'!$F32)*IF('Tank and Material Properties'!$C$16="YES",('Tank and Material Properties'!$G32),('Tank and Material Properties'!$G32+('Tank and Material Properties'!$H32*(0.7*N$17)^'Tank and Material Properties'!$I32)))</f>
        <v>#N/A</v>
      </c>
      <c r="O61" s="209" t="s">
        <v>736</v>
      </c>
      <c r="P61" s="100"/>
      <c r="Q61" s="100"/>
      <c r="R61" s="100"/>
      <c r="S61" s="100"/>
      <c r="T61" s="100"/>
      <c r="U61" s="100"/>
      <c r="V61" s="217"/>
    </row>
    <row r="62" spans="1:22" s="212" customFormat="1" ht="14.25" x14ac:dyDescent="0.2">
      <c r="A62" s="207"/>
      <c r="B62" s="209" t="s">
        <v>220</v>
      </c>
      <c r="C62" s="224" t="e">
        <f>IF('Tank and Material Properties'!$D33&lt;&gt;"",'Tank and Material Properties'!$D33,'Tank and Material Properties'!$F33)*IF('Tank and Material Properties'!$C$16="YES",('Tank and Material Properties'!$G33),('Tank and Material Properties'!$G33+('Tank and Material Properties'!$H33*(0.7*C$17)^'Tank and Material Properties'!$I33)))</f>
        <v>#N/A</v>
      </c>
      <c r="D62" s="224" t="e">
        <f>IF('Tank and Material Properties'!$D33&lt;&gt;"",'Tank and Material Properties'!$D33,'Tank and Material Properties'!$F33)*IF('Tank and Material Properties'!$C$16="YES",('Tank and Material Properties'!$G33),('Tank and Material Properties'!$G33+('Tank and Material Properties'!$H33*(0.7*D$17)^'Tank and Material Properties'!$I33)))</f>
        <v>#N/A</v>
      </c>
      <c r="E62" s="224" t="e">
        <f>IF('Tank and Material Properties'!$D33&lt;&gt;"",'Tank and Material Properties'!$D33,'Tank and Material Properties'!$F33)*IF('Tank and Material Properties'!$C$16="YES",('Tank and Material Properties'!$G33),('Tank and Material Properties'!$G33+('Tank and Material Properties'!$H33*(0.7*E$17)^'Tank and Material Properties'!$I33)))</f>
        <v>#N/A</v>
      </c>
      <c r="F62" s="224" t="e">
        <f>IF('Tank and Material Properties'!$D33&lt;&gt;"",'Tank and Material Properties'!$D33,'Tank and Material Properties'!$F33)*IF('Tank and Material Properties'!$C$16="YES",('Tank and Material Properties'!$G33),('Tank and Material Properties'!$G33+('Tank and Material Properties'!$H33*(0.7*F$17)^'Tank and Material Properties'!$I33)))</f>
        <v>#N/A</v>
      </c>
      <c r="G62" s="224" t="e">
        <f>IF('Tank and Material Properties'!$D33&lt;&gt;"",'Tank and Material Properties'!$D33,'Tank and Material Properties'!$F33)*IF('Tank and Material Properties'!$C$16="YES",('Tank and Material Properties'!$G33),('Tank and Material Properties'!$G33+('Tank and Material Properties'!$H33*(0.7*G$17)^'Tank and Material Properties'!$I33)))</f>
        <v>#N/A</v>
      </c>
      <c r="H62" s="224" t="e">
        <f>IF('Tank and Material Properties'!$D33&lt;&gt;"",'Tank and Material Properties'!$D33,'Tank and Material Properties'!$F33)*IF('Tank and Material Properties'!$C$16="YES",('Tank and Material Properties'!$G33),('Tank and Material Properties'!$G33+('Tank and Material Properties'!$H33*(0.7*H$17)^'Tank and Material Properties'!$I33)))</f>
        <v>#N/A</v>
      </c>
      <c r="I62" s="224" t="e">
        <f>IF('Tank and Material Properties'!$D33&lt;&gt;"",'Tank and Material Properties'!$D33,'Tank and Material Properties'!$F33)*IF('Tank and Material Properties'!$C$16="YES",('Tank and Material Properties'!$G33),('Tank and Material Properties'!$G33+('Tank and Material Properties'!$H33*(0.7*I$17)^'Tank and Material Properties'!$I33)))</f>
        <v>#N/A</v>
      </c>
      <c r="J62" s="224" t="e">
        <f>IF('Tank and Material Properties'!$D33&lt;&gt;"",'Tank and Material Properties'!$D33,'Tank and Material Properties'!$F33)*IF('Tank and Material Properties'!$C$16="YES",('Tank and Material Properties'!$G33),('Tank and Material Properties'!$G33+('Tank and Material Properties'!$H33*(0.7*J$17)^'Tank and Material Properties'!$I33)))</f>
        <v>#N/A</v>
      </c>
      <c r="K62" s="224" t="e">
        <f>IF('Tank and Material Properties'!$D33&lt;&gt;"",'Tank and Material Properties'!$D33,'Tank and Material Properties'!$F33)*IF('Tank and Material Properties'!$C$16="YES",('Tank and Material Properties'!$G33),('Tank and Material Properties'!$G33+('Tank and Material Properties'!$H33*(0.7*K$17)^'Tank and Material Properties'!$I33)))</f>
        <v>#N/A</v>
      </c>
      <c r="L62" s="224" t="e">
        <f>IF('Tank and Material Properties'!$D33&lt;&gt;"",'Tank and Material Properties'!$D33,'Tank and Material Properties'!$F33)*IF('Tank and Material Properties'!$C$16="YES",('Tank and Material Properties'!$G33),('Tank and Material Properties'!$G33+('Tank and Material Properties'!$H33*(0.7*L$17)^'Tank and Material Properties'!$I33)))</f>
        <v>#N/A</v>
      </c>
      <c r="M62" s="224" t="e">
        <f>IF('Tank and Material Properties'!$D33&lt;&gt;"",'Tank and Material Properties'!$D33,'Tank and Material Properties'!$F33)*IF('Tank and Material Properties'!$C$16="YES",('Tank and Material Properties'!$G33),('Tank and Material Properties'!$G33+('Tank and Material Properties'!$H33*(0.7*M$17)^'Tank and Material Properties'!$I33)))</f>
        <v>#N/A</v>
      </c>
      <c r="N62" s="224" t="e">
        <f>IF('Tank and Material Properties'!$D33&lt;&gt;"",'Tank and Material Properties'!$D33,'Tank and Material Properties'!$F33)*IF('Tank and Material Properties'!$C$16="YES",('Tank and Material Properties'!$G33),('Tank and Material Properties'!$G33+('Tank and Material Properties'!$H33*(0.7*N$17)^'Tank and Material Properties'!$I33)))</f>
        <v>#N/A</v>
      </c>
      <c r="O62" s="209" t="s">
        <v>736</v>
      </c>
      <c r="P62" s="100"/>
      <c r="Q62" s="100"/>
      <c r="R62" s="100"/>
      <c r="S62" s="100"/>
      <c r="T62" s="100"/>
      <c r="U62" s="100"/>
      <c r="V62" s="217"/>
    </row>
    <row r="63" spans="1:22" s="212" customFormat="1" ht="15.75" x14ac:dyDescent="0.3">
      <c r="A63" s="207"/>
      <c r="B63" s="210" t="s">
        <v>711</v>
      </c>
      <c r="C63" s="224" t="e">
        <f>SUM(C53:C62)</f>
        <v>#N/A</v>
      </c>
      <c r="D63" s="224" t="e">
        <f t="shared" ref="D63:N63" si="18">SUM(D53:D62)</f>
        <v>#N/A</v>
      </c>
      <c r="E63" s="224" t="e">
        <f t="shared" si="18"/>
        <v>#N/A</v>
      </c>
      <c r="F63" s="224" t="e">
        <f t="shared" si="18"/>
        <v>#N/A</v>
      </c>
      <c r="G63" s="224" t="e">
        <f t="shared" si="18"/>
        <v>#N/A</v>
      </c>
      <c r="H63" s="224" t="e">
        <f t="shared" si="18"/>
        <v>#N/A</v>
      </c>
      <c r="I63" s="224" t="e">
        <f t="shared" si="18"/>
        <v>#N/A</v>
      </c>
      <c r="J63" s="224" t="e">
        <f t="shared" si="18"/>
        <v>#N/A</v>
      </c>
      <c r="K63" s="224" t="e">
        <f t="shared" si="18"/>
        <v>#N/A</v>
      </c>
      <c r="L63" s="224" t="e">
        <f t="shared" si="18"/>
        <v>#N/A</v>
      </c>
      <c r="M63" s="224" t="e">
        <f t="shared" si="18"/>
        <v>#N/A</v>
      </c>
      <c r="N63" s="224" t="e">
        <f t="shared" si="18"/>
        <v>#N/A</v>
      </c>
      <c r="O63" s="209" t="s">
        <v>737</v>
      </c>
      <c r="P63" s="100"/>
      <c r="Q63" s="100"/>
      <c r="R63" s="100"/>
      <c r="S63" s="100"/>
      <c r="T63" s="100"/>
      <c r="U63" s="100"/>
      <c r="V63" s="217"/>
    </row>
    <row r="64" spans="1:22" s="212" customFormat="1" ht="14.25" x14ac:dyDescent="0.2">
      <c r="A64" s="207"/>
      <c r="B64" s="207"/>
      <c r="C64" s="218"/>
      <c r="D64" s="218"/>
      <c r="E64" s="218"/>
      <c r="F64" s="218"/>
      <c r="G64" s="218"/>
      <c r="H64" s="218"/>
      <c r="I64" s="218"/>
      <c r="J64" s="218"/>
      <c r="K64" s="218"/>
      <c r="L64" s="218"/>
      <c r="M64" s="218"/>
      <c r="N64" s="218"/>
      <c r="O64" s="100"/>
      <c r="P64" s="100"/>
      <c r="Q64" s="100"/>
      <c r="R64" s="100"/>
      <c r="S64" s="100"/>
      <c r="T64" s="100"/>
      <c r="U64" s="100"/>
      <c r="V64" s="217"/>
    </row>
    <row r="65" spans="1:22" s="212" customFormat="1" ht="15" x14ac:dyDescent="0.25">
      <c r="A65" s="211"/>
      <c r="B65" s="207"/>
      <c r="C65" s="294" t="s">
        <v>155</v>
      </c>
      <c r="D65" s="294" t="s">
        <v>156</v>
      </c>
      <c r="E65" s="294" t="s">
        <v>157</v>
      </c>
      <c r="F65" s="294" t="s">
        <v>158</v>
      </c>
      <c r="G65" s="294" t="s">
        <v>71</v>
      </c>
      <c r="H65" s="294" t="s">
        <v>74</v>
      </c>
      <c r="I65" s="294" t="s">
        <v>75</v>
      </c>
      <c r="J65" s="294" t="s">
        <v>159</v>
      </c>
      <c r="K65" s="294" t="s">
        <v>160</v>
      </c>
      <c r="L65" s="294" t="s">
        <v>161</v>
      </c>
      <c r="M65" s="294" t="s">
        <v>162</v>
      </c>
      <c r="N65" s="294" t="s">
        <v>163</v>
      </c>
      <c r="O65" s="236" t="s">
        <v>171</v>
      </c>
      <c r="P65" s="100"/>
      <c r="Q65" s="217"/>
      <c r="R65" s="217"/>
      <c r="S65" s="100"/>
      <c r="T65" s="100"/>
      <c r="U65" s="100"/>
      <c r="V65" s="217"/>
    </row>
    <row r="66" spans="1:22" s="212" customFormat="1" ht="15" x14ac:dyDescent="0.25">
      <c r="A66" s="207"/>
      <c r="B66" s="213" t="s">
        <v>712</v>
      </c>
      <c r="C66" s="295" t="e">
        <f>IF('Tank and Material Properties'!$C$16="Yes",('Tank and Material Properties'!$G$21*'Tank and Material Properties'!$C$15*C37*C45*'Tank and Material Properties'!$C$39/12),(('Tank and Material Properties'!$G$21+('Tank and Material Properties'!$H$21*C17^'Tank and Material Properties'!$I$21))*'Tank and Material Properties'!$C$15*C37*C45*'Tank and Material Properties'!$C$39/12))</f>
        <v>#N/A</v>
      </c>
      <c r="D66" s="295" t="e">
        <f>IF('Tank and Material Properties'!$C$16="Yes",('Tank and Material Properties'!$G$21*'Tank and Material Properties'!$C$15*D37*D45*'Tank and Material Properties'!$C$39/12),(('Tank and Material Properties'!$G$21+('Tank and Material Properties'!$H$21*D17^'Tank and Material Properties'!$I$21))*'Tank and Material Properties'!$C$15*D37*D45*'Tank and Material Properties'!$C$39/12))</f>
        <v>#N/A</v>
      </c>
      <c r="E66" s="295" t="e">
        <f>IF('Tank and Material Properties'!$C$16="Yes",('Tank and Material Properties'!$G$21*'Tank and Material Properties'!$C$15*E37*E45*'Tank and Material Properties'!$C$39/12),(('Tank and Material Properties'!$G$21+('Tank and Material Properties'!$H$21*E17^'Tank and Material Properties'!$I$21))*'Tank and Material Properties'!$C$15*E37*E45*'Tank and Material Properties'!$C$39/12))</f>
        <v>#N/A</v>
      </c>
      <c r="F66" s="295" t="e">
        <f>IF('Tank and Material Properties'!$C$16="Yes",('Tank and Material Properties'!$G$21*'Tank and Material Properties'!$C$15*F37*F45*'Tank and Material Properties'!$C$39/12),(('Tank and Material Properties'!$G$21+('Tank and Material Properties'!$H$21*F17^'Tank and Material Properties'!$I$21))*'Tank and Material Properties'!$C$15*F37*F45*'Tank and Material Properties'!$C$39/12))</f>
        <v>#N/A</v>
      </c>
      <c r="G66" s="295" t="e">
        <f>IF('Tank and Material Properties'!$C$16="Yes",('Tank and Material Properties'!$G$21*'Tank and Material Properties'!$C$15*G37*G45*'Tank and Material Properties'!$C$39/12),(('Tank and Material Properties'!$G$21+('Tank and Material Properties'!$H$21*G17^'Tank and Material Properties'!$I$21))*'Tank and Material Properties'!$C$15*G37*G45*'Tank and Material Properties'!$C$39/12))</f>
        <v>#N/A</v>
      </c>
      <c r="H66" s="295" t="e">
        <f>IF('Tank and Material Properties'!$C$16="Yes",('Tank and Material Properties'!$G$21*'Tank and Material Properties'!$C$15*H37*H45*'Tank and Material Properties'!$C$39/12),(('Tank and Material Properties'!$G$21+('Tank and Material Properties'!$H$21*H17^'Tank and Material Properties'!$I$21))*'Tank and Material Properties'!$C$15*H37*H45*'Tank and Material Properties'!$C$39/12))</f>
        <v>#N/A</v>
      </c>
      <c r="I66" s="295" t="e">
        <f>IF('Tank and Material Properties'!$C$16="Yes",('Tank and Material Properties'!$G$21*'Tank and Material Properties'!$C$15*I37*I45*'Tank and Material Properties'!$C$39/12),(('Tank and Material Properties'!$G$21+('Tank and Material Properties'!$H$21*I17^'Tank and Material Properties'!$I$21))*'Tank and Material Properties'!$C$15*I37*I45*'Tank and Material Properties'!$C$39/12))</f>
        <v>#N/A</v>
      </c>
      <c r="J66" s="295" t="e">
        <f>IF('Tank and Material Properties'!$C$16="Yes",('Tank and Material Properties'!$G$21*'Tank and Material Properties'!$C$15*J37*J45*'Tank and Material Properties'!$C$39/12),(('Tank and Material Properties'!$G$21+('Tank and Material Properties'!$H$21*J17^'Tank and Material Properties'!$I$21))*'Tank and Material Properties'!$C$15*J37*J45*'Tank and Material Properties'!$C$39/12))</f>
        <v>#N/A</v>
      </c>
      <c r="K66" s="295" t="e">
        <f>IF('Tank and Material Properties'!$C$16="Yes",('Tank and Material Properties'!$G$21*'Tank and Material Properties'!$C$15*K37*K45*'Tank and Material Properties'!$C$39/12),(('Tank and Material Properties'!$G$21+('Tank and Material Properties'!$H$21*K17^'Tank and Material Properties'!$I$21))*'Tank and Material Properties'!$C$15*K37*K45*'Tank and Material Properties'!$C$39/12))</f>
        <v>#N/A</v>
      </c>
      <c r="L66" s="295" t="e">
        <f>IF('Tank and Material Properties'!$C$16="Yes",('Tank and Material Properties'!$G$21*'Tank and Material Properties'!$C$15*L37*L45*'Tank and Material Properties'!$C$39/12),(('Tank and Material Properties'!$G$21+('Tank and Material Properties'!$H$21*L17^'Tank and Material Properties'!$I$21))*'Tank and Material Properties'!$C$15*L37*L45*'Tank and Material Properties'!$C$39/12))</f>
        <v>#N/A</v>
      </c>
      <c r="M66" s="295" t="e">
        <f>IF('Tank and Material Properties'!$C$16="Yes",('Tank and Material Properties'!$G$21*'Tank and Material Properties'!$C$15*M37*M45*'Tank and Material Properties'!$C$39/12),(('Tank and Material Properties'!$G$21+('Tank and Material Properties'!$H$21*M17^'Tank and Material Properties'!$I$21))*'Tank and Material Properties'!$C$15*M37*M45*'Tank and Material Properties'!$C$39/12))</f>
        <v>#N/A</v>
      </c>
      <c r="N66" s="295" t="e">
        <f>IF('Tank and Material Properties'!$C$16="Yes",('Tank and Material Properties'!$G$21*'Tank and Material Properties'!$C$15*N37*N45*'Tank and Material Properties'!$C$39/12),(('Tank and Material Properties'!$G$21+('Tank and Material Properties'!$H$21*N17^'Tank and Material Properties'!$I$21))*'Tank and Material Properties'!$C$15*N37*N45*'Tank and Material Properties'!$C$39/12))</f>
        <v>#N/A</v>
      </c>
      <c r="O66" s="237" t="e">
        <f>SUM(C66:N66)</f>
        <v>#N/A</v>
      </c>
      <c r="P66" s="238" t="s">
        <v>169</v>
      </c>
      <c r="Q66" s="239"/>
      <c r="R66" s="217"/>
      <c r="S66" s="240"/>
      <c r="T66" s="100"/>
      <c r="U66" s="100"/>
      <c r="V66" s="217"/>
    </row>
    <row r="67" spans="1:22" s="212" customFormat="1" ht="15.75" x14ac:dyDescent="0.3">
      <c r="A67" s="211"/>
      <c r="B67" s="214" t="s">
        <v>713</v>
      </c>
      <c r="C67" s="296"/>
      <c r="D67" s="297"/>
      <c r="E67" s="297"/>
      <c r="F67" s="297"/>
      <c r="G67" s="297"/>
      <c r="H67" s="297"/>
      <c r="I67" s="297"/>
      <c r="J67" s="297"/>
      <c r="K67" s="297"/>
      <c r="L67" s="297"/>
      <c r="M67" s="297"/>
      <c r="N67" s="297"/>
      <c r="O67" s="241"/>
      <c r="P67" s="242"/>
      <c r="Q67" s="217"/>
      <c r="R67" s="100"/>
      <c r="S67" s="100"/>
      <c r="T67" s="100"/>
      <c r="U67" s="100"/>
      <c r="V67" s="217"/>
    </row>
    <row r="68" spans="1:22" s="212" customFormat="1" ht="15" x14ac:dyDescent="0.25">
      <c r="A68" s="207"/>
      <c r="B68" s="213" t="s">
        <v>714</v>
      </c>
      <c r="C68" s="295" t="e">
        <f>C63*C37*C45*'Tank and Material Properties'!$C$39/12</f>
        <v>#N/A</v>
      </c>
      <c r="D68" s="295" t="e">
        <f>D63*D37*D45*'Tank and Material Properties'!$C$39/12</f>
        <v>#N/A</v>
      </c>
      <c r="E68" s="295" t="e">
        <f>E63*E37*E45*'Tank and Material Properties'!$C$39/12</f>
        <v>#N/A</v>
      </c>
      <c r="F68" s="295" t="e">
        <f>F63*F37*F45*'Tank and Material Properties'!$C$39/12</f>
        <v>#N/A</v>
      </c>
      <c r="G68" s="295" t="e">
        <f>G63*G37*G45*'Tank and Material Properties'!$C$39/12</f>
        <v>#N/A</v>
      </c>
      <c r="H68" s="295" t="e">
        <f>H63*H37*H45*'Tank and Material Properties'!$C$39/12</f>
        <v>#N/A</v>
      </c>
      <c r="I68" s="295" t="e">
        <f>I63*I37*I45*'Tank and Material Properties'!$C$39/12</f>
        <v>#N/A</v>
      </c>
      <c r="J68" s="295" t="e">
        <f>J63*J37*J45*'Tank and Material Properties'!$C$39/12</f>
        <v>#N/A</v>
      </c>
      <c r="K68" s="295" t="e">
        <f>K63*K37*K45*'Tank and Material Properties'!$C$39/12</f>
        <v>#N/A</v>
      </c>
      <c r="L68" s="295" t="e">
        <f>L63*L37*L45*'Tank and Material Properties'!$C$39/12</f>
        <v>#N/A</v>
      </c>
      <c r="M68" s="295" t="e">
        <f>M63*M37*M45*'Tank and Material Properties'!$C$39/12</f>
        <v>#N/A</v>
      </c>
      <c r="N68" s="295" t="e">
        <f>N63*N37*N45*'Tank and Material Properties'!$C$39/12</f>
        <v>#N/A</v>
      </c>
      <c r="O68" s="237" t="e">
        <f>SUM(C68:N68)</f>
        <v>#N/A</v>
      </c>
      <c r="P68" s="238" t="s">
        <v>169</v>
      </c>
      <c r="Q68" s="217"/>
      <c r="R68" s="100"/>
      <c r="S68" s="100"/>
      <c r="T68" s="100"/>
      <c r="U68" s="100"/>
      <c r="V68" s="217"/>
    </row>
    <row r="69" spans="1:22" s="212" customFormat="1" ht="15.75" x14ac:dyDescent="0.3">
      <c r="A69" s="211"/>
      <c r="B69" s="215" t="s">
        <v>715</v>
      </c>
      <c r="C69" s="298"/>
      <c r="D69" s="298"/>
      <c r="E69" s="298"/>
      <c r="F69" s="298"/>
      <c r="G69" s="298"/>
      <c r="H69" s="298"/>
      <c r="I69" s="298"/>
      <c r="J69" s="298"/>
      <c r="K69" s="298"/>
      <c r="L69" s="298"/>
      <c r="M69" s="298"/>
      <c r="N69" s="298"/>
      <c r="O69" s="243"/>
      <c r="P69" s="244"/>
      <c r="Q69" s="217"/>
      <c r="R69" s="100"/>
      <c r="S69" s="100"/>
      <c r="T69" s="100"/>
      <c r="U69" s="100"/>
      <c r="V69" s="217"/>
    </row>
    <row r="70" spans="1:22" s="212" customFormat="1" ht="15" x14ac:dyDescent="0.25">
      <c r="A70" s="207"/>
      <c r="B70" s="99" t="s">
        <v>716</v>
      </c>
      <c r="C70" s="224" t="e">
        <f>((0.943*'Tank and Material Properties'!$C$49*'Tank and Material Properties'!$C36*'Tank and Material Properties'!$C$59)/'Tank and Material Properties'!$C$15)/12</f>
        <v>#N/A</v>
      </c>
      <c r="D70" s="224" t="e">
        <f>((0.943*'Tank and Material Properties'!$C$49*'Tank and Material Properties'!$C36*'Tank and Material Properties'!$C$59)/'Tank and Material Properties'!$C$15)/12</f>
        <v>#N/A</v>
      </c>
      <c r="E70" s="224" t="e">
        <f>((0.943*'Tank and Material Properties'!$C$49*'Tank and Material Properties'!$C36*'Tank and Material Properties'!$C$59)/'Tank and Material Properties'!$C$15)/12</f>
        <v>#N/A</v>
      </c>
      <c r="F70" s="224" t="e">
        <f>((0.943*'Tank and Material Properties'!$C$49*'Tank and Material Properties'!$C36*'Tank and Material Properties'!$C$59)/'Tank and Material Properties'!$C$15)/12</f>
        <v>#N/A</v>
      </c>
      <c r="G70" s="224" t="e">
        <f>((0.943*'Tank and Material Properties'!$C$49*'Tank and Material Properties'!$C36*'Tank and Material Properties'!$C$59)/'Tank and Material Properties'!$C$15)/12</f>
        <v>#N/A</v>
      </c>
      <c r="H70" s="224" t="e">
        <f>((0.943*'Tank and Material Properties'!$C$49*'Tank and Material Properties'!$C36*'Tank and Material Properties'!$C$59)/'Tank and Material Properties'!$C$15)/12</f>
        <v>#N/A</v>
      </c>
      <c r="I70" s="224" t="e">
        <f>((0.943*'Tank and Material Properties'!$C$49*'Tank and Material Properties'!$C36*'Tank and Material Properties'!$C$59)/'Tank and Material Properties'!$C$15)/12</f>
        <v>#N/A</v>
      </c>
      <c r="J70" s="224" t="e">
        <f>((0.943*'Tank and Material Properties'!$C$49*'Tank and Material Properties'!$C36*'Tank and Material Properties'!$C$59)/'Tank and Material Properties'!$C$15)/12</f>
        <v>#N/A</v>
      </c>
      <c r="K70" s="224" t="e">
        <f>((0.943*'Tank and Material Properties'!$C$49*'Tank and Material Properties'!$C36*'Tank and Material Properties'!$C$59)/'Tank and Material Properties'!$C$15)/12</f>
        <v>#N/A</v>
      </c>
      <c r="L70" s="224" t="e">
        <f>((0.943*'Tank and Material Properties'!$C$49*'Tank and Material Properties'!$C36*'Tank and Material Properties'!$C$59)/'Tank and Material Properties'!$C$15)/12</f>
        <v>#N/A</v>
      </c>
      <c r="M70" s="224" t="e">
        <f>((0.943*'Tank and Material Properties'!$C$49*'Tank and Material Properties'!$C36*'Tank and Material Properties'!$C$59)/'Tank and Material Properties'!$C$15)/12</f>
        <v>#N/A</v>
      </c>
      <c r="N70" s="224" t="e">
        <f>((0.943*'Tank and Material Properties'!$C$49*'Tank and Material Properties'!$C36*'Tank and Material Properties'!$C$59)/'Tank and Material Properties'!$C$15)/12</f>
        <v>#N/A</v>
      </c>
      <c r="O70" s="245" t="e">
        <f>SUM(C70:N70)</f>
        <v>#N/A</v>
      </c>
      <c r="P70" s="205" t="s">
        <v>169</v>
      </c>
      <c r="Q70" s="217"/>
      <c r="R70" s="100"/>
      <c r="S70" s="100"/>
      <c r="T70" s="100"/>
      <c r="U70" s="100"/>
      <c r="V70" s="217"/>
    </row>
    <row r="71" spans="1:22" s="212" customFormat="1" ht="15.75" x14ac:dyDescent="0.3">
      <c r="A71" s="211"/>
      <c r="B71" s="215" t="s">
        <v>717</v>
      </c>
      <c r="C71" s="298"/>
      <c r="D71" s="298"/>
      <c r="E71" s="298"/>
      <c r="F71" s="298"/>
      <c r="G71" s="298"/>
      <c r="H71" s="298"/>
      <c r="I71" s="298"/>
      <c r="J71" s="298"/>
      <c r="K71" s="298"/>
      <c r="L71" s="298"/>
      <c r="M71" s="298"/>
      <c r="N71" s="298"/>
      <c r="O71" s="243"/>
      <c r="P71" s="244"/>
      <c r="Q71" s="217"/>
      <c r="R71" s="100"/>
      <c r="S71" s="100"/>
      <c r="T71" s="100"/>
      <c r="U71" s="100"/>
      <c r="V71" s="217"/>
    </row>
    <row r="72" spans="1:22" s="212" customFormat="1" ht="15.75" x14ac:dyDescent="0.3">
      <c r="A72" s="207"/>
      <c r="B72" s="216" t="s">
        <v>718</v>
      </c>
      <c r="C72" s="299" t="e">
        <f t="shared" ref="C72:N72" si="19">C66+C68</f>
        <v>#N/A</v>
      </c>
      <c r="D72" s="299" t="e">
        <f t="shared" si="19"/>
        <v>#N/A</v>
      </c>
      <c r="E72" s="299" t="e">
        <f t="shared" si="19"/>
        <v>#N/A</v>
      </c>
      <c r="F72" s="299" t="e">
        <f t="shared" si="19"/>
        <v>#N/A</v>
      </c>
      <c r="G72" s="299" t="e">
        <f t="shared" si="19"/>
        <v>#N/A</v>
      </c>
      <c r="H72" s="299" t="e">
        <f t="shared" si="19"/>
        <v>#N/A</v>
      </c>
      <c r="I72" s="299" t="e">
        <f t="shared" si="19"/>
        <v>#N/A</v>
      </c>
      <c r="J72" s="299" t="e">
        <f t="shared" si="19"/>
        <v>#N/A</v>
      </c>
      <c r="K72" s="299" t="e">
        <f t="shared" si="19"/>
        <v>#N/A</v>
      </c>
      <c r="L72" s="299" t="e">
        <f t="shared" si="19"/>
        <v>#N/A</v>
      </c>
      <c r="M72" s="299" t="e">
        <f t="shared" si="19"/>
        <v>#N/A</v>
      </c>
      <c r="N72" s="299" t="e">
        <f t="shared" si="19"/>
        <v>#N/A</v>
      </c>
      <c r="O72" s="246" t="e">
        <f>SUM(C72:N72)</f>
        <v>#N/A</v>
      </c>
      <c r="P72" s="247" t="s">
        <v>169</v>
      </c>
      <c r="Q72" s="217"/>
      <c r="R72" s="100"/>
      <c r="S72" s="100"/>
      <c r="T72" s="100"/>
      <c r="U72" s="100"/>
      <c r="V72" s="217"/>
    </row>
    <row r="73" spans="1:22" s="212" customFormat="1" ht="15.75" x14ac:dyDescent="0.3">
      <c r="A73" s="207"/>
      <c r="B73" s="99" t="s">
        <v>719</v>
      </c>
      <c r="C73" s="300" t="e">
        <f>SUM(C70:C72)</f>
        <v>#N/A</v>
      </c>
      <c r="D73" s="300" t="e">
        <f t="shared" ref="D73:M73" si="20">SUM(D70:D72)</f>
        <v>#N/A</v>
      </c>
      <c r="E73" s="300" t="e">
        <f t="shared" si="20"/>
        <v>#N/A</v>
      </c>
      <c r="F73" s="300" t="e">
        <f t="shared" si="20"/>
        <v>#N/A</v>
      </c>
      <c r="G73" s="300" t="e">
        <f t="shared" si="20"/>
        <v>#N/A</v>
      </c>
      <c r="H73" s="300" t="e">
        <f t="shared" si="20"/>
        <v>#N/A</v>
      </c>
      <c r="I73" s="300" t="e">
        <f t="shared" si="20"/>
        <v>#N/A</v>
      </c>
      <c r="J73" s="300" t="e">
        <f t="shared" si="20"/>
        <v>#N/A</v>
      </c>
      <c r="K73" s="300" t="e">
        <f t="shared" si="20"/>
        <v>#N/A</v>
      </c>
      <c r="L73" s="300" t="e">
        <f t="shared" si="20"/>
        <v>#N/A</v>
      </c>
      <c r="M73" s="300" t="e">
        <f t="shared" si="20"/>
        <v>#N/A</v>
      </c>
      <c r="N73" s="300" t="e">
        <f>SUM(N70:N72)</f>
        <v>#N/A</v>
      </c>
      <c r="O73" s="248" t="e">
        <f>SUM(C73:N73)</f>
        <v>#N/A</v>
      </c>
      <c r="P73" s="205" t="s">
        <v>169</v>
      </c>
      <c r="Q73" s="217"/>
      <c r="R73" s="100"/>
      <c r="S73" s="100"/>
      <c r="T73" s="100"/>
      <c r="U73" s="100"/>
      <c r="V73" s="217"/>
    </row>
    <row r="75" spans="1:22" ht="15.75" x14ac:dyDescent="0.25">
      <c r="A75" s="304" t="s">
        <v>827</v>
      </c>
    </row>
    <row r="76" spans="1:22" x14ac:dyDescent="0.2">
      <c r="B76" s="162"/>
      <c r="C76" s="301" t="s">
        <v>155</v>
      </c>
      <c r="D76" s="301" t="s">
        <v>156</v>
      </c>
      <c r="E76" s="301" t="s">
        <v>157</v>
      </c>
      <c r="F76" s="301" t="s">
        <v>158</v>
      </c>
      <c r="G76" s="301" t="s">
        <v>71</v>
      </c>
      <c r="H76" s="301" t="s">
        <v>74</v>
      </c>
      <c r="I76" s="301" t="s">
        <v>75</v>
      </c>
      <c r="J76" s="301" t="s">
        <v>159</v>
      </c>
      <c r="K76" s="301" t="s">
        <v>160</v>
      </c>
      <c r="L76" s="301" t="s">
        <v>161</v>
      </c>
      <c r="M76" s="301" t="s">
        <v>162</v>
      </c>
      <c r="N76" s="301" t="s">
        <v>163</v>
      </c>
      <c r="O76" s="223" t="s">
        <v>178</v>
      </c>
      <c r="P76" s="162"/>
    </row>
    <row r="77" spans="1:22" ht="15.75" x14ac:dyDescent="0.3">
      <c r="B77" s="217" t="str">
        <f>IF(AND('Tank and Material Properties'!C52&lt;&gt;0,'Tank and Material Properties'!D52="Yes"),'Tank and Material Properties'!C52&amp;" Emissions, lb","")</f>
        <v/>
      </c>
      <c r="C77" s="224" t="str">
        <f>IF('Tank and Material Properties'!$D52="Yes",(C47*(C$66+C$68))+('Tank and Material Properties'!$H52*C$70),"")</f>
        <v/>
      </c>
      <c r="D77" s="224" t="str">
        <f>IF('Tank and Material Properties'!$D52="Yes",(D47*(D$66+D$68))+('Tank and Material Properties'!$H52*D$70),"")</f>
        <v/>
      </c>
      <c r="E77" s="224" t="str">
        <f>IF('Tank and Material Properties'!$D52="Yes",(E47*(E$66+E$68))+('Tank and Material Properties'!$H52*E$70),"")</f>
        <v/>
      </c>
      <c r="F77" s="224" t="str">
        <f>IF('Tank and Material Properties'!$D52="Yes",(F47*(F$66+F$68))+('Tank and Material Properties'!$H52*F$70),"")</f>
        <v/>
      </c>
      <c r="G77" s="224" t="str">
        <f>IF('Tank and Material Properties'!$D52="Yes",(G47*(G$66+G$68))+('Tank and Material Properties'!$H52*G$70),"")</f>
        <v/>
      </c>
      <c r="H77" s="224" t="str">
        <f>IF('Tank and Material Properties'!$D52="Yes",(H47*(H$66+H$68))+('Tank and Material Properties'!$H52*H$70),"")</f>
        <v/>
      </c>
      <c r="I77" s="224" t="str">
        <f>IF('Tank and Material Properties'!$D52="Yes",(I47*(I$66+I$68))+('Tank and Material Properties'!$H52*I$70),"")</f>
        <v/>
      </c>
      <c r="J77" s="224" t="str">
        <f>IF('Tank and Material Properties'!$D52="Yes",(J47*(J$66+J$68))+('Tank and Material Properties'!$H52*J$70),"")</f>
        <v/>
      </c>
      <c r="K77" s="224" t="str">
        <f>IF('Tank and Material Properties'!$D52="Yes",(K47*(K$66+K$68))+('Tank and Material Properties'!$H52*K$70),"")</f>
        <v/>
      </c>
      <c r="L77" s="224" t="str">
        <f>IF('Tank and Material Properties'!$D52="Yes",(L47*(L$66+L$68))+('Tank and Material Properties'!$H52*L$70),"")</f>
        <v/>
      </c>
      <c r="M77" s="224" t="str">
        <f>IF('Tank and Material Properties'!$D52="Yes",(M47*(M$66+M$68))+('Tank and Material Properties'!$H52*M$70),"")</f>
        <v/>
      </c>
      <c r="N77" s="224" t="str">
        <f>IF('Tank and Material Properties'!$D52="Yes",(N47*(N$66+N$68))+('Tank and Material Properties'!$H52*N$70),"")</f>
        <v/>
      </c>
      <c r="O77" s="225">
        <f>SUM(C77:N77)</f>
        <v>0</v>
      </c>
      <c r="P77" s="217" t="s">
        <v>738</v>
      </c>
    </row>
    <row r="78" spans="1:22" ht="15.75" x14ac:dyDescent="0.3">
      <c r="B78" s="217" t="str">
        <f>IF(AND('Tank and Material Properties'!C53&lt;&gt;0,'Tank and Material Properties'!D53="Yes"),'Tank and Material Properties'!C53&amp;" Emissions, lb","")</f>
        <v/>
      </c>
      <c r="C78" s="224" t="str">
        <f>IF('Tank and Material Properties'!$D53="Yes",(C48*(C$66+C$68))+('Tank and Material Properties'!$H53*C$70),"")</f>
        <v/>
      </c>
      <c r="D78" s="224" t="str">
        <f>IF('Tank and Material Properties'!$D53="Yes",(D48*(D$66+D$68))+('Tank and Material Properties'!$H53*D$70),"")</f>
        <v/>
      </c>
      <c r="E78" s="224" t="str">
        <f>IF('Tank and Material Properties'!$D53="Yes",(E48*(E$66+E$68))+('Tank and Material Properties'!$H53*E$70),"")</f>
        <v/>
      </c>
      <c r="F78" s="224" t="str">
        <f>IF('Tank and Material Properties'!$D53="Yes",(F48*(F$66+F$68))+('Tank and Material Properties'!$H53*F$70),"")</f>
        <v/>
      </c>
      <c r="G78" s="224" t="str">
        <f>IF('Tank and Material Properties'!$D53="Yes",(G48*(G$66+G$68))+('Tank and Material Properties'!$H53*G$70),"")</f>
        <v/>
      </c>
      <c r="H78" s="224" t="str">
        <f>IF('Tank and Material Properties'!$D53="Yes",(H48*(H$66+H$68))+('Tank and Material Properties'!$H53*H$70),"")</f>
        <v/>
      </c>
      <c r="I78" s="224" t="str">
        <f>IF('Tank and Material Properties'!$D53="Yes",(I48*(I$66+I$68))+('Tank and Material Properties'!$H53*I$70),"")</f>
        <v/>
      </c>
      <c r="J78" s="224" t="str">
        <f>IF('Tank and Material Properties'!$D53="Yes",(J48*(J$66+J$68))+('Tank and Material Properties'!$H53*J$70),"")</f>
        <v/>
      </c>
      <c r="K78" s="224" t="str">
        <f>IF('Tank and Material Properties'!$D53="Yes",(K48*(K$66+K$68))+('Tank and Material Properties'!$H53*K$70),"")</f>
        <v/>
      </c>
      <c r="L78" s="224" t="str">
        <f>IF('Tank and Material Properties'!$D53="Yes",(L48*(L$66+L$68))+('Tank and Material Properties'!$H53*L$70),"")</f>
        <v/>
      </c>
      <c r="M78" s="224" t="str">
        <f>IF('Tank and Material Properties'!$D53="Yes",(M48*(M$66+M$68))+('Tank and Material Properties'!$H53*M$70),"")</f>
        <v/>
      </c>
      <c r="N78" s="224" t="str">
        <f>IF('Tank and Material Properties'!$D53="Yes",(N48*(N$66+N$68))+('Tank and Material Properties'!$H53*N$70),"")</f>
        <v/>
      </c>
      <c r="O78" s="225">
        <f t="shared" ref="O78:O82" si="21">SUM(C78:N78)</f>
        <v>0</v>
      </c>
      <c r="P78" s="217" t="s">
        <v>738</v>
      </c>
    </row>
    <row r="79" spans="1:22" ht="15.75" x14ac:dyDescent="0.3">
      <c r="B79" s="217" t="str">
        <f>IF(AND('Tank and Material Properties'!C54&lt;&gt;0,'Tank and Material Properties'!D54="Yes"),'Tank and Material Properties'!C54&amp;" Emissions, lb","")</f>
        <v/>
      </c>
      <c r="C79" s="224" t="str">
        <f>IF('Tank and Material Properties'!$D54="Yes",(C49*(C$66+C$68))+('Tank and Material Properties'!$H54*C$70),"")</f>
        <v/>
      </c>
      <c r="D79" s="224" t="str">
        <f>IF('Tank and Material Properties'!$D54="Yes",(D49*(D$66+D$68))+('Tank and Material Properties'!$H54*D$70),"")</f>
        <v/>
      </c>
      <c r="E79" s="224" t="str">
        <f>IF('Tank and Material Properties'!$D54="Yes",(E49*(E$66+E$68))+('Tank and Material Properties'!$H54*E$70),"")</f>
        <v/>
      </c>
      <c r="F79" s="224" t="str">
        <f>IF('Tank and Material Properties'!$D54="Yes",(F49*(F$66+F$68))+('Tank and Material Properties'!$H54*F$70),"")</f>
        <v/>
      </c>
      <c r="G79" s="224" t="str">
        <f>IF('Tank and Material Properties'!$D54="Yes",(G49*(G$66+G$68))+('Tank and Material Properties'!$H54*G$70),"")</f>
        <v/>
      </c>
      <c r="H79" s="224" t="str">
        <f>IF('Tank and Material Properties'!$D54="Yes",(H49*(H$66+H$68))+('Tank and Material Properties'!$H54*H$70),"")</f>
        <v/>
      </c>
      <c r="I79" s="224" t="str">
        <f>IF('Tank and Material Properties'!$D54="Yes",(I49*(I$66+I$68))+('Tank and Material Properties'!$H54*I$70),"")</f>
        <v/>
      </c>
      <c r="J79" s="224" t="str">
        <f>IF('Tank and Material Properties'!$D54="Yes",(J49*(J$66+J$68))+('Tank and Material Properties'!$H54*J$70),"")</f>
        <v/>
      </c>
      <c r="K79" s="224" t="str">
        <f>IF('Tank and Material Properties'!$D54="Yes",(K49*(K$66+K$68))+('Tank and Material Properties'!$H54*K$70),"")</f>
        <v/>
      </c>
      <c r="L79" s="224" t="str">
        <f>IF('Tank and Material Properties'!$D54="Yes",(L49*(L$66+L$68))+('Tank and Material Properties'!$H54*L$70),"")</f>
        <v/>
      </c>
      <c r="M79" s="224" t="str">
        <f>IF('Tank and Material Properties'!$D54="Yes",(M49*(M$66+M$68))+('Tank and Material Properties'!$H54*M$70),"")</f>
        <v/>
      </c>
      <c r="N79" s="224" t="str">
        <f>IF('Tank and Material Properties'!$D54="Yes",(N49*(N$66+N$68))+('Tank and Material Properties'!$H54*N$70),"")</f>
        <v/>
      </c>
      <c r="O79" s="225">
        <f t="shared" si="21"/>
        <v>0</v>
      </c>
      <c r="P79" s="217" t="s">
        <v>738</v>
      </c>
    </row>
    <row r="80" spans="1:22" ht="15.75" x14ac:dyDescent="0.3">
      <c r="B80" s="217" t="str">
        <f>IF(AND('Tank and Material Properties'!C55&lt;&gt;0,'Tank and Material Properties'!D55="Yes"),'Tank and Material Properties'!C55&amp;" Emissions, lb","")</f>
        <v/>
      </c>
      <c r="C80" s="224" t="str">
        <f>IF('Tank and Material Properties'!$D55="Yes",(C50*(C$66+C$68))+('Tank and Material Properties'!$H55*C$70),"")</f>
        <v/>
      </c>
      <c r="D80" s="224" t="str">
        <f>IF('Tank and Material Properties'!$D55="Yes",(D50*(D$66+D$68))+('Tank and Material Properties'!$H55*D$70),"")</f>
        <v/>
      </c>
      <c r="E80" s="224" t="str">
        <f>IF('Tank and Material Properties'!$D55="Yes",(E50*(E$66+E$68))+('Tank and Material Properties'!$H55*E$70),"")</f>
        <v/>
      </c>
      <c r="F80" s="224" t="str">
        <f>IF('Tank and Material Properties'!$D55="Yes",(F50*(F$66+F$68))+('Tank and Material Properties'!$H55*F$70),"")</f>
        <v/>
      </c>
      <c r="G80" s="224" t="str">
        <f>IF('Tank and Material Properties'!$D55="Yes",(G50*(G$66+G$68))+('Tank and Material Properties'!$H55*G$70),"")</f>
        <v/>
      </c>
      <c r="H80" s="224" t="str">
        <f>IF('Tank and Material Properties'!$D55="Yes",(H50*(H$66+H$68))+('Tank and Material Properties'!$H55*H$70),"")</f>
        <v/>
      </c>
      <c r="I80" s="224" t="str">
        <f>IF('Tank and Material Properties'!$D55="Yes",(I50*(I$66+I$68))+('Tank and Material Properties'!$H55*I$70),"")</f>
        <v/>
      </c>
      <c r="J80" s="224" t="str">
        <f>IF('Tank and Material Properties'!$D55="Yes",(J50*(J$66+J$68))+('Tank and Material Properties'!$H55*J$70),"")</f>
        <v/>
      </c>
      <c r="K80" s="224" t="str">
        <f>IF('Tank and Material Properties'!$D55="Yes",(K50*(K$66+K$68))+('Tank and Material Properties'!$H55*K$70),"")</f>
        <v/>
      </c>
      <c r="L80" s="224" t="str">
        <f>IF('Tank and Material Properties'!$D55="Yes",(L50*(L$66+L$68))+('Tank and Material Properties'!$H55*L$70),"")</f>
        <v/>
      </c>
      <c r="M80" s="224" t="str">
        <f>IF('Tank and Material Properties'!$D55="Yes",(M50*(M$66+M$68))+('Tank and Material Properties'!$H55*M$70),"")</f>
        <v/>
      </c>
      <c r="N80" s="224" t="str">
        <f>IF('Tank and Material Properties'!$D55="Yes",(N50*(N$66+N$68))+('Tank and Material Properties'!$H55*N$70),"")</f>
        <v/>
      </c>
      <c r="O80" s="225">
        <f t="shared" si="21"/>
        <v>0</v>
      </c>
      <c r="P80" s="217" t="s">
        <v>738</v>
      </c>
    </row>
    <row r="81" spans="2:16" ht="15.75" x14ac:dyDescent="0.3">
      <c r="B81" s="217" t="str">
        <f>IF(AND('Tank and Material Properties'!C56&lt;&gt;0,'Tank and Material Properties'!D56="Yes"),'Tank and Material Properties'!C56&amp;" Emissions, lb","")</f>
        <v/>
      </c>
      <c r="C81" s="224" t="str">
        <f>IF('Tank and Material Properties'!$D56="Yes",(C51*(C$66+C$68))+('Tank and Material Properties'!$H56*C$70),"")</f>
        <v/>
      </c>
      <c r="D81" s="224" t="str">
        <f>IF('Tank and Material Properties'!$D56="Yes",(D51*(D$66+D$68))+('Tank and Material Properties'!$H56*D$70),"")</f>
        <v/>
      </c>
      <c r="E81" s="224" t="str">
        <f>IF('Tank and Material Properties'!$D56="Yes",(E51*(E$66+E$68))+('Tank and Material Properties'!$H56*E$70),"")</f>
        <v/>
      </c>
      <c r="F81" s="224" t="str">
        <f>IF('Tank and Material Properties'!$D56="Yes",(F51*(F$66+F$68))+('Tank and Material Properties'!$H56*F$70),"")</f>
        <v/>
      </c>
      <c r="G81" s="224" t="str">
        <f>IF('Tank and Material Properties'!$D56="Yes",(G51*(G$66+G$68))+('Tank and Material Properties'!$H56*G$70),"")</f>
        <v/>
      </c>
      <c r="H81" s="224" t="str">
        <f>IF('Tank and Material Properties'!$D56="Yes",(H51*(H$66+H$68))+('Tank and Material Properties'!$H56*H$70),"")</f>
        <v/>
      </c>
      <c r="I81" s="224" t="str">
        <f>IF('Tank and Material Properties'!$D56="Yes",(I51*(I$66+I$68))+('Tank and Material Properties'!$H56*I$70),"")</f>
        <v/>
      </c>
      <c r="J81" s="224" t="str">
        <f>IF('Tank and Material Properties'!$D56="Yes",(J51*(J$66+J$68))+('Tank and Material Properties'!$H56*J$70),"")</f>
        <v/>
      </c>
      <c r="K81" s="224" t="str">
        <f>IF('Tank and Material Properties'!$D56="Yes",(K51*(K$66+K$68))+('Tank and Material Properties'!$H56*K$70),"")</f>
        <v/>
      </c>
      <c r="L81" s="224" t="str">
        <f>IF('Tank and Material Properties'!$D56="Yes",(L51*(L$66+L$68))+('Tank and Material Properties'!$H56*L$70),"")</f>
        <v/>
      </c>
      <c r="M81" s="224" t="str">
        <f>IF('Tank and Material Properties'!$D56="Yes",(M51*(M$66+M$68))+('Tank and Material Properties'!$H56*M$70),"")</f>
        <v/>
      </c>
      <c r="N81" s="224" t="str">
        <f>IF('Tank and Material Properties'!$D56="Yes",(N51*(N$66+N$68))+('Tank and Material Properties'!$H56*N$70),"")</f>
        <v/>
      </c>
      <c r="O81" s="225">
        <f t="shared" si="21"/>
        <v>0</v>
      </c>
      <c r="P81" s="217" t="s">
        <v>738</v>
      </c>
    </row>
    <row r="82" spans="2:16" ht="15.75" x14ac:dyDescent="0.3">
      <c r="B82" s="217" t="str">
        <f>IF(AND('Tank and Material Properties'!C57&lt;&gt;0,'Tank and Material Properties'!D57="Yes"),'Tank and Material Properties'!C57&amp;" Emissions, lb","")</f>
        <v/>
      </c>
      <c r="C82" s="224" t="str">
        <f>IF('Tank and Material Properties'!$D57="Yes",(C52*(C$66+C$68))+('Tank and Material Properties'!$H57*C$70),"")</f>
        <v/>
      </c>
      <c r="D82" s="224" t="str">
        <f>IF('Tank and Material Properties'!$D57="Yes",(D52*(D$66+D$68))+('Tank and Material Properties'!$H57*D$70),"")</f>
        <v/>
      </c>
      <c r="E82" s="224" t="str">
        <f>IF('Tank and Material Properties'!$D57="Yes",(E52*(E$66+E$68))+('Tank and Material Properties'!$H57*E$70),"")</f>
        <v/>
      </c>
      <c r="F82" s="224" t="str">
        <f>IF('Tank and Material Properties'!$D57="Yes",(F52*(F$66+F$68))+('Tank and Material Properties'!$H57*F$70),"")</f>
        <v/>
      </c>
      <c r="G82" s="224" t="str">
        <f>IF('Tank and Material Properties'!$D57="Yes",(G52*(G$66+G$68))+('Tank and Material Properties'!$H57*G$70),"")</f>
        <v/>
      </c>
      <c r="H82" s="224" t="str">
        <f>IF('Tank and Material Properties'!$D57="Yes",(H52*(H$66+H$68))+('Tank and Material Properties'!$H57*H$70),"")</f>
        <v/>
      </c>
      <c r="I82" s="224" t="str">
        <f>IF('Tank and Material Properties'!$D57="Yes",(I52*(I$66+I$68))+('Tank and Material Properties'!$H57*I$70),"")</f>
        <v/>
      </c>
      <c r="J82" s="224" t="str">
        <f>IF('Tank and Material Properties'!$D57="Yes",(J52*(J$66+J$68))+('Tank and Material Properties'!$H57*J$70),"")</f>
        <v/>
      </c>
      <c r="K82" s="224" t="str">
        <f>IF('Tank and Material Properties'!$D57="Yes",(K52*(K$66+K$68))+('Tank and Material Properties'!$H57*K$70),"")</f>
        <v/>
      </c>
      <c r="L82" s="224" t="str">
        <f>IF('Tank and Material Properties'!$D57="Yes",(L52*(L$66+L$68))+('Tank and Material Properties'!$H57*L$70),"")</f>
        <v/>
      </c>
      <c r="M82" s="224" t="str">
        <f>IF('Tank and Material Properties'!$D57="Yes",(M52*(M$66+M$68))+('Tank and Material Properties'!$H57*M$70),"")</f>
        <v/>
      </c>
      <c r="N82" s="224" t="str">
        <f>IF('Tank and Material Properties'!$D57="Yes",(N52*(N$66+N$68))+('Tank and Material Properties'!$H57*N$70),"")</f>
        <v/>
      </c>
      <c r="O82" s="225">
        <f t="shared" si="21"/>
        <v>0</v>
      </c>
      <c r="P82" s="217" t="s">
        <v>738</v>
      </c>
    </row>
    <row r="83" spans="2:16" x14ac:dyDescent="0.2">
      <c r="B83" s="219" t="s">
        <v>828</v>
      </c>
      <c r="C83" s="220">
        <f>SUM(C77:C82)</f>
        <v>0</v>
      </c>
      <c r="D83" s="220">
        <f t="shared" ref="D83:O83" si="22">SUM(D77:D82)</f>
        <v>0</v>
      </c>
      <c r="E83" s="220">
        <f t="shared" si="22"/>
        <v>0</v>
      </c>
      <c r="F83" s="220">
        <f t="shared" si="22"/>
        <v>0</v>
      </c>
      <c r="G83" s="220">
        <f t="shared" si="22"/>
        <v>0</v>
      </c>
      <c r="H83" s="220">
        <f t="shared" si="22"/>
        <v>0</v>
      </c>
      <c r="I83" s="220">
        <f t="shared" si="22"/>
        <v>0</v>
      </c>
      <c r="J83" s="220">
        <f t="shared" si="22"/>
        <v>0</v>
      </c>
      <c r="K83" s="220">
        <f t="shared" si="22"/>
        <v>0</v>
      </c>
      <c r="L83" s="220">
        <f t="shared" si="22"/>
        <v>0</v>
      </c>
      <c r="M83" s="220">
        <f t="shared" si="22"/>
        <v>0</v>
      </c>
      <c r="N83" s="220">
        <f t="shared" si="22"/>
        <v>0</v>
      </c>
      <c r="O83" s="220">
        <f t="shared" si="22"/>
        <v>0</v>
      </c>
      <c r="P83" s="150"/>
    </row>
    <row r="85" spans="2:16" ht="15.75" x14ac:dyDescent="0.3">
      <c r="B85" s="100" t="s">
        <v>720</v>
      </c>
      <c r="C85" s="100"/>
      <c r="D85" s="100"/>
      <c r="E85" s="100"/>
      <c r="F85" s="100"/>
      <c r="G85" s="100"/>
      <c r="H85" s="100"/>
      <c r="I85" s="100"/>
      <c r="J85" s="100"/>
      <c r="K85" s="100"/>
      <c r="L85" s="100"/>
      <c r="M85" s="100"/>
      <c r="N85" s="100"/>
    </row>
    <row r="86" spans="2:16" ht="15.75" x14ac:dyDescent="0.3">
      <c r="B86" s="100" t="s">
        <v>721</v>
      </c>
      <c r="C86" s="100"/>
      <c r="D86" s="100"/>
      <c r="E86" s="100"/>
      <c r="F86" s="100"/>
      <c r="G86" s="100"/>
      <c r="H86" s="100"/>
      <c r="I86" s="100"/>
      <c r="J86" s="100"/>
      <c r="K86" s="100"/>
      <c r="L86" s="100"/>
      <c r="M86" s="100"/>
      <c r="N86" s="100"/>
    </row>
    <row r="87" spans="2:16" x14ac:dyDescent="0.2">
      <c r="B87" s="209" t="s">
        <v>210</v>
      </c>
      <c r="C87" s="100"/>
      <c r="D87" s="100"/>
      <c r="E87" s="100"/>
      <c r="F87" s="100"/>
      <c r="G87" s="100"/>
      <c r="H87" s="100"/>
      <c r="I87" s="100"/>
      <c r="J87" s="100"/>
      <c r="K87" s="100"/>
      <c r="L87" s="100"/>
      <c r="M87" s="100"/>
      <c r="N87" s="100"/>
    </row>
    <row r="88" spans="2:16" ht="15.75" x14ac:dyDescent="0.3">
      <c r="B88" s="209" t="s">
        <v>772</v>
      </c>
      <c r="C88" s="100"/>
      <c r="D88" s="100"/>
      <c r="E88" s="100"/>
      <c r="F88" s="100"/>
      <c r="G88" s="100"/>
      <c r="H88" s="100"/>
      <c r="I88" s="100"/>
      <c r="J88" s="100"/>
      <c r="K88" s="100"/>
      <c r="L88" s="100"/>
      <c r="M88" s="100"/>
      <c r="N88" s="100"/>
    </row>
    <row r="89" spans="2:16" ht="15.75" x14ac:dyDescent="0.3">
      <c r="B89" s="209" t="s">
        <v>773</v>
      </c>
      <c r="C89" s="100"/>
      <c r="D89" s="100"/>
      <c r="E89" s="100"/>
      <c r="F89" s="100"/>
      <c r="G89" s="100"/>
      <c r="H89" s="100"/>
      <c r="I89" s="100"/>
      <c r="J89" s="100"/>
      <c r="K89" s="100"/>
      <c r="L89" s="100"/>
      <c r="M89" s="100"/>
      <c r="N89" s="100"/>
    </row>
    <row r="90" spans="2:16" x14ac:dyDescent="0.2">
      <c r="B90" s="108" t="s">
        <v>774</v>
      </c>
    </row>
  </sheetData>
  <sheetProtection algorithmName="SHA-512" hashValue="9BmDD1jbd92qC4lfQ6e2bqRFNWbJaGpTOeHMft0lgKe5701DOk8McAv9Z1lDnFv+ji4Q0AZXMqhZXfpOAFKQ+Q==" saltValue="/hpCBncM8NP03bQDR/PTKg==" spinCount="100000" sheet="1" objects="1" scenarios="1"/>
  <pageMargins left="0.7" right="0.7" top="0.75" bottom="0.75" header="0.3" footer="0.3"/>
  <pageSetup scale="37" orientation="landscape" horizontalDpi="1200" verticalDpi="1200" r:id="rId1"/>
  <headerFooter>
    <oddFooter>&amp;L&amp;"Arial,Italic"&amp;8aq6-13  •  5/26/23&amp;C&amp;"Arial,Italic"&amp;8https://www.pca.state.mn.us  •  Available in alternative formats  •  651-296-6300  •  800-657-3864  •  Use your preferred relay service&amp;R&amp;"Arial,Italic"&amp;8Page &amp;P of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U293"/>
  <sheetViews>
    <sheetView showGridLines="0" zoomScaleNormal="100" workbookViewId="0">
      <selection activeCell="A3" sqref="A3"/>
    </sheetView>
  </sheetViews>
  <sheetFormatPr defaultRowHeight="12.75" x14ac:dyDescent="0.2"/>
  <cols>
    <col min="1" max="1" width="81.140625" style="100" customWidth="1"/>
    <col min="2" max="2" width="17.85546875" style="100" bestFit="1" customWidth="1"/>
    <col min="3" max="3" width="17.42578125" style="100" customWidth="1"/>
    <col min="4" max="4" width="21.42578125" style="100" bestFit="1" customWidth="1"/>
    <col min="5" max="5" width="20.140625" style="100" bestFit="1" customWidth="1"/>
    <col min="6" max="6" width="15.42578125" style="100" bestFit="1" customWidth="1"/>
    <col min="7" max="7" width="21.42578125" style="100" customWidth="1"/>
    <col min="8" max="8" width="15.42578125" style="100" customWidth="1"/>
    <col min="9" max="16384" width="9.140625" style="100"/>
  </cols>
  <sheetData>
    <row r="1" spans="1:5" ht="18.75" x14ac:dyDescent="0.3">
      <c r="A1" s="285" t="s">
        <v>91</v>
      </c>
    </row>
    <row r="3" spans="1:5" ht="14.25" x14ac:dyDescent="0.2">
      <c r="A3" s="99" t="s">
        <v>699</v>
      </c>
    </row>
    <row r="4" spans="1:5" x14ac:dyDescent="0.2">
      <c r="A4" s="337" t="s">
        <v>61</v>
      </c>
      <c r="B4" s="338"/>
      <c r="C4" s="335" t="s">
        <v>780</v>
      </c>
      <c r="D4" s="335"/>
      <c r="E4" s="335"/>
    </row>
    <row r="5" spans="1:5" x14ac:dyDescent="0.2">
      <c r="A5" s="339"/>
      <c r="B5" s="340"/>
      <c r="C5" s="335" t="s">
        <v>781</v>
      </c>
      <c r="D5" s="335"/>
      <c r="E5" s="335"/>
    </row>
    <row r="6" spans="1:5" x14ac:dyDescent="0.2">
      <c r="A6" s="341"/>
      <c r="B6" s="342"/>
      <c r="C6" s="287" t="s">
        <v>109</v>
      </c>
      <c r="D6" s="287" t="s">
        <v>110</v>
      </c>
      <c r="E6" s="287" t="s">
        <v>108</v>
      </c>
    </row>
    <row r="7" spans="1:5" x14ac:dyDescent="0.2">
      <c r="A7" s="102"/>
      <c r="B7" s="103"/>
      <c r="C7" s="101"/>
      <c r="D7" s="101"/>
      <c r="E7" s="101"/>
    </row>
    <row r="8" spans="1:5" x14ac:dyDescent="0.2">
      <c r="A8" s="104" t="s">
        <v>107</v>
      </c>
      <c r="B8" s="105"/>
      <c r="C8" s="101">
        <v>0.17</v>
      </c>
      <c r="D8" s="101">
        <v>0.25</v>
      </c>
      <c r="E8" s="101">
        <v>0.34</v>
      </c>
    </row>
    <row r="9" spans="1:5" x14ac:dyDescent="0.2">
      <c r="A9" s="104" t="s">
        <v>651</v>
      </c>
      <c r="B9" s="105"/>
      <c r="C9" s="101">
        <v>0.39</v>
      </c>
      <c r="D9" s="101">
        <v>0.44</v>
      </c>
      <c r="E9" s="101">
        <v>0.49</v>
      </c>
    </row>
    <row r="10" spans="1:5" x14ac:dyDescent="0.2">
      <c r="A10" s="104" t="s">
        <v>652</v>
      </c>
      <c r="B10" s="105"/>
      <c r="C10" s="106">
        <v>0.6</v>
      </c>
      <c r="D10" s="101">
        <v>0.64</v>
      </c>
      <c r="E10" s="101">
        <v>0.68</v>
      </c>
    </row>
    <row r="11" spans="1:5" x14ac:dyDescent="0.2">
      <c r="A11" s="104" t="s">
        <v>653</v>
      </c>
      <c r="B11" s="105"/>
      <c r="C11" s="101">
        <v>0.35</v>
      </c>
      <c r="D11" s="101">
        <v>0.42</v>
      </c>
      <c r="E11" s="101">
        <v>0.49</v>
      </c>
    </row>
    <row r="12" spans="1:5" ht="14.25" x14ac:dyDescent="0.2">
      <c r="A12" s="104" t="s">
        <v>90</v>
      </c>
      <c r="B12" s="107"/>
      <c r="C12" s="101">
        <v>0.97</v>
      </c>
      <c r="D12" s="101">
        <v>0.97</v>
      </c>
      <c r="E12" s="101">
        <v>0.97</v>
      </c>
    </row>
    <row r="13" spans="1:5" x14ac:dyDescent="0.2">
      <c r="A13" s="104" t="s">
        <v>85</v>
      </c>
      <c r="B13" s="105"/>
      <c r="C13" s="101">
        <v>0.57999999999999996</v>
      </c>
      <c r="D13" s="101">
        <v>0.62</v>
      </c>
      <c r="E13" s="101">
        <v>0.67</v>
      </c>
    </row>
    <row r="14" spans="1:5" x14ac:dyDescent="0.2">
      <c r="A14" s="104" t="s">
        <v>654</v>
      </c>
      <c r="B14" s="105"/>
      <c r="C14" s="101">
        <v>0.54</v>
      </c>
      <c r="D14" s="101">
        <v>0.57999999999999996</v>
      </c>
      <c r="E14" s="101">
        <v>0.63</v>
      </c>
    </row>
    <row r="15" spans="1:5" x14ac:dyDescent="0.2">
      <c r="A15" s="104" t="s">
        <v>655</v>
      </c>
      <c r="B15" s="105"/>
      <c r="C15" s="101">
        <v>0.68</v>
      </c>
      <c r="D15" s="101">
        <v>0.71</v>
      </c>
      <c r="E15" s="101">
        <v>0.74</v>
      </c>
    </row>
    <row r="16" spans="1:5" x14ac:dyDescent="0.2">
      <c r="A16" s="104" t="s">
        <v>656</v>
      </c>
      <c r="B16" s="105"/>
      <c r="C16" s="101">
        <v>0.89</v>
      </c>
      <c r="D16" s="106">
        <v>0.9</v>
      </c>
      <c r="E16" s="101">
        <v>0.91</v>
      </c>
    </row>
    <row r="17" spans="1:5" x14ac:dyDescent="0.2">
      <c r="A17" s="104" t="s">
        <v>657</v>
      </c>
      <c r="B17" s="105"/>
      <c r="C17" s="101">
        <v>0.89</v>
      </c>
      <c r="D17" s="106">
        <v>0.9</v>
      </c>
      <c r="E17" s="101">
        <v>0.91</v>
      </c>
    </row>
    <row r="18" spans="1:5" x14ac:dyDescent="0.2">
      <c r="A18" s="104" t="s">
        <v>658</v>
      </c>
      <c r="B18" s="105"/>
      <c r="C18" s="101">
        <v>0.38</v>
      </c>
      <c r="D18" s="101">
        <v>0.44</v>
      </c>
      <c r="E18" s="106">
        <v>0.5</v>
      </c>
    </row>
    <row r="19" spans="1:5" x14ac:dyDescent="0.2">
      <c r="A19" s="104" t="s">
        <v>86</v>
      </c>
      <c r="B19" s="105"/>
      <c r="C19" s="101">
        <v>0.43</v>
      </c>
      <c r="D19" s="101">
        <v>0.49</v>
      </c>
      <c r="E19" s="101">
        <v>0.55000000000000004</v>
      </c>
    </row>
    <row r="20" spans="1:5" x14ac:dyDescent="0.2">
      <c r="A20" s="104" t="s">
        <v>659</v>
      </c>
      <c r="B20" s="105" t="s">
        <v>111</v>
      </c>
      <c r="C20" s="106">
        <v>0.1</v>
      </c>
      <c r="D20" s="101">
        <v>0.12</v>
      </c>
      <c r="E20" s="101">
        <v>0.15</v>
      </c>
    </row>
    <row r="21" spans="1:5" ht="15" customHeight="1" x14ac:dyDescent="0.2"/>
    <row r="22" spans="1:5" ht="15" customHeight="1" x14ac:dyDescent="0.2">
      <c r="A22" s="99" t="s">
        <v>62</v>
      </c>
    </row>
    <row r="23" spans="1:5" ht="15" customHeight="1" x14ac:dyDescent="0.2">
      <c r="A23" s="108" t="s">
        <v>112</v>
      </c>
    </row>
    <row r="24" spans="1:5" ht="15" customHeight="1" x14ac:dyDescent="0.2">
      <c r="A24" s="108" t="s">
        <v>775</v>
      </c>
    </row>
    <row r="25" spans="1:5" ht="15" customHeight="1" x14ac:dyDescent="0.2">
      <c r="A25" s="343" t="s">
        <v>776</v>
      </c>
      <c r="B25" s="343"/>
      <c r="C25" s="343"/>
      <c r="D25" s="343"/>
      <c r="E25" s="343"/>
    </row>
    <row r="26" spans="1:5" ht="15" customHeight="1" x14ac:dyDescent="0.2">
      <c r="A26" s="343"/>
      <c r="B26" s="343"/>
      <c r="C26" s="343"/>
      <c r="D26" s="343"/>
      <c r="E26" s="343"/>
    </row>
    <row r="27" spans="1:5" ht="15" customHeight="1" x14ac:dyDescent="0.2">
      <c r="A27" s="108" t="s">
        <v>113</v>
      </c>
    </row>
    <row r="28" spans="1:5" ht="15" customHeight="1" x14ac:dyDescent="0.2">
      <c r="A28" s="108" t="s">
        <v>114</v>
      </c>
    </row>
    <row r="29" spans="1:5" ht="15" customHeight="1" x14ac:dyDescent="0.2">
      <c r="A29" s="353" t="s">
        <v>660</v>
      </c>
      <c r="B29" s="353"/>
      <c r="C29" s="353"/>
      <c r="D29" s="353"/>
      <c r="E29" s="353"/>
    </row>
    <row r="30" spans="1:5" ht="15" customHeight="1" x14ac:dyDescent="0.2">
      <c r="A30" s="353"/>
      <c r="B30" s="353"/>
      <c r="C30" s="353"/>
      <c r="D30" s="353"/>
      <c r="E30" s="353"/>
    </row>
    <row r="31" spans="1:5" ht="15" customHeight="1" x14ac:dyDescent="0.2">
      <c r="A31" s="353"/>
      <c r="B31" s="353"/>
      <c r="C31" s="353"/>
      <c r="D31" s="353"/>
      <c r="E31" s="353"/>
    </row>
    <row r="32" spans="1:5" ht="15" customHeight="1" x14ac:dyDescent="0.2">
      <c r="A32" s="353"/>
      <c r="B32" s="353"/>
      <c r="C32" s="353"/>
      <c r="D32" s="353"/>
      <c r="E32" s="353"/>
    </row>
    <row r="34" spans="1:21" ht="15" x14ac:dyDescent="0.25">
      <c r="A34" s="109" t="s">
        <v>741</v>
      </c>
      <c r="B34" s="109"/>
      <c r="C34" s="109"/>
      <c r="D34" s="109"/>
      <c r="E34" s="109"/>
      <c r="F34" s="109"/>
      <c r="G34" s="109"/>
      <c r="H34" s="109"/>
      <c r="I34" s="109"/>
      <c r="J34" s="109"/>
      <c r="K34" s="109"/>
      <c r="L34" s="109"/>
      <c r="M34" s="109"/>
      <c r="N34" s="109"/>
      <c r="O34" s="109"/>
      <c r="P34" s="109"/>
    </row>
    <row r="35" spans="1:21" x14ac:dyDescent="0.2">
      <c r="A35" s="357" t="s">
        <v>63</v>
      </c>
      <c r="B35" s="335" t="s">
        <v>68</v>
      </c>
      <c r="C35" s="335"/>
      <c r="D35" s="335" t="s">
        <v>782</v>
      </c>
      <c r="E35" s="335"/>
      <c r="F35" s="335"/>
      <c r="G35" s="335"/>
      <c r="H35" s="335"/>
      <c r="I35" s="335"/>
      <c r="J35" s="335"/>
      <c r="K35" s="335"/>
      <c r="L35" s="335"/>
      <c r="M35" s="335"/>
      <c r="N35" s="335"/>
      <c r="O35" s="335"/>
      <c r="P35" s="355" t="s">
        <v>783</v>
      </c>
      <c r="Q35" s="335" t="s">
        <v>63</v>
      </c>
      <c r="R35" s="335"/>
      <c r="S35" s="335"/>
      <c r="T35" s="335" t="s">
        <v>68</v>
      </c>
      <c r="U35" s="335"/>
    </row>
    <row r="36" spans="1:21" x14ac:dyDescent="0.2">
      <c r="A36" s="357"/>
      <c r="B36" s="288" t="s">
        <v>66</v>
      </c>
      <c r="C36" s="288" t="s">
        <v>67</v>
      </c>
      <c r="D36" s="287" t="s">
        <v>69</v>
      </c>
      <c r="E36" s="287" t="s">
        <v>70</v>
      </c>
      <c r="F36" s="287" t="s">
        <v>72</v>
      </c>
      <c r="G36" s="287" t="s">
        <v>73</v>
      </c>
      <c r="H36" s="287" t="s">
        <v>71</v>
      </c>
      <c r="I36" s="287" t="s">
        <v>74</v>
      </c>
      <c r="J36" s="287" t="s">
        <v>75</v>
      </c>
      <c r="K36" s="287" t="s">
        <v>76</v>
      </c>
      <c r="L36" s="287" t="s">
        <v>77</v>
      </c>
      <c r="M36" s="287" t="s">
        <v>78</v>
      </c>
      <c r="N36" s="287" t="s">
        <v>79</v>
      </c>
      <c r="O36" s="287" t="s">
        <v>80</v>
      </c>
      <c r="P36" s="356"/>
      <c r="Q36" s="335"/>
      <c r="R36" s="335"/>
      <c r="S36" s="335"/>
      <c r="T36" s="288" t="s">
        <v>66</v>
      </c>
      <c r="U36" s="288" t="s">
        <v>67</v>
      </c>
    </row>
    <row r="37" spans="1:21" ht="18" customHeight="1" x14ac:dyDescent="0.2">
      <c r="A37" s="101"/>
      <c r="B37" s="110"/>
      <c r="C37" s="110"/>
      <c r="D37" s="101"/>
      <c r="E37" s="101"/>
      <c r="F37" s="101"/>
      <c r="G37" s="101"/>
      <c r="H37" s="101"/>
      <c r="I37" s="101"/>
      <c r="J37" s="101"/>
      <c r="K37" s="101"/>
      <c r="L37" s="101"/>
      <c r="M37" s="101"/>
      <c r="N37" s="101"/>
      <c r="O37" s="101"/>
      <c r="P37" s="111"/>
      <c r="Q37" s="101"/>
      <c r="R37" s="101"/>
      <c r="S37" s="101"/>
      <c r="T37" s="110"/>
      <c r="U37" s="110"/>
    </row>
    <row r="38" spans="1:21" ht="18" customHeight="1" x14ac:dyDescent="0.3">
      <c r="A38" s="112" t="s">
        <v>127</v>
      </c>
      <c r="B38" s="110" t="s">
        <v>661</v>
      </c>
      <c r="C38" s="110" t="s">
        <v>141</v>
      </c>
      <c r="D38" s="113">
        <v>2.6</v>
      </c>
      <c r="E38" s="113">
        <v>7.1</v>
      </c>
      <c r="F38" s="113">
        <v>18.2</v>
      </c>
      <c r="G38" s="113">
        <v>30.7</v>
      </c>
      <c r="H38" s="113">
        <v>41.4</v>
      </c>
      <c r="I38" s="113">
        <v>50.6</v>
      </c>
      <c r="J38" s="113">
        <v>55.9</v>
      </c>
      <c r="K38" s="113">
        <v>55.4</v>
      </c>
      <c r="L38" s="113">
        <v>47.2</v>
      </c>
      <c r="M38" s="113">
        <v>35.700000000000003</v>
      </c>
      <c r="N38" s="113">
        <v>23</v>
      </c>
      <c r="O38" s="113">
        <v>9.4</v>
      </c>
      <c r="P38" s="113">
        <v>31.4</v>
      </c>
      <c r="Q38" s="374" t="s">
        <v>116</v>
      </c>
      <c r="R38" s="374"/>
      <c r="S38" s="374"/>
      <c r="T38" s="110" t="s">
        <v>661</v>
      </c>
      <c r="U38" s="110" t="s">
        <v>141</v>
      </c>
    </row>
    <row r="39" spans="1:21" ht="18" customHeight="1" x14ac:dyDescent="0.3">
      <c r="A39" s="112" t="s">
        <v>128</v>
      </c>
      <c r="B39" s="110" t="s">
        <v>661</v>
      </c>
      <c r="C39" s="110" t="s">
        <v>141</v>
      </c>
      <c r="D39" s="113">
        <v>-4.5</v>
      </c>
      <c r="E39" s="113">
        <v>0.3</v>
      </c>
      <c r="F39" s="113">
        <v>13.7</v>
      </c>
      <c r="G39" s="113">
        <v>28.4</v>
      </c>
      <c r="H39" s="113">
        <v>39.799999999999997</v>
      </c>
      <c r="I39" s="113">
        <v>50</v>
      </c>
      <c r="J39" s="113">
        <v>53.4</v>
      </c>
      <c r="K39" s="113">
        <v>51.8</v>
      </c>
      <c r="L39" s="113">
        <v>43.2</v>
      </c>
      <c r="M39" s="113">
        <v>32.5</v>
      </c>
      <c r="N39" s="113">
        <v>19.399999999999999</v>
      </c>
      <c r="O39" s="113">
        <v>3.7</v>
      </c>
      <c r="P39" s="113">
        <v>27.6</v>
      </c>
      <c r="Q39" s="374" t="s">
        <v>117</v>
      </c>
      <c r="R39" s="374"/>
      <c r="S39" s="374"/>
      <c r="T39" s="110" t="s">
        <v>661</v>
      </c>
      <c r="U39" s="110" t="s">
        <v>141</v>
      </c>
    </row>
    <row r="40" spans="1:21" ht="18" customHeight="1" x14ac:dyDescent="0.3">
      <c r="A40" s="114" t="s">
        <v>129</v>
      </c>
      <c r="B40" s="110" t="s">
        <v>661</v>
      </c>
      <c r="C40" s="110" t="s">
        <v>141</v>
      </c>
      <c r="D40" s="113">
        <v>8.3000000000000007</v>
      </c>
      <c r="E40" s="113">
        <v>13.6</v>
      </c>
      <c r="F40" s="113">
        <v>24.6</v>
      </c>
      <c r="G40" s="113">
        <v>37.9</v>
      </c>
      <c r="H40" s="113">
        <v>49.6</v>
      </c>
      <c r="I40" s="113">
        <v>59.7</v>
      </c>
      <c r="J40" s="113">
        <v>64.5</v>
      </c>
      <c r="K40" s="113">
        <v>62.5</v>
      </c>
      <c r="L40" s="113">
        <v>53.3</v>
      </c>
      <c r="M40" s="113">
        <v>40.9</v>
      </c>
      <c r="N40" s="113">
        <v>27.5</v>
      </c>
      <c r="O40" s="113">
        <v>14.4</v>
      </c>
      <c r="P40" s="113">
        <v>38.1</v>
      </c>
      <c r="Q40" s="375" t="s">
        <v>64</v>
      </c>
      <c r="R40" s="375"/>
      <c r="S40" s="375"/>
      <c r="T40" s="110" t="s">
        <v>661</v>
      </c>
      <c r="U40" s="110" t="s">
        <v>141</v>
      </c>
    </row>
    <row r="41" spans="1:21" ht="18" customHeight="1" x14ac:dyDescent="0.3">
      <c r="A41" s="114" t="s">
        <v>130</v>
      </c>
      <c r="B41" s="110" t="s">
        <v>661</v>
      </c>
      <c r="C41" s="110" t="s">
        <v>141</v>
      </c>
      <c r="D41" s="113">
        <v>7.3</v>
      </c>
      <c r="E41" s="113">
        <v>12.2</v>
      </c>
      <c r="F41" s="113">
        <v>23.6</v>
      </c>
      <c r="G41" s="113">
        <v>36</v>
      </c>
      <c r="H41" s="113">
        <v>47.4</v>
      </c>
      <c r="I41" s="113">
        <v>57.5</v>
      </c>
      <c r="J41" s="113">
        <v>60.7</v>
      </c>
      <c r="K41" s="113">
        <v>58.8</v>
      </c>
      <c r="L41" s="113">
        <v>50.1</v>
      </c>
      <c r="M41" s="113">
        <v>38.6</v>
      </c>
      <c r="N41" s="113">
        <v>26.2</v>
      </c>
      <c r="O41" s="113">
        <v>13.3</v>
      </c>
      <c r="P41" s="113">
        <v>36</v>
      </c>
      <c r="Q41" s="375" t="s">
        <v>118</v>
      </c>
      <c r="R41" s="375"/>
      <c r="S41" s="375"/>
      <c r="T41" s="110" t="s">
        <v>661</v>
      </c>
      <c r="U41" s="110" t="s">
        <v>141</v>
      </c>
    </row>
    <row r="42" spans="1:21" ht="18" customHeight="1" x14ac:dyDescent="0.3">
      <c r="A42" s="114" t="s">
        <v>131</v>
      </c>
      <c r="B42" s="110" t="s">
        <v>661</v>
      </c>
      <c r="C42" s="110" t="s">
        <v>141</v>
      </c>
      <c r="D42" s="113">
        <v>2.8</v>
      </c>
      <c r="E42" s="113">
        <v>7.8</v>
      </c>
      <c r="F42" s="113">
        <v>20.100000000000001</v>
      </c>
      <c r="G42" s="113">
        <v>33.1</v>
      </c>
      <c r="H42" s="113">
        <v>44.5</v>
      </c>
      <c r="I42" s="113">
        <v>54.8</v>
      </c>
      <c r="J42" s="113">
        <v>58.6</v>
      </c>
      <c r="K42" s="113">
        <v>56.5</v>
      </c>
      <c r="L42" s="113">
        <v>47.6</v>
      </c>
      <c r="M42" s="113">
        <v>35.9</v>
      </c>
      <c r="N42" s="113">
        <v>23.1</v>
      </c>
      <c r="O42" s="113">
        <v>9.6</v>
      </c>
      <c r="P42" s="113">
        <v>32.9</v>
      </c>
      <c r="Q42" s="375" t="s">
        <v>119</v>
      </c>
      <c r="R42" s="375"/>
      <c r="S42" s="375"/>
      <c r="T42" s="110" t="s">
        <v>661</v>
      </c>
      <c r="U42" s="110" t="s">
        <v>141</v>
      </c>
    </row>
    <row r="43" spans="1:21" ht="18" customHeight="1" x14ac:dyDescent="0.3">
      <c r="A43" s="114" t="s">
        <v>132</v>
      </c>
      <c r="B43" s="110" t="s">
        <v>661</v>
      </c>
      <c r="C43" s="110" t="s">
        <v>141</v>
      </c>
      <c r="D43" s="113">
        <v>7.8</v>
      </c>
      <c r="E43" s="113">
        <v>12.9</v>
      </c>
      <c r="F43" s="113">
        <v>24.1</v>
      </c>
      <c r="G43" s="113">
        <v>35.700000000000003</v>
      </c>
      <c r="H43" s="113">
        <v>47.4</v>
      </c>
      <c r="I43" s="113">
        <v>57.7</v>
      </c>
      <c r="J43" s="113">
        <v>61</v>
      </c>
      <c r="K43" s="113">
        <v>58.6</v>
      </c>
      <c r="L43" s="113">
        <v>48.9</v>
      </c>
      <c r="M43" s="113">
        <v>37.700000000000003</v>
      </c>
      <c r="N43" s="113">
        <v>25.5</v>
      </c>
      <c r="O43" s="113">
        <v>13.5</v>
      </c>
      <c r="P43" s="113">
        <v>35.9</v>
      </c>
      <c r="Q43" s="375" t="s">
        <v>115</v>
      </c>
      <c r="R43" s="375"/>
      <c r="S43" s="375"/>
      <c r="T43" s="110" t="s">
        <v>661</v>
      </c>
      <c r="U43" s="110" t="s">
        <v>141</v>
      </c>
    </row>
    <row r="44" spans="1:21" ht="18" customHeight="1" x14ac:dyDescent="0.3">
      <c r="A44" s="114" t="s">
        <v>133</v>
      </c>
      <c r="B44" s="110" t="s">
        <v>661</v>
      </c>
      <c r="C44" s="110" t="s">
        <v>141</v>
      </c>
      <c r="D44" s="113">
        <v>0.3</v>
      </c>
      <c r="E44" s="113">
        <v>5.7</v>
      </c>
      <c r="F44" s="113">
        <v>19.3</v>
      </c>
      <c r="G44" s="113">
        <v>33.5</v>
      </c>
      <c r="H44" s="113">
        <v>45.3</v>
      </c>
      <c r="I44" s="113">
        <v>56</v>
      </c>
      <c r="J44" s="113">
        <v>59.6</v>
      </c>
      <c r="K44" s="113">
        <v>57.8</v>
      </c>
      <c r="L44" s="113">
        <v>48.6</v>
      </c>
      <c r="M44" s="113">
        <v>36.1</v>
      </c>
      <c r="N44" s="113">
        <v>21.6</v>
      </c>
      <c r="O44" s="113">
        <v>7.9</v>
      </c>
      <c r="P44" s="113">
        <v>32.6</v>
      </c>
      <c r="Q44" s="375" t="s">
        <v>120</v>
      </c>
      <c r="R44" s="375"/>
      <c r="S44" s="375"/>
      <c r="T44" s="110" t="s">
        <v>661</v>
      </c>
      <c r="U44" s="110" t="s">
        <v>141</v>
      </c>
    </row>
    <row r="45" spans="1:21" ht="18" customHeight="1" x14ac:dyDescent="0.3">
      <c r="A45" s="114" t="s">
        <v>134</v>
      </c>
      <c r="B45" s="110" t="s">
        <v>661</v>
      </c>
      <c r="C45" s="110" t="s">
        <v>141</v>
      </c>
      <c r="D45" s="113">
        <v>7.9</v>
      </c>
      <c r="E45" s="113">
        <v>13.1</v>
      </c>
      <c r="F45" s="113">
        <v>23.5</v>
      </c>
      <c r="G45" s="113">
        <v>35.4</v>
      </c>
      <c r="H45" s="113">
        <v>47.2</v>
      </c>
      <c r="I45" s="113">
        <v>57.9</v>
      </c>
      <c r="J45" s="113">
        <v>62.5</v>
      </c>
      <c r="K45" s="113">
        <v>60.6</v>
      </c>
      <c r="L45" s="113">
        <v>50.6</v>
      </c>
      <c r="M45" s="113">
        <v>37.799999999999997</v>
      </c>
      <c r="N45" s="113">
        <v>24.2</v>
      </c>
      <c r="O45" s="113">
        <v>12.7</v>
      </c>
      <c r="P45" s="113">
        <v>36.1</v>
      </c>
      <c r="Q45" s="375" t="s">
        <v>83</v>
      </c>
      <c r="R45" s="375"/>
      <c r="S45" s="375"/>
      <c r="T45" s="110" t="s">
        <v>661</v>
      </c>
      <c r="U45" s="110" t="s">
        <v>141</v>
      </c>
    </row>
    <row r="46" spans="1:21" ht="18" customHeight="1" x14ac:dyDescent="0.3">
      <c r="A46" s="114" t="s">
        <v>135</v>
      </c>
      <c r="B46" s="110" t="s">
        <v>661</v>
      </c>
      <c r="C46" s="110" t="s">
        <v>141</v>
      </c>
      <c r="D46" s="113">
        <v>9.9</v>
      </c>
      <c r="E46" s="113">
        <v>15</v>
      </c>
      <c r="F46" s="113">
        <v>25.7</v>
      </c>
      <c r="G46" s="113">
        <v>38.700000000000003</v>
      </c>
      <c r="H46" s="113">
        <v>49.5</v>
      </c>
      <c r="I46" s="113">
        <v>59.6</v>
      </c>
      <c r="J46" s="113">
        <v>63.6</v>
      </c>
      <c r="K46" s="113">
        <v>61.9</v>
      </c>
      <c r="L46" s="113">
        <v>53.2</v>
      </c>
      <c r="M46" s="113">
        <v>41.6</v>
      </c>
      <c r="N46" s="113">
        <v>29.3</v>
      </c>
      <c r="O46" s="113">
        <v>16.5</v>
      </c>
      <c r="P46" s="113">
        <v>38.700000000000003</v>
      </c>
      <c r="Q46" s="375" t="s">
        <v>121</v>
      </c>
      <c r="R46" s="375"/>
      <c r="S46" s="375"/>
      <c r="T46" s="110" t="s">
        <v>661</v>
      </c>
      <c r="U46" s="110" t="s">
        <v>141</v>
      </c>
    </row>
    <row r="47" spans="1:21" ht="18" customHeight="1" x14ac:dyDescent="0.3">
      <c r="A47" s="112" t="s">
        <v>127</v>
      </c>
      <c r="B47" s="110" t="s">
        <v>662</v>
      </c>
      <c r="C47" s="110" t="s">
        <v>141</v>
      </c>
      <c r="D47" s="113">
        <v>18.5</v>
      </c>
      <c r="E47" s="113">
        <v>23.9</v>
      </c>
      <c r="F47" s="113">
        <v>34.299999999999997</v>
      </c>
      <c r="G47" s="113">
        <v>48</v>
      </c>
      <c r="H47" s="113">
        <v>61</v>
      </c>
      <c r="I47" s="113">
        <v>69.8</v>
      </c>
      <c r="J47" s="113">
        <v>74.7</v>
      </c>
      <c r="K47" s="113">
        <v>73.599999999999994</v>
      </c>
      <c r="L47" s="113">
        <v>64.7</v>
      </c>
      <c r="M47" s="113">
        <v>51</v>
      </c>
      <c r="N47" s="113">
        <v>35.6</v>
      </c>
      <c r="O47" s="113">
        <v>23</v>
      </c>
      <c r="P47" s="115">
        <v>48.2</v>
      </c>
      <c r="Q47" s="374" t="s">
        <v>116</v>
      </c>
      <c r="R47" s="374"/>
      <c r="S47" s="374"/>
      <c r="T47" s="110" t="s">
        <v>662</v>
      </c>
      <c r="U47" s="110" t="s">
        <v>141</v>
      </c>
    </row>
    <row r="48" spans="1:21" ht="18" customHeight="1" x14ac:dyDescent="0.3">
      <c r="A48" s="112" t="s">
        <v>128</v>
      </c>
      <c r="B48" s="110" t="s">
        <v>662</v>
      </c>
      <c r="C48" s="110" t="s">
        <v>141</v>
      </c>
      <c r="D48" s="113">
        <v>15</v>
      </c>
      <c r="E48" s="113">
        <v>21.9</v>
      </c>
      <c r="F48" s="113">
        <v>34.5</v>
      </c>
      <c r="G48" s="113">
        <v>50.4</v>
      </c>
      <c r="H48" s="113">
        <v>63.3</v>
      </c>
      <c r="I48" s="113">
        <v>72.400000000000006</v>
      </c>
      <c r="J48" s="113">
        <v>76.2</v>
      </c>
      <c r="K48" s="113">
        <v>75</v>
      </c>
      <c r="L48" s="113">
        <v>65.400000000000006</v>
      </c>
      <c r="M48" s="113">
        <v>50.6</v>
      </c>
      <c r="N48" s="113">
        <v>33.799999999999997</v>
      </c>
      <c r="O48" s="113">
        <v>20</v>
      </c>
      <c r="P48" s="115">
        <v>48.2</v>
      </c>
      <c r="Q48" s="374" t="s">
        <v>117</v>
      </c>
      <c r="R48" s="374"/>
      <c r="S48" s="374"/>
      <c r="T48" s="110" t="s">
        <v>662</v>
      </c>
      <c r="U48" s="110" t="s">
        <v>141</v>
      </c>
    </row>
    <row r="49" spans="1:21" ht="18" customHeight="1" x14ac:dyDescent="0.3">
      <c r="A49" s="114" t="s">
        <v>129</v>
      </c>
      <c r="B49" s="110" t="s">
        <v>662</v>
      </c>
      <c r="C49" s="110" t="s">
        <v>141</v>
      </c>
      <c r="D49" s="113">
        <v>22.8</v>
      </c>
      <c r="E49" s="113">
        <v>28.5</v>
      </c>
      <c r="F49" s="113">
        <v>40.6</v>
      </c>
      <c r="G49" s="113">
        <v>56.7</v>
      </c>
      <c r="H49" s="113">
        <v>68.3</v>
      </c>
      <c r="I49" s="113">
        <v>77.8</v>
      </c>
      <c r="J49" s="113">
        <v>81.900000000000006</v>
      </c>
      <c r="K49" s="113">
        <v>79.8</v>
      </c>
      <c r="L49" s="113">
        <v>71.5</v>
      </c>
      <c r="M49" s="113">
        <v>57.8</v>
      </c>
      <c r="N49" s="113">
        <v>41</v>
      </c>
      <c r="O49" s="113">
        <v>27.7</v>
      </c>
      <c r="P49" s="113">
        <v>54.5</v>
      </c>
      <c r="Q49" s="375" t="s">
        <v>64</v>
      </c>
      <c r="R49" s="375"/>
      <c r="S49" s="375"/>
      <c r="T49" s="110" t="s">
        <v>662</v>
      </c>
      <c r="U49" s="110" t="s">
        <v>141</v>
      </c>
    </row>
    <row r="50" spans="1:21" ht="18" customHeight="1" x14ac:dyDescent="0.3">
      <c r="A50" s="114" t="s">
        <v>130</v>
      </c>
      <c r="B50" s="110" t="s">
        <v>662</v>
      </c>
      <c r="C50" s="110" t="s">
        <v>141</v>
      </c>
      <c r="D50" s="113">
        <v>21.8</v>
      </c>
      <c r="E50" s="113">
        <v>26.8</v>
      </c>
      <c r="F50" s="113">
        <v>39.1</v>
      </c>
      <c r="G50" s="113">
        <v>55.3</v>
      </c>
      <c r="H50" s="113">
        <v>67</v>
      </c>
      <c r="I50" s="113">
        <v>76.400000000000006</v>
      </c>
      <c r="J50" s="113">
        <v>79</v>
      </c>
      <c r="K50" s="113">
        <v>77</v>
      </c>
      <c r="L50" s="113">
        <v>70.3</v>
      </c>
      <c r="M50" s="113">
        <v>57.4</v>
      </c>
      <c r="N50" s="113">
        <v>40.700000000000003</v>
      </c>
      <c r="O50" s="113">
        <v>27.1</v>
      </c>
      <c r="P50" s="113">
        <v>53.2</v>
      </c>
      <c r="Q50" s="375" t="s">
        <v>118</v>
      </c>
      <c r="R50" s="375"/>
      <c r="S50" s="375"/>
      <c r="T50" s="110" t="s">
        <v>662</v>
      </c>
      <c r="U50" s="110" t="s">
        <v>141</v>
      </c>
    </row>
    <row r="51" spans="1:21" ht="18" customHeight="1" x14ac:dyDescent="0.3">
      <c r="A51" s="114" t="s">
        <v>131</v>
      </c>
      <c r="B51" s="110" t="s">
        <v>662</v>
      </c>
      <c r="C51" s="110" t="s">
        <v>141</v>
      </c>
      <c r="D51" s="113">
        <v>20.399999999999999</v>
      </c>
      <c r="E51" s="113">
        <v>26.3</v>
      </c>
      <c r="F51" s="113">
        <v>38.200000000000003</v>
      </c>
      <c r="G51" s="113">
        <v>55</v>
      </c>
      <c r="H51" s="113">
        <v>67.599999999999994</v>
      </c>
      <c r="I51" s="113">
        <v>76.400000000000006</v>
      </c>
      <c r="J51" s="113">
        <v>80.7</v>
      </c>
      <c r="K51" s="113">
        <v>78.8</v>
      </c>
      <c r="L51" s="113">
        <v>70.3</v>
      </c>
      <c r="M51" s="113">
        <v>56.2</v>
      </c>
      <c r="N51" s="113">
        <v>38.9</v>
      </c>
      <c r="O51" s="113">
        <v>25.4</v>
      </c>
      <c r="P51" s="113">
        <v>52.9</v>
      </c>
      <c r="Q51" s="375" t="s">
        <v>119</v>
      </c>
      <c r="R51" s="375"/>
      <c r="S51" s="375"/>
      <c r="T51" s="110" t="s">
        <v>662</v>
      </c>
      <c r="U51" s="110" t="s">
        <v>141</v>
      </c>
    </row>
    <row r="52" spans="1:21" ht="18" customHeight="1" x14ac:dyDescent="0.3">
      <c r="A52" s="114" t="s">
        <v>132</v>
      </c>
      <c r="B52" s="110" t="s">
        <v>662</v>
      </c>
      <c r="C52" s="110" t="s">
        <v>141</v>
      </c>
      <c r="D52" s="113">
        <v>23.6</v>
      </c>
      <c r="E52" s="113">
        <v>29</v>
      </c>
      <c r="F52" s="113">
        <v>41.6</v>
      </c>
      <c r="G52" s="113">
        <v>57.7</v>
      </c>
      <c r="H52" s="113">
        <v>68.900000000000006</v>
      </c>
      <c r="I52" s="113">
        <v>78.5</v>
      </c>
      <c r="J52" s="113">
        <v>81.599999999999994</v>
      </c>
      <c r="K52" s="113">
        <v>79.400000000000006</v>
      </c>
      <c r="L52" s="113">
        <v>72.900000000000006</v>
      </c>
      <c r="M52" s="113">
        <v>59.8</v>
      </c>
      <c r="N52" s="113">
        <v>42.9</v>
      </c>
      <c r="O52" s="113">
        <v>28.7</v>
      </c>
      <c r="P52" s="113">
        <v>55.4</v>
      </c>
      <c r="Q52" s="375" t="s">
        <v>115</v>
      </c>
      <c r="R52" s="375"/>
      <c r="S52" s="375"/>
      <c r="T52" s="110" t="s">
        <v>662</v>
      </c>
      <c r="U52" s="110" t="s">
        <v>141</v>
      </c>
    </row>
    <row r="53" spans="1:21" ht="18" customHeight="1" x14ac:dyDescent="0.3">
      <c r="A53" s="114" t="s">
        <v>133</v>
      </c>
      <c r="B53" s="110" t="s">
        <v>662</v>
      </c>
      <c r="C53" s="110" t="s">
        <v>141</v>
      </c>
      <c r="D53" s="113">
        <v>16.7</v>
      </c>
      <c r="E53" s="113">
        <v>22.7</v>
      </c>
      <c r="F53" s="113">
        <v>35.200000000000003</v>
      </c>
      <c r="G53" s="113">
        <v>54.3</v>
      </c>
      <c r="H53" s="113">
        <v>67.599999999999994</v>
      </c>
      <c r="I53" s="113">
        <v>76.3</v>
      </c>
      <c r="J53" s="113">
        <v>80.5</v>
      </c>
      <c r="K53" s="113">
        <v>80</v>
      </c>
      <c r="L53" s="113">
        <v>70.8</v>
      </c>
      <c r="M53" s="113">
        <v>55.2</v>
      </c>
      <c r="N53" s="113">
        <v>37.1</v>
      </c>
      <c r="O53" s="113">
        <v>22.7</v>
      </c>
      <c r="P53" s="113">
        <v>51.6</v>
      </c>
      <c r="Q53" s="375" t="s">
        <v>120</v>
      </c>
      <c r="R53" s="375"/>
      <c r="S53" s="375"/>
      <c r="T53" s="110" t="s">
        <v>662</v>
      </c>
      <c r="U53" s="110" t="s">
        <v>141</v>
      </c>
    </row>
    <row r="54" spans="1:21" ht="18" customHeight="1" x14ac:dyDescent="0.3">
      <c r="A54" s="114" t="s">
        <v>134</v>
      </c>
      <c r="B54" s="110" t="s">
        <v>662</v>
      </c>
      <c r="C54" s="110" t="s">
        <v>141</v>
      </c>
      <c r="D54" s="113">
        <v>25.2</v>
      </c>
      <c r="E54" s="113">
        <v>31.2</v>
      </c>
      <c r="F54" s="113">
        <v>42.5</v>
      </c>
      <c r="G54" s="113">
        <v>57.5</v>
      </c>
      <c r="H54" s="113">
        <v>68.900000000000006</v>
      </c>
      <c r="I54" s="113">
        <v>78.400000000000006</v>
      </c>
      <c r="J54" s="113">
        <v>82.9</v>
      </c>
      <c r="K54" s="113">
        <v>81</v>
      </c>
      <c r="L54" s="113">
        <v>73.2</v>
      </c>
      <c r="M54" s="113">
        <v>59.6</v>
      </c>
      <c r="N54" s="113">
        <v>42.7</v>
      </c>
      <c r="O54" s="113">
        <v>29.4</v>
      </c>
      <c r="P54" s="113">
        <v>56</v>
      </c>
      <c r="Q54" s="375" t="s">
        <v>83</v>
      </c>
      <c r="R54" s="375"/>
      <c r="S54" s="375"/>
      <c r="T54" s="110" t="s">
        <v>662</v>
      </c>
      <c r="U54" s="110" t="s">
        <v>141</v>
      </c>
    </row>
    <row r="55" spans="1:21" ht="18" customHeight="1" x14ac:dyDescent="0.3">
      <c r="A55" s="114" t="s">
        <v>135</v>
      </c>
      <c r="B55" s="110" t="s">
        <v>662</v>
      </c>
      <c r="C55" s="110" t="s">
        <v>141</v>
      </c>
      <c r="D55" s="113">
        <v>25.6</v>
      </c>
      <c r="E55" s="113">
        <v>31.4</v>
      </c>
      <c r="F55" s="113">
        <v>43.7</v>
      </c>
      <c r="G55" s="113">
        <v>58.7</v>
      </c>
      <c r="H55" s="113">
        <v>70.099999999999994</v>
      </c>
      <c r="I55" s="113">
        <v>79.5</v>
      </c>
      <c r="J55" s="113">
        <v>83.2</v>
      </c>
      <c r="K55" s="113">
        <v>81</v>
      </c>
      <c r="L55" s="113">
        <v>73.2</v>
      </c>
      <c r="M55" s="113">
        <v>60</v>
      </c>
      <c r="N55" s="113">
        <v>43.8</v>
      </c>
      <c r="O55" s="113">
        <v>30.4</v>
      </c>
      <c r="P55" s="113">
        <v>56.7</v>
      </c>
      <c r="Q55" s="375" t="s">
        <v>121</v>
      </c>
      <c r="R55" s="375"/>
      <c r="S55" s="375"/>
      <c r="T55" s="110" t="s">
        <v>662</v>
      </c>
      <c r="U55" s="110" t="s">
        <v>141</v>
      </c>
    </row>
    <row r="56" spans="1:21" ht="18" customHeight="1" x14ac:dyDescent="0.2">
      <c r="A56" s="112" t="s">
        <v>127</v>
      </c>
      <c r="B56" s="110" t="s">
        <v>122</v>
      </c>
      <c r="C56" s="110" t="s">
        <v>123</v>
      </c>
      <c r="D56" s="113">
        <v>10.5</v>
      </c>
      <c r="E56" s="113">
        <v>10.3</v>
      </c>
      <c r="F56" s="113">
        <v>10.5</v>
      </c>
      <c r="G56" s="113">
        <v>11</v>
      </c>
      <c r="H56" s="113">
        <v>10.7</v>
      </c>
      <c r="I56" s="113">
        <v>9.4</v>
      </c>
      <c r="J56" s="113">
        <v>8.6999999999999993</v>
      </c>
      <c r="K56" s="113">
        <v>8.6999999999999993</v>
      </c>
      <c r="L56" s="113">
        <v>9.6</v>
      </c>
      <c r="M56" s="113">
        <v>10.5</v>
      </c>
      <c r="N56" s="113">
        <v>10.7</v>
      </c>
      <c r="O56" s="113">
        <v>10.3</v>
      </c>
      <c r="P56" s="113">
        <v>10.1</v>
      </c>
      <c r="Q56" s="374" t="s">
        <v>116</v>
      </c>
      <c r="R56" s="374"/>
      <c r="S56" s="374"/>
      <c r="T56" s="110" t="s">
        <v>122</v>
      </c>
      <c r="U56" s="110" t="s">
        <v>123</v>
      </c>
    </row>
    <row r="57" spans="1:21" ht="18" customHeight="1" x14ac:dyDescent="0.2">
      <c r="A57" s="112" t="s">
        <v>128</v>
      </c>
      <c r="B57" s="110" t="s">
        <v>122</v>
      </c>
      <c r="C57" s="110" t="s">
        <v>123</v>
      </c>
      <c r="D57" s="113">
        <v>7.8</v>
      </c>
      <c r="E57" s="113">
        <v>7.8</v>
      </c>
      <c r="F57" s="113">
        <v>8.5</v>
      </c>
      <c r="G57" s="113">
        <v>8.5</v>
      </c>
      <c r="H57" s="113">
        <v>8.6999999999999993</v>
      </c>
      <c r="I57" s="113">
        <v>7.6</v>
      </c>
      <c r="J57" s="113">
        <v>6.9</v>
      </c>
      <c r="K57" s="113">
        <v>6.7</v>
      </c>
      <c r="L57" s="113">
        <v>7.6</v>
      </c>
      <c r="M57" s="113">
        <v>8.3000000000000007</v>
      </c>
      <c r="N57" s="113">
        <v>8.3000000000000007</v>
      </c>
      <c r="O57" s="113">
        <v>7.6</v>
      </c>
      <c r="P57" s="113">
        <v>7.8</v>
      </c>
      <c r="Q57" s="374" t="s">
        <v>117</v>
      </c>
      <c r="R57" s="374"/>
      <c r="S57" s="374"/>
      <c r="T57" s="110" t="s">
        <v>122</v>
      </c>
      <c r="U57" s="110" t="s">
        <v>123</v>
      </c>
    </row>
    <row r="58" spans="1:21" ht="18" customHeight="1" x14ac:dyDescent="0.2">
      <c r="A58" s="114" t="s">
        <v>129</v>
      </c>
      <c r="B58" s="110" t="s">
        <v>122</v>
      </c>
      <c r="C58" s="110" t="s">
        <v>123</v>
      </c>
      <c r="D58" s="113">
        <v>9.4</v>
      </c>
      <c r="E58" s="113">
        <v>9.4</v>
      </c>
      <c r="F58" s="113">
        <v>9.8000000000000007</v>
      </c>
      <c r="G58" s="113">
        <v>10.7</v>
      </c>
      <c r="H58" s="113">
        <v>10.3</v>
      </c>
      <c r="I58" s="113">
        <v>9.1999999999999993</v>
      </c>
      <c r="J58" s="113">
        <v>8.5</v>
      </c>
      <c r="K58" s="113">
        <v>8.3000000000000007</v>
      </c>
      <c r="L58" s="113">
        <v>9.1999999999999993</v>
      </c>
      <c r="M58" s="113">
        <v>9.8000000000000007</v>
      </c>
      <c r="N58" s="113">
        <v>9.6</v>
      </c>
      <c r="O58" s="113">
        <v>9.1999999999999993</v>
      </c>
      <c r="P58" s="113">
        <v>9.4</v>
      </c>
      <c r="Q58" s="375" t="s">
        <v>64</v>
      </c>
      <c r="R58" s="375"/>
      <c r="S58" s="375"/>
      <c r="T58" s="110" t="s">
        <v>122</v>
      </c>
      <c r="U58" s="110" t="s">
        <v>123</v>
      </c>
    </row>
    <row r="59" spans="1:21" ht="18" customHeight="1" x14ac:dyDescent="0.2">
      <c r="A59" s="114" t="s">
        <v>130</v>
      </c>
      <c r="B59" s="110" t="s">
        <v>122</v>
      </c>
      <c r="C59" s="110" t="s">
        <v>123</v>
      </c>
      <c r="D59" s="113">
        <v>13</v>
      </c>
      <c r="E59" s="113">
        <v>13</v>
      </c>
      <c r="F59" s="113">
        <v>13</v>
      </c>
      <c r="G59" s="113">
        <v>13.4</v>
      </c>
      <c r="H59" s="113">
        <v>12.8</v>
      </c>
      <c r="I59" s="113">
        <v>10.7</v>
      </c>
      <c r="J59" s="113">
        <v>9.6</v>
      </c>
      <c r="K59" s="113">
        <v>8.9</v>
      </c>
      <c r="L59" s="113">
        <v>10.3</v>
      </c>
      <c r="M59" s="113">
        <v>11.6</v>
      </c>
      <c r="N59" s="113">
        <v>12.8</v>
      </c>
      <c r="O59" s="113">
        <v>13</v>
      </c>
      <c r="P59" s="113">
        <v>11.9</v>
      </c>
      <c r="Q59" s="375" t="s">
        <v>118</v>
      </c>
      <c r="R59" s="375"/>
      <c r="S59" s="375"/>
      <c r="T59" s="110" t="s">
        <v>122</v>
      </c>
      <c r="U59" s="110" t="s">
        <v>123</v>
      </c>
    </row>
    <row r="60" spans="1:21" ht="18" customHeight="1" x14ac:dyDescent="0.2">
      <c r="A60" s="114" t="s">
        <v>131</v>
      </c>
      <c r="B60" s="110" t="s">
        <v>122</v>
      </c>
      <c r="C60" s="110" t="s">
        <v>123</v>
      </c>
      <c r="D60" s="113">
        <v>8.3000000000000007</v>
      </c>
      <c r="E60" s="113">
        <v>8.3000000000000007</v>
      </c>
      <c r="F60" s="113">
        <v>8.6999999999999993</v>
      </c>
      <c r="G60" s="113">
        <v>9.4</v>
      </c>
      <c r="H60" s="113">
        <v>9.1999999999999993</v>
      </c>
      <c r="I60" s="113">
        <v>7.8</v>
      </c>
      <c r="J60" s="113">
        <v>6.7</v>
      </c>
      <c r="K60" s="113">
        <v>6.5</v>
      </c>
      <c r="L60" s="113">
        <v>7.4</v>
      </c>
      <c r="M60" s="113">
        <v>8.5</v>
      </c>
      <c r="N60" s="113">
        <v>8.5</v>
      </c>
      <c r="O60" s="113">
        <v>8.3000000000000007</v>
      </c>
      <c r="P60" s="113">
        <v>8.1</v>
      </c>
      <c r="Q60" s="375" t="s">
        <v>119</v>
      </c>
      <c r="R60" s="375"/>
      <c r="S60" s="375"/>
      <c r="T60" s="110" t="s">
        <v>122</v>
      </c>
      <c r="U60" s="110" t="s">
        <v>123</v>
      </c>
    </row>
    <row r="61" spans="1:21" ht="18" customHeight="1" x14ac:dyDescent="0.2">
      <c r="A61" s="114" t="s">
        <v>132</v>
      </c>
      <c r="B61" s="110" t="s">
        <v>122</v>
      </c>
      <c r="C61" s="110" t="s">
        <v>123</v>
      </c>
      <c r="D61" s="113">
        <v>12.3</v>
      </c>
      <c r="E61" s="113">
        <v>12.3</v>
      </c>
      <c r="F61" s="113">
        <v>12.5</v>
      </c>
      <c r="G61" s="113">
        <v>13.2</v>
      </c>
      <c r="H61" s="113">
        <v>12.3</v>
      </c>
      <c r="I61" s="113">
        <v>10.3</v>
      </c>
      <c r="J61" s="113">
        <v>8.6999999999999993</v>
      </c>
      <c r="K61" s="113">
        <v>7.8</v>
      </c>
      <c r="L61" s="113">
        <v>9.1999999999999993</v>
      </c>
      <c r="M61" s="113">
        <v>11</v>
      </c>
      <c r="N61" s="113">
        <v>11.9</v>
      </c>
      <c r="O61" s="113">
        <v>11.9</v>
      </c>
      <c r="P61" s="113">
        <v>11.2</v>
      </c>
      <c r="Q61" s="375" t="s">
        <v>115</v>
      </c>
      <c r="R61" s="375"/>
      <c r="S61" s="375"/>
      <c r="T61" s="110" t="s">
        <v>122</v>
      </c>
      <c r="U61" s="110" t="s">
        <v>123</v>
      </c>
    </row>
    <row r="62" spans="1:21" ht="18" customHeight="1" x14ac:dyDescent="0.2">
      <c r="A62" s="114" t="s">
        <v>133</v>
      </c>
      <c r="B62" s="110" t="s">
        <v>122</v>
      </c>
      <c r="C62" s="110" t="s">
        <v>123</v>
      </c>
      <c r="D62" s="113">
        <v>11</v>
      </c>
      <c r="E62" s="113">
        <v>11.4</v>
      </c>
      <c r="F62" s="113">
        <v>12.1</v>
      </c>
      <c r="G62" s="113">
        <v>12.3</v>
      </c>
      <c r="H62" s="113">
        <v>12.3</v>
      </c>
      <c r="I62" s="113">
        <v>10.3</v>
      </c>
      <c r="J62" s="113">
        <v>9.1999999999999993</v>
      </c>
      <c r="K62" s="113">
        <v>9.6</v>
      </c>
      <c r="L62" s="113">
        <v>10.5</v>
      </c>
      <c r="M62" s="113">
        <v>11.4</v>
      </c>
      <c r="N62" s="113">
        <v>11.4</v>
      </c>
      <c r="O62" s="113">
        <v>11.2</v>
      </c>
      <c r="P62" s="113">
        <v>11</v>
      </c>
      <c r="Q62" s="375" t="s">
        <v>120</v>
      </c>
      <c r="R62" s="375"/>
      <c r="S62" s="375"/>
      <c r="T62" s="110" t="s">
        <v>122</v>
      </c>
      <c r="U62" s="110" t="s">
        <v>123</v>
      </c>
    </row>
    <row r="63" spans="1:21" ht="18" customHeight="1" x14ac:dyDescent="0.2">
      <c r="A63" s="114" t="s">
        <v>134</v>
      </c>
      <c r="B63" s="110" t="s">
        <v>122</v>
      </c>
      <c r="C63" s="110" t="s">
        <v>123</v>
      </c>
      <c r="D63" s="113">
        <v>10.1</v>
      </c>
      <c r="E63" s="113">
        <v>10.3</v>
      </c>
      <c r="F63" s="113">
        <v>11.2</v>
      </c>
      <c r="G63" s="113">
        <v>11.9</v>
      </c>
      <c r="H63" s="113">
        <v>11.2</v>
      </c>
      <c r="I63" s="113">
        <v>9.8000000000000007</v>
      </c>
      <c r="J63" s="113">
        <v>9.1999999999999993</v>
      </c>
      <c r="K63" s="113">
        <v>8.6999999999999993</v>
      </c>
      <c r="L63" s="113">
        <v>9.6</v>
      </c>
      <c r="M63" s="113">
        <v>9.8000000000000007</v>
      </c>
      <c r="N63" s="113">
        <v>10.1</v>
      </c>
      <c r="O63" s="113">
        <v>9.8000000000000007</v>
      </c>
      <c r="P63" s="113">
        <v>10.1</v>
      </c>
      <c r="Q63" s="375" t="s">
        <v>83</v>
      </c>
      <c r="R63" s="375"/>
      <c r="S63" s="375"/>
      <c r="T63" s="110" t="s">
        <v>122</v>
      </c>
      <c r="U63" s="110" t="s">
        <v>123</v>
      </c>
    </row>
    <row r="64" spans="1:21" ht="18" customHeight="1" x14ac:dyDescent="0.2">
      <c r="A64" s="114" t="s">
        <v>135</v>
      </c>
      <c r="B64" s="110" t="s">
        <v>122</v>
      </c>
      <c r="C64" s="110" t="s">
        <v>123</v>
      </c>
      <c r="D64" s="113">
        <v>8.6999999999999993</v>
      </c>
      <c r="E64" s="113">
        <v>8.9</v>
      </c>
      <c r="F64" s="113">
        <v>9.1999999999999993</v>
      </c>
      <c r="G64" s="113">
        <v>9.8000000000000007</v>
      </c>
      <c r="H64" s="113">
        <v>9.1999999999999993</v>
      </c>
      <c r="I64" s="113">
        <v>8.1</v>
      </c>
      <c r="J64" s="113">
        <v>7.6</v>
      </c>
      <c r="K64" s="113">
        <v>7.4</v>
      </c>
      <c r="L64" s="113">
        <v>8.3000000000000007</v>
      </c>
      <c r="M64" s="113">
        <v>9.1999999999999993</v>
      </c>
      <c r="N64" s="113">
        <v>9.4</v>
      </c>
      <c r="O64" s="113">
        <v>8.6999999999999993</v>
      </c>
      <c r="P64" s="113">
        <v>8.6999999999999993</v>
      </c>
      <c r="Q64" s="375" t="s">
        <v>121</v>
      </c>
      <c r="R64" s="375"/>
      <c r="S64" s="375"/>
      <c r="T64" s="110" t="s">
        <v>122</v>
      </c>
      <c r="U64" s="110" t="s">
        <v>123</v>
      </c>
    </row>
    <row r="65" spans="1:21" ht="18" customHeight="1" x14ac:dyDescent="0.2">
      <c r="A65" s="112" t="s">
        <v>127</v>
      </c>
      <c r="B65" s="110" t="s">
        <v>65</v>
      </c>
      <c r="C65" s="110" t="s">
        <v>663</v>
      </c>
      <c r="D65" s="116">
        <v>461</v>
      </c>
      <c r="E65" s="116">
        <v>707</v>
      </c>
      <c r="F65" s="116">
        <v>1083</v>
      </c>
      <c r="G65" s="116">
        <v>1499</v>
      </c>
      <c r="H65" s="116">
        <v>1770</v>
      </c>
      <c r="I65" s="116">
        <v>1844</v>
      </c>
      <c r="J65" s="116">
        <v>1899</v>
      </c>
      <c r="K65" s="116">
        <v>1627</v>
      </c>
      <c r="L65" s="116">
        <v>1179</v>
      </c>
      <c r="M65" s="116">
        <v>724</v>
      </c>
      <c r="N65" s="116">
        <v>441</v>
      </c>
      <c r="O65" s="116">
        <v>365</v>
      </c>
      <c r="P65" s="116">
        <v>1133</v>
      </c>
      <c r="Q65" s="374" t="s">
        <v>116</v>
      </c>
      <c r="R65" s="374"/>
      <c r="S65" s="374"/>
      <c r="T65" s="110" t="s">
        <v>65</v>
      </c>
      <c r="U65" s="110" t="s">
        <v>663</v>
      </c>
    </row>
    <row r="66" spans="1:21" ht="18" customHeight="1" x14ac:dyDescent="0.2">
      <c r="A66" s="112" t="s">
        <v>128</v>
      </c>
      <c r="B66" s="110" t="s">
        <v>65</v>
      </c>
      <c r="C66" s="110" t="s">
        <v>663</v>
      </c>
      <c r="D66" s="116">
        <v>402</v>
      </c>
      <c r="E66" s="116">
        <v>667</v>
      </c>
      <c r="F66" s="116">
        <v>1041</v>
      </c>
      <c r="G66" s="116">
        <v>1501</v>
      </c>
      <c r="H66" s="116">
        <v>1708</v>
      </c>
      <c r="I66" s="116">
        <v>1788</v>
      </c>
      <c r="J66" s="116">
        <v>1807</v>
      </c>
      <c r="K66" s="116">
        <v>1574</v>
      </c>
      <c r="L66" s="116">
        <v>1102</v>
      </c>
      <c r="M66" s="116">
        <v>657</v>
      </c>
      <c r="N66" s="116">
        <v>375</v>
      </c>
      <c r="O66" s="116">
        <v>300</v>
      </c>
      <c r="P66" s="116">
        <v>1077</v>
      </c>
      <c r="Q66" s="374" t="s">
        <v>117</v>
      </c>
      <c r="R66" s="374"/>
      <c r="S66" s="374"/>
      <c r="T66" s="110" t="s">
        <v>65</v>
      </c>
      <c r="U66" s="110" t="s">
        <v>663</v>
      </c>
    </row>
    <row r="67" spans="1:21" ht="18" customHeight="1" x14ac:dyDescent="0.2">
      <c r="A67" s="114" t="s">
        <v>129</v>
      </c>
      <c r="B67" s="110" t="s">
        <v>65</v>
      </c>
      <c r="C67" s="110" t="s">
        <v>663</v>
      </c>
      <c r="D67" s="116">
        <v>490</v>
      </c>
      <c r="E67" s="116">
        <v>752</v>
      </c>
      <c r="F67" s="116">
        <v>1116</v>
      </c>
      <c r="G67" s="116">
        <v>1476</v>
      </c>
      <c r="H67" s="116">
        <v>1712</v>
      </c>
      <c r="I67" s="116">
        <v>1856</v>
      </c>
      <c r="J67" s="116">
        <v>1930</v>
      </c>
      <c r="K67" s="116">
        <v>1655</v>
      </c>
      <c r="L67" s="116">
        <v>1265</v>
      </c>
      <c r="M67" s="116">
        <v>814</v>
      </c>
      <c r="N67" s="116">
        <v>501</v>
      </c>
      <c r="O67" s="116">
        <v>389</v>
      </c>
      <c r="P67" s="116">
        <v>1163</v>
      </c>
      <c r="Q67" s="375" t="s">
        <v>64</v>
      </c>
      <c r="R67" s="375"/>
      <c r="S67" s="375"/>
      <c r="T67" s="110" t="s">
        <v>65</v>
      </c>
      <c r="U67" s="110" t="s">
        <v>663</v>
      </c>
    </row>
    <row r="68" spans="1:21" ht="18" customHeight="1" x14ac:dyDescent="0.2">
      <c r="A68" s="114" t="s">
        <v>130</v>
      </c>
      <c r="B68" s="110" t="s">
        <v>65</v>
      </c>
      <c r="C68" s="110" t="s">
        <v>663</v>
      </c>
      <c r="D68" s="116">
        <v>474</v>
      </c>
      <c r="E68" s="116">
        <v>708</v>
      </c>
      <c r="F68" s="116">
        <v>1106</v>
      </c>
      <c r="G68" s="116">
        <v>1489</v>
      </c>
      <c r="H68" s="116">
        <v>1709</v>
      </c>
      <c r="I68" s="116">
        <v>1891</v>
      </c>
      <c r="J68" s="116">
        <v>1955</v>
      </c>
      <c r="K68" s="116">
        <v>1664</v>
      </c>
      <c r="L68" s="116">
        <v>1286</v>
      </c>
      <c r="M68" s="116">
        <v>848</v>
      </c>
      <c r="N68" s="116">
        <v>513</v>
      </c>
      <c r="O68" s="116">
        <v>384</v>
      </c>
      <c r="P68" s="116">
        <v>1169</v>
      </c>
      <c r="Q68" s="375" t="s">
        <v>118</v>
      </c>
      <c r="R68" s="375"/>
      <c r="S68" s="375"/>
      <c r="T68" s="110" t="s">
        <v>65</v>
      </c>
      <c r="U68" s="110" t="s">
        <v>663</v>
      </c>
    </row>
    <row r="69" spans="1:21" ht="18" customHeight="1" x14ac:dyDescent="0.2">
      <c r="A69" s="114" t="s">
        <v>131</v>
      </c>
      <c r="B69" s="110" t="s">
        <v>65</v>
      </c>
      <c r="C69" s="110" t="s">
        <v>663</v>
      </c>
      <c r="D69" s="116">
        <v>453</v>
      </c>
      <c r="E69" s="116">
        <v>700</v>
      </c>
      <c r="F69" s="116">
        <v>1094</v>
      </c>
      <c r="G69" s="116">
        <v>1527</v>
      </c>
      <c r="H69" s="116">
        <v>1754</v>
      </c>
      <c r="I69" s="116">
        <v>1906</v>
      </c>
      <c r="J69" s="116">
        <v>1967</v>
      </c>
      <c r="K69" s="116">
        <v>1669</v>
      </c>
      <c r="L69" s="116">
        <v>1259</v>
      </c>
      <c r="M69" s="116">
        <v>802</v>
      </c>
      <c r="N69" s="116">
        <v>481</v>
      </c>
      <c r="O69" s="116">
        <v>367</v>
      </c>
      <c r="P69" s="116">
        <v>1165</v>
      </c>
      <c r="Q69" s="375" t="s">
        <v>119</v>
      </c>
      <c r="R69" s="375"/>
      <c r="S69" s="375"/>
      <c r="T69" s="110" t="s">
        <v>65</v>
      </c>
      <c r="U69" s="110" t="s">
        <v>663</v>
      </c>
    </row>
    <row r="70" spans="1:21" ht="18" customHeight="1" x14ac:dyDescent="0.2">
      <c r="A70" s="114" t="s">
        <v>132</v>
      </c>
      <c r="B70" s="110" t="s">
        <v>65</v>
      </c>
      <c r="C70" s="110" t="s">
        <v>663</v>
      </c>
      <c r="D70" s="116">
        <v>469</v>
      </c>
      <c r="E70" s="116">
        <v>722</v>
      </c>
      <c r="F70" s="116">
        <v>1111</v>
      </c>
      <c r="G70" s="116">
        <v>1479</v>
      </c>
      <c r="H70" s="116">
        <v>1707</v>
      </c>
      <c r="I70" s="116">
        <v>1902</v>
      </c>
      <c r="J70" s="116">
        <v>1944</v>
      </c>
      <c r="K70" s="116">
        <v>1678</v>
      </c>
      <c r="L70" s="116">
        <v>1308</v>
      </c>
      <c r="M70" s="116">
        <v>878</v>
      </c>
      <c r="N70" s="116">
        <v>538</v>
      </c>
      <c r="O70" s="116">
        <v>388</v>
      </c>
      <c r="P70" s="116">
        <v>1177</v>
      </c>
      <c r="Q70" s="375" t="s">
        <v>115</v>
      </c>
      <c r="R70" s="375"/>
      <c r="S70" s="375"/>
      <c r="T70" s="110" t="s">
        <v>65</v>
      </c>
      <c r="U70" s="110" t="s">
        <v>663</v>
      </c>
    </row>
    <row r="71" spans="1:21" ht="18" customHeight="1" x14ac:dyDescent="0.2">
      <c r="A71" s="114" t="s">
        <v>133</v>
      </c>
      <c r="B71" s="110" t="s">
        <v>65</v>
      </c>
      <c r="C71" s="110" t="s">
        <v>663</v>
      </c>
      <c r="D71" s="116">
        <v>383</v>
      </c>
      <c r="E71" s="116">
        <v>606</v>
      </c>
      <c r="F71" s="116">
        <v>1023</v>
      </c>
      <c r="G71" s="116">
        <v>1562</v>
      </c>
      <c r="H71" s="116">
        <v>1804</v>
      </c>
      <c r="I71" s="116">
        <v>1914</v>
      </c>
      <c r="J71" s="116">
        <v>1984</v>
      </c>
      <c r="K71" s="116">
        <v>1716</v>
      </c>
      <c r="L71" s="116">
        <v>1261</v>
      </c>
      <c r="M71" s="116">
        <v>785</v>
      </c>
      <c r="N71" s="116">
        <v>445</v>
      </c>
      <c r="O71" s="116">
        <v>313</v>
      </c>
      <c r="P71" s="116">
        <v>1149</v>
      </c>
      <c r="Q71" s="375" t="s">
        <v>120</v>
      </c>
      <c r="R71" s="375"/>
      <c r="S71" s="375"/>
      <c r="T71" s="110" t="s">
        <v>65</v>
      </c>
      <c r="U71" s="110" t="s">
        <v>663</v>
      </c>
    </row>
    <row r="72" spans="1:21" ht="18" customHeight="1" x14ac:dyDescent="0.2">
      <c r="A72" s="114" t="s">
        <v>134</v>
      </c>
      <c r="B72" s="110" t="s">
        <v>65</v>
      </c>
      <c r="C72" s="110" t="s">
        <v>663</v>
      </c>
      <c r="D72" s="116">
        <v>507</v>
      </c>
      <c r="E72" s="116">
        <v>777</v>
      </c>
      <c r="F72" s="116">
        <v>1169</v>
      </c>
      <c r="G72" s="116">
        <v>1523</v>
      </c>
      <c r="H72" s="116">
        <v>1751</v>
      </c>
      <c r="I72" s="116">
        <v>1979</v>
      </c>
      <c r="J72" s="116">
        <v>2046</v>
      </c>
      <c r="K72" s="116">
        <v>1762</v>
      </c>
      <c r="L72" s="116">
        <v>1393</v>
      </c>
      <c r="M72" s="116">
        <v>947</v>
      </c>
      <c r="N72" s="116">
        <v>576</v>
      </c>
      <c r="O72" s="116">
        <v>442</v>
      </c>
      <c r="P72" s="116">
        <v>1239</v>
      </c>
      <c r="Q72" s="375" t="s">
        <v>83</v>
      </c>
      <c r="R72" s="375"/>
      <c r="S72" s="375"/>
      <c r="T72" s="110" t="s">
        <v>65</v>
      </c>
      <c r="U72" s="110" t="s">
        <v>663</v>
      </c>
    </row>
    <row r="73" spans="1:21" ht="18" customHeight="1" x14ac:dyDescent="0.2">
      <c r="A73" s="114" t="s">
        <v>135</v>
      </c>
      <c r="B73" s="110" t="s">
        <v>65</v>
      </c>
      <c r="C73" s="110" t="s">
        <v>663</v>
      </c>
      <c r="D73" s="116">
        <v>507</v>
      </c>
      <c r="E73" s="116">
        <v>767</v>
      </c>
      <c r="F73" s="116">
        <v>1131</v>
      </c>
      <c r="G73" s="116">
        <v>1445</v>
      </c>
      <c r="H73" s="116">
        <v>1723</v>
      </c>
      <c r="I73" s="116">
        <v>1887</v>
      </c>
      <c r="J73" s="116">
        <v>1895</v>
      </c>
      <c r="K73" s="116">
        <v>1615</v>
      </c>
      <c r="L73" s="116">
        <v>1260</v>
      </c>
      <c r="M73" s="116">
        <v>829</v>
      </c>
      <c r="N73" s="116">
        <v>512</v>
      </c>
      <c r="O73" s="116">
        <v>397</v>
      </c>
      <c r="P73" s="116">
        <v>1164</v>
      </c>
      <c r="Q73" s="375" t="s">
        <v>121</v>
      </c>
      <c r="R73" s="375"/>
      <c r="S73" s="375"/>
      <c r="T73" s="110" t="s">
        <v>65</v>
      </c>
      <c r="U73" s="110" t="s">
        <v>663</v>
      </c>
    </row>
    <row r="74" spans="1:21" ht="18" customHeight="1" x14ac:dyDescent="0.3">
      <c r="A74" s="112" t="s">
        <v>127</v>
      </c>
      <c r="B74" s="110" t="s">
        <v>664</v>
      </c>
      <c r="C74" s="110" t="s">
        <v>124</v>
      </c>
      <c r="D74" s="101"/>
      <c r="E74" s="101"/>
      <c r="F74" s="101"/>
      <c r="G74" s="101"/>
      <c r="H74" s="101"/>
      <c r="I74" s="101"/>
      <c r="J74" s="101"/>
      <c r="K74" s="101"/>
      <c r="L74" s="101"/>
      <c r="M74" s="101"/>
      <c r="N74" s="101"/>
      <c r="O74" s="101"/>
      <c r="P74" s="117">
        <v>13.95</v>
      </c>
      <c r="Q74" s="374" t="s">
        <v>116</v>
      </c>
      <c r="R74" s="374"/>
      <c r="S74" s="374"/>
      <c r="T74" s="110" t="s">
        <v>664</v>
      </c>
      <c r="U74" s="110" t="s">
        <v>124</v>
      </c>
    </row>
    <row r="75" spans="1:21" ht="18" customHeight="1" x14ac:dyDescent="0.3">
      <c r="A75" s="112" t="s">
        <v>128</v>
      </c>
      <c r="B75" s="110" t="s">
        <v>664</v>
      </c>
      <c r="C75" s="110" t="s">
        <v>124</v>
      </c>
      <c r="D75" s="101"/>
      <c r="E75" s="101"/>
      <c r="F75" s="101"/>
      <c r="G75" s="101"/>
      <c r="H75" s="101"/>
      <c r="I75" s="101"/>
      <c r="J75" s="101"/>
      <c r="K75" s="101"/>
      <c r="L75" s="101"/>
      <c r="M75" s="101"/>
      <c r="N75" s="101"/>
      <c r="O75" s="101"/>
      <c r="P75" s="117">
        <v>14.08</v>
      </c>
      <c r="Q75" s="374" t="s">
        <v>117</v>
      </c>
      <c r="R75" s="374"/>
      <c r="S75" s="374"/>
      <c r="T75" s="110" t="s">
        <v>664</v>
      </c>
      <c r="U75" s="110" t="s">
        <v>124</v>
      </c>
    </row>
    <row r="76" spans="1:21" ht="18" customHeight="1" x14ac:dyDescent="0.3">
      <c r="A76" s="114" t="s">
        <v>129</v>
      </c>
      <c r="B76" s="110" t="s">
        <v>664</v>
      </c>
      <c r="C76" s="110" t="s">
        <v>124</v>
      </c>
      <c r="D76" s="101"/>
      <c r="E76" s="101"/>
      <c r="F76" s="101"/>
      <c r="G76" s="101"/>
      <c r="H76" s="101"/>
      <c r="I76" s="101"/>
      <c r="J76" s="101"/>
      <c r="K76" s="101"/>
      <c r="L76" s="101"/>
      <c r="M76" s="101"/>
      <c r="N76" s="101"/>
      <c r="O76" s="101"/>
      <c r="P76" s="117">
        <v>14.26</v>
      </c>
      <c r="Q76" s="375" t="s">
        <v>64</v>
      </c>
      <c r="R76" s="375"/>
      <c r="S76" s="375"/>
      <c r="T76" s="110" t="s">
        <v>664</v>
      </c>
      <c r="U76" s="110" t="s">
        <v>124</v>
      </c>
    </row>
    <row r="77" spans="1:21" ht="18" customHeight="1" x14ac:dyDescent="0.3">
      <c r="A77" s="114" t="s">
        <v>130</v>
      </c>
      <c r="B77" s="110" t="s">
        <v>664</v>
      </c>
      <c r="C77" s="110" t="s">
        <v>124</v>
      </c>
      <c r="D77" s="101"/>
      <c r="E77" s="101"/>
      <c r="F77" s="101"/>
      <c r="G77" s="101"/>
      <c r="H77" s="101"/>
      <c r="I77" s="101"/>
      <c r="J77" s="101"/>
      <c r="K77" s="101"/>
      <c r="L77" s="101"/>
      <c r="M77" s="101"/>
      <c r="N77" s="101"/>
      <c r="O77" s="101"/>
      <c r="P77" s="117">
        <v>14.01</v>
      </c>
      <c r="Q77" s="375" t="s">
        <v>118</v>
      </c>
      <c r="R77" s="375"/>
      <c r="S77" s="375"/>
      <c r="T77" s="110" t="s">
        <v>664</v>
      </c>
      <c r="U77" s="110" t="s">
        <v>124</v>
      </c>
    </row>
    <row r="78" spans="1:21" ht="18" customHeight="1" x14ac:dyDescent="0.3">
      <c r="A78" s="114" t="s">
        <v>131</v>
      </c>
      <c r="B78" s="110" t="s">
        <v>664</v>
      </c>
      <c r="C78" s="110" t="s">
        <v>124</v>
      </c>
      <c r="D78" s="101"/>
      <c r="E78" s="101"/>
      <c r="F78" s="101"/>
      <c r="G78" s="101"/>
      <c r="H78" s="101"/>
      <c r="I78" s="101"/>
      <c r="J78" s="101"/>
      <c r="K78" s="101"/>
      <c r="L78" s="101"/>
      <c r="M78" s="101"/>
      <c r="N78" s="101"/>
      <c r="O78" s="101"/>
      <c r="P78" s="117">
        <v>14.16</v>
      </c>
      <c r="Q78" s="375" t="s">
        <v>119</v>
      </c>
      <c r="R78" s="375"/>
      <c r="S78" s="375"/>
      <c r="T78" s="110" t="s">
        <v>664</v>
      </c>
      <c r="U78" s="110" t="s">
        <v>124</v>
      </c>
    </row>
    <row r="79" spans="1:21" ht="18" customHeight="1" x14ac:dyDescent="0.3">
      <c r="A79" s="114" t="s">
        <v>132</v>
      </c>
      <c r="B79" s="110" t="s">
        <v>664</v>
      </c>
      <c r="C79" s="110" t="s">
        <v>124</v>
      </c>
      <c r="D79" s="101"/>
      <c r="E79" s="101"/>
      <c r="F79" s="101"/>
      <c r="G79" s="101"/>
      <c r="H79" s="101"/>
      <c r="I79" s="101"/>
      <c r="J79" s="101"/>
      <c r="K79" s="101"/>
      <c r="L79" s="101"/>
      <c r="M79" s="101"/>
      <c r="N79" s="101"/>
      <c r="O79" s="101"/>
      <c r="P79" s="117">
        <v>14.07</v>
      </c>
      <c r="Q79" s="375" t="s">
        <v>115</v>
      </c>
      <c r="R79" s="375"/>
      <c r="S79" s="375"/>
      <c r="T79" s="110" t="s">
        <v>664</v>
      </c>
      <c r="U79" s="110" t="s">
        <v>124</v>
      </c>
    </row>
    <row r="80" spans="1:21" ht="18" customHeight="1" x14ac:dyDescent="0.3">
      <c r="A80" s="114" t="s">
        <v>133</v>
      </c>
      <c r="B80" s="110" t="s">
        <v>664</v>
      </c>
      <c r="C80" s="110" t="s">
        <v>124</v>
      </c>
      <c r="D80" s="101"/>
      <c r="E80" s="101"/>
      <c r="F80" s="101"/>
      <c r="G80" s="101"/>
      <c r="H80" s="101"/>
      <c r="I80" s="101"/>
      <c r="J80" s="101"/>
      <c r="K80" s="101"/>
      <c r="L80" s="101"/>
      <c r="M80" s="101"/>
      <c r="N80" s="101"/>
      <c r="O80" s="101"/>
      <c r="P80" s="117">
        <v>14.23</v>
      </c>
      <c r="Q80" s="375" t="s">
        <v>120</v>
      </c>
      <c r="R80" s="375"/>
      <c r="S80" s="375"/>
      <c r="T80" s="110" t="s">
        <v>664</v>
      </c>
      <c r="U80" s="110" t="s">
        <v>124</v>
      </c>
    </row>
    <row r="81" spans="1:21" ht="18" customHeight="1" x14ac:dyDescent="0.3">
      <c r="A81" s="114" t="s">
        <v>134</v>
      </c>
      <c r="B81" s="110" t="s">
        <v>664</v>
      </c>
      <c r="C81" s="110" t="s">
        <v>124</v>
      </c>
      <c r="D81" s="101"/>
      <c r="E81" s="101"/>
      <c r="F81" s="101"/>
      <c r="G81" s="101"/>
      <c r="H81" s="101"/>
      <c r="I81" s="101"/>
      <c r="J81" s="101"/>
      <c r="K81" s="101"/>
      <c r="L81" s="101"/>
      <c r="M81" s="101"/>
      <c r="N81" s="101"/>
      <c r="O81" s="101"/>
      <c r="P81" s="117">
        <v>13.95</v>
      </c>
      <c r="Q81" s="375" t="s">
        <v>83</v>
      </c>
      <c r="R81" s="375"/>
      <c r="S81" s="375"/>
      <c r="T81" s="110" t="s">
        <v>664</v>
      </c>
      <c r="U81" s="110" t="s">
        <v>124</v>
      </c>
    </row>
    <row r="82" spans="1:21" ht="18" customHeight="1" x14ac:dyDescent="0.3">
      <c r="A82" s="114" t="s">
        <v>135</v>
      </c>
      <c r="B82" s="110" t="s">
        <v>664</v>
      </c>
      <c r="C82" s="110" t="s">
        <v>124</v>
      </c>
      <c r="D82" s="101"/>
      <c r="E82" s="101"/>
      <c r="F82" s="101"/>
      <c r="G82" s="101"/>
      <c r="H82" s="101"/>
      <c r="I82" s="101"/>
      <c r="J82" s="101"/>
      <c r="K82" s="101"/>
      <c r="L82" s="101"/>
      <c r="M82" s="101"/>
      <c r="N82" s="101"/>
      <c r="O82" s="101"/>
      <c r="P82" s="117">
        <v>14.36</v>
      </c>
      <c r="Q82" s="375" t="s">
        <v>121</v>
      </c>
      <c r="R82" s="375"/>
      <c r="S82" s="375"/>
      <c r="T82" s="110" t="s">
        <v>664</v>
      </c>
      <c r="U82" s="110" t="s">
        <v>124</v>
      </c>
    </row>
    <row r="83" spans="1:21" x14ac:dyDescent="0.2">
      <c r="A83" s="354" t="s">
        <v>63</v>
      </c>
      <c r="B83" s="354" t="s">
        <v>68</v>
      </c>
      <c r="C83" s="354"/>
      <c r="D83" s="354" t="s">
        <v>82</v>
      </c>
      <c r="E83" s="354"/>
      <c r="F83" s="354"/>
      <c r="G83" s="354"/>
      <c r="H83" s="354"/>
      <c r="I83" s="354"/>
      <c r="J83" s="354"/>
      <c r="K83" s="354"/>
      <c r="L83" s="354"/>
      <c r="M83" s="354"/>
      <c r="N83" s="354"/>
      <c r="O83" s="354"/>
      <c r="P83" s="358" t="s">
        <v>81</v>
      </c>
      <c r="Q83" s="354" t="s">
        <v>63</v>
      </c>
      <c r="R83" s="354"/>
      <c r="S83" s="354"/>
      <c r="T83" s="354" t="s">
        <v>68</v>
      </c>
      <c r="U83" s="354"/>
    </row>
    <row r="84" spans="1:21" x14ac:dyDescent="0.2">
      <c r="A84" s="354"/>
      <c r="B84" s="110" t="s">
        <v>66</v>
      </c>
      <c r="C84" s="110" t="s">
        <v>67</v>
      </c>
      <c r="D84" s="101" t="s">
        <v>69</v>
      </c>
      <c r="E84" s="101" t="s">
        <v>70</v>
      </c>
      <c r="F84" s="101" t="s">
        <v>72</v>
      </c>
      <c r="G84" s="101" t="s">
        <v>73</v>
      </c>
      <c r="H84" s="101" t="s">
        <v>71</v>
      </c>
      <c r="I84" s="101" t="s">
        <v>74</v>
      </c>
      <c r="J84" s="101" t="s">
        <v>75</v>
      </c>
      <c r="K84" s="101" t="s">
        <v>76</v>
      </c>
      <c r="L84" s="101" t="s">
        <v>77</v>
      </c>
      <c r="M84" s="101" t="s">
        <v>78</v>
      </c>
      <c r="N84" s="101" t="s">
        <v>79</v>
      </c>
      <c r="O84" s="101" t="s">
        <v>80</v>
      </c>
      <c r="P84" s="359"/>
      <c r="Q84" s="354"/>
      <c r="R84" s="354"/>
      <c r="S84" s="354"/>
      <c r="T84" s="110" t="s">
        <v>66</v>
      </c>
      <c r="U84" s="110" t="s">
        <v>67</v>
      </c>
    </row>
    <row r="86" spans="1:21" ht="17.25" customHeight="1" x14ac:dyDescent="0.2">
      <c r="A86" s="353" t="s">
        <v>665</v>
      </c>
      <c r="B86" s="353"/>
      <c r="C86" s="353"/>
      <c r="D86" s="353"/>
      <c r="E86" s="353"/>
      <c r="F86" s="353"/>
      <c r="G86" s="353"/>
      <c r="H86" s="353"/>
      <c r="I86" s="353"/>
      <c r="J86" s="353"/>
    </row>
    <row r="87" spans="1:21" x14ac:dyDescent="0.2">
      <c r="A87" s="353"/>
      <c r="B87" s="353"/>
      <c r="C87" s="353"/>
      <c r="D87" s="353"/>
      <c r="E87" s="353"/>
      <c r="F87" s="353"/>
      <c r="G87" s="353"/>
      <c r="H87" s="353"/>
      <c r="I87" s="353"/>
      <c r="J87" s="353"/>
    </row>
    <row r="88" spans="1:21" ht="15.75" x14ac:dyDescent="0.3">
      <c r="A88" s="100" t="s">
        <v>666</v>
      </c>
    </row>
    <row r="89" spans="1:21" ht="15.75" x14ac:dyDescent="0.3">
      <c r="A89" s="100" t="s">
        <v>667</v>
      </c>
    </row>
    <row r="90" spans="1:21" x14ac:dyDescent="0.2">
      <c r="A90" s="100" t="s">
        <v>125</v>
      </c>
    </row>
    <row r="91" spans="1:21" x14ac:dyDescent="0.2">
      <c r="A91" s="100" t="s">
        <v>84</v>
      </c>
    </row>
    <row r="92" spans="1:21" ht="15.75" x14ac:dyDescent="0.3">
      <c r="A92" s="100" t="s">
        <v>668</v>
      </c>
    </row>
    <row r="94" spans="1:21" ht="14.25" x14ac:dyDescent="0.25">
      <c r="A94" s="109" t="s">
        <v>742</v>
      </c>
      <c r="B94" s="118"/>
      <c r="C94" s="118"/>
      <c r="D94" s="118"/>
      <c r="E94" s="118"/>
    </row>
    <row r="95" spans="1:21" ht="14.25" x14ac:dyDescent="0.2">
      <c r="A95" s="344" t="s">
        <v>779</v>
      </c>
      <c r="B95" s="345"/>
      <c r="C95" s="350" t="s">
        <v>778</v>
      </c>
      <c r="D95" s="351"/>
      <c r="E95" s="352"/>
      <c r="F95" s="350" t="s">
        <v>777</v>
      </c>
      <c r="G95" s="351"/>
      <c r="H95" s="352"/>
    </row>
    <row r="96" spans="1:21" ht="14.25" x14ac:dyDescent="0.25">
      <c r="A96" s="346"/>
      <c r="B96" s="347"/>
      <c r="C96" s="289" t="s">
        <v>766</v>
      </c>
      <c r="D96" s="289" t="s">
        <v>767</v>
      </c>
      <c r="E96" s="289" t="s">
        <v>0</v>
      </c>
      <c r="F96" s="289" t="s">
        <v>766</v>
      </c>
      <c r="G96" s="289" t="s">
        <v>767</v>
      </c>
      <c r="H96" s="289" t="s">
        <v>0</v>
      </c>
    </row>
    <row r="97" spans="1:9" ht="14.25" x14ac:dyDescent="0.2">
      <c r="A97" s="348"/>
      <c r="B97" s="349"/>
      <c r="C97" s="290" t="s">
        <v>1</v>
      </c>
      <c r="D97" s="290" t="s">
        <v>768</v>
      </c>
      <c r="E97" s="290" t="s">
        <v>2</v>
      </c>
      <c r="F97" s="290" t="s">
        <v>1</v>
      </c>
      <c r="G97" s="290" t="s">
        <v>768</v>
      </c>
      <c r="H97" s="290" t="s">
        <v>2</v>
      </c>
    </row>
    <row r="98" spans="1:9" x14ac:dyDescent="0.2">
      <c r="A98" s="119"/>
      <c r="B98" s="120"/>
      <c r="C98" s="121"/>
      <c r="D98" s="122"/>
      <c r="E98" s="123"/>
      <c r="F98" s="121"/>
      <c r="G98" s="122"/>
      <c r="H98" s="123"/>
    </row>
    <row r="99" spans="1:9" ht="14.25" x14ac:dyDescent="0.2">
      <c r="A99" s="124" t="s">
        <v>191</v>
      </c>
      <c r="B99" s="125" t="s">
        <v>10</v>
      </c>
      <c r="C99" s="126">
        <v>5.8</v>
      </c>
      <c r="D99" s="127">
        <v>0.3</v>
      </c>
      <c r="E99" s="128">
        <v>2.1</v>
      </c>
      <c r="F99" s="126">
        <v>1.5</v>
      </c>
      <c r="G99" s="127">
        <v>0.4</v>
      </c>
      <c r="H99" s="128">
        <v>1.9</v>
      </c>
    </row>
    <row r="100" spans="1:9" x14ac:dyDescent="0.2">
      <c r="A100" s="124" t="s">
        <v>41</v>
      </c>
      <c r="B100" s="129"/>
      <c r="C100" s="126">
        <v>1.6</v>
      </c>
      <c r="D100" s="127">
        <v>0.3</v>
      </c>
      <c r="E100" s="128">
        <v>1.6</v>
      </c>
      <c r="F100" s="130">
        <v>1</v>
      </c>
      <c r="G100" s="127">
        <v>0.4</v>
      </c>
      <c r="H100" s="128">
        <v>1.5</v>
      </c>
    </row>
    <row r="101" spans="1:9" x14ac:dyDescent="0.2">
      <c r="A101" s="124" t="s">
        <v>42</v>
      </c>
      <c r="B101" s="129"/>
      <c r="C101" s="126">
        <v>0.6</v>
      </c>
      <c r="D101" s="127">
        <v>0.4</v>
      </c>
      <c r="E101" s="131">
        <v>1</v>
      </c>
      <c r="F101" s="126">
        <v>0.4</v>
      </c>
      <c r="G101" s="127">
        <v>0.4</v>
      </c>
      <c r="H101" s="131">
        <v>1</v>
      </c>
    </row>
    <row r="102" spans="1:9" x14ac:dyDescent="0.2">
      <c r="A102" s="124" t="s">
        <v>43</v>
      </c>
      <c r="B102" s="129"/>
      <c r="C102" s="126">
        <v>1.6</v>
      </c>
      <c r="D102" s="127">
        <v>0.3</v>
      </c>
      <c r="E102" s="128">
        <v>1.5</v>
      </c>
      <c r="F102" s="130">
        <v>1</v>
      </c>
      <c r="G102" s="127">
        <v>0.08</v>
      </c>
      <c r="H102" s="128">
        <v>1.8</v>
      </c>
    </row>
    <row r="103" spans="1:9" x14ac:dyDescent="0.2">
      <c r="A103" s="124" t="s">
        <v>44</v>
      </c>
      <c r="B103" s="129"/>
      <c r="C103" s="126">
        <v>0.7</v>
      </c>
      <c r="D103" s="127">
        <v>0.3</v>
      </c>
      <c r="E103" s="128">
        <v>1.2</v>
      </c>
      <c r="F103" s="126">
        <v>0.4</v>
      </c>
      <c r="G103" s="127">
        <v>0.2</v>
      </c>
      <c r="H103" s="128">
        <v>1.3</v>
      </c>
    </row>
    <row r="104" spans="1:9" x14ac:dyDescent="0.2">
      <c r="A104" s="124" t="s">
        <v>45</v>
      </c>
      <c r="B104" s="129"/>
      <c r="C104" s="126">
        <v>0.3</v>
      </c>
      <c r="D104" s="127">
        <v>0.6</v>
      </c>
      <c r="E104" s="128">
        <v>0.3</v>
      </c>
      <c r="F104" s="126">
        <v>0.2</v>
      </c>
      <c r="G104" s="127">
        <v>0.4</v>
      </c>
      <c r="H104" s="128">
        <v>0.4</v>
      </c>
    </row>
    <row r="105" spans="1:9" ht="14.25" x14ac:dyDescent="0.2">
      <c r="A105" s="124" t="s">
        <v>192</v>
      </c>
      <c r="B105" s="125" t="s">
        <v>9</v>
      </c>
      <c r="C105" s="126">
        <v>6.7</v>
      </c>
      <c r="D105" s="127">
        <v>0.2</v>
      </c>
      <c r="E105" s="131">
        <v>3</v>
      </c>
      <c r="F105" s="126">
        <v>5.6</v>
      </c>
      <c r="G105" s="127">
        <v>0.2</v>
      </c>
      <c r="H105" s="131">
        <v>2.4</v>
      </c>
    </row>
    <row r="106" spans="1:9" x14ac:dyDescent="0.2">
      <c r="A106" s="124" t="s">
        <v>46</v>
      </c>
      <c r="B106" s="129"/>
      <c r="C106" s="126">
        <v>3.3</v>
      </c>
      <c r="D106" s="127">
        <v>0.1</v>
      </c>
      <c r="E106" s="131">
        <v>3</v>
      </c>
      <c r="F106" s="126">
        <v>2.8</v>
      </c>
      <c r="G106" s="127">
        <v>0.1</v>
      </c>
      <c r="H106" s="131">
        <v>2.2999999999999998</v>
      </c>
    </row>
    <row r="107" spans="1:9" x14ac:dyDescent="0.2">
      <c r="A107" s="124" t="s">
        <v>47</v>
      </c>
      <c r="B107" s="129"/>
      <c r="C107" s="126">
        <v>2.2000000000000002</v>
      </c>
      <c r="D107" s="127">
        <v>3.0000000000000001E-3</v>
      </c>
      <c r="E107" s="128">
        <v>4.3</v>
      </c>
      <c r="F107" s="126">
        <v>2.2000000000000002</v>
      </c>
      <c r="G107" s="127">
        <v>0.02</v>
      </c>
      <c r="H107" s="128">
        <v>2.6</v>
      </c>
    </row>
    <row r="108" spans="1:9" ht="14.25" x14ac:dyDescent="0.2">
      <c r="A108" s="124" t="s">
        <v>48</v>
      </c>
      <c r="B108" s="129"/>
      <c r="C108" s="126">
        <v>10.8</v>
      </c>
      <c r="D108" s="127">
        <v>0.4</v>
      </c>
      <c r="E108" s="131">
        <v>2</v>
      </c>
      <c r="F108" s="132">
        <v>10.8</v>
      </c>
      <c r="G108" s="133">
        <v>0.4</v>
      </c>
      <c r="H108" s="134">
        <v>2</v>
      </c>
      <c r="I108" s="135" t="s">
        <v>14</v>
      </c>
    </row>
    <row r="109" spans="1:9" x14ac:dyDescent="0.2">
      <c r="A109" s="124" t="s">
        <v>49</v>
      </c>
      <c r="B109" s="129"/>
      <c r="C109" s="126">
        <v>9.1999999999999993</v>
      </c>
      <c r="D109" s="127">
        <v>0.2</v>
      </c>
      <c r="E109" s="128">
        <v>1.9</v>
      </c>
      <c r="F109" s="132">
        <v>9.1999999999999993</v>
      </c>
      <c r="G109" s="133">
        <v>0.2</v>
      </c>
      <c r="H109" s="136">
        <v>1.9</v>
      </c>
    </row>
    <row r="110" spans="1:9" x14ac:dyDescent="0.2">
      <c r="A110" s="137" t="s">
        <v>50</v>
      </c>
      <c r="B110" s="138"/>
      <c r="C110" s="139">
        <v>1.1000000000000001</v>
      </c>
      <c r="D110" s="140">
        <v>0.3</v>
      </c>
      <c r="E110" s="141">
        <v>1.5</v>
      </c>
      <c r="F110" s="142">
        <v>1.1000000000000001</v>
      </c>
      <c r="G110" s="143">
        <v>0.3</v>
      </c>
      <c r="H110" s="144">
        <v>1.5</v>
      </c>
    </row>
    <row r="112" spans="1:9" x14ac:dyDescent="0.2">
      <c r="A112" s="343" t="s">
        <v>669</v>
      </c>
      <c r="B112" s="343"/>
      <c r="C112" s="343"/>
      <c r="D112" s="343"/>
      <c r="E112" s="343"/>
    </row>
    <row r="113" spans="1:5" x14ac:dyDescent="0.2">
      <c r="A113" s="343" t="s">
        <v>670</v>
      </c>
      <c r="B113" s="343"/>
      <c r="C113" s="343"/>
      <c r="D113" s="343"/>
      <c r="E113" s="343"/>
    </row>
    <row r="114" spans="1:5" x14ac:dyDescent="0.2">
      <c r="A114" s="343" t="s">
        <v>671</v>
      </c>
      <c r="B114" s="343"/>
      <c r="C114" s="343"/>
      <c r="D114" s="343"/>
      <c r="E114" s="343"/>
    </row>
    <row r="115" spans="1:5" x14ac:dyDescent="0.2">
      <c r="A115" s="343"/>
      <c r="B115" s="343"/>
      <c r="C115" s="343"/>
      <c r="D115" s="343"/>
      <c r="E115" s="343"/>
    </row>
    <row r="116" spans="1:5" x14ac:dyDescent="0.2">
      <c r="A116" s="353" t="s">
        <v>672</v>
      </c>
      <c r="B116" s="353"/>
      <c r="C116" s="353"/>
      <c r="D116" s="353"/>
      <c r="E116" s="353"/>
    </row>
    <row r="117" spans="1:5" x14ac:dyDescent="0.2">
      <c r="A117" s="353"/>
      <c r="B117" s="353"/>
      <c r="C117" s="353"/>
      <c r="D117" s="353"/>
      <c r="E117" s="353"/>
    </row>
    <row r="118" spans="1:5" ht="15" customHeight="1" x14ac:dyDescent="0.2">
      <c r="A118" s="343" t="s">
        <v>673</v>
      </c>
      <c r="B118" s="343"/>
      <c r="C118" s="343"/>
      <c r="D118" s="343"/>
      <c r="E118" s="343"/>
    </row>
    <row r="119" spans="1:5" ht="15" customHeight="1" x14ac:dyDescent="0.2">
      <c r="A119" s="343"/>
      <c r="B119" s="343"/>
      <c r="C119" s="343"/>
      <c r="D119" s="343"/>
      <c r="E119" s="343"/>
    </row>
    <row r="120" spans="1:5" ht="15" customHeight="1" x14ac:dyDescent="0.2">
      <c r="A120" s="343" t="s">
        <v>674</v>
      </c>
      <c r="B120" s="343"/>
      <c r="C120" s="343"/>
      <c r="D120" s="343"/>
      <c r="E120" s="343"/>
    </row>
    <row r="121" spans="1:5" ht="15" customHeight="1" x14ac:dyDescent="0.2">
      <c r="A121" s="343"/>
      <c r="B121" s="343"/>
      <c r="C121" s="343"/>
      <c r="D121" s="343"/>
      <c r="E121" s="343"/>
    </row>
    <row r="123" spans="1:5" ht="15" x14ac:dyDescent="0.25">
      <c r="A123" s="145" t="s">
        <v>743</v>
      </c>
      <c r="B123" s="145"/>
      <c r="C123" s="145"/>
      <c r="D123" s="145"/>
      <c r="E123" s="145"/>
    </row>
    <row r="124" spans="1:5" x14ac:dyDescent="0.2">
      <c r="A124" s="337" t="s">
        <v>788</v>
      </c>
      <c r="B124" s="338"/>
      <c r="C124" s="335" t="s">
        <v>784</v>
      </c>
      <c r="D124" s="335"/>
      <c r="E124" s="335"/>
    </row>
    <row r="125" spans="1:5" x14ac:dyDescent="0.2">
      <c r="A125" s="341"/>
      <c r="B125" s="342"/>
      <c r="C125" s="287" t="s">
        <v>785</v>
      </c>
      <c r="D125" s="287" t="s">
        <v>786</v>
      </c>
      <c r="E125" s="287" t="s">
        <v>787</v>
      </c>
    </row>
    <row r="126" spans="1:5" x14ac:dyDescent="0.2">
      <c r="A126" s="104" t="s">
        <v>54</v>
      </c>
      <c r="B126" s="105"/>
      <c r="C126" s="101">
        <v>1.5E-3</v>
      </c>
      <c r="D126" s="101">
        <v>7.4999999999999997E-3</v>
      </c>
      <c r="E126" s="101">
        <v>0.15</v>
      </c>
    </row>
    <row r="127" spans="1:5" x14ac:dyDescent="0.2">
      <c r="A127" s="104" t="s">
        <v>55</v>
      </c>
      <c r="B127" s="105"/>
      <c r="C127" s="101">
        <v>1.5E-3</v>
      </c>
      <c r="D127" s="101">
        <v>7.4999999999999997E-3</v>
      </c>
      <c r="E127" s="101">
        <v>0.15</v>
      </c>
    </row>
    <row r="128" spans="1:5" x14ac:dyDescent="0.2">
      <c r="A128" s="104" t="s">
        <v>56</v>
      </c>
      <c r="B128" s="105"/>
      <c r="C128" s="146">
        <v>6.0000000000000001E-3</v>
      </c>
      <c r="D128" s="147">
        <v>0.03</v>
      </c>
      <c r="E128" s="106">
        <v>0.6</v>
      </c>
    </row>
    <row r="130" spans="1:8" x14ac:dyDescent="0.2">
      <c r="A130" s="353" t="s">
        <v>675</v>
      </c>
      <c r="B130" s="353"/>
      <c r="C130" s="353"/>
      <c r="D130" s="353"/>
      <c r="E130" s="353"/>
    </row>
    <row r="131" spans="1:8" x14ac:dyDescent="0.2">
      <c r="A131" s="353"/>
      <c r="B131" s="353"/>
      <c r="C131" s="353"/>
      <c r="D131" s="353"/>
      <c r="E131" s="353"/>
    </row>
    <row r="133" spans="1:8" ht="14.25" x14ac:dyDescent="0.25">
      <c r="A133" s="109" t="s">
        <v>744</v>
      </c>
      <c r="B133" s="118"/>
      <c r="C133" s="118"/>
      <c r="D133" s="118"/>
      <c r="E133" s="118"/>
      <c r="F133" s="118"/>
      <c r="G133" s="118"/>
    </row>
    <row r="134" spans="1:8" ht="15" customHeight="1" x14ac:dyDescent="0.2">
      <c r="A134" s="337" t="s">
        <v>791</v>
      </c>
      <c r="B134" s="338"/>
      <c r="C134" s="335" t="s">
        <v>789</v>
      </c>
      <c r="D134" s="335"/>
      <c r="E134" s="335"/>
      <c r="F134" s="335"/>
      <c r="G134" s="335"/>
      <c r="H134" s="360" t="s">
        <v>790</v>
      </c>
    </row>
    <row r="135" spans="1:8" ht="14.25" x14ac:dyDescent="0.25">
      <c r="A135" s="339"/>
      <c r="B135" s="340"/>
      <c r="C135" s="332" t="s">
        <v>769</v>
      </c>
      <c r="D135" s="333"/>
      <c r="E135" s="332" t="s">
        <v>770</v>
      </c>
      <c r="F135" s="333"/>
      <c r="G135" s="291" t="s">
        <v>4</v>
      </c>
      <c r="H135" s="361"/>
    </row>
    <row r="136" spans="1:8" ht="14.25" x14ac:dyDescent="0.2">
      <c r="A136" s="341"/>
      <c r="B136" s="342"/>
      <c r="C136" s="330" t="s">
        <v>3</v>
      </c>
      <c r="D136" s="331"/>
      <c r="E136" s="330" t="s">
        <v>771</v>
      </c>
      <c r="F136" s="331"/>
      <c r="G136" s="290" t="s">
        <v>2</v>
      </c>
      <c r="H136" s="362"/>
    </row>
    <row r="137" spans="1:8" x14ac:dyDescent="0.2">
      <c r="A137" s="148" t="s">
        <v>5</v>
      </c>
      <c r="B137" s="149"/>
      <c r="C137" s="150"/>
      <c r="D137" s="150"/>
      <c r="E137" s="150"/>
      <c r="F137" s="150"/>
      <c r="G137" s="151"/>
      <c r="H137" s="363">
        <v>1</v>
      </c>
    </row>
    <row r="138" spans="1:8" x14ac:dyDescent="0.2">
      <c r="A138" s="152"/>
      <c r="B138" s="153"/>
      <c r="C138" s="154"/>
      <c r="D138" s="154"/>
      <c r="E138" s="154"/>
      <c r="F138" s="154"/>
      <c r="G138" s="155"/>
      <c r="H138" s="363"/>
    </row>
    <row r="139" spans="1:8" ht="14.25" x14ac:dyDescent="0.2">
      <c r="A139" s="156" t="s">
        <v>193</v>
      </c>
      <c r="B139" s="157" t="s">
        <v>10</v>
      </c>
      <c r="C139" s="154">
        <v>1.6</v>
      </c>
      <c r="D139" s="154"/>
      <c r="E139" s="154">
        <v>0</v>
      </c>
      <c r="F139" s="154"/>
      <c r="G139" s="155">
        <v>0</v>
      </c>
      <c r="H139" s="363"/>
    </row>
    <row r="140" spans="1:8" ht="14.25" x14ac:dyDescent="0.2">
      <c r="A140" s="156" t="s">
        <v>194</v>
      </c>
      <c r="B140" s="155"/>
      <c r="C140" s="154">
        <v>36</v>
      </c>
      <c r="D140" s="158" t="s">
        <v>9</v>
      </c>
      <c r="E140" s="154">
        <v>5.9</v>
      </c>
      <c r="F140" s="154"/>
      <c r="G140" s="155">
        <v>1.2</v>
      </c>
      <c r="H140" s="363"/>
    </row>
    <row r="141" spans="1:8" x14ac:dyDescent="0.2">
      <c r="A141" s="156" t="s">
        <v>17</v>
      </c>
      <c r="B141" s="159"/>
      <c r="C141" s="154">
        <v>31</v>
      </c>
      <c r="D141" s="154"/>
      <c r="E141" s="154">
        <v>5.2</v>
      </c>
      <c r="F141" s="154"/>
      <c r="G141" s="155">
        <v>1.3</v>
      </c>
      <c r="H141" s="363"/>
    </row>
    <row r="142" spans="1:8" x14ac:dyDescent="0.2">
      <c r="A142" s="160" t="s">
        <v>18</v>
      </c>
      <c r="B142" s="161"/>
      <c r="C142" s="162"/>
      <c r="D142" s="163"/>
      <c r="E142" s="162"/>
      <c r="F142" s="162"/>
      <c r="G142" s="164"/>
      <c r="H142" s="363"/>
    </row>
    <row r="143" spans="1:8" ht="45" customHeight="1" x14ac:dyDescent="0.2">
      <c r="A143" s="165" t="s">
        <v>30</v>
      </c>
      <c r="B143" s="166" t="s">
        <v>14</v>
      </c>
      <c r="C143" s="167"/>
      <c r="D143" s="167"/>
      <c r="E143" s="167"/>
      <c r="F143" s="167"/>
      <c r="G143" s="168"/>
      <c r="H143" s="367" t="s">
        <v>103</v>
      </c>
    </row>
    <row r="144" spans="1:8" ht="14.25" x14ac:dyDescent="0.2">
      <c r="A144" s="169"/>
      <c r="B144" s="170"/>
      <c r="C144" s="108"/>
      <c r="D144" s="108"/>
      <c r="E144" s="108"/>
      <c r="F144" s="108"/>
      <c r="G144" s="171"/>
      <c r="H144" s="368"/>
    </row>
    <row r="145" spans="1:8" ht="14.25" x14ac:dyDescent="0.2">
      <c r="A145" s="172" t="s">
        <v>195</v>
      </c>
      <c r="B145" s="170" t="s">
        <v>10</v>
      </c>
      <c r="C145" s="108">
        <v>31</v>
      </c>
      <c r="D145" s="108"/>
      <c r="E145" s="108">
        <v>150</v>
      </c>
      <c r="F145" s="108"/>
      <c r="G145" s="171">
        <v>1.4</v>
      </c>
      <c r="H145" s="368"/>
    </row>
    <row r="146" spans="1:8" x14ac:dyDescent="0.2">
      <c r="A146" s="172" t="s">
        <v>19</v>
      </c>
      <c r="B146" s="173"/>
      <c r="C146" s="108">
        <v>25</v>
      </c>
      <c r="D146" s="108"/>
      <c r="E146" s="108">
        <v>2.2000000000000002</v>
      </c>
      <c r="F146" s="108"/>
      <c r="G146" s="171">
        <v>2.1</v>
      </c>
      <c r="H146" s="368"/>
    </row>
    <row r="147" spans="1:8" x14ac:dyDescent="0.2">
      <c r="A147" s="172" t="s">
        <v>20</v>
      </c>
      <c r="B147" s="173"/>
      <c r="C147" s="108">
        <v>25</v>
      </c>
      <c r="D147" s="108"/>
      <c r="E147" s="108">
        <v>13</v>
      </c>
      <c r="F147" s="108"/>
      <c r="G147" s="171">
        <v>2.2000000000000002</v>
      </c>
      <c r="H147" s="368"/>
    </row>
    <row r="148" spans="1:8" x14ac:dyDescent="0.2">
      <c r="A148" s="172" t="s">
        <v>21</v>
      </c>
      <c r="B148" s="173"/>
      <c r="C148" s="108">
        <v>14</v>
      </c>
      <c r="D148" s="108"/>
      <c r="E148" s="108">
        <v>3.7</v>
      </c>
      <c r="F148" s="108"/>
      <c r="G148" s="171">
        <v>0.78</v>
      </c>
      <c r="H148" s="368"/>
    </row>
    <row r="149" spans="1:8" x14ac:dyDescent="0.2">
      <c r="A149" s="172" t="s">
        <v>22</v>
      </c>
      <c r="B149" s="173"/>
      <c r="C149" s="108">
        <v>8.6</v>
      </c>
      <c r="D149" s="108"/>
      <c r="E149" s="108">
        <v>12</v>
      </c>
      <c r="F149" s="108"/>
      <c r="G149" s="171">
        <v>0.81</v>
      </c>
      <c r="H149" s="368"/>
    </row>
    <row r="150" spans="1:8" x14ac:dyDescent="0.2">
      <c r="A150" s="172" t="s">
        <v>23</v>
      </c>
      <c r="B150" s="173"/>
      <c r="C150" s="108">
        <v>43</v>
      </c>
      <c r="D150" s="108"/>
      <c r="E150" s="108">
        <v>270</v>
      </c>
      <c r="F150" s="108"/>
      <c r="G150" s="171">
        <v>1.4</v>
      </c>
      <c r="H150" s="368"/>
    </row>
    <row r="151" spans="1:8" ht="14.25" x14ac:dyDescent="0.2">
      <c r="A151" s="172" t="s">
        <v>24</v>
      </c>
      <c r="B151" s="170" t="s">
        <v>11</v>
      </c>
      <c r="C151" s="108">
        <v>31</v>
      </c>
      <c r="D151" s="108"/>
      <c r="E151" s="108">
        <v>36</v>
      </c>
      <c r="F151" s="108"/>
      <c r="G151" s="171">
        <v>2</v>
      </c>
      <c r="H151" s="368"/>
    </row>
    <row r="152" spans="1:8" x14ac:dyDescent="0.2">
      <c r="A152" s="172" t="s">
        <v>25</v>
      </c>
      <c r="B152" s="173"/>
      <c r="C152" s="108">
        <v>41</v>
      </c>
      <c r="D152" s="108"/>
      <c r="E152" s="108">
        <v>48</v>
      </c>
      <c r="F152" s="108"/>
      <c r="G152" s="171">
        <v>1.4</v>
      </c>
      <c r="H152" s="368"/>
    </row>
    <row r="153" spans="1:8" x14ac:dyDescent="0.2">
      <c r="A153" s="172" t="s">
        <v>26</v>
      </c>
      <c r="B153" s="173"/>
      <c r="C153" s="108">
        <v>11</v>
      </c>
      <c r="D153" s="108"/>
      <c r="E153" s="108">
        <v>46</v>
      </c>
      <c r="F153" s="108"/>
      <c r="G153" s="171">
        <v>1.4</v>
      </c>
      <c r="H153" s="368"/>
    </row>
    <row r="154" spans="1:8" x14ac:dyDescent="0.2">
      <c r="A154" s="172" t="s">
        <v>27</v>
      </c>
      <c r="B154" s="173"/>
      <c r="C154" s="108">
        <v>8.3000000000000007</v>
      </c>
      <c r="D154" s="108"/>
      <c r="E154" s="108">
        <v>4.4000000000000004</v>
      </c>
      <c r="F154" s="108"/>
      <c r="G154" s="171">
        <v>1.6</v>
      </c>
      <c r="H154" s="368"/>
    </row>
    <row r="155" spans="1:8" ht="14.25" x14ac:dyDescent="0.2">
      <c r="A155" s="172" t="s">
        <v>28</v>
      </c>
      <c r="B155" s="170" t="s">
        <v>11</v>
      </c>
      <c r="C155" s="108">
        <v>21</v>
      </c>
      <c r="D155" s="108"/>
      <c r="E155" s="108">
        <v>7.9</v>
      </c>
      <c r="F155" s="108"/>
      <c r="G155" s="171">
        <v>1.8</v>
      </c>
      <c r="H155" s="368"/>
    </row>
    <row r="156" spans="1:8" ht="14.25" x14ac:dyDescent="0.2">
      <c r="A156" s="172" t="s">
        <v>29</v>
      </c>
      <c r="B156" s="170" t="s">
        <v>15</v>
      </c>
      <c r="C156" s="108">
        <v>11</v>
      </c>
      <c r="D156" s="108"/>
      <c r="E156" s="108">
        <v>9.9</v>
      </c>
      <c r="F156" s="108"/>
      <c r="G156" s="171">
        <v>0.89</v>
      </c>
      <c r="H156" s="368"/>
    </row>
    <row r="157" spans="1:8" ht="14.25" x14ac:dyDescent="0.2">
      <c r="A157" s="172" t="s">
        <v>104</v>
      </c>
      <c r="B157" s="170" t="s">
        <v>105</v>
      </c>
      <c r="C157" s="108">
        <v>21</v>
      </c>
      <c r="D157" s="108"/>
      <c r="E157" s="108">
        <v>7.9</v>
      </c>
      <c r="F157" s="108"/>
      <c r="G157" s="171">
        <v>1.8</v>
      </c>
      <c r="H157" s="368"/>
    </row>
    <row r="158" spans="1:8" ht="14.25" x14ac:dyDescent="0.2">
      <c r="A158" s="174" t="s">
        <v>106</v>
      </c>
      <c r="B158" s="175"/>
      <c r="C158" s="162"/>
      <c r="D158" s="162"/>
      <c r="E158" s="162"/>
      <c r="F158" s="162"/>
      <c r="G158" s="176"/>
      <c r="H158" s="369"/>
    </row>
    <row r="159" spans="1:8" x14ac:dyDescent="0.2">
      <c r="A159" s="165" t="s">
        <v>6</v>
      </c>
      <c r="B159" s="177"/>
      <c r="C159" s="167"/>
      <c r="D159" s="167"/>
      <c r="E159" s="167"/>
      <c r="F159" s="167"/>
      <c r="G159" s="168"/>
      <c r="H159" s="370">
        <v>1</v>
      </c>
    </row>
    <row r="160" spans="1:8" x14ac:dyDescent="0.2">
      <c r="A160" s="169"/>
      <c r="B160" s="178"/>
      <c r="C160" s="108"/>
      <c r="D160" s="108"/>
      <c r="E160" s="108"/>
      <c r="F160" s="108"/>
      <c r="G160" s="171"/>
      <c r="H160" s="371"/>
    </row>
    <row r="161" spans="1:8" ht="14.25" x14ac:dyDescent="0.2">
      <c r="A161" s="172" t="s">
        <v>96</v>
      </c>
      <c r="B161" s="170" t="s">
        <v>10</v>
      </c>
      <c r="C161" s="108">
        <v>14</v>
      </c>
      <c r="D161" s="179" t="s">
        <v>9</v>
      </c>
      <c r="E161" s="108">
        <v>5.4</v>
      </c>
      <c r="F161" s="108"/>
      <c r="G161" s="171">
        <v>1.1000000000000001</v>
      </c>
      <c r="H161" s="371"/>
    </row>
    <row r="162" spans="1:8" x14ac:dyDescent="0.2">
      <c r="A162" s="172" t="s">
        <v>31</v>
      </c>
      <c r="B162" s="173"/>
      <c r="C162" s="108">
        <v>4.3</v>
      </c>
      <c r="D162" s="108"/>
      <c r="E162" s="108">
        <v>17</v>
      </c>
      <c r="F162" s="108"/>
      <c r="G162" s="171">
        <v>0.38</v>
      </c>
      <c r="H162" s="371"/>
    </row>
    <row r="163" spans="1:8" x14ac:dyDescent="0.2">
      <c r="A163" s="172" t="s">
        <v>32</v>
      </c>
      <c r="B163" s="173"/>
      <c r="C163" s="108">
        <v>2.8</v>
      </c>
      <c r="D163" s="108"/>
      <c r="E163" s="108">
        <v>0</v>
      </c>
      <c r="F163" s="108"/>
      <c r="G163" s="171">
        <v>0</v>
      </c>
      <c r="H163" s="371"/>
    </row>
    <row r="164" spans="1:8" x14ac:dyDescent="0.2">
      <c r="A164" s="174" t="s">
        <v>18</v>
      </c>
      <c r="B164" s="180"/>
      <c r="C164" s="162"/>
      <c r="D164" s="162"/>
      <c r="E164" s="162"/>
      <c r="F164" s="162"/>
      <c r="G164" s="176"/>
      <c r="H164" s="372"/>
    </row>
    <row r="165" spans="1:8" x14ac:dyDescent="0.2">
      <c r="A165" s="165" t="s">
        <v>7</v>
      </c>
      <c r="B165" s="177"/>
      <c r="C165" s="167"/>
      <c r="D165" s="167"/>
      <c r="E165" s="167"/>
      <c r="F165" s="167"/>
      <c r="G165" s="168"/>
      <c r="H165" s="370">
        <v>1</v>
      </c>
    </row>
    <row r="166" spans="1:8" x14ac:dyDescent="0.2">
      <c r="A166" s="169"/>
      <c r="B166" s="178"/>
      <c r="C166" s="108"/>
      <c r="D166" s="108"/>
      <c r="E166" s="108"/>
      <c r="F166" s="108"/>
      <c r="G166" s="171"/>
      <c r="H166" s="371"/>
    </row>
    <row r="167" spans="1:8" ht="14.25" x14ac:dyDescent="0.2">
      <c r="A167" s="172" t="s">
        <v>196</v>
      </c>
      <c r="B167" s="170" t="s">
        <v>10</v>
      </c>
      <c r="C167" s="108">
        <v>0.47</v>
      </c>
      <c r="D167" s="108"/>
      <c r="E167" s="108">
        <v>0.02</v>
      </c>
      <c r="F167" s="108"/>
      <c r="G167" s="171">
        <v>0.97</v>
      </c>
      <c r="H167" s="371"/>
    </row>
    <row r="168" spans="1:8" x14ac:dyDescent="0.2">
      <c r="A168" s="172" t="s">
        <v>33</v>
      </c>
      <c r="B168" s="173"/>
      <c r="C168" s="108">
        <v>2.2999999999999998</v>
      </c>
      <c r="D168" s="108"/>
      <c r="E168" s="108">
        <v>0</v>
      </c>
      <c r="F168" s="108"/>
      <c r="G168" s="171">
        <v>0</v>
      </c>
      <c r="H168" s="371"/>
    </row>
    <row r="169" spans="1:8" ht="14.25" x14ac:dyDescent="0.2">
      <c r="A169" s="172" t="s">
        <v>197</v>
      </c>
      <c r="B169" s="170" t="s">
        <v>9</v>
      </c>
      <c r="C169" s="108">
        <v>12</v>
      </c>
      <c r="D169" s="108"/>
      <c r="E169" s="108"/>
      <c r="F169" s="179" t="s">
        <v>126</v>
      </c>
      <c r="G169" s="171"/>
      <c r="H169" s="371"/>
    </row>
    <row r="170" spans="1:8" ht="14.25" x14ac:dyDescent="0.2">
      <c r="A170" s="174" t="s">
        <v>18</v>
      </c>
      <c r="B170" s="175"/>
      <c r="C170" s="162"/>
      <c r="D170" s="162"/>
      <c r="E170" s="162"/>
      <c r="F170" s="162"/>
      <c r="G170" s="176"/>
      <c r="H170" s="372"/>
    </row>
    <row r="171" spans="1:8" ht="18" customHeight="1" x14ac:dyDescent="0.2">
      <c r="A171" s="165" t="s">
        <v>8</v>
      </c>
      <c r="B171" s="177"/>
      <c r="C171" s="167"/>
      <c r="D171" s="167"/>
      <c r="E171" s="167"/>
      <c r="F171" s="167"/>
      <c r="G171" s="168"/>
      <c r="H171" s="367" t="s">
        <v>676</v>
      </c>
    </row>
    <row r="172" spans="1:8" x14ac:dyDescent="0.2">
      <c r="A172" s="169"/>
      <c r="B172" s="178"/>
      <c r="C172" s="108"/>
      <c r="D172" s="108"/>
      <c r="E172" s="108"/>
      <c r="F172" s="108"/>
      <c r="G172" s="171"/>
      <c r="H172" s="368"/>
    </row>
    <row r="173" spans="1:8" x14ac:dyDescent="0.2">
      <c r="A173" s="172" t="s">
        <v>39</v>
      </c>
      <c r="B173" s="173"/>
      <c r="C173" s="108">
        <v>7.8</v>
      </c>
      <c r="D173" s="108"/>
      <c r="E173" s="108">
        <v>0.01</v>
      </c>
      <c r="F173" s="108"/>
      <c r="G173" s="181">
        <v>4</v>
      </c>
      <c r="H173" s="368"/>
    </row>
    <row r="174" spans="1:8" ht="14.25" x14ac:dyDescent="0.2">
      <c r="A174" s="172" t="s">
        <v>97</v>
      </c>
      <c r="B174" s="170" t="s">
        <v>10</v>
      </c>
      <c r="C174" s="108">
        <v>6.2</v>
      </c>
      <c r="D174" s="179" t="s">
        <v>9</v>
      </c>
      <c r="E174" s="108">
        <v>1.2</v>
      </c>
      <c r="F174" s="108"/>
      <c r="G174" s="171">
        <v>0.94</v>
      </c>
      <c r="H174" s="368"/>
    </row>
    <row r="175" spans="1:8" ht="14.25" x14ac:dyDescent="0.2">
      <c r="A175" s="172" t="s">
        <v>37</v>
      </c>
      <c r="B175" s="170"/>
      <c r="C175" s="108">
        <v>7.8</v>
      </c>
      <c r="D175" s="108"/>
      <c r="E175" s="108">
        <v>0.01</v>
      </c>
      <c r="F175" s="108"/>
      <c r="G175" s="181">
        <v>4</v>
      </c>
      <c r="H175" s="368"/>
    </row>
    <row r="176" spans="1:8" ht="14.25" x14ac:dyDescent="0.2">
      <c r="A176" s="172" t="s">
        <v>98</v>
      </c>
      <c r="B176" s="170" t="s">
        <v>10</v>
      </c>
      <c r="C176" s="108">
        <v>6.2</v>
      </c>
      <c r="D176" s="179" t="s">
        <v>9</v>
      </c>
      <c r="E176" s="108">
        <v>1.2</v>
      </c>
      <c r="F176" s="108"/>
      <c r="G176" s="171">
        <v>0.94</v>
      </c>
      <c r="H176" s="368"/>
    </row>
    <row r="177" spans="1:8" ht="14.25" x14ac:dyDescent="0.2">
      <c r="A177" s="174" t="s">
        <v>38</v>
      </c>
      <c r="B177" s="175"/>
      <c r="C177" s="162"/>
      <c r="D177" s="182"/>
      <c r="E177" s="162"/>
      <c r="F177" s="162"/>
      <c r="G177" s="176"/>
      <c r="H177" s="369"/>
    </row>
    <row r="178" spans="1:8" ht="18" customHeight="1" x14ac:dyDescent="0.2">
      <c r="A178" s="183" t="s">
        <v>198</v>
      </c>
      <c r="B178" s="184"/>
      <c r="C178" s="167"/>
      <c r="D178" s="167"/>
      <c r="E178" s="167"/>
      <c r="F178" s="167"/>
      <c r="G178" s="168"/>
      <c r="H178" s="367" t="s">
        <v>677</v>
      </c>
    </row>
    <row r="179" spans="1:8" x14ac:dyDescent="0.2">
      <c r="A179" s="185"/>
      <c r="B179" s="186"/>
      <c r="C179" s="108"/>
      <c r="D179" s="108"/>
      <c r="E179" s="108"/>
      <c r="F179" s="108"/>
      <c r="G179" s="108"/>
      <c r="H179" s="368"/>
    </row>
    <row r="180" spans="1:8" x14ac:dyDescent="0.2">
      <c r="A180" s="172" t="s">
        <v>199</v>
      </c>
      <c r="B180" s="173"/>
      <c r="C180" s="108">
        <v>1.5</v>
      </c>
      <c r="D180" s="108"/>
      <c r="E180" s="108">
        <v>0.21</v>
      </c>
      <c r="F180" s="108"/>
      <c r="G180" s="108">
        <v>1.7</v>
      </c>
      <c r="H180" s="368"/>
    </row>
    <row r="181" spans="1:8" x14ac:dyDescent="0.2">
      <c r="A181" s="172" t="s">
        <v>200</v>
      </c>
      <c r="B181" s="173"/>
      <c r="C181" s="108">
        <v>1.8</v>
      </c>
      <c r="D181" s="108"/>
      <c r="E181" s="108">
        <v>0.14000000000000001</v>
      </c>
      <c r="F181" s="108"/>
      <c r="G181" s="108">
        <v>1.1000000000000001</v>
      </c>
      <c r="H181" s="368"/>
    </row>
    <row r="182" spans="1:8" x14ac:dyDescent="0.2">
      <c r="A182" s="174" t="s">
        <v>35</v>
      </c>
      <c r="B182" s="180"/>
      <c r="C182" s="162"/>
      <c r="D182" s="162"/>
      <c r="E182" s="162"/>
      <c r="F182" s="162"/>
      <c r="G182" s="162"/>
      <c r="H182" s="369"/>
    </row>
    <row r="183" spans="1:8" x14ac:dyDescent="0.2">
      <c r="A183" s="183" t="s">
        <v>12</v>
      </c>
      <c r="B183" s="184"/>
      <c r="C183" s="150"/>
      <c r="D183" s="150"/>
      <c r="E183" s="150"/>
      <c r="F183" s="150"/>
      <c r="G183" s="151"/>
      <c r="H183" s="367" t="s">
        <v>678</v>
      </c>
    </row>
    <row r="184" spans="1:8" ht="14.25" x14ac:dyDescent="0.2">
      <c r="A184" s="172"/>
      <c r="B184" s="170"/>
      <c r="C184" s="108"/>
      <c r="D184" s="108"/>
      <c r="E184" s="108"/>
      <c r="F184" s="108"/>
      <c r="G184" s="171"/>
      <c r="H184" s="368"/>
    </row>
    <row r="185" spans="1:8" ht="14.25" x14ac:dyDescent="0.2">
      <c r="A185" s="172" t="s">
        <v>201</v>
      </c>
      <c r="B185" s="157" t="s">
        <v>10</v>
      </c>
      <c r="C185" s="187">
        <v>2</v>
      </c>
      <c r="D185" s="154"/>
      <c r="E185" s="154">
        <v>0.37</v>
      </c>
      <c r="F185" s="154"/>
      <c r="G185" s="155">
        <v>0.91</v>
      </c>
      <c r="H185" s="368"/>
    </row>
    <row r="186" spans="1:8" x14ac:dyDescent="0.2">
      <c r="A186" s="172" t="s">
        <v>202</v>
      </c>
      <c r="B186" s="173"/>
      <c r="C186" s="154">
        <v>1.3</v>
      </c>
      <c r="D186" s="154"/>
      <c r="E186" s="154">
        <v>0.08</v>
      </c>
      <c r="F186" s="154"/>
      <c r="G186" s="155">
        <v>0.65</v>
      </c>
      <c r="H186" s="368"/>
    </row>
    <row r="187" spans="1:8" x14ac:dyDescent="0.2">
      <c r="A187" s="172" t="s">
        <v>203</v>
      </c>
      <c r="B187" s="173"/>
      <c r="C187" s="154">
        <v>1.2</v>
      </c>
      <c r="D187" s="154"/>
      <c r="E187" s="154">
        <v>0.14000000000000001</v>
      </c>
      <c r="F187" s="154"/>
      <c r="G187" s="155">
        <v>0.65</v>
      </c>
      <c r="H187" s="368"/>
    </row>
    <row r="188" spans="1:8" x14ac:dyDescent="0.2">
      <c r="A188" s="172" t="s">
        <v>204</v>
      </c>
      <c r="B188" s="173"/>
      <c r="C188" s="154">
        <v>0</v>
      </c>
      <c r="D188" s="154"/>
      <c r="E188" s="154">
        <v>0</v>
      </c>
      <c r="F188" s="154"/>
      <c r="G188" s="155">
        <v>0</v>
      </c>
      <c r="H188" s="368"/>
    </row>
    <row r="189" spans="1:8" x14ac:dyDescent="0.2">
      <c r="A189" s="172" t="s">
        <v>38</v>
      </c>
      <c r="B189" s="173"/>
      <c r="C189" s="154"/>
      <c r="D189" s="154"/>
      <c r="E189" s="154"/>
      <c r="F189" s="154"/>
      <c r="G189" s="155"/>
      <c r="H189" s="368"/>
    </row>
    <row r="190" spans="1:8" x14ac:dyDescent="0.2">
      <c r="A190" s="172"/>
      <c r="B190" s="173"/>
      <c r="C190" s="154"/>
      <c r="D190" s="154"/>
      <c r="E190" s="154"/>
      <c r="F190" s="154"/>
      <c r="G190" s="155"/>
      <c r="H190" s="368"/>
    </row>
    <row r="191" spans="1:8" ht="14.25" x14ac:dyDescent="0.2">
      <c r="A191" s="172" t="s">
        <v>205</v>
      </c>
      <c r="B191" s="157" t="s">
        <v>10</v>
      </c>
      <c r="C191" s="154">
        <v>0.82</v>
      </c>
      <c r="D191" s="154"/>
      <c r="E191" s="154">
        <v>0.53</v>
      </c>
      <c r="F191" s="154"/>
      <c r="G191" s="155">
        <v>0.14000000000000001</v>
      </c>
      <c r="H191" s="368"/>
    </row>
    <row r="192" spans="1:8" ht="14.25" x14ac:dyDescent="0.2">
      <c r="A192" s="172" t="s">
        <v>206</v>
      </c>
      <c r="B192" s="157" t="s">
        <v>4</v>
      </c>
      <c r="C192" s="154">
        <v>0.53</v>
      </c>
      <c r="D192" s="154"/>
      <c r="E192" s="154">
        <v>0.11</v>
      </c>
      <c r="F192" s="154"/>
      <c r="G192" s="155">
        <v>0.13</v>
      </c>
      <c r="H192" s="368"/>
    </row>
    <row r="193" spans="1:8" ht="14.25" x14ac:dyDescent="0.2">
      <c r="A193" s="172" t="s">
        <v>207</v>
      </c>
      <c r="B193" s="157" t="s">
        <v>4</v>
      </c>
      <c r="C193" s="154">
        <v>0.49</v>
      </c>
      <c r="D193" s="154"/>
      <c r="E193" s="154">
        <v>0.16</v>
      </c>
      <c r="F193" s="154"/>
      <c r="G193" s="155">
        <v>0.14000000000000001</v>
      </c>
      <c r="H193" s="368"/>
    </row>
    <row r="194" spans="1:8" ht="14.25" x14ac:dyDescent="0.2">
      <c r="A194" s="172" t="s">
        <v>204</v>
      </c>
      <c r="B194" s="157"/>
      <c r="C194" s="154">
        <v>0</v>
      </c>
      <c r="D194" s="154"/>
      <c r="E194" s="154">
        <v>0</v>
      </c>
      <c r="F194" s="154"/>
      <c r="G194" s="155">
        <v>0</v>
      </c>
      <c r="H194" s="368"/>
    </row>
    <row r="195" spans="1:8" ht="14.25" x14ac:dyDescent="0.2">
      <c r="A195" s="172" t="s">
        <v>38</v>
      </c>
      <c r="B195" s="157"/>
      <c r="C195" s="154"/>
      <c r="D195" s="154"/>
      <c r="E195" s="154"/>
      <c r="F195" s="154"/>
      <c r="G195" s="155"/>
      <c r="H195" s="368"/>
    </row>
    <row r="196" spans="1:8" ht="14.25" x14ac:dyDescent="0.2">
      <c r="A196" s="172"/>
      <c r="B196" s="157"/>
      <c r="C196" s="154"/>
      <c r="D196" s="154"/>
      <c r="E196" s="154"/>
      <c r="F196" s="154"/>
      <c r="G196" s="155"/>
      <c r="H196" s="368"/>
    </row>
    <row r="197" spans="1:8" x14ac:dyDescent="0.2">
      <c r="A197" s="172" t="s">
        <v>208</v>
      </c>
      <c r="B197" s="173"/>
      <c r="C197" s="154">
        <v>0.82</v>
      </c>
      <c r="D197" s="154"/>
      <c r="E197" s="154">
        <v>0.53</v>
      </c>
      <c r="F197" s="154"/>
      <c r="G197" s="155">
        <v>0.14000000000000001</v>
      </c>
      <c r="H197" s="368"/>
    </row>
    <row r="198" spans="1:8" x14ac:dyDescent="0.2">
      <c r="A198" s="172" t="s">
        <v>99</v>
      </c>
      <c r="B198" s="173"/>
      <c r="C198" s="154">
        <v>0</v>
      </c>
      <c r="D198" s="154"/>
      <c r="E198" s="154">
        <v>0</v>
      </c>
      <c r="F198" s="154"/>
      <c r="G198" s="155">
        <v>0</v>
      </c>
      <c r="H198" s="368"/>
    </row>
    <row r="199" spans="1:8" x14ac:dyDescent="0.2">
      <c r="A199" s="174" t="s">
        <v>35</v>
      </c>
      <c r="B199" s="180"/>
      <c r="C199" s="163"/>
      <c r="D199" s="163"/>
      <c r="E199" s="163"/>
      <c r="F199" s="163"/>
      <c r="G199" s="164"/>
      <c r="H199" s="369"/>
    </row>
    <row r="200" spans="1:8" ht="14.25" x14ac:dyDescent="0.2">
      <c r="A200" s="183" t="s">
        <v>16</v>
      </c>
      <c r="B200" s="188" t="s">
        <v>0</v>
      </c>
      <c r="C200" s="150"/>
      <c r="D200" s="150"/>
      <c r="E200" s="150"/>
      <c r="F200" s="150"/>
      <c r="G200" s="151"/>
      <c r="H200" s="364">
        <v>1</v>
      </c>
    </row>
    <row r="201" spans="1:8" ht="14.25" x14ac:dyDescent="0.2">
      <c r="A201" s="185"/>
      <c r="B201" s="157"/>
      <c r="C201" s="154"/>
      <c r="D201" s="154"/>
      <c r="E201" s="154"/>
      <c r="F201" s="154"/>
      <c r="G201" s="155"/>
      <c r="H201" s="365"/>
    </row>
    <row r="202" spans="1:8" x14ac:dyDescent="0.2">
      <c r="A202" s="172" t="s">
        <v>34</v>
      </c>
      <c r="B202" s="173"/>
      <c r="C202" s="154">
        <v>0.68</v>
      </c>
      <c r="D202" s="154"/>
      <c r="E202" s="154">
        <v>1.8</v>
      </c>
      <c r="F202" s="154"/>
      <c r="G202" s="189">
        <v>1</v>
      </c>
      <c r="H202" s="365"/>
    </row>
    <row r="203" spans="1:8" ht="14.25" x14ac:dyDescent="0.2">
      <c r="A203" s="172" t="s">
        <v>209</v>
      </c>
      <c r="B203" s="157" t="s">
        <v>10</v>
      </c>
      <c r="C203" s="154">
        <v>0.71</v>
      </c>
      <c r="D203" s="154"/>
      <c r="E203" s="190">
        <v>0.1</v>
      </c>
      <c r="F203" s="190"/>
      <c r="G203" s="189">
        <v>1</v>
      </c>
      <c r="H203" s="365"/>
    </row>
    <row r="204" spans="1:8" ht="14.25" x14ac:dyDescent="0.2">
      <c r="A204" s="174" t="s">
        <v>35</v>
      </c>
      <c r="B204" s="191"/>
      <c r="C204" s="163"/>
      <c r="D204" s="163"/>
      <c r="E204" s="192"/>
      <c r="F204" s="192"/>
      <c r="G204" s="193"/>
      <c r="H204" s="366"/>
    </row>
    <row r="205" spans="1:8" x14ac:dyDescent="0.2">
      <c r="G205" s="194"/>
    </row>
    <row r="206" spans="1:8" ht="15.75" x14ac:dyDescent="0.3">
      <c r="A206" s="373" t="s">
        <v>679</v>
      </c>
      <c r="B206" s="373"/>
      <c r="C206" s="373"/>
      <c r="D206" s="373"/>
      <c r="E206" s="373"/>
      <c r="F206" s="373"/>
      <c r="G206" s="373"/>
    </row>
    <row r="207" spans="1:8" ht="14.25" x14ac:dyDescent="0.2">
      <c r="A207" s="100" t="s">
        <v>680</v>
      </c>
      <c r="G207" s="194"/>
    </row>
    <row r="208" spans="1:8" x14ac:dyDescent="0.2">
      <c r="A208" s="353" t="s">
        <v>681</v>
      </c>
      <c r="B208" s="353"/>
      <c r="C208" s="353"/>
      <c r="D208" s="353"/>
      <c r="E208" s="353"/>
      <c r="F208" s="353"/>
      <c r="G208" s="353"/>
    </row>
    <row r="209" spans="1:7" x14ac:dyDescent="0.2">
      <c r="A209" s="353" t="s">
        <v>682</v>
      </c>
      <c r="B209" s="353"/>
      <c r="C209" s="353"/>
      <c r="D209" s="353"/>
      <c r="E209" s="353"/>
      <c r="F209" s="353"/>
      <c r="G209" s="353"/>
    </row>
    <row r="210" spans="1:7" ht="14.25" x14ac:dyDescent="0.2">
      <c r="A210" s="100" t="s">
        <v>683</v>
      </c>
      <c r="G210" s="194"/>
    </row>
    <row r="211" spans="1:7" ht="14.25" x14ac:dyDescent="0.2">
      <c r="A211" s="100" t="s">
        <v>684</v>
      </c>
      <c r="G211" s="194"/>
    </row>
    <row r="212" spans="1:7" ht="14.25" x14ac:dyDescent="0.2">
      <c r="A212" s="100" t="s">
        <v>685</v>
      </c>
      <c r="G212" s="194"/>
    </row>
    <row r="213" spans="1:7" x14ac:dyDescent="0.2">
      <c r="A213" s="353" t="s">
        <v>686</v>
      </c>
      <c r="B213" s="353"/>
      <c r="C213" s="353"/>
      <c r="D213" s="353"/>
      <c r="E213" s="353"/>
      <c r="F213" s="353"/>
      <c r="G213" s="353"/>
    </row>
    <row r="214" spans="1:7" x14ac:dyDescent="0.2">
      <c r="A214" s="353"/>
      <c r="B214" s="353"/>
      <c r="C214" s="353"/>
      <c r="D214" s="353"/>
      <c r="E214" s="353"/>
      <c r="F214" s="353"/>
      <c r="G214" s="353"/>
    </row>
    <row r="215" spans="1:7" x14ac:dyDescent="0.2">
      <c r="A215" s="353"/>
      <c r="B215" s="353"/>
      <c r="C215" s="353"/>
      <c r="D215" s="353"/>
      <c r="E215" s="353"/>
      <c r="F215" s="353"/>
      <c r="G215" s="353"/>
    </row>
    <row r="216" spans="1:7" x14ac:dyDescent="0.2">
      <c r="A216" s="353" t="s">
        <v>687</v>
      </c>
      <c r="B216" s="353"/>
      <c r="C216" s="353"/>
      <c r="D216" s="353"/>
      <c r="E216" s="353"/>
      <c r="F216" s="353"/>
      <c r="G216" s="353"/>
    </row>
    <row r="217" spans="1:7" x14ac:dyDescent="0.2">
      <c r="A217" s="353"/>
      <c r="B217" s="353"/>
      <c r="C217" s="353"/>
      <c r="D217" s="353"/>
      <c r="E217" s="353"/>
      <c r="F217" s="353"/>
      <c r="G217" s="353"/>
    </row>
    <row r="218" spans="1:7" x14ac:dyDescent="0.2">
      <c r="A218" s="353"/>
      <c r="B218" s="353"/>
      <c r="C218" s="353"/>
      <c r="D218" s="353"/>
      <c r="E218" s="353"/>
      <c r="F218" s="353"/>
      <c r="G218" s="353"/>
    </row>
    <row r="219" spans="1:7" ht="15.75" x14ac:dyDescent="0.3">
      <c r="A219" s="100" t="s">
        <v>688</v>
      </c>
      <c r="G219" s="194"/>
    </row>
    <row r="220" spans="1:7" ht="14.25" x14ac:dyDescent="0.2">
      <c r="A220" s="100" t="s">
        <v>689</v>
      </c>
      <c r="G220" s="194"/>
    </row>
    <row r="221" spans="1:7" ht="14.25" x14ac:dyDescent="0.2">
      <c r="A221" s="100" t="s">
        <v>690</v>
      </c>
      <c r="G221" s="194"/>
    </row>
    <row r="222" spans="1:7" ht="14.25" x14ac:dyDescent="0.2">
      <c r="A222" s="100" t="s">
        <v>691</v>
      </c>
      <c r="G222" s="194"/>
    </row>
    <row r="223" spans="1:7" ht="15.75" x14ac:dyDescent="0.3">
      <c r="A223" s="100" t="s">
        <v>692</v>
      </c>
      <c r="G223" s="194"/>
    </row>
    <row r="224" spans="1:7" ht="14.25" x14ac:dyDescent="0.2">
      <c r="A224" s="100" t="s">
        <v>693</v>
      </c>
      <c r="G224" s="194"/>
    </row>
    <row r="226" spans="1:4" ht="14.25" x14ac:dyDescent="0.25">
      <c r="A226" s="376" t="s">
        <v>745</v>
      </c>
      <c r="B226" s="376"/>
      <c r="C226" s="376"/>
      <c r="D226" s="376"/>
    </row>
    <row r="227" spans="1:4" ht="13.5" x14ac:dyDescent="0.25">
      <c r="A227" s="377" t="s">
        <v>792</v>
      </c>
      <c r="B227" s="378" t="s">
        <v>793</v>
      </c>
      <c r="C227" s="379"/>
      <c r="D227" s="380" t="s">
        <v>796</v>
      </c>
    </row>
    <row r="228" spans="1:4" x14ac:dyDescent="0.2">
      <c r="A228" s="377"/>
      <c r="B228" s="274" t="s">
        <v>795</v>
      </c>
      <c r="C228" s="274" t="s">
        <v>794</v>
      </c>
      <c r="D228" s="381"/>
    </row>
    <row r="229" spans="1:4" x14ac:dyDescent="0.2">
      <c r="A229" s="196">
        <v>50</v>
      </c>
      <c r="B229" s="196">
        <v>1</v>
      </c>
      <c r="C229" s="196">
        <v>1</v>
      </c>
      <c r="D229" s="196">
        <v>1</v>
      </c>
    </row>
    <row r="230" spans="1:4" x14ac:dyDescent="0.2">
      <c r="A230" s="196">
        <v>100</v>
      </c>
      <c r="B230" s="196">
        <v>1</v>
      </c>
      <c r="C230" s="196">
        <v>1</v>
      </c>
      <c r="D230" s="196">
        <v>1</v>
      </c>
    </row>
    <row r="231" spans="1:4" x14ac:dyDescent="0.2">
      <c r="A231" s="196">
        <v>150</v>
      </c>
      <c r="B231" s="196">
        <v>2</v>
      </c>
      <c r="C231" s="196">
        <v>2</v>
      </c>
      <c r="D231" s="196">
        <v>2</v>
      </c>
    </row>
    <row r="232" spans="1:4" x14ac:dyDescent="0.2">
      <c r="A232" s="196">
        <v>200</v>
      </c>
      <c r="B232" s="196">
        <v>3</v>
      </c>
      <c r="C232" s="196">
        <v>2</v>
      </c>
      <c r="D232" s="196">
        <v>3</v>
      </c>
    </row>
    <row r="233" spans="1:4" x14ac:dyDescent="0.2">
      <c r="A233" s="196">
        <v>250</v>
      </c>
      <c r="B233" s="196">
        <v>4</v>
      </c>
      <c r="C233" s="196">
        <v>3</v>
      </c>
      <c r="D233" s="196">
        <v>5</v>
      </c>
    </row>
    <row r="234" spans="1:4" x14ac:dyDescent="0.2">
      <c r="A234" s="196">
        <v>300</v>
      </c>
      <c r="B234" s="196">
        <v>5</v>
      </c>
      <c r="C234" s="196">
        <v>3</v>
      </c>
      <c r="D234" s="196">
        <v>7</v>
      </c>
    </row>
    <row r="235" spans="1:4" x14ac:dyDescent="0.2">
      <c r="A235" s="259">
        <v>350</v>
      </c>
      <c r="B235" s="101">
        <v>6</v>
      </c>
      <c r="C235" s="101">
        <v>4</v>
      </c>
      <c r="D235" s="198">
        <v>7</v>
      </c>
    </row>
    <row r="236" spans="1:4" x14ac:dyDescent="0.2">
      <c r="A236" s="259">
        <v>400</v>
      </c>
      <c r="B236" s="101">
        <v>7</v>
      </c>
      <c r="C236" s="101">
        <v>4</v>
      </c>
      <c r="D236" s="198">
        <v>7</v>
      </c>
    </row>
    <row r="237" spans="1:4" x14ac:dyDescent="0.2">
      <c r="A237" s="199"/>
      <c r="B237" s="199"/>
      <c r="C237" s="108"/>
      <c r="D237" s="108"/>
    </row>
    <row r="238" spans="1:4" x14ac:dyDescent="0.2">
      <c r="A238" s="343" t="s">
        <v>694</v>
      </c>
      <c r="B238" s="343"/>
      <c r="C238" s="343"/>
      <c r="D238" s="343"/>
    </row>
    <row r="239" spans="1:4" s="200" customFormat="1" x14ac:dyDescent="0.2">
      <c r="A239" s="343"/>
      <c r="B239" s="343"/>
      <c r="C239" s="343"/>
      <c r="D239" s="343"/>
    </row>
    <row r="240" spans="1:4" s="200" customFormat="1" x14ac:dyDescent="0.2">
      <c r="A240" s="343"/>
      <c r="B240" s="343"/>
      <c r="C240" s="343"/>
      <c r="D240" s="343"/>
    </row>
    <row r="241" spans="1:5" s="200" customFormat="1" x14ac:dyDescent="0.2">
      <c r="A241" s="343"/>
      <c r="B241" s="343"/>
      <c r="C241" s="343"/>
      <c r="D241" s="343"/>
    </row>
    <row r="242" spans="1:5" s="200" customFormat="1" x14ac:dyDescent="0.2">
      <c r="A242" s="343"/>
      <c r="B242" s="343"/>
      <c r="C242" s="343"/>
      <c r="D242" s="343"/>
    </row>
    <row r="243" spans="1:5" s="200" customFormat="1" x14ac:dyDescent="0.2">
      <c r="A243" s="382" t="s">
        <v>695</v>
      </c>
      <c r="B243" s="382"/>
      <c r="C243" s="382"/>
      <c r="D243" s="382"/>
    </row>
    <row r="244" spans="1:5" s="200" customFormat="1" x14ac:dyDescent="0.2">
      <c r="A244" s="382"/>
      <c r="B244" s="382"/>
      <c r="C244" s="382"/>
      <c r="D244" s="382"/>
    </row>
    <row r="245" spans="1:5" s="200" customFormat="1" x14ac:dyDescent="0.2">
      <c r="A245" s="382" t="s">
        <v>696</v>
      </c>
      <c r="B245" s="382"/>
      <c r="C245" s="382"/>
      <c r="D245" s="382"/>
    </row>
    <row r="246" spans="1:5" x14ac:dyDescent="0.2">
      <c r="A246" s="382"/>
      <c r="B246" s="382"/>
      <c r="C246" s="382"/>
      <c r="D246" s="382"/>
    </row>
    <row r="247" spans="1:5" x14ac:dyDescent="0.2">
      <c r="A247" s="201"/>
      <c r="B247" s="201"/>
      <c r="C247" s="201"/>
      <c r="D247" s="201"/>
    </row>
    <row r="248" spans="1:5" ht="15" x14ac:dyDescent="0.25">
      <c r="A248" s="334" t="s">
        <v>746</v>
      </c>
      <c r="B248" s="334"/>
      <c r="C248" s="334"/>
      <c r="D248" s="334"/>
    </row>
    <row r="249" spans="1:5" x14ac:dyDescent="0.2">
      <c r="A249" s="357" t="s">
        <v>797</v>
      </c>
      <c r="B249" s="335" t="s">
        <v>795</v>
      </c>
      <c r="C249" s="335"/>
      <c r="D249" s="335"/>
      <c r="E249" s="336" t="s">
        <v>801</v>
      </c>
    </row>
    <row r="250" spans="1:5" x14ac:dyDescent="0.2">
      <c r="A250" s="357"/>
      <c r="B250" s="287" t="s">
        <v>798</v>
      </c>
      <c r="C250" s="287" t="s">
        <v>799</v>
      </c>
      <c r="D250" s="287" t="s">
        <v>800</v>
      </c>
      <c r="E250" s="336"/>
    </row>
    <row r="251" spans="1:5" x14ac:dyDescent="0.2">
      <c r="A251" s="101">
        <v>30</v>
      </c>
      <c r="B251" s="101">
        <v>4</v>
      </c>
      <c r="C251" s="101">
        <v>2</v>
      </c>
      <c r="D251" s="101">
        <f>SUM(B251:C251)</f>
        <v>6</v>
      </c>
      <c r="E251" s="101">
        <v>6</v>
      </c>
    </row>
    <row r="252" spans="1:5" x14ac:dyDescent="0.2">
      <c r="A252" s="101">
        <v>40</v>
      </c>
      <c r="B252" s="101">
        <v>4</v>
      </c>
      <c r="C252" s="101">
        <v>4</v>
      </c>
      <c r="D252" s="101">
        <f t="shared" ref="D252:D288" si="0">SUM(B252:C252)</f>
        <v>8</v>
      </c>
      <c r="E252" s="101">
        <v>7</v>
      </c>
    </row>
    <row r="253" spans="1:5" x14ac:dyDescent="0.2">
      <c r="A253" s="101">
        <v>50</v>
      </c>
      <c r="B253" s="101">
        <v>6</v>
      </c>
      <c r="C253" s="101">
        <v>6</v>
      </c>
      <c r="D253" s="101">
        <f t="shared" si="0"/>
        <v>12</v>
      </c>
      <c r="E253" s="101">
        <v>8</v>
      </c>
    </row>
    <row r="254" spans="1:5" x14ac:dyDescent="0.2">
      <c r="A254" s="101">
        <v>60</v>
      </c>
      <c r="B254" s="101">
        <v>9</v>
      </c>
      <c r="C254" s="101">
        <v>7</v>
      </c>
      <c r="D254" s="101">
        <f t="shared" si="0"/>
        <v>16</v>
      </c>
      <c r="E254" s="101">
        <v>10</v>
      </c>
    </row>
    <row r="255" spans="1:5" x14ac:dyDescent="0.2">
      <c r="A255" s="101">
        <v>70</v>
      </c>
      <c r="B255" s="101">
        <v>13</v>
      </c>
      <c r="C255" s="101">
        <v>9</v>
      </c>
      <c r="D255" s="101">
        <f t="shared" si="0"/>
        <v>22</v>
      </c>
      <c r="E255" s="101">
        <v>13</v>
      </c>
    </row>
    <row r="256" spans="1:5" x14ac:dyDescent="0.2">
      <c r="A256" s="101">
        <v>80</v>
      </c>
      <c r="B256" s="101">
        <v>15</v>
      </c>
      <c r="C256" s="101">
        <v>10</v>
      </c>
      <c r="D256" s="101">
        <f t="shared" si="0"/>
        <v>25</v>
      </c>
      <c r="E256" s="101">
        <v>16</v>
      </c>
    </row>
    <row r="257" spans="1:5" x14ac:dyDescent="0.2">
      <c r="A257" s="101">
        <v>90</v>
      </c>
      <c r="B257" s="101">
        <v>16</v>
      </c>
      <c r="C257" s="101">
        <v>12</v>
      </c>
      <c r="D257" s="101">
        <f t="shared" si="0"/>
        <v>28</v>
      </c>
      <c r="E257" s="101">
        <v>20</v>
      </c>
    </row>
    <row r="258" spans="1:5" x14ac:dyDescent="0.2">
      <c r="A258" s="101">
        <v>100</v>
      </c>
      <c r="B258" s="101">
        <v>17</v>
      </c>
      <c r="C258" s="101">
        <v>16</v>
      </c>
      <c r="D258" s="101">
        <f t="shared" si="0"/>
        <v>33</v>
      </c>
      <c r="E258" s="101">
        <v>25</v>
      </c>
    </row>
    <row r="259" spans="1:5" x14ac:dyDescent="0.2">
      <c r="A259" s="101">
        <v>110</v>
      </c>
      <c r="B259" s="101">
        <v>18</v>
      </c>
      <c r="C259" s="101">
        <v>20</v>
      </c>
      <c r="D259" s="101">
        <f t="shared" si="0"/>
        <v>38</v>
      </c>
      <c r="E259" s="101">
        <v>29</v>
      </c>
    </row>
    <row r="260" spans="1:5" x14ac:dyDescent="0.2">
      <c r="A260" s="101">
        <v>120</v>
      </c>
      <c r="B260" s="101">
        <v>19</v>
      </c>
      <c r="C260" s="101">
        <v>24</v>
      </c>
      <c r="D260" s="101">
        <f t="shared" si="0"/>
        <v>43</v>
      </c>
      <c r="E260" s="101">
        <v>34</v>
      </c>
    </row>
    <row r="261" spans="1:5" x14ac:dyDescent="0.2">
      <c r="A261" s="101">
        <v>130</v>
      </c>
      <c r="B261" s="101">
        <v>20</v>
      </c>
      <c r="C261" s="101">
        <v>28</v>
      </c>
      <c r="D261" s="101">
        <f t="shared" si="0"/>
        <v>48</v>
      </c>
      <c r="E261" s="101">
        <v>40</v>
      </c>
    </row>
    <row r="262" spans="1:5" x14ac:dyDescent="0.2">
      <c r="A262" s="101">
        <v>140</v>
      </c>
      <c r="B262" s="101">
        <v>21</v>
      </c>
      <c r="C262" s="101">
        <v>33</v>
      </c>
      <c r="D262" s="101">
        <f t="shared" si="0"/>
        <v>54</v>
      </c>
      <c r="E262" s="101">
        <v>46</v>
      </c>
    </row>
    <row r="263" spans="1:5" x14ac:dyDescent="0.2">
      <c r="A263" s="101">
        <v>150</v>
      </c>
      <c r="B263" s="101">
        <v>23</v>
      </c>
      <c r="C263" s="101">
        <v>38</v>
      </c>
      <c r="D263" s="101">
        <f t="shared" si="0"/>
        <v>61</v>
      </c>
      <c r="E263" s="101">
        <v>52</v>
      </c>
    </row>
    <row r="264" spans="1:5" x14ac:dyDescent="0.2">
      <c r="A264" s="101">
        <v>160</v>
      </c>
      <c r="B264" s="101">
        <v>26</v>
      </c>
      <c r="C264" s="101">
        <v>42</v>
      </c>
      <c r="D264" s="101">
        <f t="shared" si="0"/>
        <v>68</v>
      </c>
      <c r="E264" s="101">
        <v>58</v>
      </c>
    </row>
    <row r="265" spans="1:5" x14ac:dyDescent="0.2">
      <c r="A265" s="101">
        <v>170</v>
      </c>
      <c r="B265" s="101">
        <v>27</v>
      </c>
      <c r="C265" s="101">
        <v>49</v>
      </c>
      <c r="D265" s="101">
        <f t="shared" si="0"/>
        <v>76</v>
      </c>
      <c r="E265" s="101">
        <v>66</v>
      </c>
    </row>
    <row r="266" spans="1:5" x14ac:dyDescent="0.2">
      <c r="A266" s="101">
        <v>180</v>
      </c>
      <c r="B266" s="101">
        <v>28</v>
      </c>
      <c r="C266" s="101">
        <v>46</v>
      </c>
      <c r="D266" s="101">
        <f t="shared" si="0"/>
        <v>74</v>
      </c>
      <c r="E266" s="101">
        <v>74</v>
      </c>
    </row>
    <row r="267" spans="1:5" x14ac:dyDescent="0.2">
      <c r="A267" s="101">
        <v>190</v>
      </c>
      <c r="B267" s="101">
        <v>29</v>
      </c>
      <c r="C267" s="101">
        <v>62</v>
      </c>
      <c r="D267" s="101">
        <f t="shared" si="0"/>
        <v>91</v>
      </c>
      <c r="E267" s="101">
        <v>82</v>
      </c>
    </row>
    <row r="268" spans="1:5" x14ac:dyDescent="0.2">
      <c r="A268" s="101">
        <v>200</v>
      </c>
      <c r="B268" s="101">
        <v>30</v>
      </c>
      <c r="C268" s="101">
        <v>69</v>
      </c>
      <c r="D268" s="101">
        <f t="shared" si="0"/>
        <v>99</v>
      </c>
      <c r="E268" s="101">
        <v>90</v>
      </c>
    </row>
    <row r="269" spans="1:5" x14ac:dyDescent="0.2">
      <c r="A269" s="101">
        <v>210</v>
      </c>
      <c r="B269" s="101">
        <v>31</v>
      </c>
      <c r="C269" s="101">
        <v>77</v>
      </c>
      <c r="D269" s="101">
        <f t="shared" si="0"/>
        <v>108</v>
      </c>
      <c r="E269" s="101">
        <v>98</v>
      </c>
    </row>
    <row r="270" spans="1:5" x14ac:dyDescent="0.2">
      <c r="A270" s="101">
        <v>220</v>
      </c>
      <c r="B270" s="101">
        <v>32</v>
      </c>
      <c r="C270" s="101">
        <v>83</v>
      </c>
      <c r="D270" s="101">
        <f t="shared" si="0"/>
        <v>115</v>
      </c>
      <c r="E270" s="101">
        <v>107</v>
      </c>
    </row>
    <row r="271" spans="1:5" x14ac:dyDescent="0.2">
      <c r="A271" s="101">
        <v>230</v>
      </c>
      <c r="B271" s="101">
        <v>33</v>
      </c>
      <c r="C271" s="101">
        <v>92</v>
      </c>
      <c r="D271" s="101">
        <f t="shared" si="0"/>
        <v>125</v>
      </c>
      <c r="E271" s="101">
        <v>115</v>
      </c>
    </row>
    <row r="272" spans="1:5" x14ac:dyDescent="0.2">
      <c r="A272" s="101">
        <v>240</v>
      </c>
      <c r="B272" s="101">
        <v>34</v>
      </c>
      <c r="C272" s="101">
        <v>101</v>
      </c>
      <c r="D272" s="101">
        <f t="shared" si="0"/>
        <v>135</v>
      </c>
      <c r="E272" s="101">
        <v>127</v>
      </c>
    </row>
    <row r="273" spans="1:5" x14ac:dyDescent="0.2">
      <c r="A273" s="101">
        <v>250</v>
      </c>
      <c r="B273" s="101">
        <v>35</v>
      </c>
      <c r="C273" s="101">
        <v>109</v>
      </c>
      <c r="D273" s="101">
        <f t="shared" si="0"/>
        <v>144</v>
      </c>
      <c r="E273" s="101">
        <v>138</v>
      </c>
    </row>
    <row r="274" spans="1:5" x14ac:dyDescent="0.2">
      <c r="A274" s="101">
        <v>260</v>
      </c>
      <c r="B274" s="101">
        <v>36</v>
      </c>
      <c r="C274" s="101">
        <v>118</v>
      </c>
      <c r="D274" s="101">
        <f t="shared" si="0"/>
        <v>154</v>
      </c>
      <c r="E274" s="101">
        <v>149</v>
      </c>
    </row>
    <row r="275" spans="1:5" x14ac:dyDescent="0.2">
      <c r="A275" s="101">
        <v>270</v>
      </c>
      <c r="B275" s="101">
        <v>36</v>
      </c>
      <c r="C275" s="101">
        <v>128</v>
      </c>
      <c r="D275" s="101">
        <f t="shared" si="0"/>
        <v>164</v>
      </c>
      <c r="E275" s="101">
        <v>162</v>
      </c>
    </row>
    <row r="276" spans="1:5" x14ac:dyDescent="0.2">
      <c r="A276" s="101">
        <v>280</v>
      </c>
      <c r="B276" s="101">
        <v>37</v>
      </c>
      <c r="C276" s="101">
        <v>138</v>
      </c>
      <c r="D276" s="101">
        <f t="shared" si="0"/>
        <v>175</v>
      </c>
      <c r="E276" s="101">
        <v>173</v>
      </c>
    </row>
    <row r="277" spans="1:5" x14ac:dyDescent="0.2">
      <c r="A277" s="101">
        <v>290</v>
      </c>
      <c r="B277" s="101">
        <v>38</v>
      </c>
      <c r="C277" s="101">
        <v>148</v>
      </c>
      <c r="D277" s="101">
        <f t="shared" si="0"/>
        <v>186</v>
      </c>
      <c r="E277" s="101">
        <v>186</v>
      </c>
    </row>
    <row r="278" spans="1:5" x14ac:dyDescent="0.2">
      <c r="A278" s="101">
        <v>300</v>
      </c>
      <c r="B278" s="116">
        <v>38</v>
      </c>
      <c r="C278" s="101">
        <v>156</v>
      </c>
      <c r="D278" s="101">
        <f t="shared" si="0"/>
        <v>194</v>
      </c>
      <c r="E278" s="101">
        <v>200</v>
      </c>
    </row>
    <row r="279" spans="1:5" x14ac:dyDescent="0.2">
      <c r="A279" s="101">
        <v>310</v>
      </c>
      <c r="B279" s="101">
        <v>39</v>
      </c>
      <c r="C279" s="101">
        <v>168</v>
      </c>
      <c r="D279" s="101">
        <f t="shared" si="0"/>
        <v>207</v>
      </c>
      <c r="E279" s="101">
        <v>213</v>
      </c>
    </row>
    <row r="280" spans="1:5" x14ac:dyDescent="0.2">
      <c r="A280" s="101">
        <v>320</v>
      </c>
      <c r="B280" s="101">
        <v>39</v>
      </c>
      <c r="C280" s="101">
        <v>179</v>
      </c>
      <c r="D280" s="101">
        <f t="shared" si="0"/>
        <v>218</v>
      </c>
      <c r="E280" s="101">
        <v>226</v>
      </c>
    </row>
    <row r="281" spans="1:5" x14ac:dyDescent="0.2">
      <c r="A281" s="101">
        <v>330</v>
      </c>
      <c r="B281" s="101">
        <v>40</v>
      </c>
      <c r="C281" s="101">
        <v>190</v>
      </c>
      <c r="D281" s="101">
        <f t="shared" si="0"/>
        <v>230</v>
      </c>
      <c r="E281" s="101">
        <v>240</v>
      </c>
    </row>
    <row r="282" spans="1:5" x14ac:dyDescent="0.2">
      <c r="A282" s="101">
        <v>340</v>
      </c>
      <c r="B282" s="101">
        <v>41</v>
      </c>
      <c r="C282" s="101">
        <v>202</v>
      </c>
      <c r="D282" s="101">
        <f t="shared" si="0"/>
        <v>243</v>
      </c>
      <c r="E282" s="101">
        <v>255</v>
      </c>
    </row>
    <row r="283" spans="1:5" x14ac:dyDescent="0.2">
      <c r="A283" s="101">
        <v>350</v>
      </c>
      <c r="B283" s="101">
        <v>42</v>
      </c>
      <c r="C283" s="101">
        <v>213</v>
      </c>
      <c r="D283" s="101">
        <f t="shared" si="0"/>
        <v>255</v>
      </c>
      <c r="E283" s="101">
        <v>270</v>
      </c>
    </row>
    <row r="284" spans="1:5" x14ac:dyDescent="0.2">
      <c r="A284" s="101">
        <v>360</v>
      </c>
      <c r="B284" s="101">
        <v>44</v>
      </c>
      <c r="C284" s="101">
        <v>226</v>
      </c>
      <c r="D284" s="101">
        <f t="shared" si="0"/>
        <v>270</v>
      </c>
      <c r="E284" s="101">
        <v>285</v>
      </c>
    </row>
    <row r="285" spans="1:5" x14ac:dyDescent="0.2">
      <c r="A285" s="101">
        <v>370</v>
      </c>
      <c r="B285" s="101">
        <v>45</v>
      </c>
      <c r="C285" s="101">
        <v>238</v>
      </c>
      <c r="D285" s="101">
        <f t="shared" si="0"/>
        <v>283</v>
      </c>
      <c r="E285" s="101">
        <v>300</v>
      </c>
    </row>
    <row r="286" spans="1:5" x14ac:dyDescent="0.2">
      <c r="A286" s="101">
        <v>380</v>
      </c>
      <c r="B286" s="202">
        <v>46</v>
      </c>
      <c r="C286" s="202">
        <v>252</v>
      </c>
      <c r="D286" s="101">
        <f t="shared" si="0"/>
        <v>298</v>
      </c>
      <c r="E286" s="101">
        <v>315</v>
      </c>
    </row>
    <row r="287" spans="1:5" x14ac:dyDescent="0.2">
      <c r="A287" s="101">
        <v>390</v>
      </c>
      <c r="B287" s="202">
        <v>47</v>
      </c>
      <c r="C287" s="202">
        <v>266</v>
      </c>
      <c r="D287" s="101">
        <f t="shared" si="0"/>
        <v>313</v>
      </c>
      <c r="E287" s="101">
        <v>330</v>
      </c>
    </row>
    <row r="288" spans="1:5" x14ac:dyDescent="0.2">
      <c r="A288" s="101">
        <v>400</v>
      </c>
      <c r="B288" s="101">
        <v>48</v>
      </c>
      <c r="C288" s="101">
        <v>281</v>
      </c>
      <c r="D288" s="101">
        <f t="shared" si="0"/>
        <v>329</v>
      </c>
      <c r="E288" s="101">
        <v>345</v>
      </c>
    </row>
    <row r="289" spans="1:5" x14ac:dyDescent="0.2">
      <c r="B289" s="99"/>
    </row>
    <row r="290" spans="1:5" x14ac:dyDescent="0.2">
      <c r="A290" s="353" t="s">
        <v>697</v>
      </c>
      <c r="B290" s="353"/>
      <c r="C290" s="353"/>
      <c r="D290" s="353"/>
      <c r="E290" s="353"/>
    </row>
    <row r="291" spans="1:5" x14ac:dyDescent="0.2">
      <c r="A291" s="353"/>
      <c r="B291" s="353"/>
      <c r="C291" s="353"/>
      <c r="D291" s="353"/>
      <c r="E291" s="353"/>
    </row>
    <row r="292" spans="1:5" x14ac:dyDescent="0.2">
      <c r="A292" s="353" t="s">
        <v>698</v>
      </c>
      <c r="B292" s="353"/>
      <c r="C292" s="353"/>
      <c r="D292" s="353"/>
      <c r="E292" s="353"/>
    </row>
    <row r="293" spans="1:5" x14ac:dyDescent="0.2">
      <c r="A293" s="353"/>
      <c r="B293" s="353"/>
      <c r="C293" s="353"/>
      <c r="D293" s="353"/>
      <c r="E293" s="353"/>
    </row>
  </sheetData>
  <sheetProtection algorithmName="SHA-512" hashValue="XmYK0Ek+iFroVEbsNNE8MWhaAlNxjzyQPfxtF3v3khHitAKdVdZJQ++lr2WA7R/UnFlX1QFwfEH++MhAJuh7jw==" saltValue="4JhfuhRx3332OQOHlZ4wEQ==" spinCount="100000" sheet="1" objects="1" scenarios="1"/>
  <mergeCells count="108">
    <mergeCell ref="A290:E291"/>
    <mergeCell ref="A292:E293"/>
    <mergeCell ref="H178:H182"/>
    <mergeCell ref="H183:H199"/>
    <mergeCell ref="A226:D226"/>
    <mergeCell ref="A227:A228"/>
    <mergeCell ref="B227:C227"/>
    <mergeCell ref="D227:D228"/>
    <mergeCell ref="A238:D242"/>
    <mergeCell ref="A243:D244"/>
    <mergeCell ref="A245:D246"/>
    <mergeCell ref="A249:A250"/>
    <mergeCell ref="A216:G218"/>
    <mergeCell ref="Q83:S84"/>
    <mergeCell ref="Q35:S36"/>
    <mergeCell ref="T35:U35"/>
    <mergeCell ref="T83:U83"/>
    <mergeCell ref="Q78:S78"/>
    <mergeCell ref="Q79:S79"/>
    <mergeCell ref="Q80:S80"/>
    <mergeCell ref="Q81:S81"/>
    <mergeCell ref="Q82:S82"/>
    <mergeCell ref="Q73:S73"/>
    <mergeCell ref="Q74:S74"/>
    <mergeCell ref="Q75:S75"/>
    <mergeCell ref="Q76:S76"/>
    <mergeCell ref="Q77:S77"/>
    <mergeCell ref="Q68:S68"/>
    <mergeCell ref="Q69:S69"/>
    <mergeCell ref="Q70:S70"/>
    <mergeCell ref="Q71:S71"/>
    <mergeCell ref="Q72:S72"/>
    <mergeCell ref="Q63:S63"/>
    <mergeCell ref="Q64:S64"/>
    <mergeCell ref="Q65:S65"/>
    <mergeCell ref="Q66:S66"/>
    <mergeCell ref="Q67:S67"/>
    <mergeCell ref="Q58:S58"/>
    <mergeCell ref="Q59:S59"/>
    <mergeCell ref="Q60:S60"/>
    <mergeCell ref="Q61:S61"/>
    <mergeCell ref="Q62:S62"/>
    <mergeCell ref="Q47:S47"/>
    <mergeCell ref="Q53:S53"/>
    <mergeCell ref="Q54:S54"/>
    <mergeCell ref="Q55:S55"/>
    <mergeCell ref="Q56:S56"/>
    <mergeCell ref="Q57:S57"/>
    <mergeCell ref="Q48:S48"/>
    <mergeCell ref="Q49:S49"/>
    <mergeCell ref="Q50:S50"/>
    <mergeCell ref="Q51:S51"/>
    <mergeCell ref="Q52:S52"/>
    <mergeCell ref="Q38:S38"/>
    <mergeCell ref="Q39:S39"/>
    <mergeCell ref="Q40:S40"/>
    <mergeCell ref="Q41:S41"/>
    <mergeCell ref="Q42:S42"/>
    <mergeCell ref="Q43:S43"/>
    <mergeCell ref="Q44:S44"/>
    <mergeCell ref="Q45:S45"/>
    <mergeCell ref="Q46:S46"/>
    <mergeCell ref="P35:P36"/>
    <mergeCell ref="A35:A36"/>
    <mergeCell ref="A116:E117"/>
    <mergeCell ref="A213:G215"/>
    <mergeCell ref="C124:E124"/>
    <mergeCell ref="A130:E131"/>
    <mergeCell ref="A134:B136"/>
    <mergeCell ref="A118:E119"/>
    <mergeCell ref="A120:E121"/>
    <mergeCell ref="D83:O83"/>
    <mergeCell ref="P83:P84"/>
    <mergeCell ref="A86:J87"/>
    <mergeCell ref="H134:H136"/>
    <mergeCell ref="C134:G134"/>
    <mergeCell ref="H137:H142"/>
    <mergeCell ref="H200:H204"/>
    <mergeCell ref="A124:B125"/>
    <mergeCell ref="H143:H158"/>
    <mergeCell ref="H159:H164"/>
    <mergeCell ref="H165:H170"/>
    <mergeCell ref="H171:H177"/>
    <mergeCell ref="A206:G206"/>
    <mergeCell ref="A208:G208"/>
    <mergeCell ref="A209:G209"/>
    <mergeCell ref="E136:F136"/>
    <mergeCell ref="E135:F135"/>
    <mergeCell ref="C136:D136"/>
    <mergeCell ref="C135:D135"/>
    <mergeCell ref="A248:D248"/>
    <mergeCell ref="B249:D249"/>
    <mergeCell ref="E249:E250"/>
    <mergeCell ref="C5:E5"/>
    <mergeCell ref="A4:B6"/>
    <mergeCell ref="A112:E112"/>
    <mergeCell ref="A113:E113"/>
    <mergeCell ref="A114:E115"/>
    <mergeCell ref="B35:C35"/>
    <mergeCell ref="D35:O35"/>
    <mergeCell ref="A95:B97"/>
    <mergeCell ref="C95:E95"/>
    <mergeCell ref="F95:H95"/>
    <mergeCell ref="C4:E4"/>
    <mergeCell ref="A25:E26"/>
    <mergeCell ref="A29:E32"/>
    <mergeCell ref="A83:A84"/>
    <mergeCell ref="B83:C83"/>
  </mergeCells>
  <pageMargins left="0.7" right="0.7" top="0.75" bottom="0.75" header="0.3" footer="0.3"/>
  <pageSetup orientation="landscape" horizontalDpi="1200" verticalDpi="1200" r:id="rId1"/>
  <headerFooter>
    <oddFooter>&amp;L&amp;"Arial,Italic"&amp;8aq6-13  •  5/26/23&amp;C&amp;"Arial,Italic"&amp;8https://www.pca.state.mn.us  •  Available in alternative formats  •  651-296-6300  •  800-657-3864  •  Use your preferred relay service&amp;R&amp;"Arial,Italic"&amp;8Page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N230"/>
  <sheetViews>
    <sheetView showGridLines="0" zoomScaleNormal="100" workbookViewId="0">
      <selection activeCell="A4" sqref="A4"/>
    </sheetView>
  </sheetViews>
  <sheetFormatPr defaultRowHeight="15" x14ac:dyDescent="0.25"/>
  <cols>
    <col min="1" max="1" width="24.28515625" customWidth="1"/>
    <col min="2" max="2" width="5.42578125" customWidth="1"/>
    <col min="3" max="3" width="14.28515625" customWidth="1"/>
    <col min="4" max="4" width="12.140625" customWidth="1"/>
    <col min="5" max="5" width="10.140625" customWidth="1"/>
    <col min="6" max="6" width="15.42578125" customWidth="1"/>
    <col min="7" max="7" width="14.5703125" bestFit="1" customWidth="1"/>
    <col min="8" max="8" width="16.42578125" customWidth="1"/>
    <col min="9" max="9" width="15.7109375" customWidth="1"/>
    <col min="10" max="13" width="11.5703125" customWidth="1"/>
  </cols>
  <sheetData>
    <row r="1" spans="1:14" ht="18.75" x14ac:dyDescent="0.3">
      <c r="A1" s="284" t="s">
        <v>223</v>
      </c>
      <c r="B1" s="217"/>
      <c r="C1" s="217"/>
      <c r="D1" s="217"/>
      <c r="E1" s="217"/>
      <c r="F1" s="217"/>
      <c r="G1" s="217"/>
      <c r="H1" s="217"/>
      <c r="I1" s="217"/>
      <c r="J1" s="217"/>
      <c r="K1" s="217"/>
      <c r="L1" s="217"/>
      <c r="M1" s="217"/>
      <c r="N1" s="217"/>
    </row>
    <row r="2" spans="1:14" x14ac:dyDescent="0.25">
      <c r="A2" s="217"/>
      <c r="B2" s="217"/>
      <c r="C2" s="217"/>
      <c r="D2" s="217"/>
      <c r="E2" s="217"/>
      <c r="F2" s="217"/>
      <c r="G2" s="217"/>
      <c r="H2" s="217"/>
      <c r="I2" s="217"/>
      <c r="J2" s="217"/>
      <c r="K2" s="217"/>
      <c r="L2" s="217"/>
      <c r="M2" s="217"/>
      <c r="N2" s="217"/>
    </row>
    <row r="3" spans="1:14" x14ac:dyDescent="0.25">
      <c r="B3" s="217"/>
      <c r="C3" s="217"/>
      <c r="D3" s="217"/>
      <c r="E3" s="217"/>
      <c r="F3" s="217"/>
      <c r="G3" s="217"/>
      <c r="H3" s="217"/>
      <c r="I3" s="217"/>
      <c r="J3" s="217"/>
      <c r="K3" s="217"/>
      <c r="L3" s="217"/>
      <c r="M3" s="217"/>
      <c r="N3" s="217"/>
    </row>
    <row r="4" spans="1:14" x14ac:dyDescent="0.25">
      <c r="A4" s="206" t="s">
        <v>748</v>
      </c>
      <c r="B4" s="217"/>
      <c r="C4" s="217"/>
      <c r="D4" s="217"/>
      <c r="E4" s="217"/>
      <c r="F4" s="217"/>
      <c r="G4" s="217"/>
      <c r="H4" s="217"/>
      <c r="I4" s="217"/>
      <c r="J4" s="217"/>
      <c r="K4" s="217"/>
      <c r="L4" s="217"/>
      <c r="M4" s="217"/>
      <c r="N4" s="217"/>
    </row>
    <row r="5" spans="1:14" ht="53.25" x14ac:dyDescent="0.25">
      <c r="A5" s="302" t="s">
        <v>802</v>
      </c>
      <c r="B5" s="260"/>
      <c r="C5" s="260" t="s">
        <v>803</v>
      </c>
      <c r="D5" s="260" t="s">
        <v>804</v>
      </c>
      <c r="E5" s="260" t="s">
        <v>805</v>
      </c>
      <c r="F5" s="260" t="s">
        <v>806</v>
      </c>
      <c r="G5" s="260" t="s">
        <v>806</v>
      </c>
      <c r="H5" s="260" t="s">
        <v>807</v>
      </c>
      <c r="I5" s="261"/>
      <c r="J5" s="261"/>
      <c r="K5" s="261"/>
      <c r="L5" s="261"/>
      <c r="M5" s="261"/>
      <c r="N5" s="217"/>
    </row>
    <row r="6" spans="1:14" ht="15" customHeight="1" x14ac:dyDescent="0.25">
      <c r="A6" s="260"/>
      <c r="B6" s="260"/>
      <c r="C6" s="260" t="s">
        <v>749</v>
      </c>
      <c r="D6" s="260" t="s">
        <v>750</v>
      </c>
      <c r="E6" s="260" t="s">
        <v>751</v>
      </c>
      <c r="F6" s="260" t="s">
        <v>140</v>
      </c>
      <c r="G6" s="260" t="s">
        <v>139</v>
      </c>
      <c r="H6" s="260" t="s">
        <v>752</v>
      </c>
      <c r="I6" s="261"/>
      <c r="J6" s="261"/>
      <c r="K6" s="261"/>
      <c r="L6" s="261"/>
      <c r="M6" s="261"/>
      <c r="N6" s="217"/>
    </row>
    <row r="7" spans="1:14" ht="15" customHeight="1" x14ac:dyDescent="0.25">
      <c r="A7" s="260"/>
      <c r="B7" s="260"/>
      <c r="C7" s="260" t="s">
        <v>36</v>
      </c>
      <c r="D7" s="260" t="s">
        <v>36</v>
      </c>
      <c r="E7" s="260" t="s">
        <v>57</v>
      </c>
      <c r="F7" s="260" t="s">
        <v>2</v>
      </c>
      <c r="G7" s="260" t="s">
        <v>142</v>
      </c>
      <c r="H7" s="260" t="s">
        <v>124</v>
      </c>
      <c r="I7" s="261"/>
      <c r="J7" s="261"/>
      <c r="K7" s="261"/>
      <c r="L7" s="261"/>
      <c r="M7" s="261"/>
      <c r="N7" s="217"/>
    </row>
    <row r="8" spans="1:14" ht="15" customHeight="1" x14ac:dyDescent="0.25">
      <c r="A8" s="262"/>
      <c r="B8" s="262"/>
      <c r="C8" s="196"/>
      <c r="D8" s="196"/>
      <c r="E8" s="196"/>
      <c r="F8" s="196"/>
      <c r="G8" s="196"/>
      <c r="H8" s="196"/>
      <c r="I8" s="263"/>
      <c r="J8" s="263"/>
      <c r="K8" s="263"/>
      <c r="L8" s="263"/>
      <c r="M8" s="263"/>
      <c r="N8" s="217"/>
    </row>
    <row r="9" spans="1:14" x14ac:dyDescent="0.25">
      <c r="A9" s="262" t="s">
        <v>816</v>
      </c>
      <c r="B9" s="262"/>
      <c r="C9" s="196">
        <v>62</v>
      </c>
      <c r="D9" s="196">
        <v>92</v>
      </c>
      <c r="E9" s="196">
        <v>5.6</v>
      </c>
      <c r="F9" s="196">
        <v>11.644</v>
      </c>
      <c r="G9" s="196">
        <v>5043.6000000000004</v>
      </c>
      <c r="H9" s="264">
        <v>7</v>
      </c>
      <c r="I9" s="265"/>
      <c r="J9" s="265"/>
      <c r="K9" s="265"/>
      <c r="L9" s="265"/>
      <c r="M9" s="265"/>
      <c r="N9" s="217"/>
    </row>
    <row r="10" spans="1:14" ht="17.25" x14ac:dyDescent="0.25">
      <c r="A10" s="262" t="s">
        <v>817</v>
      </c>
      <c r="B10" s="2" t="s">
        <v>14</v>
      </c>
      <c r="C10" s="196">
        <v>66</v>
      </c>
      <c r="D10" s="196">
        <v>92</v>
      </c>
      <c r="E10" s="196">
        <v>5.6</v>
      </c>
      <c r="F10" s="196">
        <v>11.724</v>
      </c>
      <c r="G10" s="196">
        <v>5237.3</v>
      </c>
      <c r="H10" s="264">
        <v>5.2</v>
      </c>
      <c r="I10" s="265"/>
      <c r="J10" s="265"/>
      <c r="K10" s="265"/>
      <c r="L10" s="265"/>
      <c r="M10" s="265"/>
      <c r="N10" s="217"/>
    </row>
    <row r="11" spans="1:14" x14ac:dyDescent="0.25">
      <c r="A11" s="262" t="s">
        <v>818</v>
      </c>
      <c r="B11" s="262"/>
      <c r="C11" s="196">
        <v>68</v>
      </c>
      <c r="D11" s="196">
        <v>92</v>
      </c>
      <c r="E11" s="196">
        <v>5.6</v>
      </c>
      <c r="F11" s="196">
        <v>11.833</v>
      </c>
      <c r="G11" s="196">
        <v>5500.6</v>
      </c>
      <c r="H11" s="264">
        <v>3.5</v>
      </c>
      <c r="I11" s="265"/>
      <c r="J11" s="265"/>
      <c r="K11" s="265"/>
      <c r="L11" s="265"/>
      <c r="M11" s="265"/>
      <c r="N11" s="217"/>
    </row>
    <row r="12" spans="1:14" x14ac:dyDescent="0.25">
      <c r="A12" s="262" t="s">
        <v>819</v>
      </c>
      <c r="B12" s="262"/>
      <c r="C12" s="196">
        <v>80</v>
      </c>
      <c r="D12" s="196">
        <v>120</v>
      </c>
      <c r="E12" s="196">
        <v>6.4</v>
      </c>
      <c r="F12" s="196">
        <v>11.368</v>
      </c>
      <c r="G12" s="196">
        <v>5784.3</v>
      </c>
      <c r="H12" s="264">
        <v>1.3</v>
      </c>
      <c r="I12" s="265"/>
      <c r="J12" s="265"/>
      <c r="K12" s="265"/>
      <c r="L12" s="265"/>
      <c r="M12" s="265"/>
      <c r="N12" s="217"/>
    </row>
    <row r="13" spans="1:14" x14ac:dyDescent="0.25">
      <c r="A13" s="262" t="s">
        <v>820</v>
      </c>
      <c r="B13" s="262"/>
      <c r="C13" s="196">
        <v>130</v>
      </c>
      <c r="D13" s="196">
        <v>162</v>
      </c>
      <c r="E13" s="264">
        <v>7</v>
      </c>
      <c r="F13" s="266">
        <v>12.39</v>
      </c>
      <c r="G13" s="264">
        <v>8933</v>
      </c>
      <c r="H13" s="266">
        <v>8.0000000000000002E-3</v>
      </c>
      <c r="I13" s="267"/>
      <c r="J13" s="267"/>
      <c r="K13" s="267"/>
      <c r="L13" s="267"/>
      <c r="M13" s="267"/>
      <c r="N13" s="217"/>
    </row>
    <row r="14" spans="1:14" x14ac:dyDescent="0.25">
      <c r="A14" s="262" t="s">
        <v>821</v>
      </c>
      <c r="B14" s="262"/>
      <c r="C14" s="196">
        <v>130</v>
      </c>
      <c r="D14" s="196">
        <v>188</v>
      </c>
      <c r="E14" s="196">
        <v>7.1</v>
      </c>
      <c r="F14" s="196">
        <v>12.101000000000001</v>
      </c>
      <c r="G14" s="264">
        <v>8907</v>
      </c>
      <c r="H14" s="266">
        <v>6.0000000000000001E-3</v>
      </c>
      <c r="I14" s="267"/>
      <c r="J14" s="267"/>
      <c r="K14" s="267"/>
      <c r="L14" s="267"/>
      <c r="M14" s="267"/>
      <c r="N14" s="217"/>
    </row>
    <row r="15" spans="1:14" ht="17.25" x14ac:dyDescent="0.25">
      <c r="A15" s="262" t="s">
        <v>822</v>
      </c>
      <c r="B15" s="2" t="s">
        <v>138</v>
      </c>
      <c r="C15" s="196">
        <v>130</v>
      </c>
      <c r="D15" s="196">
        <v>387</v>
      </c>
      <c r="E15" s="196">
        <v>7.9</v>
      </c>
      <c r="F15" s="196">
        <v>10.781000000000001</v>
      </c>
      <c r="G15" s="264">
        <v>8933</v>
      </c>
      <c r="H15" s="266">
        <v>2E-3</v>
      </c>
      <c r="I15" s="267"/>
      <c r="J15" s="267"/>
      <c r="K15" s="267"/>
      <c r="L15" s="267"/>
      <c r="M15" s="267"/>
      <c r="N15" s="217"/>
    </row>
    <row r="16" spans="1:14" ht="17.25" x14ac:dyDescent="0.25">
      <c r="A16" s="262" t="s">
        <v>823</v>
      </c>
      <c r="B16" s="2" t="s">
        <v>11</v>
      </c>
      <c r="C16" s="196">
        <v>190</v>
      </c>
      <c r="D16" s="196">
        <v>387</v>
      </c>
      <c r="E16" s="196">
        <v>7.9</v>
      </c>
      <c r="F16" s="196">
        <v>10.103999999999999</v>
      </c>
      <c r="G16" s="196">
        <v>10475.5</v>
      </c>
      <c r="H16" s="268">
        <v>4.0000000000000002E-4</v>
      </c>
      <c r="I16" s="269"/>
      <c r="J16" s="269"/>
      <c r="K16" s="269"/>
      <c r="L16" s="269"/>
      <c r="M16" s="269"/>
      <c r="N16" s="217"/>
    </row>
    <row r="17" spans="1:14" x14ac:dyDescent="0.25">
      <c r="A17" s="197" t="s">
        <v>222</v>
      </c>
      <c r="B17" s="197"/>
      <c r="C17" s="197"/>
      <c r="D17" s="197"/>
      <c r="E17" s="197"/>
      <c r="F17" s="197"/>
      <c r="G17" s="197"/>
      <c r="H17" s="197"/>
      <c r="I17" s="154"/>
      <c r="J17" s="154"/>
      <c r="K17" s="154"/>
      <c r="L17" s="154"/>
      <c r="M17" s="154"/>
      <c r="N17" s="217"/>
    </row>
    <row r="18" spans="1:14" x14ac:dyDescent="0.25">
      <c r="A18" s="270" t="s">
        <v>753</v>
      </c>
      <c r="B18" s="217"/>
      <c r="C18" s="217"/>
      <c r="D18" s="217"/>
      <c r="E18" s="217"/>
      <c r="F18" s="217"/>
      <c r="G18" s="217"/>
      <c r="H18" s="217"/>
      <c r="I18" s="217"/>
      <c r="J18" s="217"/>
      <c r="K18" s="217"/>
      <c r="L18" s="217"/>
      <c r="M18" s="217"/>
      <c r="N18" s="217"/>
    </row>
    <row r="19" spans="1:14" ht="15" customHeight="1" x14ac:dyDescent="0.25">
      <c r="A19" s="390" t="s">
        <v>754</v>
      </c>
      <c r="B19" s="391"/>
      <c r="C19" s="391"/>
      <c r="D19" s="391"/>
      <c r="E19" s="391"/>
      <c r="F19" s="391"/>
      <c r="G19" s="391"/>
      <c r="H19" s="391"/>
      <c r="I19" s="271"/>
      <c r="J19" s="271"/>
      <c r="K19" s="271"/>
      <c r="L19" s="271"/>
      <c r="M19" s="271"/>
      <c r="N19" s="217"/>
    </row>
    <row r="20" spans="1:14" x14ac:dyDescent="0.25">
      <c r="A20" s="391"/>
      <c r="B20" s="391"/>
      <c r="C20" s="391"/>
      <c r="D20" s="391"/>
      <c r="E20" s="391"/>
      <c r="F20" s="391"/>
      <c r="G20" s="391"/>
      <c r="H20" s="391"/>
      <c r="I20" s="271"/>
      <c r="J20" s="271"/>
      <c r="K20" s="271"/>
      <c r="L20" s="271"/>
      <c r="M20" s="271"/>
      <c r="N20" s="217"/>
    </row>
    <row r="21" spans="1:14" x14ac:dyDescent="0.25">
      <c r="A21" s="391"/>
      <c r="B21" s="391"/>
      <c r="C21" s="391"/>
      <c r="D21" s="391"/>
      <c r="E21" s="391"/>
      <c r="F21" s="391"/>
      <c r="G21" s="391"/>
      <c r="H21" s="391"/>
      <c r="I21" s="271"/>
      <c r="J21" s="271"/>
      <c r="K21" s="271"/>
      <c r="L21" s="271"/>
      <c r="M21" s="271"/>
      <c r="N21" s="217"/>
    </row>
    <row r="22" spans="1:14" x14ac:dyDescent="0.25">
      <c r="A22" s="270" t="s">
        <v>755</v>
      </c>
      <c r="B22" s="271"/>
      <c r="C22" s="271"/>
      <c r="D22" s="271"/>
      <c r="E22" s="271"/>
      <c r="F22" s="271"/>
      <c r="G22" s="271"/>
      <c r="H22" s="272"/>
      <c r="I22" s="272"/>
      <c r="J22" s="272"/>
      <c r="K22" s="272"/>
      <c r="L22" s="272"/>
      <c r="M22" s="272"/>
      <c r="N22" s="217"/>
    </row>
    <row r="23" spans="1:14" x14ac:dyDescent="0.25">
      <c r="A23" s="270" t="s">
        <v>756</v>
      </c>
      <c r="B23" s="271"/>
      <c r="C23" s="271"/>
      <c r="D23" s="271"/>
      <c r="E23" s="271"/>
      <c r="F23" s="271"/>
      <c r="G23" s="271"/>
      <c r="H23" s="272"/>
      <c r="I23" s="272"/>
      <c r="J23" s="272"/>
      <c r="K23" s="272"/>
      <c r="L23" s="272"/>
      <c r="M23" s="272"/>
      <c r="N23" s="217"/>
    </row>
    <row r="24" spans="1:14" x14ac:dyDescent="0.25">
      <c r="A24" s="270" t="s">
        <v>137</v>
      </c>
      <c r="B24" s="217"/>
      <c r="C24" s="271"/>
      <c r="D24" s="271"/>
      <c r="E24" s="271"/>
      <c r="F24" s="271"/>
      <c r="G24" s="271"/>
      <c r="H24" s="272"/>
      <c r="I24" s="272"/>
      <c r="J24" s="272"/>
      <c r="K24" s="272"/>
      <c r="L24" s="272"/>
      <c r="M24" s="272"/>
      <c r="N24" s="217"/>
    </row>
    <row r="25" spans="1:14" x14ac:dyDescent="0.25">
      <c r="A25" s="270" t="s">
        <v>757</v>
      </c>
      <c r="B25" s="217"/>
      <c r="C25" s="271"/>
      <c r="D25" s="271"/>
      <c r="E25" s="271"/>
      <c r="F25" s="271"/>
      <c r="G25" s="271"/>
      <c r="H25" s="272"/>
      <c r="I25" s="272"/>
      <c r="J25" s="272"/>
      <c r="K25" s="272"/>
      <c r="L25" s="272"/>
      <c r="M25" s="272"/>
      <c r="N25" s="217"/>
    </row>
    <row r="26" spans="1:14" x14ac:dyDescent="0.25">
      <c r="A26" s="273" t="s">
        <v>758</v>
      </c>
      <c r="B26" s="217"/>
      <c r="C26" s="272"/>
      <c r="D26" s="272"/>
      <c r="E26" s="272"/>
      <c r="F26" s="272"/>
      <c r="G26" s="272"/>
      <c r="H26" s="272"/>
      <c r="I26" s="272"/>
      <c r="J26" s="272"/>
      <c r="K26" s="272"/>
      <c r="L26" s="272"/>
      <c r="M26" s="272"/>
      <c r="N26" s="217"/>
    </row>
    <row r="27" spans="1:14" ht="15" customHeight="1" x14ac:dyDescent="0.25">
      <c r="A27" s="390" t="s">
        <v>759</v>
      </c>
      <c r="B27" s="391"/>
      <c r="C27" s="391"/>
      <c r="D27" s="391"/>
      <c r="E27" s="391"/>
      <c r="F27" s="391"/>
      <c r="G27" s="391"/>
      <c r="H27" s="391"/>
      <c r="I27" s="271"/>
      <c r="J27" s="271"/>
      <c r="K27" s="271"/>
      <c r="L27" s="271"/>
      <c r="M27" s="271"/>
      <c r="N27" s="217"/>
    </row>
    <row r="28" spans="1:14" x14ac:dyDescent="0.25">
      <c r="A28" s="391"/>
      <c r="B28" s="391"/>
      <c r="C28" s="391"/>
      <c r="D28" s="391"/>
      <c r="E28" s="391"/>
      <c r="F28" s="391"/>
      <c r="G28" s="391"/>
      <c r="H28" s="391"/>
      <c r="I28" s="271"/>
      <c r="J28" s="271"/>
      <c r="K28" s="271"/>
      <c r="L28" s="271"/>
      <c r="M28" s="271"/>
      <c r="N28" s="217"/>
    </row>
    <row r="29" spans="1:14" ht="15" customHeight="1" x14ac:dyDescent="0.25">
      <c r="A29" s="390" t="s">
        <v>760</v>
      </c>
      <c r="B29" s="391"/>
      <c r="C29" s="391"/>
      <c r="D29" s="391"/>
      <c r="E29" s="391"/>
      <c r="F29" s="391"/>
      <c r="G29" s="391"/>
      <c r="H29" s="391"/>
      <c r="I29" s="271"/>
      <c r="J29" s="271"/>
      <c r="K29" s="271"/>
      <c r="L29" s="271"/>
      <c r="M29" s="271"/>
      <c r="N29" s="217"/>
    </row>
    <row r="30" spans="1:14" x14ac:dyDescent="0.25">
      <c r="A30" s="391"/>
      <c r="B30" s="391"/>
      <c r="C30" s="391"/>
      <c r="D30" s="391"/>
      <c r="E30" s="391"/>
      <c r="F30" s="391"/>
      <c r="G30" s="391"/>
      <c r="H30" s="391"/>
      <c r="I30" s="271"/>
      <c r="J30" s="271"/>
      <c r="K30" s="271"/>
      <c r="L30" s="271"/>
      <c r="M30" s="271"/>
      <c r="N30" s="217"/>
    </row>
    <row r="31" spans="1:14" ht="15" customHeight="1" x14ac:dyDescent="0.25">
      <c r="A31" s="390" t="s">
        <v>761</v>
      </c>
      <c r="B31" s="391"/>
      <c r="C31" s="391"/>
      <c r="D31" s="391"/>
      <c r="E31" s="391"/>
      <c r="F31" s="391"/>
      <c r="G31" s="391"/>
      <c r="H31" s="391"/>
      <c r="I31" s="271"/>
      <c r="J31" s="271"/>
      <c r="K31" s="271"/>
      <c r="L31" s="271"/>
      <c r="M31" s="271"/>
      <c r="N31" s="217"/>
    </row>
    <row r="32" spans="1:14" x14ac:dyDescent="0.25">
      <c r="A32" s="391"/>
      <c r="B32" s="391"/>
      <c r="C32" s="391"/>
      <c r="D32" s="391"/>
      <c r="E32" s="391"/>
      <c r="F32" s="391"/>
      <c r="G32" s="391"/>
      <c r="H32" s="391"/>
      <c r="I32" s="271"/>
      <c r="J32" s="271"/>
      <c r="K32" s="271"/>
      <c r="L32" s="271"/>
      <c r="M32" s="271"/>
      <c r="N32" s="217"/>
    </row>
    <row r="33" spans="1:14" x14ac:dyDescent="0.25">
      <c r="A33" s="217"/>
      <c r="B33" s="217"/>
      <c r="C33" s="217"/>
      <c r="D33" s="217"/>
      <c r="E33" s="217"/>
      <c r="F33" s="217"/>
      <c r="G33" s="217"/>
      <c r="H33" s="217"/>
      <c r="I33" s="217"/>
      <c r="J33" s="217"/>
      <c r="K33" s="217"/>
      <c r="L33" s="217"/>
      <c r="M33" s="217"/>
      <c r="N33" s="217"/>
    </row>
    <row r="34" spans="1:14" x14ac:dyDescent="0.25">
      <c r="A34" s="222"/>
      <c r="B34" s="217"/>
      <c r="C34" s="217"/>
      <c r="D34" s="217"/>
      <c r="E34" s="217"/>
      <c r="F34" s="217"/>
      <c r="G34" s="217"/>
      <c r="H34" s="217"/>
      <c r="I34" s="217"/>
      <c r="J34" s="217"/>
      <c r="K34" s="217"/>
      <c r="L34" s="217"/>
      <c r="M34" s="217"/>
      <c r="N34" s="217"/>
    </row>
    <row r="35" spans="1:14" x14ac:dyDescent="0.25">
      <c r="A35" s="222" t="s">
        <v>747</v>
      </c>
      <c r="B35" s="217"/>
      <c r="C35" s="217"/>
      <c r="D35" s="217"/>
      <c r="E35" s="217"/>
      <c r="F35" s="217"/>
      <c r="G35" s="217"/>
      <c r="H35" s="217"/>
      <c r="I35" s="217"/>
      <c r="J35" s="217"/>
      <c r="K35" s="217"/>
      <c r="L35" s="217"/>
      <c r="M35" s="217"/>
      <c r="N35" s="217"/>
    </row>
    <row r="36" spans="1:14" ht="17.25" customHeight="1" x14ac:dyDescent="0.25">
      <c r="A36" s="392" t="s">
        <v>808</v>
      </c>
      <c r="B36" s="393"/>
      <c r="C36" s="394"/>
      <c r="D36" s="383" t="s">
        <v>809</v>
      </c>
      <c r="E36" s="383" t="s">
        <v>810</v>
      </c>
      <c r="F36" s="401" t="s">
        <v>811</v>
      </c>
      <c r="G36" s="402"/>
      <c r="H36" s="383" t="s">
        <v>812</v>
      </c>
      <c r="I36" s="385" t="s">
        <v>815</v>
      </c>
      <c r="J36" s="386"/>
      <c r="K36" s="386"/>
      <c r="L36" s="386"/>
      <c r="M36" s="386"/>
      <c r="N36" s="383" t="s">
        <v>814</v>
      </c>
    </row>
    <row r="37" spans="1:14" x14ac:dyDescent="0.25">
      <c r="A37" s="395"/>
      <c r="B37" s="396"/>
      <c r="C37" s="397"/>
      <c r="D37" s="384"/>
      <c r="E37" s="384"/>
      <c r="F37" s="403"/>
      <c r="G37" s="404"/>
      <c r="H37" s="384"/>
      <c r="I37" s="385" t="s">
        <v>611</v>
      </c>
      <c r="J37" s="386"/>
      <c r="K37" s="386"/>
      <c r="L37" s="383" t="s">
        <v>813</v>
      </c>
      <c r="M37" s="384"/>
      <c r="N37" s="384"/>
    </row>
    <row r="38" spans="1:14" ht="26.25" x14ac:dyDescent="0.25">
      <c r="A38" s="398"/>
      <c r="B38" s="399"/>
      <c r="C38" s="400"/>
      <c r="D38" s="384"/>
      <c r="E38" s="384"/>
      <c r="F38" s="405"/>
      <c r="G38" s="406"/>
      <c r="H38" s="384"/>
      <c r="I38" s="274" t="s">
        <v>610</v>
      </c>
      <c r="J38" s="274" t="s">
        <v>609</v>
      </c>
      <c r="K38" s="274" t="s">
        <v>608</v>
      </c>
      <c r="L38" s="260" t="s">
        <v>607</v>
      </c>
      <c r="M38" s="260" t="s">
        <v>606</v>
      </c>
      <c r="N38" s="384"/>
    </row>
    <row r="39" spans="1:14" ht="17.25" x14ac:dyDescent="0.25">
      <c r="A39" s="387" t="s">
        <v>605</v>
      </c>
      <c r="B39" s="388"/>
      <c r="C39" s="389"/>
      <c r="D39" s="196" t="s">
        <v>604</v>
      </c>
      <c r="E39" s="196">
        <v>44.05</v>
      </c>
      <c r="F39" s="275">
        <v>6.54</v>
      </c>
      <c r="G39" s="7">
        <v>64</v>
      </c>
      <c r="H39" s="196">
        <v>12.19</v>
      </c>
      <c r="I39" s="266">
        <v>8.0630000000000006</v>
      </c>
      <c r="J39" s="276">
        <v>1637.1</v>
      </c>
      <c r="K39" s="277">
        <v>295.47000000000003</v>
      </c>
      <c r="L39" s="196">
        <v>32</v>
      </c>
      <c r="M39" s="196">
        <v>94</v>
      </c>
      <c r="N39" s="196">
        <v>69</v>
      </c>
    </row>
    <row r="40" spans="1:14" ht="17.25" x14ac:dyDescent="0.25">
      <c r="A40" s="387" t="s">
        <v>603</v>
      </c>
      <c r="B40" s="388"/>
      <c r="C40" s="389"/>
      <c r="D40" s="196" t="s">
        <v>602</v>
      </c>
      <c r="E40" s="196">
        <v>60.05</v>
      </c>
      <c r="F40" s="275">
        <v>8.7200000000000006</v>
      </c>
      <c r="G40" s="7">
        <v>77</v>
      </c>
      <c r="H40" s="196">
        <v>0.17599999999999999</v>
      </c>
      <c r="I40" s="266">
        <v>7.5570000000000004</v>
      </c>
      <c r="J40" s="276">
        <v>1642.5</v>
      </c>
      <c r="K40" s="277">
        <v>233.39</v>
      </c>
      <c r="L40" s="196">
        <v>63</v>
      </c>
      <c r="M40" s="196">
        <v>244</v>
      </c>
      <c r="N40" s="196">
        <v>244</v>
      </c>
    </row>
    <row r="41" spans="1:14" ht="17.25" x14ac:dyDescent="0.25">
      <c r="A41" s="387" t="s">
        <v>601</v>
      </c>
      <c r="B41" s="388"/>
      <c r="C41" s="389"/>
      <c r="D41" s="196" t="s">
        <v>600</v>
      </c>
      <c r="E41" s="196">
        <v>102.09</v>
      </c>
      <c r="F41" s="275">
        <v>9.0299999999999994</v>
      </c>
      <c r="G41" s="7"/>
      <c r="H41" s="196">
        <v>5.2999999999999999E-2</v>
      </c>
      <c r="I41" s="266">
        <v>7.1219999999999999</v>
      </c>
      <c r="J41" s="276">
        <v>1427.8</v>
      </c>
      <c r="K41" s="277">
        <v>198.04</v>
      </c>
      <c r="L41" s="196">
        <v>145</v>
      </c>
      <c r="M41" s="196">
        <v>283</v>
      </c>
      <c r="N41" s="196">
        <v>282</v>
      </c>
    </row>
    <row r="42" spans="1:14" ht="17.25" x14ac:dyDescent="0.25">
      <c r="A42" s="387" t="s">
        <v>599</v>
      </c>
      <c r="B42" s="388"/>
      <c r="C42" s="389"/>
      <c r="D42" s="196" t="s">
        <v>598</v>
      </c>
      <c r="E42" s="196">
        <v>58.08</v>
      </c>
      <c r="F42" s="275">
        <v>6.55</v>
      </c>
      <c r="G42" s="7">
        <v>77</v>
      </c>
      <c r="H42" s="196">
        <v>2.9209999999999998</v>
      </c>
      <c r="I42" s="266">
        <v>7.3</v>
      </c>
      <c r="J42" s="276">
        <v>1312.3</v>
      </c>
      <c r="K42" s="277">
        <v>240.71</v>
      </c>
      <c r="L42" s="196">
        <v>7</v>
      </c>
      <c r="M42" s="196">
        <v>454</v>
      </c>
      <c r="N42" s="196">
        <v>133</v>
      </c>
    </row>
    <row r="43" spans="1:14" ht="17.25" x14ac:dyDescent="0.25">
      <c r="A43" s="387" t="s">
        <v>597</v>
      </c>
      <c r="B43" s="388"/>
      <c r="C43" s="389"/>
      <c r="D43" s="196" t="s">
        <v>596</v>
      </c>
      <c r="E43" s="196">
        <v>41.05</v>
      </c>
      <c r="F43" s="275">
        <v>6.56</v>
      </c>
      <c r="G43" s="7"/>
      <c r="H43" s="196">
        <v>1.0900000000000001</v>
      </c>
      <c r="I43" s="266">
        <v>7.1539999999999999</v>
      </c>
      <c r="J43" s="276">
        <v>1355.4</v>
      </c>
      <c r="K43" s="277">
        <v>235.3</v>
      </c>
      <c r="L43" s="196">
        <v>59</v>
      </c>
      <c r="M43" s="196">
        <v>192</v>
      </c>
      <c r="N43" s="196">
        <v>179</v>
      </c>
    </row>
    <row r="44" spans="1:14" ht="17.25" x14ac:dyDescent="0.25">
      <c r="A44" s="387" t="s">
        <v>595</v>
      </c>
      <c r="B44" s="388"/>
      <c r="C44" s="389"/>
      <c r="D44" s="196" t="s">
        <v>594</v>
      </c>
      <c r="E44" s="196">
        <v>71.08</v>
      </c>
      <c r="F44" s="275">
        <v>9.36</v>
      </c>
      <c r="G44" s="7"/>
      <c r="H44" s="278">
        <v>8.5699999999999996E-5</v>
      </c>
      <c r="I44" s="266">
        <v>11.292999999999999</v>
      </c>
      <c r="J44" s="276">
        <v>3939.9</v>
      </c>
      <c r="K44" s="277">
        <v>273.16000000000003</v>
      </c>
      <c r="L44" s="196"/>
      <c r="M44" s="196"/>
      <c r="N44" s="196">
        <v>379</v>
      </c>
    </row>
    <row r="45" spans="1:14" ht="17.25" x14ac:dyDescent="0.25">
      <c r="A45" s="387" t="s">
        <v>593</v>
      </c>
      <c r="B45" s="388"/>
      <c r="C45" s="389"/>
      <c r="D45" s="196" t="s">
        <v>592</v>
      </c>
      <c r="E45" s="196">
        <v>72.06</v>
      </c>
      <c r="F45" s="275">
        <v>8.77</v>
      </c>
      <c r="G45" s="7"/>
      <c r="H45" s="196">
        <v>1.3440000000000001</v>
      </c>
      <c r="I45" s="266">
        <v>5.6520000000000001</v>
      </c>
      <c r="J45" s="276">
        <v>648.6</v>
      </c>
      <c r="K45" s="277">
        <v>154.68</v>
      </c>
      <c r="L45" s="196">
        <v>68</v>
      </c>
      <c r="M45" s="196">
        <v>158</v>
      </c>
      <c r="N45" s="196">
        <v>282</v>
      </c>
    </row>
    <row r="46" spans="1:14" ht="17.25" x14ac:dyDescent="0.25">
      <c r="A46" s="387" t="s">
        <v>591</v>
      </c>
      <c r="B46" s="388"/>
      <c r="C46" s="389"/>
      <c r="D46" s="196" t="s">
        <v>590</v>
      </c>
      <c r="E46" s="196">
        <v>53.06</v>
      </c>
      <c r="F46" s="275">
        <v>6.73</v>
      </c>
      <c r="G46" s="7"/>
      <c r="H46" s="196">
        <v>1.383</v>
      </c>
      <c r="I46" s="266">
        <v>6.9420000000000002</v>
      </c>
      <c r="J46" s="276">
        <v>1255.9000000000001</v>
      </c>
      <c r="K46" s="277">
        <v>231.3</v>
      </c>
      <c r="L46" s="196">
        <v>-60</v>
      </c>
      <c r="M46" s="196">
        <v>172</v>
      </c>
      <c r="N46" s="196">
        <v>172</v>
      </c>
    </row>
    <row r="47" spans="1:14" ht="17.25" x14ac:dyDescent="0.25">
      <c r="A47" s="387" t="s">
        <v>589</v>
      </c>
      <c r="B47" s="388"/>
      <c r="C47" s="389"/>
      <c r="D47" s="196" t="s">
        <v>588</v>
      </c>
      <c r="E47" s="196">
        <v>58.08</v>
      </c>
      <c r="F47" s="275">
        <v>7.13</v>
      </c>
      <c r="G47" s="7"/>
      <c r="H47" s="196">
        <v>0.32600000000000001</v>
      </c>
      <c r="I47" s="266">
        <v>11.657999999999999</v>
      </c>
      <c r="J47" s="276">
        <v>4510.2</v>
      </c>
      <c r="K47" s="277">
        <v>416.8</v>
      </c>
      <c r="L47" s="196">
        <v>70</v>
      </c>
      <c r="M47" s="196">
        <v>207</v>
      </c>
      <c r="N47" s="196">
        <v>206</v>
      </c>
    </row>
    <row r="48" spans="1:14" ht="17.25" x14ac:dyDescent="0.25">
      <c r="A48" s="387" t="s">
        <v>587</v>
      </c>
      <c r="B48" s="388"/>
      <c r="C48" s="389"/>
      <c r="D48" s="196" t="s">
        <v>586</v>
      </c>
      <c r="E48" s="196">
        <v>76.52</v>
      </c>
      <c r="F48" s="275">
        <v>7.83</v>
      </c>
      <c r="G48" s="7"/>
      <c r="H48" s="196">
        <v>4.702</v>
      </c>
      <c r="I48" s="266">
        <v>5.2969999999999997</v>
      </c>
      <c r="J48" s="276">
        <v>418.4</v>
      </c>
      <c r="K48" s="277">
        <v>128.68</v>
      </c>
      <c r="L48" s="196">
        <v>55</v>
      </c>
      <c r="M48" s="196">
        <v>111</v>
      </c>
      <c r="N48" s="196">
        <v>113</v>
      </c>
    </row>
    <row r="49" spans="1:14" ht="17.25" x14ac:dyDescent="0.25">
      <c r="A49" s="387" t="s">
        <v>585</v>
      </c>
      <c r="B49" s="388"/>
      <c r="C49" s="389"/>
      <c r="D49" s="196" t="s">
        <v>584</v>
      </c>
      <c r="E49" s="196">
        <v>93.13</v>
      </c>
      <c r="F49" s="275">
        <v>8.5299999999999994</v>
      </c>
      <c r="G49" s="7"/>
      <c r="H49" s="196">
        <v>5.7999999999999996E-3</v>
      </c>
      <c r="I49" s="266">
        <v>7.2210000000000001</v>
      </c>
      <c r="J49" s="276">
        <v>1661.9</v>
      </c>
      <c r="K49" s="277">
        <v>199.1</v>
      </c>
      <c r="L49" s="196">
        <v>88</v>
      </c>
      <c r="M49" s="196">
        <v>363</v>
      </c>
      <c r="N49" s="196">
        <v>363</v>
      </c>
    </row>
    <row r="50" spans="1:14" ht="17.25" x14ac:dyDescent="0.25">
      <c r="A50" s="387" t="s">
        <v>583</v>
      </c>
      <c r="B50" s="388"/>
      <c r="C50" s="389"/>
      <c r="D50" s="196" t="s">
        <v>582</v>
      </c>
      <c r="E50" s="196">
        <v>78.11</v>
      </c>
      <c r="F50" s="275">
        <v>7.32</v>
      </c>
      <c r="G50" s="7"/>
      <c r="H50" s="196">
        <v>1.171</v>
      </c>
      <c r="I50" s="266">
        <v>6.9059999999999997</v>
      </c>
      <c r="J50" s="276">
        <v>1211</v>
      </c>
      <c r="K50" s="277">
        <v>220.79</v>
      </c>
      <c r="L50" s="196">
        <v>46</v>
      </c>
      <c r="M50" s="196">
        <v>217</v>
      </c>
      <c r="N50" s="196">
        <v>176</v>
      </c>
    </row>
    <row r="51" spans="1:14" ht="17.25" x14ac:dyDescent="0.25">
      <c r="A51" s="387" t="s">
        <v>581</v>
      </c>
      <c r="B51" s="388"/>
      <c r="C51" s="389"/>
      <c r="D51" s="196" t="s">
        <v>580</v>
      </c>
      <c r="E51" s="196">
        <v>228.29</v>
      </c>
      <c r="F51" s="275"/>
      <c r="G51" s="7"/>
      <c r="H51" s="278">
        <v>7.9199999999999995E-10</v>
      </c>
      <c r="I51" s="266">
        <v>11.528</v>
      </c>
      <c r="J51" s="276">
        <v>5461</v>
      </c>
      <c r="K51" s="277">
        <v>273.14999999999998</v>
      </c>
      <c r="L51" s="196">
        <v>219</v>
      </c>
      <c r="M51" s="196">
        <v>260</v>
      </c>
      <c r="N51" s="196">
        <v>820</v>
      </c>
    </row>
    <row r="52" spans="1:14" ht="17.25" x14ac:dyDescent="0.25">
      <c r="A52" s="387" t="s">
        <v>579</v>
      </c>
      <c r="B52" s="388"/>
      <c r="C52" s="389"/>
      <c r="D52" s="196" t="s">
        <v>578</v>
      </c>
      <c r="E52" s="196">
        <v>252.31</v>
      </c>
      <c r="F52" s="275"/>
      <c r="G52" s="7"/>
      <c r="H52" s="278">
        <v>2.29E-11</v>
      </c>
      <c r="I52" s="266">
        <v>12.481999999999999</v>
      </c>
      <c r="J52" s="276">
        <v>6181</v>
      </c>
      <c r="K52" s="277">
        <v>273.14999999999998</v>
      </c>
      <c r="L52" s="196">
        <v>185</v>
      </c>
      <c r="M52" s="196">
        <v>316</v>
      </c>
      <c r="N52" s="196">
        <v>923</v>
      </c>
    </row>
    <row r="53" spans="1:14" ht="17.25" x14ac:dyDescent="0.25">
      <c r="A53" s="387" t="s">
        <v>577</v>
      </c>
      <c r="B53" s="388"/>
      <c r="C53" s="389"/>
      <c r="D53" s="196" t="s">
        <v>576</v>
      </c>
      <c r="E53" s="196">
        <v>276.33</v>
      </c>
      <c r="F53" s="275"/>
      <c r="G53" s="7"/>
      <c r="H53" s="278">
        <v>2.07E-13</v>
      </c>
      <c r="I53" s="266">
        <v>11.82</v>
      </c>
      <c r="J53" s="276">
        <v>6580</v>
      </c>
      <c r="K53" s="277">
        <v>273.14999999999998</v>
      </c>
      <c r="L53" s="196">
        <v>391</v>
      </c>
      <c r="M53" s="196">
        <v>513</v>
      </c>
      <c r="N53" s="196"/>
    </row>
    <row r="54" spans="1:14" ht="17.25" x14ac:dyDescent="0.25">
      <c r="A54" s="387" t="s">
        <v>575</v>
      </c>
      <c r="B54" s="388"/>
      <c r="C54" s="389"/>
      <c r="D54" s="196" t="s">
        <v>574</v>
      </c>
      <c r="E54" s="196">
        <v>154.21</v>
      </c>
      <c r="F54" s="275">
        <v>8.68</v>
      </c>
      <c r="G54" s="7"/>
      <c r="H54" s="278">
        <v>2.3699999999999999E-4</v>
      </c>
      <c r="I54" s="266">
        <v>7.2450000000000001</v>
      </c>
      <c r="J54" s="276">
        <v>1998.7</v>
      </c>
      <c r="K54" s="277">
        <v>202.73</v>
      </c>
      <c r="L54" s="196">
        <v>156</v>
      </c>
      <c r="M54" s="196">
        <v>520</v>
      </c>
      <c r="N54" s="196">
        <v>489</v>
      </c>
    </row>
    <row r="55" spans="1:14" ht="17.25" x14ac:dyDescent="0.25">
      <c r="A55" s="314" t="s">
        <v>832</v>
      </c>
      <c r="B55" s="306"/>
      <c r="C55" s="307"/>
      <c r="D55" s="308" t="s">
        <v>831</v>
      </c>
      <c r="E55" s="308">
        <v>122.99</v>
      </c>
      <c r="F55" s="313">
        <v>11.3</v>
      </c>
      <c r="G55" s="7"/>
      <c r="H55" s="278"/>
      <c r="I55" s="309">
        <v>7.0376599999999998</v>
      </c>
      <c r="J55" s="310">
        <v>1259.836</v>
      </c>
      <c r="K55" s="311">
        <v>232.042</v>
      </c>
      <c r="L55" s="308">
        <v>-63</v>
      </c>
      <c r="M55" s="308">
        <v>159</v>
      </c>
      <c r="N55" s="312">
        <v>159.80000000000001</v>
      </c>
    </row>
    <row r="56" spans="1:14" ht="17.25" x14ac:dyDescent="0.25">
      <c r="A56" s="387" t="s">
        <v>573</v>
      </c>
      <c r="B56" s="388"/>
      <c r="C56" s="389"/>
      <c r="D56" s="196" t="s">
        <v>572</v>
      </c>
      <c r="E56" s="196">
        <v>54.09</v>
      </c>
      <c r="F56" s="275">
        <v>5.13</v>
      </c>
      <c r="G56" s="7">
        <v>77</v>
      </c>
      <c r="H56" s="196">
        <v>30.22</v>
      </c>
      <c r="I56" s="266">
        <v>6.8730000000000002</v>
      </c>
      <c r="J56" s="276">
        <v>941.7</v>
      </c>
      <c r="K56" s="277">
        <v>240.4</v>
      </c>
      <c r="L56" s="196">
        <v>-104</v>
      </c>
      <c r="M56" s="196">
        <v>29</v>
      </c>
      <c r="N56" s="196">
        <v>24</v>
      </c>
    </row>
    <row r="57" spans="1:14" ht="17.25" x14ac:dyDescent="0.25">
      <c r="A57" s="387" t="s">
        <v>571</v>
      </c>
      <c r="B57" s="388"/>
      <c r="C57" s="389"/>
      <c r="D57" s="196" t="s">
        <v>570</v>
      </c>
      <c r="E57" s="196">
        <v>58.12</v>
      </c>
      <c r="F57" s="275">
        <v>4.78</v>
      </c>
      <c r="G57" s="7">
        <v>77</v>
      </c>
      <c r="H57" s="196">
        <v>25.67</v>
      </c>
      <c r="I57" s="266">
        <v>6.7249999999999996</v>
      </c>
      <c r="J57" s="276">
        <v>909.7</v>
      </c>
      <c r="K57" s="277">
        <v>237</v>
      </c>
      <c r="L57" s="196">
        <v>-108</v>
      </c>
      <c r="M57" s="196">
        <v>31</v>
      </c>
      <c r="N57" s="196">
        <v>32</v>
      </c>
    </row>
    <row r="58" spans="1:14" ht="17.25" x14ac:dyDescent="0.25">
      <c r="A58" s="387" t="s">
        <v>569</v>
      </c>
      <c r="B58" s="388"/>
      <c r="C58" s="389"/>
      <c r="D58" s="196" t="s">
        <v>568</v>
      </c>
      <c r="E58" s="196">
        <v>56.11</v>
      </c>
      <c r="F58" s="275">
        <v>4.91</v>
      </c>
      <c r="G58" s="7">
        <v>77</v>
      </c>
      <c r="H58" s="196">
        <v>30.83</v>
      </c>
      <c r="I58" s="266">
        <v>7.1219999999999999</v>
      </c>
      <c r="J58" s="276">
        <v>1099.2</v>
      </c>
      <c r="K58" s="277">
        <v>264.89</v>
      </c>
      <c r="L58" s="196">
        <v>-108</v>
      </c>
      <c r="M58" s="196">
        <v>25</v>
      </c>
      <c r="N58" s="196">
        <v>21</v>
      </c>
    </row>
    <row r="59" spans="1:14" ht="17.25" x14ac:dyDescent="0.25">
      <c r="A59" s="387" t="s">
        <v>567</v>
      </c>
      <c r="B59" s="388"/>
      <c r="C59" s="389"/>
      <c r="D59" s="196" t="s">
        <v>566</v>
      </c>
      <c r="E59" s="196">
        <v>56.11</v>
      </c>
      <c r="F59" s="275">
        <v>5.14</v>
      </c>
      <c r="G59" s="7">
        <v>77</v>
      </c>
      <c r="H59" s="196">
        <v>22.62</v>
      </c>
      <c r="I59" s="266">
        <v>6.8630000000000004</v>
      </c>
      <c r="J59" s="276">
        <v>957.1</v>
      </c>
      <c r="K59" s="277">
        <v>236.65</v>
      </c>
      <c r="L59" s="196">
        <v>-94</v>
      </c>
      <c r="M59" s="196">
        <v>73</v>
      </c>
      <c r="N59" s="196">
        <v>39</v>
      </c>
    </row>
    <row r="60" spans="1:14" ht="17.25" x14ac:dyDescent="0.25">
      <c r="A60" s="387" t="s">
        <v>565</v>
      </c>
      <c r="B60" s="388"/>
      <c r="C60" s="389"/>
      <c r="D60" s="196" t="s">
        <v>564</v>
      </c>
      <c r="E60" s="196">
        <v>70.13</v>
      </c>
      <c r="F60" s="275">
        <v>5.43</v>
      </c>
      <c r="G60" s="7"/>
      <c r="H60" s="196">
        <v>8.2569999999999997</v>
      </c>
      <c r="I60" s="266">
        <v>6.8620000000000001</v>
      </c>
      <c r="J60" s="276">
        <v>1047.8</v>
      </c>
      <c r="K60" s="277">
        <v>232.06</v>
      </c>
      <c r="L60" s="196">
        <v>34</v>
      </c>
      <c r="M60" s="196">
        <v>145</v>
      </c>
      <c r="N60" s="196">
        <v>88</v>
      </c>
    </row>
    <row r="61" spans="1:14" ht="17.25" x14ac:dyDescent="0.25">
      <c r="A61" s="387" t="s">
        <v>563</v>
      </c>
      <c r="B61" s="388"/>
      <c r="C61" s="389"/>
      <c r="D61" s="196" t="s">
        <v>562</v>
      </c>
      <c r="E61" s="196">
        <v>56.11</v>
      </c>
      <c r="F61" s="275">
        <v>5</v>
      </c>
      <c r="G61" s="7">
        <v>77</v>
      </c>
      <c r="H61" s="196">
        <v>24.97</v>
      </c>
      <c r="I61" s="266">
        <v>6.9189999999999996</v>
      </c>
      <c r="J61" s="276">
        <v>982.2</v>
      </c>
      <c r="K61" s="277">
        <v>242.38</v>
      </c>
      <c r="L61" s="196">
        <v>-97</v>
      </c>
      <c r="M61" s="196">
        <v>34</v>
      </c>
      <c r="N61" s="196">
        <v>34</v>
      </c>
    </row>
    <row r="62" spans="1:14" ht="17.25" x14ac:dyDescent="0.25">
      <c r="A62" s="387" t="s">
        <v>561</v>
      </c>
      <c r="B62" s="388"/>
      <c r="C62" s="389"/>
      <c r="D62" s="196" t="s">
        <v>560</v>
      </c>
      <c r="E62" s="196">
        <v>74.12</v>
      </c>
      <c r="F62" s="275">
        <v>6.76</v>
      </c>
      <c r="G62" s="7"/>
      <c r="H62" s="196">
        <v>6.2E-2</v>
      </c>
      <c r="I62" s="266">
        <v>7.4210000000000003</v>
      </c>
      <c r="J62" s="276">
        <v>1351.6</v>
      </c>
      <c r="K62" s="277">
        <v>179.81</v>
      </c>
      <c r="L62" s="196">
        <v>73</v>
      </c>
      <c r="M62" s="196">
        <v>244</v>
      </c>
      <c r="N62" s="196">
        <v>243</v>
      </c>
    </row>
    <row r="63" spans="1:14" ht="17.25" x14ac:dyDescent="0.25">
      <c r="A63" s="387" t="s">
        <v>559</v>
      </c>
      <c r="B63" s="388"/>
      <c r="C63" s="389"/>
      <c r="D63" s="196" t="s">
        <v>558</v>
      </c>
      <c r="E63" s="196">
        <v>74.12</v>
      </c>
      <c r="F63" s="275">
        <v>6.58</v>
      </c>
      <c r="G63" s="7"/>
      <c r="H63" s="196">
        <v>0.42399999999999999</v>
      </c>
      <c r="I63" s="266">
        <v>7.3730000000000002</v>
      </c>
      <c r="J63" s="276">
        <v>1174.9000000000001</v>
      </c>
      <c r="K63" s="277">
        <v>179.23</v>
      </c>
      <c r="L63" s="196">
        <v>103</v>
      </c>
      <c r="M63" s="196">
        <v>180</v>
      </c>
      <c r="N63" s="196">
        <v>180</v>
      </c>
    </row>
    <row r="64" spans="1:14" ht="17.25" x14ac:dyDescent="0.25">
      <c r="A64" s="387" t="s">
        <v>557</v>
      </c>
      <c r="B64" s="388"/>
      <c r="C64" s="389"/>
      <c r="D64" s="196" t="s">
        <v>556</v>
      </c>
      <c r="E64" s="196">
        <v>92.57</v>
      </c>
      <c r="F64" s="275">
        <v>7.4</v>
      </c>
      <c r="G64" s="7"/>
      <c r="H64" s="196">
        <v>1.2549999999999999</v>
      </c>
      <c r="I64" s="266">
        <v>6.8710000000000004</v>
      </c>
      <c r="J64" s="276">
        <v>1182.9000000000001</v>
      </c>
      <c r="K64" s="277">
        <v>218.27</v>
      </c>
      <c r="L64" s="196">
        <v>2</v>
      </c>
      <c r="M64" s="196">
        <v>173</v>
      </c>
      <c r="N64" s="196">
        <v>170</v>
      </c>
    </row>
    <row r="65" spans="1:14" ht="17.25" x14ac:dyDescent="0.25">
      <c r="A65" s="387" t="s">
        <v>555</v>
      </c>
      <c r="B65" s="388"/>
      <c r="C65" s="389"/>
      <c r="D65" s="196" t="s">
        <v>554</v>
      </c>
      <c r="E65" s="196">
        <v>130.22999999999999</v>
      </c>
      <c r="F65" s="275">
        <v>6.39</v>
      </c>
      <c r="G65" s="7"/>
      <c r="H65" s="196">
        <v>0.38100000000000001</v>
      </c>
      <c r="I65" s="266">
        <v>6.59</v>
      </c>
      <c r="J65" s="276">
        <v>1157.7</v>
      </c>
      <c r="K65" s="277">
        <v>203.05</v>
      </c>
      <c r="L65" s="196">
        <v>39</v>
      </c>
      <c r="M65" s="196">
        <v>228</v>
      </c>
      <c r="N65" s="196">
        <v>224</v>
      </c>
    </row>
    <row r="66" spans="1:14" ht="17.25" x14ac:dyDescent="0.25">
      <c r="A66" s="387" t="s">
        <v>553</v>
      </c>
      <c r="B66" s="388"/>
      <c r="C66" s="389"/>
      <c r="D66" s="196" t="s">
        <v>552</v>
      </c>
      <c r="E66" s="196">
        <v>76.14</v>
      </c>
      <c r="F66" s="275">
        <v>10.5</v>
      </c>
      <c r="G66" s="7"/>
      <c r="H66" s="196">
        <v>4.8170000000000002</v>
      </c>
      <c r="I66" s="266">
        <v>6.9420000000000002</v>
      </c>
      <c r="J66" s="276">
        <v>1168.5999999999999</v>
      </c>
      <c r="K66" s="277">
        <v>241.53</v>
      </c>
      <c r="L66" s="196">
        <v>38</v>
      </c>
      <c r="M66" s="196">
        <v>176</v>
      </c>
      <c r="N66" s="196">
        <v>115</v>
      </c>
    </row>
    <row r="67" spans="1:14" ht="17.25" x14ac:dyDescent="0.25">
      <c r="A67" s="387" t="s">
        <v>551</v>
      </c>
      <c r="B67" s="388"/>
      <c r="C67" s="389"/>
      <c r="D67" s="196" t="s">
        <v>550</v>
      </c>
      <c r="E67" s="196">
        <v>153.82</v>
      </c>
      <c r="F67" s="275">
        <v>13.3</v>
      </c>
      <c r="G67" s="7"/>
      <c r="H67" s="196">
        <v>1.431</v>
      </c>
      <c r="I67" s="266">
        <v>6.8979999999999997</v>
      </c>
      <c r="J67" s="276">
        <v>1221.8</v>
      </c>
      <c r="K67" s="277">
        <v>227.41</v>
      </c>
      <c r="L67" s="196">
        <v>68</v>
      </c>
      <c r="M67" s="196">
        <v>172</v>
      </c>
      <c r="N67" s="196">
        <v>170</v>
      </c>
    </row>
    <row r="68" spans="1:14" ht="17.25" x14ac:dyDescent="0.25">
      <c r="A68" s="387" t="s">
        <v>549</v>
      </c>
      <c r="B68" s="388"/>
      <c r="C68" s="389"/>
      <c r="D68" s="196" t="s">
        <v>548</v>
      </c>
      <c r="E68" s="196">
        <v>112.56</v>
      </c>
      <c r="F68" s="275">
        <v>9.23</v>
      </c>
      <c r="G68" s="7"/>
      <c r="H68" s="196">
        <v>0.13400000000000001</v>
      </c>
      <c r="I68" s="266">
        <v>6.9859999999999998</v>
      </c>
      <c r="J68" s="276">
        <v>1435.7</v>
      </c>
      <c r="K68" s="277">
        <v>218.03</v>
      </c>
      <c r="L68" s="196">
        <v>144</v>
      </c>
      <c r="M68" s="196">
        <v>269</v>
      </c>
      <c r="N68" s="196">
        <v>269</v>
      </c>
    </row>
    <row r="69" spans="1:14" ht="17.25" x14ac:dyDescent="0.25">
      <c r="A69" s="387" t="s">
        <v>547</v>
      </c>
      <c r="B69" s="388"/>
      <c r="C69" s="389"/>
      <c r="D69" s="196" t="s">
        <v>546</v>
      </c>
      <c r="E69" s="196">
        <v>92.57</v>
      </c>
      <c r="F69" s="275">
        <v>7.27</v>
      </c>
      <c r="G69" s="7"/>
      <c r="H69" s="196">
        <v>1.2549999999999999</v>
      </c>
      <c r="I69" s="266">
        <v>6.8710000000000004</v>
      </c>
      <c r="J69" s="276">
        <v>1182.9000000000001</v>
      </c>
      <c r="K69" s="277">
        <v>218.27</v>
      </c>
      <c r="L69" s="196">
        <v>2</v>
      </c>
      <c r="M69" s="196">
        <v>173</v>
      </c>
      <c r="N69" s="196">
        <v>170</v>
      </c>
    </row>
    <row r="70" spans="1:14" ht="17.25" x14ac:dyDescent="0.25">
      <c r="A70" s="387" t="s">
        <v>545</v>
      </c>
      <c r="B70" s="388"/>
      <c r="C70" s="389"/>
      <c r="D70" s="196" t="s">
        <v>544</v>
      </c>
      <c r="E70" s="196">
        <v>119.38</v>
      </c>
      <c r="F70" s="275">
        <v>12.3</v>
      </c>
      <c r="G70" s="7"/>
      <c r="H70" s="196">
        <v>2.468</v>
      </c>
      <c r="I70" s="266">
        <v>7.0830000000000002</v>
      </c>
      <c r="J70" s="276">
        <v>1233.0999999999999</v>
      </c>
      <c r="K70" s="277">
        <v>232.2</v>
      </c>
      <c r="L70" s="196">
        <v>-73</v>
      </c>
      <c r="M70" s="196">
        <v>142</v>
      </c>
      <c r="N70" s="196">
        <v>142</v>
      </c>
    </row>
    <row r="71" spans="1:14" ht="17.25" x14ac:dyDescent="0.25">
      <c r="A71" s="387" t="s">
        <v>543</v>
      </c>
      <c r="B71" s="388"/>
      <c r="C71" s="389"/>
      <c r="D71" s="196" t="s">
        <v>542</v>
      </c>
      <c r="E71" s="196">
        <v>88.54</v>
      </c>
      <c r="F71" s="275">
        <v>7.98</v>
      </c>
      <c r="G71" s="7"/>
      <c r="H71" s="196">
        <v>2.7360000000000002</v>
      </c>
      <c r="I71" s="266">
        <v>6.2910000000000004</v>
      </c>
      <c r="J71" s="276">
        <v>841.9</v>
      </c>
      <c r="K71" s="277">
        <v>187.79</v>
      </c>
      <c r="L71" s="196">
        <v>68</v>
      </c>
      <c r="M71" s="196">
        <v>140</v>
      </c>
      <c r="N71" s="196">
        <v>140</v>
      </c>
    </row>
    <row r="72" spans="1:14" ht="17.25" x14ac:dyDescent="0.25">
      <c r="A72" s="387" t="s">
        <v>541</v>
      </c>
      <c r="B72" s="388"/>
      <c r="C72" s="389"/>
      <c r="D72" s="196" t="s">
        <v>540</v>
      </c>
      <c r="E72" s="196">
        <v>126.58</v>
      </c>
      <c r="F72" s="275">
        <v>9.0399999999999991</v>
      </c>
      <c r="G72" s="7"/>
      <c r="H72" s="196">
        <v>3.9E-2</v>
      </c>
      <c r="I72" s="266">
        <v>7.3630000000000004</v>
      </c>
      <c r="J72" s="276">
        <v>1768.1</v>
      </c>
      <c r="K72" s="277">
        <v>234.76</v>
      </c>
      <c r="L72" s="196">
        <v>42</v>
      </c>
      <c r="M72" s="196">
        <v>319</v>
      </c>
      <c r="N72" s="196">
        <v>318</v>
      </c>
    </row>
    <row r="73" spans="1:14" ht="17.25" x14ac:dyDescent="0.25">
      <c r="A73" s="387" t="s">
        <v>539</v>
      </c>
      <c r="B73" s="388"/>
      <c r="C73" s="389"/>
      <c r="D73" s="196" t="s">
        <v>538</v>
      </c>
      <c r="E73" s="196">
        <v>228.29</v>
      </c>
      <c r="F73" s="275">
        <v>10.6</v>
      </c>
      <c r="G73" s="7"/>
      <c r="H73" s="278">
        <v>1.8599999999999999E-11</v>
      </c>
      <c r="I73" s="266">
        <v>12.32</v>
      </c>
      <c r="J73" s="276">
        <v>6160</v>
      </c>
      <c r="K73" s="277">
        <v>273.14999999999998</v>
      </c>
      <c r="L73" s="196">
        <v>185</v>
      </c>
      <c r="M73" s="196">
        <v>374</v>
      </c>
      <c r="N73" s="196">
        <v>838</v>
      </c>
    </row>
    <row r="74" spans="1:14" ht="17.25" x14ac:dyDescent="0.25">
      <c r="A74" s="387" t="s">
        <v>537</v>
      </c>
      <c r="B74" s="388"/>
      <c r="C74" s="389"/>
      <c r="D74" s="196" t="s">
        <v>536</v>
      </c>
      <c r="E74" s="196">
        <v>108.14</v>
      </c>
      <c r="F74" s="275">
        <v>8.6300000000000008</v>
      </c>
      <c r="G74" s="7"/>
      <c r="H74" s="196">
        <v>1.2999999999999999E-3</v>
      </c>
      <c r="I74" s="266">
        <v>7.4770000000000003</v>
      </c>
      <c r="J74" s="276">
        <v>1833.1</v>
      </c>
      <c r="K74" s="277">
        <v>196.74</v>
      </c>
      <c r="L74" s="196">
        <v>301</v>
      </c>
      <c r="M74" s="196">
        <v>394</v>
      </c>
      <c r="N74" s="196">
        <v>396</v>
      </c>
    </row>
    <row r="75" spans="1:14" ht="17.25" x14ac:dyDescent="0.25">
      <c r="A75" s="387" t="s">
        <v>535</v>
      </c>
      <c r="B75" s="388"/>
      <c r="C75" s="389"/>
      <c r="D75" s="196" t="s">
        <v>534</v>
      </c>
      <c r="E75" s="196">
        <v>108.14</v>
      </c>
      <c r="F75" s="275">
        <v>9.4700000000000006</v>
      </c>
      <c r="G75" s="7">
        <v>77</v>
      </c>
      <c r="H75" s="196">
        <v>1.6000000000000001E-3</v>
      </c>
      <c r="I75" s="266">
        <v>6.843</v>
      </c>
      <c r="J75" s="276">
        <v>1391.3</v>
      </c>
      <c r="K75" s="277">
        <v>160.18</v>
      </c>
      <c r="L75" s="196">
        <v>248</v>
      </c>
      <c r="M75" s="196">
        <v>376</v>
      </c>
      <c r="N75" s="196">
        <v>376</v>
      </c>
    </row>
    <row r="76" spans="1:14" ht="17.25" x14ac:dyDescent="0.25">
      <c r="A76" s="387" t="s">
        <v>533</v>
      </c>
      <c r="B76" s="388"/>
      <c r="C76" s="389"/>
      <c r="D76" s="196" t="s">
        <v>532</v>
      </c>
      <c r="E76" s="196">
        <v>108.14</v>
      </c>
      <c r="F76" s="275">
        <v>8.5</v>
      </c>
      <c r="G76" s="7">
        <v>104</v>
      </c>
      <c r="H76" s="196">
        <v>6.2E-4</v>
      </c>
      <c r="I76" s="266">
        <v>7.016</v>
      </c>
      <c r="J76" s="276">
        <v>1498.6</v>
      </c>
      <c r="K76" s="277">
        <v>160.55000000000001</v>
      </c>
      <c r="L76" s="196">
        <v>262</v>
      </c>
      <c r="M76" s="196">
        <v>395</v>
      </c>
      <c r="N76" s="196">
        <v>395</v>
      </c>
    </row>
    <row r="77" spans="1:14" ht="17.25" x14ac:dyDescent="0.25">
      <c r="A77" s="387" t="s">
        <v>531</v>
      </c>
      <c r="B77" s="388"/>
      <c r="C77" s="389"/>
      <c r="D77" s="196" t="s">
        <v>530</v>
      </c>
      <c r="E77" s="196">
        <v>84.16</v>
      </c>
      <c r="F77" s="275">
        <v>6.46</v>
      </c>
      <c r="G77" s="7">
        <v>77</v>
      </c>
      <c r="H77" s="196">
        <v>1.212</v>
      </c>
      <c r="I77" s="266">
        <v>6.8449999999999998</v>
      </c>
      <c r="J77" s="276">
        <v>1203.5</v>
      </c>
      <c r="K77" s="277">
        <v>222.86</v>
      </c>
      <c r="L77" s="196">
        <v>68</v>
      </c>
      <c r="M77" s="196">
        <v>179</v>
      </c>
      <c r="N77" s="196">
        <v>177</v>
      </c>
    </row>
    <row r="78" spans="1:14" ht="17.25" x14ac:dyDescent="0.25">
      <c r="A78" s="387" t="s">
        <v>529</v>
      </c>
      <c r="B78" s="388"/>
      <c r="C78" s="389"/>
      <c r="D78" s="196" t="s">
        <v>528</v>
      </c>
      <c r="E78" s="196">
        <v>100.16</v>
      </c>
      <c r="F78" s="275">
        <v>8.0299999999999994</v>
      </c>
      <c r="G78" s="7"/>
      <c r="H78" s="196">
        <v>8.9999999999999998E-4</v>
      </c>
      <c r="I78" s="266">
        <v>5.9560000000000004</v>
      </c>
      <c r="J78" s="276">
        <v>777.4</v>
      </c>
      <c r="K78" s="277">
        <v>91.11</v>
      </c>
      <c r="L78" s="196">
        <v>201</v>
      </c>
      <c r="M78" s="196">
        <v>321</v>
      </c>
      <c r="N78" s="196">
        <v>320</v>
      </c>
    </row>
    <row r="79" spans="1:14" ht="17.25" x14ac:dyDescent="0.25">
      <c r="A79" s="387" t="s">
        <v>527</v>
      </c>
      <c r="B79" s="388"/>
      <c r="C79" s="389"/>
      <c r="D79" s="196" t="s">
        <v>526</v>
      </c>
      <c r="E79" s="196">
        <v>98.14</v>
      </c>
      <c r="F79" s="275">
        <v>7.91</v>
      </c>
      <c r="G79" s="7"/>
      <c r="H79" s="196">
        <v>4.1999999999999997E-3</v>
      </c>
      <c r="I79" s="266">
        <v>5.9779999999999998</v>
      </c>
      <c r="J79" s="276">
        <v>1495.5</v>
      </c>
      <c r="K79" s="277">
        <v>209.55</v>
      </c>
      <c r="L79" s="196">
        <v>193</v>
      </c>
      <c r="M79" s="196">
        <v>330</v>
      </c>
      <c r="N79" s="196">
        <v>311</v>
      </c>
    </row>
    <row r="80" spans="1:14" ht="17.25" x14ac:dyDescent="0.25">
      <c r="A80" s="387" t="s">
        <v>525</v>
      </c>
      <c r="B80" s="388"/>
      <c r="C80" s="389"/>
      <c r="D80" s="196" t="s">
        <v>524</v>
      </c>
      <c r="E80" s="196">
        <v>82.14</v>
      </c>
      <c r="F80" s="275">
        <v>6.77</v>
      </c>
      <c r="G80" s="7"/>
      <c r="H80" s="196">
        <v>0.11</v>
      </c>
      <c r="I80" s="266">
        <v>5.8719999999999999</v>
      </c>
      <c r="J80" s="276">
        <v>1221.9000000000001</v>
      </c>
      <c r="K80" s="277">
        <v>223.17</v>
      </c>
      <c r="L80" s="196">
        <v>98</v>
      </c>
      <c r="M80" s="196">
        <v>196</v>
      </c>
      <c r="N80" s="196">
        <v>181</v>
      </c>
    </row>
    <row r="81" spans="1:14" ht="17.25" x14ac:dyDescent="0.25">
      <c r="A81" s="387" t="s">
        <v>523</v>
      </c>
      <c r="B81" s="388"/>
      <c r="C81" s="389"/>
      <c r="D81" s="196" t="s">
        <v>522</v>
      </c>
      <c r="E81" s="196">
        <v>70.13</v>
      </c>
      <c r="F81" s="275">
        <v>6.22</v>
      </c>
      <c r="G81" s="7"/>
      <c r="H81" s="196">
        <v>4.1710000000000003</v>
      </c>
      <c r="I81" s="266">
        <v>6.8780000000000001</v>
      </c>
      <c r="J81" s="276">
        <v>1119.2</v>
      </c>
      <c r="K81" s="277">
        <v>230.74</v>
      </c>
      <c r="L81" s="196">
        <v>60</v>
      </c>
      <c r="M81" s="196">
        <v>122</v>
      </c>
      <c r="N81" s="196">
        <v>121</v>
      </c>
    </row>
    <row r="82" spans="1:14" ht="17.25" x14ac:dyDescent="0.25">
      <c r="A82" s="387" t="s">
        <v>521</v>
      </c>
      <c r="B82" s="388"/>
      <c r="C82" s="389"/>
      <c r="D82" s="196" t="s">
        <v>520</v>
      </c>
      <c r="E82" s="196">
        <v>84.12</v>
      </c>
      <c r="F82" s="275">
        <v>7.92</v>
      </c>
      <c r="G82" s="7"/>
      <c r="H82" s="196">
        <v>0.13</v>
      </c>
      <c r="I82" s="266">
        <v>3.9580000000000002</v>
      </c>
      <c r="J82" s="276">
        <v>376.4</v>
      </c>
      <c r="K82" s="277">
        <v>104.65</v>
      </c>
      <c r="L82" s="196">
        <v>32</v>
      </c>
      <c r="M82" s="196">
        <v>78</v>
      </c>
      <c r="N82" s="196">
        <v>266</v>
      </c>
    </row>
    <row r="83" spans="1:14" ht="17.25" x14ac:dyDescent="0.25">
      <c r="A83" s="387" t="s">
        <v>519</v>
      </c>
      <c r="B83" s="388"/>
      <c r="C83" s="389"/>
      <c r="D83" s="196" t="s">
        <v>518</v>
      </c>
      <c r="E83" s="196">
        <v>68.12</v>
      </c>
      <c r="F83" s="275">
        <v>6.44</v>
      </c>
      <c r="G83" s="7"/>
      <c r="H83" s="196">
        <v>3.2639999999999998</v>
      </c>
      <c r="I83" s="266">
        <v>6.9210000000000003</v>
      </c>
      <c r="J83" s="276">
        <v>1121.8</v>
      </c>
      <c r="K83" s="277">
        <v>223.45</v>
      </c>
      <c r="L83" s="196"/>
      <c r="M83" s="196"/>
      <c r="N83" s="196">
        <v>111</v>
      </c>
    </row>
    <row r="84" spans="1:14" ht="17.25" x14ac:dyDescent="0.25">
      <c r="A84" s="387" t="s">
        <v>517</v>
      </c>
      <c r="B84" s="388"/>
      <c r="C84" s="389"/>
      <c r="D84" s="196" t="s">
        <v>516</v>
      </c>
      <c r="E84" s="196">
        <v>142.28</v>
      </c>
      <c r="F84" s="275">
        <v>6.09</v>
      </c>
      <c r="G84" s="7"/>
      <c r="H84" s="196">
        <v>1.0999999999999999E-2</v>
      </c>
      <c r="I84" s="266">
        <v>3.085</v>
      </c>
      <c r="J84" s="276">
        <v>440.6</v>
      </c>
      <c r="K84" s="277">
        <v>116.25</v>
      </c>
      <c r="L84" s="196">
        <v>-21</v>
      </c>
      <c r="M84" s="196">
        <v>99</v>
      </c>
      <c r="N84" s="196">
        <v>345</v>
      </c>
    </row>
    <row r="85" spans="1:14" ht="17.25" x14ac:dyDescent="0.25">
      <c r="A85" s="387" t="s">
        <v>515</v>
      </c>
      <c r="B85" s="388"/>
      <c r="C85" s="389"/>
      <c r="D85" s="196" t="s">
        <v>514</v>
      </c>
      <c r="E85" s="196">
        <v>201.89</v>
      </c>
      <c r="F85" s="275">
        <v>16.100000000000001</v>
      </c>
      <c r="G85" s="7"/>
      <c r="H85" s="196">
        <v>8.7999999999999995E-2</v>
      </c>
      <c r="I85" s="266">
        <v>7.3140000000000001</v>
      </c>
      <c r="J85" s="276">
        <v>1667</v>
      </c>
      <c r="K85" s="277">
        <v>234.85</v>
      </c>
      <c r="L85" s="196">
        <v>19</v>
      </c>
      <c r="M85" s="196">
        <v>287</v>
      </c>
      <c r="N85" s="196">
        <v>286</v>
      </c>
    </row>
    <row r="86" spans="1:14" ht="17.25" x14ac:dyDescent="0.25">
      <c r="A86" s="387" t="s">
        <v>513</v>
      </c>
      <c r="B86" s="388"/>
      <c r="C86" s="389"/>
      <c r="D86" s="196" t="s">
        <v>512</v>
      </c>
      <c r="E86" s="196">
        <v>201.89</v>
      </c>
      <c r="F86" s="275">
        <v>16.5</v>
      </c>
      <c r="G86" s="7"/>
      <c r="H86" s="196">
        <v>2.9000000000000001E-2</v>
      </c>
      <c r="I86" s="266">
        <v>7.3090000000000002</v>
      </c>
      <c r="J86" s="276">
        <v>1776.7</v>
      </c>
      <c r="K86" s="277">
        <v>233.46</v>
      </c>
      <c r="L86" s="196">
        <v>49</v>
      </c>
      <c r="M86" s="196">
        <v>333</v>
      </c>
      <c r="N86" s="196">
        <v>314</v>
      </c>
    </row>
    <row r="87" spans="1:14" ht="17.25" x14ac:dyDescent="0.25">
      <c r="A87" s="387" t="s">
        <v>511</v>
      </c>
      <c r="B87" s="388"/>
      <c r="C87" s="389"/>
      <c r="D87" s="196" t="s">
        <v>510</v>
      </c>
      <c r="E87" s="196">
        <v>98.96</v>
      </c>
      <c r="F87" s="275">
        <v>9.81</v>
      </c>
      <c r="G87" s="7"/>
      <c r="H87" s="196">
        <v>2.863</v>
      </c>
      <c r="I87" s="266">
        <v>7.0970000000000004</v>
      </c>
      <c r="J87" s="276">
        <v>1229.2</v>
      </c>
      <c r="K87" s="277">
        <v>233.95</v>
      </c>
      <c r="L87" s="196">
        <v>-77</v>
      </c>
      <c r="M87" s="196">
        <v>135</v>
      </c>
      <c r="N87" s="196">
        <v>135</v>
      </c>
    </row>
    <row r="88" spans="1:14" ht="17.25" x14ac:dyDescent="0.25">
      <c r="A88" s="387" t="s">
        <v>509</v>
      </c>
      <c r="B88" s="388"/>
      <c r="C88" s="389"/>
      <c r="D88" s="196" t="s">
        <v>508</v>
      </c>
      <c r="E88" s="196">
        <v>98.96</v>
      </c>
      <c r="F88" s="275">
        <v>10.4</v>
      </c>
      <c r="G88" s="7">
        <v>77</v>
      </c>
      <c r="H88" s="196">
        <v>0.96099999999999997</v>
      </c>
      <c r="I88" s="266">
        <v>7.46</v>
      </c>
      <c r="J88" s="276">
        <v>1521.8</v>
      </c>
      <c r="K88" s="277">
        <v>248.48</v>
      </c>
      <c r="L88" s="196">
        <v>-23</v>
      </c>
      <c r="M88" s="196">
        <v>211</v>
      </c>
      <c r="N88" s="196">
        <v>182</v>
      </c>
    </row>
    <row r="89" spans="1:14" ht="17.25" x14ac:dyDescent="0.25">
      <c r="A89" s="387" t="s">
        <v>507</v>
      </c>
      <c r="B89" s="388"/>
      <c r="C89" s="389"/>
      <c r="D89" s="196" t="s">
        <v>506</v>
      </c>
      <c r="E89" s="196">
        <v>96.94</v>
      </c>
      <c r="F89" s="275">
        <v>10.7</v>
      </c>
      <c r="G89" s="7"/>
      <c r="H89" s="196">
        <v>2.5790000000000002</v>
      </c>
      <c r="I89" s="266">
        <v>7.0220000000000002</v>
      </c>
      <c r="J89" s="276">
        <v>1205.4000000000001</v>
      </c>
      <c r="K89" s="277">
        <v>230.6</v>
      </c>
      <c r="L89" s="196">
        <v>32</v>
      </c>
      <c r="M89" s="196">
        <v>183</v>
      </c>
      <c r="N89" s="196">
        <v>141</v>
      </c>
    </row>
    <row r="90" spans="1:14" ht="17.25" x14ac:dyDescent="0.25">
      <c r="A90" s="387" t="s">
        <v>505</v>
      </c>
      <c r="B90" s="388"/>
      <c r="C90" s="389"/>
      <c r="D90" s="196" t="s">
        <v>504</v>
      </c>
      <c r="E90" s="196">
        <v>96.94</v>
      </c>
      <c r="F90" s="275">
        <v>10.4</v>
      </c>
      <c r="G90" s="7"/>
      <c r="H90" s="196">
        <v>4.3330000000000002</v>
      </c>
      <c r="I90" s="266">
        <v>6.9649999999999999</v>
      </c>
      <c r="J90" s="276">
        <v>1141.9000000000001</v>
      </c>
      <c r="K90" s="277">
        <v>231.9</v>
      </c>
      <c r="L90" s="196">
        <v>-36</v>
      </c>
      <c r="M90" s="196">
        <v>185</v>
      </c>
      <c r="N90" s="196">
        <v>118</v>
      </c>
    </row>
    <row r="91" spans="1:14" ht="17.25" x14ac:dyDescent="0.25">
      <c r="A91" s="387" t="s">
        <v>503</v>
      </c>
      <c r="B91" s="388"/>
      <c r="C91" s="389"/>
      <c r="D91" s="196" t="s">
        <v>502</v>
      </c>
      <c r="E91" s="196">
        <v>161.03</v>
      </c>
      <c r="F91" s="275">
        <v>10.4</v>
      </c>
      <c r="G91" s="7"/>
      <c r="H91" s="196">
        <v>2.8999999999999998E-3</v>
      </c>
      <c r="I91" s="266">
        <v>7.3440000000000003</v>
      </c>
      <c r="J91" s="276">
        <v>1882.5</v>
      </c>
      <c r="K91" s="277">
        <v>215</v>
      </c>
      <c r="L91" s="196">
        <v>32</v>
      </c>
      <c r="M91" s="196">
        <v>221</v>
      </c>
      <c r="N91" s="196">
        <v>408</v>
      </c>
    </row>
    <row r="92" spans="1:14" ht="17.25" x14ac:dyDescent="0.25">
      <c r="A92" s="387" t="s">
        <v>501</v>
      </c>
      <c r="B92" s="388"/>
      <c r="C92" s="389"/>
      <c r="D92" s="196" t="s">
        <v>500</v>
      </c>
      <c r="E92" s="196">
        <v>118.17</v>
      </c>
      <c r="F92" s="275">
        <v>6.89</v>
      </c>
      <c r="G92" s="7"/>
      <c r="H92" s="196">
        <v>0.307</v>
      </c>
      <c r="I92" s="266">
        <v>7.625</v>
      </c>
      <c r="J92" s="276">
        <v>1574</v>
      </c>
      <c r="K92" s="277">
        <v>229.47</v>
      </c>
      <c r="L92" s="196">
        <v>-10</v>
      </c>
      <c r="M92" s="196">
        <v>216</v>
      </c>
      <c r="N92" s="196">
        <v>212</v>
      </c>
    </row>
    <row r="93" spans="1:14" ht="17.25" x14ac:dyDescent="0.25">
      <c r="A93" s="387" t="s">
        <v>499</v>
      </c>
      <c r="B93" s="388"/>
      <c r="C93" s="389"/>
      <c r="D93" s="196" t="s">
        <v>498</v>
      </c>
      <c r="E93" s="196">
        <v>104.15</v>
      </c>
      <c r="F93" s="275">
        <v>6.94</v>
      </c>
      <c r="G93" s="7"/>
      <c r="H93" s="196">
        <v>0.81</v>
      </c>
      <c r="I93" s="266">
        <v>6.9859999999999998</v>
      </c>
      <c r="J93" s="276">
        <v>1270.2</v>
      </c>
      <c r="K93" s="277">
        <v>221.26</v>
      </c>
      <c r="L93" s="196">
        <v>32</v>
      </c>
      <c r="M93" s="196">
        <v>167</v>
      </c>
      <c r="N93" s="196">
        <v>191</v>
      </c>
    </row>
    <row r="94" spans="1:14" ht="17.25" x14ac:dyDescent="0.25">
      <c r="A94" s="387" t="s">
        <v>497</v>
      </c>
      <c r="B94" s="388"/>
      <c r="C94" s="389"/>
      <c r="D94" s="196" t="s">
        <v>496</v>
      </c>
      <c r="E94" s="196">
        <v>149.22999999999999</v>
      </c>
      <c r="F94" s="275">
        <v>7.77</v>
      </c>
      <c r="G94" s="7"/>
      <c r="H94" s="196">
        <v>3.0999999999999999E-3</v>
      </c>
      <c r="I94" s="266">
        <v>8.2579999999999991</v>
      </c>
      <c r="J94" s="276">
        <v>2652.8</v>
      </c>
      <c r="K94" s="277">
        <v>277.32</v>
      </c>
      <c r="L94" s="196">
        <v>122</v>
      </c>
      <c r="M94" s="196">
        <v>425</v>
      </c>
      <c r="N94" s="196">
        <v>422</v>
      </c>
    </row>
    <row r="95" spans="1:14" ht="17.25" x14ac:dyDescent="0.25">
      <c r="A95" s="387" t="s">
        <v>495</v>
      </c>
      <c r="B95" s="388"/>
      <c r="C95" s="389"/>
      <c r="D95" s="196" t="s">
        <v>494</v>
      </c>
      <c r="E95" s="196">
        <v>86.13</v>
      </c>
      <c r="F95" s="275">
        <v>6.76</v>
      </c>
      <c r="G95" s="7">
        <v>77</v>
      </c>
      <c r="H95" s="196">
        <v>0.42299999999999999</v>
      </c>
      <c r="I95" s="266">
        <v>5.7409999999999997</v>
      </c>
      <c r="J95" s="276">
        <v>716.2</v>
      </c>
      <c r="K95" s="277">
        <v>147.16999999999999</v>
      </c>
      <c r="L95" s="196">
        <v>97</v>
      </c>
      <c r="M95" s="196">
        <v>215</v>
      </c>
      <c r="N95" s="196">
        <v>215</v>
      </c>
    </row>
    <row r="96" spans="1:14" ht="17.25" x14ac:dyDescent="0.25">
      <c r="A96" s="387" t="s">
        <v>493</v>
      </c>
      <c r="B96" s="388"/>
      <c r="C96" s="389"/>
      <c r="D96" s="196" t="s">
        <v>492</v>
      </c>
      <c r="E96" s="196">
        <v>90.19</v>
      </c>
      <c r="F96" s="275">
        <v>6.98</v>
      </c>
      <c r="G96" s="7"/>
      <c r="H96" s="196">
        <v>0.749</v>
      </c>
      <c r="I96" s="266">
        <v>7.5410000000000004</v>
      </c>
      <c r="J96" s="276">
        <v>1560.5</v>
      </c>
      <c r="K96" s="277">
        <v>246.59</v>
      </c>
      <c r="L96" s="196">
        <v>-39</v>
      </c>
      <c r="M96" s="196">
        <v>190</v>
      </c>
      <c r="N96" s="196">
        <v>197</v>
      </c>
    </row>
    <row r="97" spans="1:14" ht="17.25" x14ac:dyDescent="0.25">
      <c r="A97" s="387" t="s">
        <v>491</v>
      </c>
      <c r="B97" s="388"/>
      <c r="C97" s="389"/>
      <c r="D97" s="196" t="s">
        <v>490</v>
      </c>
      <c r="E97" s="196">
        <v>73.14</v>
      </c>
      <c r="F97" s="275">
        <v>5.89</v>
      </c>
      <c r="G97" s="7"/>
      <c r="H97" s="196">
        <v>2.7120000000000002</v>
      </c>
      <c r="I97" s="266">
        <v>5.7370000000000001</v>
      </c>
      <c r="J97" s="276">
        <v>559.1</v>
      </c>
      <c r="K97" s="277">
        <v>140.18</v>
      </c>
      <c r="L97" s="196">
        <v>89</v>
      </c>
      <c r="M97" s="196">
        <v>141</v>
      </c>
      <c r="N97" s="196">
        <v>132</v>
      </c>
    </row>
    <row r="98" spans="1:14" ht="17.25" x14ac:dyDescent="0.25">
      <c r="A98" s="387" t="s">
        <v>489</v>
      </c>
      <c r="B98" s="388"/>
      <c r="C98" s="389"/>
      <c r="D98" s="196" t="s">
        <v>488</v>
      </c>
      <c r="E98" s="196">
        <v>134.22</v>
      </c>
      <c r="F98" s="275">
        <v>7.34</v>
      </c>
      <c r="G98" s="7"/>
      <c r="H98" s="196">
        <v>9.4000000000000004E-3</v>
      </c>
      <c r="I98" s="266">
        <v>6.99</v>
      </c>
      <c r="J98" s="276">
        <v>1577.9</v>
      </c>
      <c r="K98" s="277">
        <v>200.55</v>
      </c>
      <c r="L98" s="196">
        <v>206</v>
      </c>
      <c r="M98" s="196">
        <v>364</v>
      </c>
      <c r="N98" s="196">
        <v>361</v>
      </c>
    </row>
    <row r="99" spans="1:14" ht="17.25" x14ac:dyDescent="0.25">
      <c r="A99" s="387" t="s">
        <v>487</v>
      </c>
      <c r="B99" s="388"/>
      <c r="C99" s="389"/>
      <c r="D99" s="196" t="s">
        <v>486</v>
      </c>
      <c r="E99" s="196">
        <v>134.22</v>
      </c>
      <c r="F99" s="275">
        <v>7.18</v>
      </c>
      <c r="G99" s="7"/>
      <c r="H99" s="196">
        <v>0.01</v>
      </c>
      <c r="I99" s="266">
        <v>7.0060000000000002</v>
      </c>
      <c r="J99" s="276">
        <v>1576.3</v>
      </c>
      <c r="K99" s="277">
        <v>201</v>
      </c>
      <c r="L99" s="196">
        <v>203</v>
      </c>
      <c r="M99" s="196">
        <v>360</v>
      </c>
      <c r="N99" s="196">
        <v>358</v>
      </c>
    </row>
    <row r="100" spans="1:14" ht="17.25" x14ac:dyDescent="0.25">
      <c r="A100" s="387" t="s">
        <v>485</v>
      </c>
      <c r="B100" s="388"/>
      <c r="C100" s="389"/>
      <c r="D100" s="196" t="s">
        <v>484</v>
      </c>
      <c r="E100" s="196">
        <v>134.22</v>
      </c>
      <c r="F100" s="275">
        <v>7.2</v>
      </c>
      <c r="G100" s="7"/>
      <c r="H100" s="196">
        <v>0.01</v>
      </c>
      <c r="I100" s="266">
        <v>7.0010000000000003</v>
      </c>
      <c r="J100" s="276">
        <v>1589.3</v>
      </c>
      <c r="K100" s="277">
        <v>202.02</v>
      </c>
      <c r="L100" s="196">
        <v>206</v>
      </c>
      <c r="M100" s="196">
        <v>365</v>
      </c>
      <c r="N100" s="196">
        <v>363</v>
      </c>
    </row>
    <row r="101" spans="1:14" ht="17.25" x14ac:dyDescent="0.25">
      <c r="A101" s="387" t="s">
        <v>483</v>
      </c>
      <c r="B101" s="388"/>
      <c r="C101" s="389"/>
      <c r="D101" s="196" t="s">
        <v>482</v>
      </c>
      <c r="E101" s="196">
        <v>102.17</v>
      </c>
      <c r="F101" s="275">
        <v>6.04</v>
      </c>
      <c r="G101" s="7"/>
      <c r="H101" s="196">
        <v>1.877</v>
      </c>
      <c r="I101" s="266">
        <v>6.8419999999999996</v>
      </c>
      <c r="J101" s="276">
        <v>1135</v>
      </c>
      <c r="K101" s="277">
        <v>218.23</v>
      </c>
      <c r="L101" s="196">
        <v>74</v>
      </c>
      <c r="M101" s="196">
        <v>153</v>
      </c>
      <c r="N101" s="196">
        <v>155</v>
      </c>
    </row>
    <row r="102" spans="1:14" ht="17.25" x14ac:dyDescent="0.25">
      <c r="A102" s="387" t="s">
        <v>481</v>
      </c>
      <c r="B102" s="388"/>
      <c r="C102" s="389"/>
      <c r="D102" s="196" t="s">
        <v>480</v>
      </c>
      <c r="E102" s="196">
        <v>90.12</v>
      </c>
      <c r="F102" s="275">
        <v>7.25</v>
      </c>
      <c r="G102" s="7"/>
      <c r="H102" s="196">
        <v>0.96599999999999997</v>
      </c>
      <c r="I102" s="266">
        <v>6.7130000000000001</v>
      </c>
      <c r="J102" s="276">
        <v>1260.5</v>
      </c>
      <c r="K102" s="277">
        <v>235.83</v>
      </c>
      <c r="L102" s="196">
        <v>-55</v>
      </c>
      <c r="M102" s="196">
        <v>199</v>
      </c>
      <c r="N102" s="196">
        <v>185</v>
      </c>
    </row>
    <row r="103" spans="1:14" ht="17.25" x14ac:dyDescent="0.25">
      <c r="A103" s="387" t="s">
        <v>479</v>
      </c>
      <c r="B103" s="388"/>
      <c r="C103" s="389"/>
      <c r="D103" s="196" t="s">
        <v>478</v>
      </c>
      <c r="E103" s="196">
        <v>73.09</v>
      </c>
      <c r="F103" s="275">
        <v>7.88</v>
      </c>
      <c r="G103" s="7">
        <v>77</v>
      </c>
      <c r="H103" s="196">
        <v>0.04</v>
      </c>
      <c r="I103" s="266">
        <v>6.806</v>
      </c>
      <c r="J103" s="276">
        <v>1337.7</v>
      </c>
      <c r="K103" s="277">
        <v>190.5</v>
      </c>
      <c r="L103" s="196">
        <v>86</v>
      </c>
      <c r="M103" s="196">
        <v>194</v>
      </c>
      <c r="N103" s="196">
        <v>307</v>
      </c>
    </row>
    <row r="104" spans="1:14" ht="17.25" x14ac:dyDescent="0.25">
      <c r="A104" s="387" t="s">
        <v>477</v>
      </c>
      <c r="B104" s="388"/>
      <c r="C104" s="389"/>
      <c r="D104" s="196" t="s">
        <v>476</v>
      </c>
      <c r="E104" s="196">
        <v>60.1</v>
      </c>
      <c r="F104" s="275">
        <v>6.6</v>
      </c>
      <c r="G104" s="7">
        <v>72</v>
      </c>
      <c r="H104" s="196">
        <v>1.8959999999999999</v>
      </c>
      <c r="I104" s="266">
        <v>7.5880000000000001</v>
      </c>
      <c r="J104" s="276">
        <v>1388.5</v>
      </c>
      <c r="K104" s="277">
        <v>232.54</v>
      </c>
      <c r="L104" s="196">
        <v>-32</v>
      </c>
      <c r="M104" s="196">
        <v>68</v>
      </c>
      <c r="N104" s="196">
        <v>146</v>
      </c>
    </row>
    <row r="105" spans="1:14" ht="17.25" x14ac:dyDescent="0.25">
      <c r="A105" s="387" t="s">
        <v>475</v>
      </c>
      <c r="B105" s="388"/>
      <c r="C105" s="389"/>
      <c r="D105" s="196" t="s">
        <v>474</v>
      </c>
      <c r="E105" s="196">
        <v>194.18</v>
      </c>
      <c r="F105" s="275">
        <v>9.94</v>
      </c>
      <c r="G105" s="7"/>
      <c r="H105" s="278">
        <v>2.25E-8</v>
      </c>
      <c r="I105" s="266">
        <v>4.5220000000000002</v>
      </c>
      <c r="J105" s="276">
        <v>700.3</v>
      </c>
      <c r="K105" s="277">
        <v>51.42</v>
      </c>
      <c r="L105" s="196">
        <v>180</v>
      </c>
      <c r="M105" s="196">
        <v>304</v>
      </c>
      <c r="N105" s="196">
        <v>540</v>
      </c>
    </row>
    <row r="106" spans="1:14" ht="17.25" x14ac:dyDescent="0.25">
      <c r="A106" s="387" t="s">
        <v>473</v>
      </c>
      <c r="B106" s="388"/>
      <c r="C106" s="389"/>
      <c r="D106" s="196" t="s">
        <v>472</v>
      </c>
      <c r="E106" s="196">
        <v>86.18</v>
      </c>
      <c r="F106" s="275">
        <v>5.52</v>
      </c>
      <c r="G106" s="7"/>
      <c r="H106" s="196">
        <v>3.0640000000000001</v>
      </c>
      <c r="I106" s="266">
        <v>6.81</v>
      </c>
      <c r="J106" s="276">
        <v>1127.2</v>
      </c>
      <c r="K106" s="277">
        <v>228.95</v>
      </c>
      <c r="L106" s="196">
        <v>58</v>
      </c>
      <c r="M106" s="196">
        <v>138</v>
      </c>
      <c r="N106" s="196">
        <v>136</v>
      </c>
    </row>
    <row r="107" spans="1:14" ht="17.25" x14ac:dyDescent="0.25">
      <c r="A107" s="387" t="s">
        <v>471</v>
      </c>
      <c r="B107" s="388"/>
      <c r="C107" s="389"/>
      <c r="D107" s="196" t="s">
        <v>470</v>
      </c>
      <c r="E107" s="196">
        <v>98.19</v>
      </c>
      <c r="F107" s="275">
        <v>6.26</v>
      </c>
      <c r="G107" s="7">
        <v>77</v>
      </c>
      <c r="H107" s="196">
        <v>0.93200000000000005</v>
      </c>
      <c r="I107" s="266">
        <v>6.83</v>
      </c>
      <c r="J107" s="276">
        <v>1226.5999999999999</v>
      </c>
      <c r="K107" s="277">
        <v>222.76</v>
      </c>
      <c r="L107" s="196">
        <v>60</v>
      </c>
      <c r="M107" s="196">
        <v>192</v>
      </c>
      <c r="N107" s="196">
        <v>190</v>
      </c>
    </row>
    <row r="108" spans="1:14" ht="17.25" x14ac:dyDescent="0.25">
      <c r="A108" s="387" t="s">
        <v>469</v>
      </c>
      <c r="B108" s="388"/>
      <c r="C108" s="389"/>
      <c r="D108" s="196" t="s">
        <v>468</v>
      </c>
      <c r="E108" s="196">
        <v>100.2</v>
      </c>
      <c r="F108" s="275">
        <v>5.63</v>
      </c>
      <c r="G108" s="7"/>
      <c r="H108" s="196">
        <v>1.3149999999999999</v>
      </c>
      <c r="I108" s="266">
        <v>6.8150000000000004</v>
      </c>
      <c r="J108" s="276">
        <v>1190.3</v>
      </c>
      <c r="K108" s="277">
        <v>223.34</v>
      </c>
      <c r="L108" s="196">
        <v>60</v>
      </c>
      <c r="M108" s="196">
        <v>176</v>
      </c>
      <c r="N108" s="196">
        <v>174</v>
      </c>
    </row>
    <row r="109" spans="1:14" ht="17.25" x14ac:dyDescent="0.25">
      <c r="A109" s="387" t="s">
        <v>467</v>
      </c>
      <c r="B109" s="388"/>
      <c r="C109" s="389"/>
      <c r="D109" s="196" t="s">
        <v>466</v>
      </c>
      <c r="E109" s="196">
        <v>100.2</v>
      </c>
      <c r="F109" s="275">
        <v>5.8</v>
      </c>
      <c r="G109" s="7"/>
      <c r="H109" s="196">
        <v>0.84199999999999997</v>
      </c>
      <c r="I109" s="266">
        <v>6.8620000000000001</v>
      </c>
      <c r="J109" s="276">
        <v>1242.5999999999999</v>
      </c>
      <c r="K109" s="277">
        <v>222.34</v>
      </c>
      <c r="L109" s="196">
        <v>64</v>
      </c>
      <c r="M109" s="196">
        <v>195</v>
      </c>
      <c r="N109" s="196">
        <v>194</v>
      </c>
    </row>
    <row r="110" spans="1:14" ht="17.25" x14ac:dyDescent="0.25">
      <c r="A110" s="387" t="s">
        <v>465</v>
      </c>
      <c r="B110" s="388"/>
      <c r="C110" s="389"/>
      <c r="D110" s="196" t="s">
        <v>464</v>
      </c>
      <c r="E110" s="196">
        <v>100.2</v>
      </c>
      <c r="F110" s="275">
        <v>5.62</v>
      </c>
      <c r="G110" s="7"/>
      <c r="H110" s="196">
        <v>1.2210000000000001</v>
      </c>
      <c r="I110" s="266">
        <v>6.8360000000000003</v>
      </c>
      <c r="J110" s="276">
        <v>1197.5999999999999</v>
      </c>
      <c r="K110" s="277">
        <v>222.27</v>
      </c>
      <c r="L110" s="196">
        <v>57</v>
      </c>
      <c r="M110" s="196">
        <v>178</v>
      </c>
      <c r="N110" s="196">
        <v>177</v>
      </c>
    </row>
    <row r="111" spans="1:14" ht="17.25" x14ac:dyDescent="0.25">
      <c r="A111" s="387" t="s">
        <v>463</v>
      </c>
      <c r="B111" s="388"/>
      <c r="C111" s="389"/>
      <c r="D111" s="196" t="s">
        <v>462</v>
      </c>
      <c r="E111" s="196">
        <v>100.2</v>
      </c>
      <c r="F111" s="275">
        <v>5.79</v>
      </c>
      <c r="G111" s="7"/>
      <c r="H111" s="196">
        <v>1.0289999999999999</v>
      </c>
      <c r="I111" s="266">
        <v>6.8310000000000004</v>
      </c>
      <c r="J111" s="276">
        <v>1231</v>
      </c>
      <c r="K111" s="277">
        <v>225.58</v>
      </c>
      <c r="L111" s="196">
        <v>56</v>
      </c>
      <c r="M111" s="196">
        <v>189</v>
      </c>
      <c r="N111" s="196">
        <v>187</v>
      </c>
    </row>
    <row r="112" spans="1:14" ht="17.25" x14ac:dyDescent="0.25">
      <c r="A112" s="387" t="s">
        <v>461</v>
      </c>
      <c r="B112" s="388"/>
      <c r="C112" s="389"/>
      <c r="D112" s="196" t="s">
        <v>460</v>
      </c>
      <c r="E112" s="196">
        <v>88.11</v>
      </c>
      <c r="F112" s="275">
        <v>8.6300000000000008</v>
      </c>
      <c r="G112" s="7"/>
      <c r="H112" s="196">
        <v>0.439</v>
      </c>
      <c r="I112" s="266">
        <v>7.4560000000000004</v>
      </c>
      <c r="J112" s="276">
        <v>1570.1</v>
      </c>
      <c r="K112" s="277">
        <v>241.85</v>
      </c>
      <c r="L112" s="196">
        <v>68</v>
      </c>
      <c r="M112" s="196">
        <v>221</v>
      </c>
      <c r="N112" s="196">
        <v>214</v>
      </c>
    </row>
    <row r="113" spans="1:14" ht="17.25" x14ac:dyDescent="0.25">
      <c r="A113" s="387" t="s">
        <v>459</v>
      </c>
      <c r="B113" s="388"/>
      <c r="C113" s="389"/>
      <c r="D113" s="196" t="s">
        <v>458</v>
      </c>
      <c r="E113" s="196">
        <v>102.17</v>
      </c>
      <c r="F113" s="275">
        <v>6.23</v>
      </c>
      <c r="G113" s="7"/>
      <c r="H113" s="196">
        <v>0.754</v>
      </c>
      <c r="I113" s="266">
        <v>6.9450000000000003</v>
      </c>
      <c r="J113" s="276">
        <v>1254.8</v>
      </c>
      <c r="K113" s="277">
        <v>218.82</v>
      </c>
      <c r="L113" s="196">
        <v>80</v>
      </c>
      <c r="M113" s="196">
        <v>192</v>
      </c>
      <c r="N113" s="196">
        <v>194</v>
      </c>
    </row>
    <row r="114" spans="1:14" ht="17.25" x14ac:dyDescent="0.25">
      <c r="A114" s="387" t="s">
        <v>457</v>
      </c>
      <c r="B114" s="388"/>
      <c r="C114" s="389"/>
      <c r="D114" s="196" t="s">
        <v>456</v>
      </c>
      <c r="E114" s="196">
        <v>170.33</v>
      </c>
      <c r="F114" s="275">
        <v>6.25</v>
      </c>
      <c r="G114" s="7"/>
      <c r="H114" s="196">
        <v>9.3000000000000005E-4</v>
      </c>
      <c r="I114" s="266">
        <v>6.9809999999999999</v>
      </c>
      <c r="J114" s="276">
        <v>1625.9</v>
      </c>
      <c r="K114" s="277">
        <v>180.31</v>
      </c>
      <c r="L114" s="196">
        <v>259</v>
      </c>
      <c r="M114" s="196">
        <v>423</v>
      </c>
      <c r="N114" s="196">
        <v>421</v>
      </c>
    </row>
    <row r="115" spans="1:14" ht="17.25" x14ac:dyDescent="0.25">
      <c r="A115" s="387" t="s">
        <v>455</v>
      </c>
      <c r="B115" s="388"/>
      <c r="C115" s="389"/>
      <c r="D115" s="196" t="s">
        <v>454</v>
      </c>
      <c r="E115" s="196">
        <v>92.52</v>
      </c>
      <c r="F115" s="275">
        <v>9.85</v>
      </c>
      <c r="G115" s="7"/>
      <c r="H115" s="196">
        <v>0.19400000000000001</v>
      </c>
      <c r="I115" s="266">
        <v>8.2289999999999992</v>
      </c>
      <c r="J115" s="276">
        <v>2086.8000000000002</v>
      </c>
      <c r="K115" s="277">
        <v>273.16000000000003</v>
      </c>
      <c r="L115" s="196"/>
      <c r="M115" s="196"/>
      <c r="N115" s="196">
        <v>241</v>
      </c>
    </row>
    <row r="116" spans="1:14" ht="17.25" x14ac:dyDescent="0.25">
      <c r="A116" s="387" t="s">
        <v>453</v>
      </c>
      <c r="B116" s="388"/>
      <c r="C116" s="389"/>
      <c r="D116" s="196" t="s">
        <v>452</v>
      </c>
      <c r="E116" s="196">
        <v>30.07</v>
      </c>
      <c r="F116" s="275"/>
      <c r="G116" s="7"/>
      <c r="H116" s="196">
        <v>472</v>
      </c>
      <c r="I116" s="266">
        <v>6.8129999999999997</v>
      </c>
      <c r="J116" s="276">
        <v>659.7</v>
      </c>
      <c r="K116" s="277">
        <v>256.43099999999998</v>
      </c>
      <c r="L116" s="196">
        <v>-215</v>
      </c>
      <c r="M116" s="196">
        <v>-100</v>
      </c>
      <c r="N116" s="196">
        <v>-127</v>
      </c>
    </row>
    <row r="117" spans="1:14" ht="17.25" x14ac:dyDescent="0.25">
      <c r="A117" s="387" t="s">
        <v>451</v>
      </c>
      <c r="B117" s="388"/>
      <c r="C117" s="389"/>
      <c r="D117" s="196" t="s">
        <v>450</v>
      </c>
      <c r="E117" s="196">
        <v>61.08</v>
      </c>
      <c r="F117" s="275">
        <v>8.5</v>
      </c>
      <c r="G117" s="7"/>
      <c r="H117" s="196">
        <v>2E-3</v>
      </c>
      <c r="I117" s="266">
        <v>7.1680000000000001</v>
      </c>
      <c r="J117" s="276">
        <v>1408.9</v>
      </c>
      <c r="K117" s="277">
        <v>157.06</v>
      </c>
      <c r="L117" s="196">
        <v>150</v>
      </c>
      <c r="M117" s="196">
        <v>340</v>
      </c>
      <c r="N117" s="196">
        <v>339</v>
      </c>
    </row>
    <row r="118" spans="1:14" ht="17.25" x14ac:dyDescent="0.25">
      <c r="A118" s="387" t="s">
        <v>449</v>
      </c>
      <c r="B118" s="388"/>
      <c r="C118" s="389"/>
      <c r="D118" s="196" t="s">
        <v>448</v>
      </c>
      <c r="E118" s="196">
        <v>88.11</v>
      </c>
      <c r="F118" s="275">
        <v>7.51</v>
      </c>
      <c r="G118" s="7"/>
      <c r="H118" s="196">
        <v>1.135</v>
      </c>
      <c r="I118" s="266">
        <v>7.1029999999999998</v>
      </c>
      <c r="J118" s="276">
        <v>1245.7</v>
      </c>
      <c r="K118" s="277">
        <v>217.96</v>
      </c>
      <c r="L118" s="196">
        <v>60</v>
      </c>
      <c r="M118" s="196">
        <v>168</v>
      </c>
      <c r="N118" s="196">
        <v>171</v>
      </c>
    </row>
    <row r="119" spans="1:14" ht="17.25" x14ac:dyDescent="0.25">
      <c r="A119" s="387" t="s">
        <v>447</v>
      </c>
      <c r="B119" s="388"/>
      <c r="C119" s="389"/>
      <c r="D119" s="196" t="s">
        <v>446</v>
      </c>
      <c r="E119" s="196">
        <v>100.12</v>
      </c>
      <c r="F119" s="275">
        <v>7.71</v>
      </c>
      <c r="G119" s="7"/>
      <c r="H119" s="196">
        <v>0.44500000000000001</v>
      </c>
      <c r="I119" s="266">
        <v>7.15</v>
      </c>
      <c r="J119" s="276">
        <v>1366.1</v>
      </c>
      <c r="K119" s="277">
        <v>220.47</v>
      </c>
      <c r="L119" s="196">
        <v>-21</v>
      </c>
      <c r="M119" s="196">
        <v>211</v>
      </c>
      <c r="N119" s="196">
        <v>211</v>
      </c>
    </row>
    <row r="120" spans="1:14" ht="17.25" x14ac:dyDescent="0.25">
      <c r="A120" s="387" t="s">
        <v>445</v>
      </c>
      <c r="B120" s="388"/>
      <c r="C120" s="389"/>
      <c r="D120" s="196" t="s">
        <v>444</v>
      </c>
      <c r="E120" s="196">
        <v>46.07</v>
      </c>
      <c r="F120" s="275">
        <v>6.59</v>
      </c>
      <c r="G120" s="7"/>
      <c r="H120" s="196">
        <v>0.64800000000000002</v>
      </c>
      <c r="I120" s="266">
        <v>8.2469999999999999</v>
      </c>
      <c r="J120" s="276">
        <v>1670.4</v>
      </c>
      <c r="K120" s="277">
        <v>232.96</v>
      </c>
      <c r="L120" s="196">
        <v>32</v>
      </c>
      <c r="M120" s="196">
        <v>173</v>
      </c>
      <c r="N120" s="196">
        <v>173</v>
      </c>
    </row>
    <row r="121" spans="1:14" ht="17.25" x14ac:dyDescent="0.25">
      <c r="A121" s="387" t="s">
        <v>443</v>
      </c>
      <c r="B121" s="388"/>
      <c r="C121" s="389"/>
      <c r="D121" s="196" t="s">
        <v>442</v>
      </c>
      <c r="E121" s="196">
        <v>64.510000000000005</v>
      </c>
      <c r="F121" s="275">
        <v>7.43</v>
      </c>
      <c r="G121" s="7">
        <v>77</v>
      </c>
      <c r="H121" s="196">
        <v>16.63</v>
      </c>
      <c r="I121" s="266">
        <v>7.0369999999999999</v>
      </c>
      <c r="J121" s="276">
        <v>1052.8</v>
      </c>
      <c r="K121" s="277">
        <v>241.07</v>
      </c>
      <c r="L121" s="196">
        <v>-69</v>
      </c>
      <c r="M121" s="196">
        <v>55</v>
      </c>
      <c r="N121" s="196">
        <v>61</v>
      </c>
    </row>
    <row r="122" spans="1:14" ht="17.25" x14ac:dyDescent="0.25">
      <c r="A122" s="387" t="s">
        <v>441</v>
      </c>
      <c r="B122" s="388"/>
      <c r="C122" s="389"/>
      <c r="D122" s="196" t="s">
        <v>440</v>
      </c>
      <c r="E122" s="196">
        <v>74.12</v>
      </c>
      <c r="F122" s="275">
        <v>5.96</v>
      </c>
      <c r="G122" s="7"/>
      <c r="H122" s="196">
        <v>6.6749999999999998</v>
      </c>
      <c r="I122" s="266">
        <v>6.8970000000000002</v>
      </c>
      <c r="J122" s="276">
        <v>1062.5999999999999</v>
      </c>
      <c r="K122" s="277">
        <v>228.22</v>
      </c>
      <c r="L122" s="196">
        <v>-10</v>
      </c>
      <c r="M122" s="196">
        <v>132</v>
      </c>
      <c r="N122" s="196">
        <v>94</v>
      </c>
    </row>
    <row r="123" spans="1:14" ht="17.25" x14ac:dyDescent="0.25">
      <c r="A123" s="387" t="s">
        <v>439</v>
      </c>
      <c r="B123" s="388"/>
      <c r="C123" s="389"/>
      <c r="D123" s="196" t="s">
        <v>438</v>
      </c>
      <c r="E123" s="196">
        <v>45.08</v>
      </c>
      <c r="F123" s="275">
        <v>5.65</v>
      </c>
      <c r="G123" s="7">
        <v>77</v>
      </c>
      <c r="H123" s="196">
        <v>14.08</v>
      </c>
      <c r="I123" s="266">
        <v>7.4050000000000002</v>
      </c>
      <c r="J123" s="276">
        <v>1203.8</v>
      </c>
      <c r="K123" s="277">
        <v>249.43</v>
      </c>
      <c r="L123" s="196">
        <v>62</v>
      </c>
      <c r="M123" s="196">
        <v>349</v>
      </c>
      <c r="N123" s="196">
        <v>64</v>
      </c>
    </row>
    <row r="124" spans="1:14" ht="17.25" x14ac:dyDescent="0.25">
      <c r="A124" s="387" t="s">
        <v>437</v>
      </c>
      <c r="B124" s="388"/>
      <c r="C124" s="389"/>
      <c r="D124" s="196" t="s">
        <v>436</v>
      </c>
      <c r="E124" s="196">
        <v>106.17</v>
      </c>
      <c r="F124" s="275">
        <v>7.24</v>
      </c>
      <c r="G124" s="7"/>
      <c r="H124" s="196">
        <v>0.104</v>
      </c>
      <c r="I124" s="266">
        <v>6.95</v>
      </c>
      <c r="J124" s="276">
        <v>1419.3</v>
      </c>
      <c r="K124" s="277">
        <v>212.61</v>
      </c>
      <c r="L124" s="196">
        <v>134</v>
      </c>
      <c r="M124" s="196">
        <v>279</v>
      </c>
      <c r="N124" s="196">
        <v>277</v>
      </c>
    </row>
    <row r="125" spans="1:14" ht="17.25" x14ac:dyDescent="0.25">
      <c r="A125" s="387" t="s">
        <v>435</v>
      </c>
      <c r="B125" s="388"/>
      <c r="C125" s="389"/>
      <c r="D125" s="196" t="s">
        <v>434</v>
      </c>
      <c r="E125" s="196">
        <v>98.19</v>
      </c>
      <c r="F125" s="275">
        <v>6.4</v>
      </c>
      <c r="G125" s="7"/>
      <c r="H125" s="196">
        <v>0.47499999999999998</v>
      </c>
      <c r="I125" s="266">
        <v>6.8979999999999997</v>
      </c>
      <c r="J125" s="276">
        <v>1305</v>
      </c>
      <c r="K125" s="277">
        <v>221.4</v>
      </c>
      <c r="L125" s="196">
        <v>84</v>
      </c>
      <c r="M125" s="196">
        <v>220</v>
      </c>
      <c r="N125" s="196">
        <v>218</v>
      </c>
    </row>
    <row r="126" spans="1:14" ht="17.25" x14ac:dyDescent="0.25">
      <c r="A126" s="387" t="s">
        <v>433</v>
      </c>
      <c r="B126" s="388"/>
      <c r="C126" s="389"/>
      <c r="D126" s="196" t="s">
        <v>432</v>
      </c>
      <c r="E126" s="196">
        <v>28.05</v>
      </c>
      <c r="F126" s="275">
        <v>4.74</v>
      </c>
      <c r="G126" s="7">
        <v>-155</v>
      </c>
      <c r="H126" s="196">
        <v>749</v>
      </c>
      <c r="I126" s="266">
        <v>6.7480000000000002</v>
      </c>
      <c r="J126" s="276">
        <v>584.1</v>
      </c>
      <c r="K126" s="277">
        <v>254.84</v>
      </c>
      <c r="L126" s="196">
        <v>-191</v>
      </c>
      <c r="M126" s="196">
        <v>-120</v>
      </c>
      <c r="N126" s="196">
        <v>-155</v>
      </c>
    </row>
    <row r="127" spans="1:14" ht="17.25" x14ac:dyDescent="0.25">
      <c r="A127" s="387" t="s">
        <v>431</v>
      </c>
      <c r="B127" s="388"/>
      <c r="C127" s="389"/>
      <c r="D127" s="196" t="s">
        <v>430</v>
      </c>
      <c r="E127" s="196">
        <v>44.05</v>
      </c>
      <c r="F127" s="275">
        <v>7.36</v>
      </c>
      <c r="G127" s="7"/>
      <c r="H127" s="196">
        <v>17.84</v>
      </c>
      <c r="I127" s="266">
        <v>8.7219999999999995</v>
      </c>
      <c r="J127" s="276">
        <v>2022.8</v>
      </c>
      <c r="K127" s="277">
        <v>335.81</v>
      </c>
      <c r="L127" s="196">
        <v>32</v>
      </c>
      <c r="M127" s="196">
        <v>89</v>
      </c>
      <c r="N127" s="196">
        <v>53</v>
      </c>
    </row>
    <row r="128" spans="1:14" ht="17.25" x14ac:dyDescent="0.25">
      <c r="A128" s="387" t="s">
        <v>429</v>
      </c>
      <c r="B128" s="388"/>
      <c r="C128" s="389"/>
      <c r="D128" s="196" t="s">
        <v>428</v>
      </c>
      <c r="E128" s="196">
        <v>100.2</v>
      </c>
      <c r="F128" s="275">
        <v>5.83</v>
      </c>
      <c r="G128" s="7"/>
      <c r="H128" s="196">
        <v>0.70099999999999996</v>
      </c>
      <c r="I128" s="266">
        <v>6.88</v>
      </c>
      <c r="J128" s="276">
        <v>1254.0999999999999</v>
      </c>
      <c r="K128" s="277">
        <v>220.15</v>
      </c>
      <c r="L128" s="196">
        <v>70</v>
      </c>
      <c r="M128" s="196">
        <v>202</v>
      </c>
      <c r="N128" s="196">
        <v>200</v>
      </c>
    </row>
    <row r="129" spans="1:14" ht="17.25" x14ac:dyDescent="0.25">
      <c r="A129" s="387" t="s">
        <v>427</v>
      </c>
      <c r="B129" s="388"/>
      <c r="C129" s="389"/>
      <c r="D129" s="196" t="s">
        <v>426</v>
      </c>
      <c r="E129" s="196">
        <v>202.25</v>
      </c>
      <c r="F129" s="275">
        <v>10.4</v>
      </c>
      <c r="G129" s="7"/>
      <c r="H129" s="278">
        <v>3.9599999999999997E-8</v>
      </c>
      <c r="I129" s="266">
        <v>12.836</v>
      </c>
      <c r="J129" s="276">
        <v>5348.1</v>
      </c>
      <c r="K129" s="277">
        <v>273.14999999999998</v>
      </c>
      <c r="L129" s="196">
        <v>77</v>
      </c>
      <c r="M129" s="196">
        <v>230</v>
      </c>
      <c r="N129" s="196">
        <v>723</v>
      </c>
    </row>
    <row r="130" spans="1:14" ht="17.25" x14ac:dyDescent="0.25">
      <c r="A130" s="387" t="s">
        <v>425</v>
      </c>
      <c r="B130" s="388"/>
      <c r="C130" s="389"/>
      <c r="D130" s="196" t="s">
        <v>424</v>
      </c>
      <c r="E130" s="196">
        <v>96.1</v>
      </c>
      <c r="F130" s="275">
        <v>8.5299999999999994</v>
      </c>
      <c r="G130" s="7"/>
      <c r="H130" s="196">
        <v>0.93600000000000005</v>
      </c>
      <c r="I130" s="266">
        <v>7.2370000000000001</v>
      </c>
      <c r="J130" s="276">
        <v>1409.8</v>
      </c>
      <c r="K130" s="277">
        <v>238.36</v>
      </c>
      <c r="L130" s="196">
        <v>0</v>
      </c>
      <c r="M130" s="196">
        <v>183</v>
      </c>
      <c r="N130" s="196">
        <v>185</v>
      </c>
    </row>
    <row r="131" spans="1:14" ht="17.25" x14ac:dyDescent="0.25">
      <c r="A131" s="387" t="s">
        <v>423</v>
      </c>
      <c r="B131" s="388"/>
      <c r="C131" s="389"/>
      <c r="D131" s="196" t="s">
        <v>422</v>
      </c>
      <c r="E131" s="196">
        <v>46.03</v>
      </c>
      <c r="F131" s="275">
        <v>10.1</v>
      </c>
      <c r="G131" s="7"/>
      <c r="H131" s="196">
        <v>0.51600000000000001</v>
      </c>
      <c r="I131" s="266">
        <v>4.8760000000000003</v>
      </c>
      <c r="J131" s="276">
        <v>515</v>
      </c>
      <c r="K131" s="277">
        <v>133.74</v>
      </c>
      <c r="L131" s="196">
        <v>33</v>
      </c>
      <c r="M131" s="196">
        <v>93</v>
      </c>
      <c r="N131" s="196">
        <v>213</v>
      </c>
    </row>
    <row r="132" spans="1:14" ht="17.25" x14ac:dyDescent="0.25">
      <c r="A132" s="387" t="s">
        <v>421</v>
      </c>
      <c r="B132" s="388"/>
      <c r="C132" s="389"/>
      <c r="D132" s="196" t="s">
        <v>420</v>
      </c>
      <c r="E132" s="196">
        <v>137.37</v>
      </c>
      <c r="F132" s="275">
        <v>12.4</v>
      </c>
      <c r="G132" s="7"/>
      <c r="H132" s="196">
        <v>10.93</v>
      </c>
      <c r="I132" s="266">
        <v>6.8840000000000003</v>
      </c>
      <c r="J132" s="276">
        <v>1043</v>
      </c>
      <c r="K132" s="277">
        <v>236.88</v>
      </c>
      <c r="L132" s="196"/>
      <c r="M132" s="196"/>
      <c r="N132" s="196">
        <v>75</v>
      </c>
    </row>
    <row r="133" spans="1:14" ht="17.25" x14ac:dyDescent="0.25">
      <c r="A133" s="387" t="s">
        <v>419</v>
      </c>
      <c r="B133" s="388"/>
      <c r="C133" s="389"/>
      <c r="D133" s="196" t="s">
        <v>418</v>
      </c>
      <c r="E133" s="196">
        <v>68.069999999999993</v>
      </c>
      <c r="F133" s="275">
        <v>7.94</v>
      </c>
      <c r="G133" s="7"/>
      <c r="H133" s="196">
        <v>7.9630000000000001</v>
      </c>
      <c r="I133" s="266">
        <v>6.9749999999999996</v>
      </c>
      <c r="J133" s="276">
        <v>1060.8</v>
      </c>
      <c r="K133" s="277">
        <v>227.73</v>
      </c>
      <c r="L133" s="196">
        <v>37</v>
      </c>
      <c r="M133" s="196">
        <v>143</v>
      </c>
      <c r="N133" s="196">
        <v>89</v>
      </c>
    </row>
    <row r="134" spans="1:14" ht="17.25" x14ac:dyDescent="0.25">
      <c r="A134" s="387" t="s">
        <v>417</v>
      </c>
      <c r="B134" s="388"/>
      <c r="C134" s="389"/>
      <c r="D134" s="196" t="s">
        <v>416</v>
      </c>
      <c r="E134" s="196">
        <v>96.09</v>
      </c>
      <c r="F134" s="275">
        <v>9.68</v>
      </c>
      <c r="G134" s="7"/>
      <c r="H134" s="196">
        <v>1.7999999999999999E-2</v>
      </c>
      <c r="I134" s="266">
        <v>6.9690000000000003</v>
      </c>
      <c r="J134" s="276">
        <v>1430.1</v>
      </c>
      <c r="K134" s="277">
        <v>188.7</v>
      </c>
      <c r="L134" s="196">
        <v>133</v>
      </c>
      <c r="M134" s="196">
        <v>321</v>
      </c>
      <c r="N134" s="196">
        <v>323</v>
      </c>
    </row>
    <row r="135" spans="1:14" ht="17.25" x14ac:dyDescent="0.25">
      <c r="A135" s="387" t="s">
        <v>415</v>
      </c>
      <c r="B135" s="388"/>
      <c r="C135" s="389"/>
      <c r="D135" s="196" t="s">
        <v>414</v>
      </c>
      <c r="E135" s="196">
        <v>296.57</v>
      </c>
      <c r="F135" s="275">
        <v>6.61</v>
      </c>
      <c r="G135" s="7"/>
      <c r="H135" s="278">
        <v>6.2300000000000001E-7</v>
      </c>
      <c r="I135" s="266">
        <v>8.7959999999999994</v>
      </c>
      <c r="J135" s="276">
        <v>3571.2</v>
      </c>
      <c r="K135" s="277">
        <v>253.2</v>
      </c>
      <c r="L135" s="196">
        <v>307</v>
      </c>
      <c r="M135" s="196">
        <v>663</v>
      </c>
      <c r="N135" s="196">
        <v>679</v>
      </c>
    </row>
    <row r="136" spans="1:14" ht="17.25" x14ac:dyDescent="0.25">
      <c r="A136" s="387" t="s">
        <v>413</v>
      </c>
      <c r="B136" s="388"/>
      <c r="C136" s="389"/>
      <c r="D136" s="196" t="s">
        <v>412</v>
      </c>
      <c r="E136" s="196">
        <v>100.2</v>
      </c>
      <c r="F136" s="275">
        <v>5.71</v>
      </c>
      <c r="G136" s="7"/>
      <c r="H136" s="196">
        <v>0.54100000000000004</v>
      </c>
      <c r="I136" s="266">
        <v>6.9029999999999996</v>
      </c>
      <c r="J136" s="276">
        <v>1268.5999999999999</v>
      </c>
      <c r="K136" s="277">
        <v>216.95</v>
      </c>
      <c r="L136" s="196">
        <v>79</v>
      </c>
      <c r="M136" s="196">
        <v>211</v>
      </c>
      <c r="N136" s="196">
        <v>209</v>
      </c>
    </row>
    <row r="137" spans="1:14" ht="17.25" x14ac:dyDescent="0.25">
      <c r="A137" s="387" t="s">
        <v>411</v>
      </c>
      <c r="B137" s="388"/>
      <c r="C137" s="389"/>
      <c r="D137" s="196" t="s">
        <v>410</v>
      </c>
      <c r="E137" s="196">
        <v>98.19</v>
      </c>
      <c r="F137" s="275">
        <v>5.82</v>
      </c>
      <c r="G137" s="7"/>
      <c r="H137" s="196">
        <v>0.752</v>
      </c>
      <c r="I137" s="266">
        <v>7.093</v>
      </c>
      <c r="J137" s="276">
        <v>1400.7</v>
      </c>
      <c r="K137" s="277">
        <v>238.96</v>
      </c>
      <c r="L137" s="196">
        <v>32</v>
      </c>
      <c r="M137" s="196">
        <v>192</v>
      </c>
      <c r="N137" s="196">
        <v>201</v>
      </c>
    </row>
    <row r="138" spans="1:14" ht="17.25" x14ac:dyDescent="0.25">
      <c r="A138" s="387" t="s">
        <v>409</v>
      </c>
      <c r="B138" s="388"/>
      <c r="C138" s="389"/>
      <c r="D138" s="196" t="s">
        <v>408</v>
      </c>
      <c r="E138" s="196">
        <v>82.14</v>
      </c>
      <c r="F138" s="275">
        <v>5.74</v>
      </c>
      <c r="G138" s="7">
        <v>77</v>
      </c>
      <c r="H138" s="196">
        <v>2.89</v>
      </c>
      <c r="I138" s="266">
        <v>6.5629999999999997</v>
      </c>
      <c r="J138" s="276">
        <v>1008.1</v>
      </c>
      <c r="K138" s="277">
        <v>214.16</v>
      </c>
      <c r="L138" s="196">
        <v>32</v>
      </c>
      <c r="M138" s="196">
        <v>138</v>
      </c>
      <c r="N138" s="196">
        <v>140</v>
      </c>
    </row>
    <row r="139" spans="1:14" ht="17.25" x14ac:dyDescent="0.25">
      <c r="A139" s="387" t="s">
        <v>407</v>
      </c>
      <c r="B139" s="388"/>
      <c r="C139" s="389"/>
      <c r="D139" s="196" t="s">
        <v>406</v>
      </c>
      <c r="E139" s="196">
        <v>86.18</v>
      </c>
      <c r="F139" s="275">
        <v>5.47</v>
      </c>
      <c r="G139" s="7">
        <v>77</v>
      </c>
      <c r="H139" s="196">
        <v>1.913</v>
      </c>
      <c r="I139" s="266">
        <v>6.8780000000000001</v>
      </c>
      <c r="J139" s="276">
        <v>1171.5</v>
      </c>
      <c r="K139" s="277">
        <v>224.37</v>
      </c>
      <c r="L139" s="196">
        <v>55</v>
      </c>
      <c r="M139" s="196">
        <v>157</v>
      </c>
      <c r="N139" s="196">
        <v>156</v>
      </c>
    </row>
    <row r="140" spans="1:14" ht="17.25" x14ac:dyDescent="0.25">
      <c r="A140" s="387" t="s">
        <v>405</v>
      </c>
      <c r="B140" s="388"/>
      <c r="C140" s="389"/>
      <c r="D140" s="196" t="s">
        <v>404</v>
      </c>
      <c r="E140" s="196">
        <v>102.17</v>
      </c>
      <c r="F140" s="275">
        <v>6.79</v>
      </c>
      <c r="G140" s="7"/>
      <c r="H140" s="196">
        <v>5.0000000000000001E-3</v>
      </c>
      <c r="I140" s="266">
        <v>7.2880000000000003</v>
      </c>
      <c r="J140" s="276">
        <v>1422</v>
      </c>
      <c r="K140" s="277">
        <v>165.44</v>
      </c>
      <c r="L140" s="196">
        <v>126</v>
      </c>
      <c r="M140" s="196">
        <v>315</v>
      </c>
      <c r="N140" s="196">
        <v>314</v>
      </c>
    </row>
    <row r="141" spans="1:14" ht="17.25" x14ac:dyDescent="0.25">
      <c r="A141" s="387" t="s">
        <v>403</v>
      </c>
      <c r="B141" s="388"/>
      <c r="C141" s="389"/>
      <c r="D141" s="196" t="s">
        <v>402</v>
      </c>
      <c r="E141" s="196">
        <v>84.16</v>
      </c>
      <c r="F141" s="275">
        <v>5.62</v>
      </c>
      <c r="G141" s="7"/>
      <c r="H141" s="196">
        <v>2.3780000000000001</v>
      </c>
      <c r="I141" s="266">
        <v>6.8659999999999997</v>
      </c>
      <c r="J141" s="276">
        <v>1153</v>
      </c>
      <c r="K141" s="277">
        <v>225.85</v>
      </c>
      <c r="L141" s="196">
        <v>61</v>
      </c>
      <c r="M141" s="196">
        <v>148</v>
      </c>
      <c r="N141" s="196">
        <v>147</v>
      </c>
    </row>
    <row r="142" spans="1:14" ht="17.25" x14ac:dyDescent="0.25">
      <c r="A142" s="387" t="s">
        <v>401</v>
      </c>
      <c r="B142" s="388"/>
      <c r="C142" s="389"/>
      <c r="D142" s="196" t="s">
        <v>400</v>
      </c>
      <c r="E142" s="196">
        <v>27.03</v>
      </c>
      <c r="F142" s="275">
        <v>5.74</v>
      </c>
      <c r="G142" s="7"/>
      <c r="H142" s="196">
        <v>9.9309999999999992</v>
      </c>
      <c r="I142" s="266">
        <v>7.5490000000000004</v>
      </c>
      <c r="J142" s="276">
        <v>1340.8</v>
      </c>
      <c r="K142" s="277">
        <v>261.56</v>
      </c>
      <c r="L142" s="196">
        <v>2</v>
      </c>
      <c r="M142" s="196">
        <v>115</v>
      </c>
      <c r="N142" s="196">
        <v>79</v>
      </c>
    </row>
    <row r="143" spans="1:14" ht="17.25" x14ac:dyDescent="0.25">
      <c r="A143" s="387" t="s">
        <v>399</v>
      </c>
      <c r="B143" s="388"/>
      <c r="C143" s="389"/>
      <c r="D143" s="196" t="s">
        <v>398</v>
      </c>
      <c r="E143" s="196">
        <v>58.12</v>
      </c>
      <c r="F143" s="275">
        <v>4.5999999999999996</v>
      </c>
      <c r="G143" s="7">
        <v>77</v>
      </c>
      <c r="H143" s="196">
        <v>38.22</v>
      </c>
      <c r="I143" s="266">
        <v>6.819</v>
      </c>
      <c r="J143" s="276">
        <v>912.1</v>
      </c>
      <c r="K143" s="277">
        <v>243.34</v>
      </c>
      <c r="L143" s="196">
        <v>-121</v>
      </c>
      <c r="M143" s="196">
        <v>11</v>
      </c>
      <c r="N143" s="196">
        <v>12</v>
      </c>
    </row>
    <row r="144" spans="1:14" ht="17.25" x14ac:dyDescent="0.25">
      <c r="A144" s="387" t="s">
        <v>397</v>
      </c>
      <c r="B144" s="388"/>
      <c r="C144" s="389"/>
      <c r="D144" s="196" t="s">
        <v>396</v>
      </c>
      <c r="E144" s="196">
        <v>56.11</v>
      </c>
      <c r="F144" s="275">
        <v>4.92</v>
      </c>
      <c r="G144" s="7">
        <v>77</v>
      </c>
      <c r="H144" s="196">
        <v>32.18</v>
      </c>
      <c r="I144" s="266">
        <v>6.5220000000000002</v>
      </c>
      <c r="J144" s="276">
        <v>799.1</v>
      </c>
      <c r="K144" s="277">
        <v>226.54</v>
      </c>
      <c r="L144" s="196">
        <v>-70</v>
      </c>
      <c r="M144" s="196">
        <v>32</v>
      </c>
      <c r="N144" s="196">
        <v>20</v>
      </c>
    </row>
    <row r="145" spans="1:14" ht="17.25" x14ac:dyDescent="0.25">
      <c r="A145" s="387" t="s">
        <v>395</v>
      </c>
      <c r="B145" s="388"/>
      <c r="C145" s="389"/>
      <c r="D145" s="196" t="s">
        <v>394</v>
      </c>
      <c r="E145" s="196">
        <v>74.12</v>
      </c>
      <c r="F145" s="275">
        <v>6.69</v>
      </c>
      <c r="G145" s="7"/>
      <c r="H145" s="196">
        <v>9.6000000000000002E-2</v>
      </c>
      <c r="I145" s="266">
        <v>7.306</v>
      </c>
      <c r="J145" s="276">
        <v>1237</v>
      </c>
      <c r="K145" s="277">
        <v>171.62</v>
      </c>
      <c r="L145" s="196">
        <v>176</v>
      </c>
      <c r="M145" s="196">
        <v>240</v>
      </c>
      <c r="N145" s="196">
        <v>226</v>
      </c>
    </row>
    <row r="146" spans="1:14" ht="17.25" x14ac:dyDescent="0.25">
      <c r="A146" s="387" t="s">
        <v>393</v>
      </c>
      <c r="B146" s="388"/>
      <c r="C146" s="389"/>
      <c r="D146" s="196" t="s">
        <v>392</v>
      </c>
      <c r="E146" s="196">
        <v>114.23</v>
      </c>
      <c r="F146" s="275">
        <v>5.74</v>
      </c>
      <c r="G146" s="7">
        <v>77</v>
      </c>
      <c r="H146" s="196">
        <v>0.59599999999999997</v>
      </c>
      <c r="I146" s="266">
        <v>6.8120000000000003</v>
      </c>
      <c r="J146" s="276">
        <v>1257.8</v>
      </c>
      <c r="K146" s="277">
        <v>220.74</v>
      </c>
      <c r="L146" s="196">
        <v>76</v>
      </c>
      <c r="M146" s="196">
        <v>212</v>
      </c>
      <c r="N146" s="196">
        <v>211</v>
      </c>
    </row>
    <row r="147" spans="1:14" ht="17.25" x14ac:dyDescent="0.25">
      <c r="A147" s="387" t="s">
        <v>391</v>
      </c>
      <c r="B147" s="388"/>
      <c r="C147" s="389"/>
      <c r="D147" s="196" t="s">
        <v>390</v>
      </c>
      <c r="E147" s="196">
        <v>72.150000000000006</v>
      </c>
      <c r="F147" s="275">
        <v>5.18</v>
      </c>
      <c r="G147" s="7"/>
      <c r="H147" s="196">
        <v>9.4260000000000002</v>
      </c>
      <c r="I147" s="266">
        <v>6.79</v>
      </c>
      <c r="J147" s="276">
        <v>1020</v>
      </c>
      <c r="K147" s="277">
        <v>233.1</v>
      </c>
      <c r="L147" s="196">
        <v>61</v>
      </c>
      <c r="M147" s="196">
        <v>83</v>
      </c>
      <c r="N147" s="196">
        <v>82</v>
      </c>
    </row>
    <row r="148" spans="1:14" ht="17.25" x14ac:dyDescent="0.25">
      <c r="A148" s="387" t="s">
        <v>389</v>
      </c>
      <c r="B148" s="388"/>
      <c r="C148" s="389"/>
      <c r="D148" s="196" t="s">
        <v>388</v>
      </c>
      <c r="E148" s="196">
        <v>70.13</v>
      </c>
      <c r="F148" s="275">
        <v>5.53</v>
      </c>
      <c r="G148" s="7"/>
      <c r="H148" s="196">
        <v>6.21</v>
      </c>
      <c r="I148" s="266">
        <v>6.9219999999999997</v>
      </c>
      <c r="J148" s="276">
        <v>1098.5999999999999</v>
      </c>
      <c r="K148" s="277">
        <v>233.26</v>
      </c>
      <c r="L148" s="196">
        <v>37</v>
      </c>
      <c r="M148" s="196">
        <v>159</v>
      </c>
      <c r="N148" s="196">
        <v>100</v>
      </c>
    </row>
    <row r="149" spans="1:14" ht="17.25" x14ac:dyDescent="0.25">
      <c r="A149" s="387" t="s">
        <v>387</v>
      </c>
      <c r="B149" s="388"/>
      <c r="C149" s="389"/>
      <c r="D149" s="196" t="s">
        <v>386</v>
      </c>
      <c r="E149" s="196">
        <v>68.12</v>
      </c>
      <c r="F149" s="275">
        <v>5.67</v>
      </c>
      <c r="G149" s="7"/>
      <c r="H149" s="196">
        <v>7.4459999999999997</v>
      </c>
      <c r="I149" s="266">
        <v>6.0910000000000002</v>
      </c>
      <c r="J149" s="276">
        <v>706.9</v>
      </c>
      <c r="K149" s="277">
        <v>186.1</v>
      </c>
      <c r="L149" s="196">
        <v>62</v>
      </c>
      <c r="M149" s="196">
        <v>93</v>
      </c>
      <c r="N149" s="196">
        <v>93</v>
      </c>
    </row>
    <row r="150" spans="1:14" ht="17.25" x14ac:dyDescent="0.25">
      <c r="A150" s="387" t="s">
        <v>385</v>
      </c>
      <c r="B150" s="388"/>
      <c r="C150" s="389"/>
      <c r="D150" s="196" t="s">
        <v>384</v>
      </c>
      <c r="E150" s="196">
        <v>60.1</v>
      </c>
      <c r="F150" s="275">
        <v>6.52</v>
      </c>
      <c r="G150" s="7">
        <v>77</v>
      </c>
      <c r="H150" s="196">
        <v>0.443</v>
      </c>
      <c r="I150" s="266">
        <v>7.7359999999999998</v>
      </c>
      <c r="J150" s="276">
        <v>1357.4</v>
      </c>
      <c r="K150" s="277">
        <v>197.34</v>
      </c>
      <c r="L150" s="196">
        <v>134</v>
      </c>
      <c r="M150" s="196">
        <v>193</v>
      </c>
      <c r="N150" s="196">
        <v>180</v>
      </c>
    </row>
    <row r="151" spans="1:14" ht="17.25" x14ac:dyDescent="0.25">
      <c r="A151" s="387" t="s">
        <v>383</v>
      </c>
      <c r="B151" s="388"/>
      <c r="C151" s="389"/>
      <c r="D151" s="196" t="s">
        <v>382</v>
      </c>
      <c r="E151" s="196">
        <v>120.19</v>
      </c>
      <c r="F151" s="275">
        <v>7.19</v>
      </c>
      <c r="G151" s="7"/>
      <c r="H151" s="196">
        <v>4.8000000000000001E-2</v>
      </c>
      <c r="I151" s="266">
        <v>6.9290000000000003</v>
      </c>
      <c r="J151" s="276">
        <v>1455.8</v>
      </c>
      <c r="K151" s="277">
        <v>207.2</v>
      </c>
      <c r="L151" s="196">
        <v>158</v>
      </c>
      <c r="M151" s="196">
        <v>308</v>
      </c>
      <c r="N151" s="196">
        <v>305</v>
      </c>
    </row>
    <row r="152" spans="1:14" ht="17.25" x14ac:dyDescent="0.25">
      <c r="A152" s="387" t="s">
        <v>381</v>
      </c>
      <c r="B152" s="388"/>
      <c r="C152" s="389"/>
      <c r="D152" s="196" t="s">
        <v>380</v>
      </c>
      <c r="E152" s="196">
        <v>134.22</v>
      </c>
      <c r="F152" s="275">
        <v>7.32</v>
      </c>
      <c r="G152" s="7"/>
      <c r="H152" s="196">
        <v>1.7000000000000001E-2</v>
      </c>
      <c r="I152" s="266">
        <v>7.4169999999999998</v>
      </c>
      <c r="J152" s="276">
        <v>1880.5</v>
      </c>
      <c r="K152" s="277">
        <v>236.27</v>
      </c>
      <c r="L152" s="196">
        <v>178</v>
      </c>
      <c r="M152" s="196">
        <v>355</v>
      </c>
      <c r="N152" s="196">
        <v>350</v>
      </c>
    </row>
    <row r="153" spans="1:14" ht="17.25" x14ac:dyDescent="0.25">
      <c r="A153" s="387" t="s">
        <v>379</v>
      </c>
      <c r="B153" s="388"/>
      <c r="C153" s="389"/>
      <c r="D153" s="196" t="s">
        <v>378</v>
      </c>
      <c r="E153" s="196">
        <v>67.09</v>
      </c>
      <c r="F153" s="275">
        <v>6.68</v>
      </c>
      <c r="G153" s="7"/>
      <c r="H153" s="196">
        <v>0.88600000000000001</v>
      </c>
      <c r="I153" s="266">
        <v>6.9989999999999997</v>
      </c>
      <c r="J153" s="276">
        <v>1353.6</v>
      </c>
      <c r="K153" s="277">
        <v>238.03</v>
      </c>
      <c r="L153" s="196">
        <v>-48</v>
      </c>
      <c r="M153" s="196">
        <v>194</v>
      </c>
      <c r="N153" s="196">
        <v>194</v>
      </c>
    </row>
    <row r="154" spans="1:14" ht="17.25" x14ac:dyDescent="0.25">
      <c r="A154" s="387" t="s">
        <v>377</v>
      </c>
      <c r="B154" s="388"/>
      <c r="C154" s="389"/>
      <c r="D154" s="196" t="s">
        <v>376</v>
      </c>
      <c r="E154" s="196">
        <v>16.04</v>
      </c>
      <c r="F154" s="275">
        <v>3.53</v>
      </c>
      <c r="G154" s="7">
        <v>-260</v>
      </c>
      <c r="H154" s="196">
        <v>4567</v>
      </c>
      <c r="I154" s="266">
        <v>7.0960000000000001</v>
      </c>
      <c r="J154" s="276">
        <v>516.70000000000005</v>
      </c>
      <c r="K154" s="277">
        <v>284.37</v>
      </c>
      <c r="L154" s="196">
        <v>-262</v>
      </c>
      <c r="M154" s="196">
        <v>-117</v>
      </c>
      <c r="N154" s="196">
        <v>-260</v>
      </c>
    </row>
    <row r="155" spans="1:14" ht="17.25" x14ac:dyDescent="0.25">
      <c r="A155" s="387" t="s">
        <v>375</v>
      </c>
      <c r="B155" s="388"/>
      <c r="C155" s="389"/>
      <c r="D155" s="196" t="s">
        <v>374</v>
      </c>
      <c r="E155" s="196">
        <v>74.08</v>
      </c>
      <c r="F155" s="275">
        <v>7.8</v>
      </c>
      <c r="G155" s="7"/>
      <c r="H155" s="196">
        <v>2.7029999999999998</v>
      </c>
      <c r="I155" s="266">
        <v>7.0789999999999997</v>
      </c>
      <c r="J155" s="276">
        <v>1164.4000000000001</v>
      </c>
      <c r="K155" s="277">
        <v>220.46</v>
      </c>
      <c r="L155" s="196">
        <v>35</v>
      </c>
      <c r="M155" s="196">
        <v>133</v>
      </c>
      <c r="N155" s="196">
        <v>134</v>
      </c>
    </row>
    <row r="156" spans="1:14" ht="17.25" x14ac:dyDescent="0.25">
      <c r="A156" s="387" t="s">
        <v>373</v>
      </c>
      <c r="B156" s="388"/>
      <c r="C156" s="389"/>
      <c r="D156" s="196" t="s">
        <v>372</v>
      </c>
      <c r="E156" s="196">
        <v>86.09</v>
      </c>
      <c r="F156" s="275">
        <v>7.96</v>
      </c>
      <c r="G156" s="7"/>
      <c r="H156" s="196">
        <v>1.0580000000000001</v>
      </c>
      <c r="I156" s="266">
        <v>7.1980000000000004</v>
      </c>
      <c r="J156" s="276">
        <v>1338.7</v>
      </c>
      <c r="K156" s="277">
        <v>229.63</v>
      </c>
      <c r="L156" s="196">
        <v>-47</v>
      </c>
      <c r="M156" s="196">
        <v>176</v>
      </c>
      <c r="N156" s="196">
        <v>177</v>
      </c>
    </row>
    <row r="157" spans="1:14" ht="17.25" x14ac:dyDescent="0.25">
      <c r="A157" s="387" t="s">
        <v>371</v>
      </c>
      <c r="B157" s="388"/>
      <c r="C157" s="389"/>
      <c r="D157" s="196" t="s">
        <v>370</v>
      </c>
      <c r="E157" s="196">
        <v>32.04</v>
      </c>
      <c r="F157" s="275">
        <v>6.61</v>
      </c>
      <c r="G157" s="7"/>
      <c r="H157" s="196">
        <v>1.476</v>
      </c>
      <c r="I157" s="266">
        <v>8.0790000000000006</v>
      </c>
      <c r="J157" s="276">
        <v>1581.3</v>
      </c>
      <c r="K157" s="277">
        <v>239.65</v>
      </c>
      <c r="L157" s="196">
        <v>59</v>
      </c>
      <c r="M157" s="196">
        <v>183</v>
      </c>
      <c r="N157" s="196">
        <v>148</v>
      </c>
    </row>
    <row r="158" spans="1:14" ht="17.25" x14ac:dyDescent="0.25">
      <c r="A158" s="387" t="s">
        <v>369</v>
      </c>
      <c r="B158" s="388"/>
      <c r="C158" s="389"/>
      <c r="D158" s="196" t="s">
        <v>368</v>
      </c>
      <c r="E158" s="196">
        <v>72.11</v>
      </c>
      <c r="F158" s="275">
        <v>6.68</v>
      </c>
      <c r="G158" s="7">
        <v>77</v>
      </c>
      <c r="H158" s="196">
        <v>1.081</v>
      </c>
      <c r="I158" s="266">
        <v>6.8639999999999999</v>
      </c>
      <c r="J158" s="276">
        <v>1150.2</v>
      </c>
      <c r="K158" s="277">
        <v>209.25</v>
      </c>
      <c r="L158" s="196">
        <v>106</v>
      </c>
      <c r="M158" s="196">
        <v>207</v>
      </c>
      <c r="N158" s="196">
        <v>176</v>
      </c>
    </row>
    <row r="159" spans="1:14" ht="17.25" x14ac:dyDescent="0.25">
      <c r="A159" s="387" t="s">
        <v>367</v>
      </c>
      <c r="B159" s="388"/>
      <c r="C159" s="389"/>
      <c r="D159" s="196" t="s">
        <v>366</v>
      </c>
      <c r="E159" s="196">
        <v>100.16</v>
      </c>
      <c r="F159" s="275">
        <v>6.65</v>
      </c>
      <c r="G159" s="7">
        <v>77</v>
      </c>
      <c r="H159" s="196">
        <v>0.219</v>
      </c>
      <c r="I159" s="266">
        <v>6.8280000000000003</v>
      </c>
      <c r="J159" s="276">
        <v>1254.0999999999999</v>
      </c>
      <c r="K159" s="277">
        <v>201.61</v>
      </c>
      <c r="L159" s="196">
        <v>71</v>
      </c>
      <c r="M159" s="196">
        <v>241</v>
      </c>
      <c r="N159" s="196">
        <v>241</v>
      </c>
    </row>
    <row r="160" spans="1:14" ht="17.25" x14ac:dyDescent="0.25">
      <c r="A160" s="387" t="s">
        <v>365</v>
      </c>
      <c r="B160" s="388"/>
      <c r="C160" s="389"/>
      <c r="D160" s="196" t="s">
        <v>364</v>
      </c>
      <c r="E160" s="196">
        <v>100.12</v>
      </c>
      <c r="F160" s="275">
        <v>7.88</v>
      </c>
      <c r="G160" s="7"/>
      <c r="H160" s="196">
        <v>0.41599999999999998</v>
      </c>
      <c r="I160" s="266">
        <v>8.2530000000000001</v>
      </c>
      <c r="J160" s="276">
        <v>1945.6</v>
      </c>
      <c r="K160" s="277">
        <v>265.58</v>
      </c>
      <c r="L160" s="196">
        <v>102</v>
      </c>
      <c r="M160" s="196">
        <v>192</v>
      </c>
      <c r="N160" s="196">
        <v>213</v>
      </c>
    </row>
    <row r="161" spans="1:14" ht="17.25" x14ac:dyDescent="0.25">
      <c r="A161" s="387" t="s">
        <v>363</v>
      </c>
      <c r="B161" s="388"/>
      <c r="C161" s="389"/>
      <c r="D161" s="196" t="s">
        <v>362</v>
      </c>
      <c r="E161" s="196">
        <v>74.12</v>
      </c>
      <c r="F161" s="275">
        <v>6.14</v>
      </c>
      <c r="G161" s="7">
        <v>55</v>
      </c>
      <c r="H161" s="196">
        <v>6.0170000000000003</v>
      </c>
      <c r="I161" s="266">
        <v>6.5629999999999997</v>
      </c>
      <c r="J161" s="276">
        <v>903.6</v>
      </c>
      <c r="K161" s="277">
        <v>206.46</v>
      </c>
      <c r="L161" s="196">
        <v>31</v>
      </c>
      <c r="M161" s="196">
        <v>103</v>
      </c>
      <c r="N161" s="196">
        <v>102</v>
      </c>
    </row>
    <row r="162" spans="1:14" ht="17.25" x14ac:dyDescent="0.25">
      <c r="A162" s="387" t="s">
        <v>361</v>
      </c>
      <c r="B162" s="388"/>
      <c r="C162" s="389"/>
      <c r="D162" s="196" t="s">
        <v>360</v>
      </c>
      <c r="E162" s="196">
        <v>118.18</v>
      </c>
      <c r="F162" s="275">
        <v>7.6</v>
      </c>
      <c r="G162" s="7"/>
      <c r="H162" s="196">
        <v>2.4E-2</v>
      </c>
      <c r="I162" s="266">
        <v>6.9240000000000004</v>
      </c>
      <c r="J162" s="276">
        <v>1486.9</v>
      </c>
      <c r="K162" s="277">
        <v>202.4</v>
      </c>
      <c r="L162" s="196"/>
      <c r="M162" s="196"/>
      <c r="N162" s="196">
        <v>329</v>
      </c>
    </row>
    <row r="163" spans="1:14" ht="17.25" x14ac:dyDescent="0.25">
      <c r="A163" s="387" t="s">
        <v>359</v>
      </c>
      <c r="B163" s="388"/>
      <c r="C163" s="389"/>
      <c r="D163" s="196" t="s">
        <v>358</v>
      </c>
      <c r="E163" s="196">
        <v>98.19</v>
      </c>
      <c r="F163" s="275">
        <v>6.42</v>
      </c>
      <c r="G163" s="7"/>
      <c r="H163" s="196">
        <v>0.55800000000000005</v>
      </c>
      <c r="I163" s="266">
        <v>6.8230000000000004</v>
      </c>
      <c r="J163" s="276">
        <v>1270.8</v>
      </c>
      <c r="K163" s="277">
        <v>221.42</v>
      </c>
      <c r="L163" s="196">
        <v>27</v>
      </c>
      <c r="M163" s="196">
        <v>261</v>
      </c>
      <c r="N163" s="196">
        <v>214</v>
      </c>
    </row>
    <row r="164" spans="1:14" ht="17.25" x14ac:dyDescent="0.25">
      <c r="A164" s="387" t="s">
        <v>357</v>
      </c>
      <c r="B164" s="388"/>
      <c r="C164" s="389"/>
      <c r="D164" s="196" t="s">
        <v>356</v>
      </c>
      <c r="E164" s="196">
        <v>84.16</v>
      </c>
      <c r="F164" s="275">
        <v>6.25</v>
      </c>
      <c r="G164" s="7"/>
      <c r="H164" s="196">
        <v>1.738</v>
      </c>
      <c r="I164" s="266">
        <v>6.8630000000000004</v>
      </c>
      <c r="J164" s="276">
        <v>1186.0999999999999</v>
      </c>
      <c r="K164" s="277">
        <v>226.04</v>
      </c>
      <c r="L164" s="196">
        <v>59</v>
      </c>
      <c r="M164" s="196">
        <v>163</v>
      </c>
      <c r="N164" s="196">
        <v>161</v>
      </c>
    </row>
    <row r="165" spans="1:14" ht="17.25" x14ac:dyDescent="0.25">
      <c r="A165" s="387" t="s">
        <v>355</v>
      </c>
      <c r="B165" s="388"/>
      <c r="C165" s="389"/>
      <c r="D165" s="196" t="s">
        <v>354</v>
      </c>
      <c r="E165" s="196">
        <v>115.03</v>
      </c>
      <c r="F165" s="275">
        <v>8.91</v>
      </c>
      <c r="G165" s="7"/>
      <c r="H165" s="196">
        <v>5.718</v>
      </c>
      <c r="I165" s="266">
        <v>7.0279999999999996</v>
      </c>
      <c r="J165" s="276">
        <v>1167.8</v>
      </c>
      <c r="K165" s="277">
        <v>240.7</v>
      </c>
      <c r="L165" s="196">
        <v>34</v>
      </c>
      <c r="M165" s="196">
        <v>106</v>
      </c>
      <c r="N165" s="196"/>
    </row>
    <row r="166" spans="1:14" ht="17.25" x14ac:dyDescent="0.25">
      <c r="A166" s="387" t="s">
        <v>353</v>
      </c>
      <c r="B166" s="388"/>
      <c r="C166" s="389"/>
      <c r="D166" s="196" t="s">
        <v>352</v>
      </c>
      <c r="E166" s="196">
        <v>84.93</v>
      </c>
      <c r="F166" s="275">
        <v>11</v>
      </c>
      <c r="G166" s="7"/>
      <c r="H166" s="196">
        <v>5.64</v>
      </c>
      <c r="I166" s="266">
        <v>7.4119999999999999</v>
      </c>
      <c r="J166" s="276">
        <v>1327</v>
      </c>
      <c r="K166" s="277">
        <v>252.68</v>
      </c>
      <c r="L166" s="196">
        <v>-40</v>
      </c>
      <c r="M166" s="196">
        <v>104</v>
      </c>
      <c r="N166" s="196">
        <v>104</v>
      </c>
    </row>
    <row r="167" spans="1:14" ht="17.25" x14ac:dyDescent="0.25">
      <c r="A167" s="387" t="s">
        <v>351</v>
      </c>
      <c r="B167" s="388"/>
      <c r="C167" s="389"/>
      <c r="D167" s="196" t="s">
        <v>350</v>
      </c>
      <c r="E167" s="196">
        <v>100.2</v>
      </c>
      <c r="F167" s="275">
        <v>5.66</v>
      </c>
      <c r="G167" s="7"/>
      <c r="H167" s="196">
        <v>0.79900000000000004</v>
      </c>
      <c r="I167" s="266">
        <v>6.8819999999999997</v>
      </c>
      <c r="J167" s="276">
        <v>1240.9000000000001</v>
      </c>
      <c r="K167" s="277">
        <v>220.1</v>
      </c>
      <c r="L167" s="196">
        <v>65</v>
      </c>
      <c r="M167" s="196">
        <v>196</v>
      </c>
      <c r="N167" s="196">
        <v>194</v>
      </c>
    </row>
    <row r="168" spans="1:14" ht="17.25" x14ac:dyDescent="0.25">
      <c r="A168" s="387" t="s">
        <v>349</v>
      </c>
      <c r="B168" s="388"/>
      <c r="C168" s="389"/>
      <c r="D168" s="196" t="s">
        <v>348</v>
      </c>
      <c r="E168" s="196">
        <v>100.2</v>
      </c>
      <c r="F168" s="275">
        <v>5.72</v>
      </c>
      <c r="G168" s="7"/>
      <c r="H168" s="196">
        <v>0.74399999999999999</v>
      </c>
      <c r="I168" s="266">
        <v>6.8739999999999997</v>
      </c>
      <c r="J168" s="276">
        <v>1243.8</v>
      </c>
      <c r="K168" s="277">
        <v>219.63</v>
      </c>
      <c r="L168" s="196">
        <v>68</v>
      </c>
      <c r="M168" s="196">
        <v>199</v>
      </c>
      <c r="N168" s="196">
        <v>197</v>
      </c>
    </row>
    <row r="169" spans="1:14" ht="17.25" x14ac:dyDescent="0.25">
      <c r="A169" s="387" t="s">
        <v>347</v>
      </c>
      <c r="B169" s="388"/>
      <c r="C169" s="389"/>
      <c r="D169" s="196" t="s">
        <v>346</v>
      </c>
      <c r="E169" s="196">
        <v>86.18</v>
      </c>
      <c r="F169" s="275">
        <v>5.43</v>
      </c>
      <c r="G169" s="7">
        <v>77</v>
      </c>
      <c r="H169" s="196">
        <v>2.73</v>
      </c>
      <c r="I169" s="266">
        <v>6.8390000000000004</v>
      </c>
      <c r="J169" s="276">
        <v>1135.4000000000001</v>
      </c>
      <c r="K169" s="277">
        <v>226.57</v>
      </c>
      <c r="L169" s="196">
        <v>55</v>
      </c>
      <c r="M169" s="196">
        <v>142</v>
      </c>
      <c r="N169" s="196">
        <v>142</v>
      </c>
    </row>
    <row r="170" spans="1:14" ht="17.25" x14ac:dyDescent="0.25">
      <c r="A170" s="387" t="s">
        <v>345</v>
      </c>
      <c r="B170" s="388"/>
      <c r="C170" s="389"/>
      <c r="D170" s="196" t="s">
        <v>344</v>
      </c>
      <c r="E170" s="196">
        <v>88.15</v>
      </c>
      <c r="F170" s="275">
        <v>6.18</v>
      </c>
      <c r="G170" s="7"/>
      <c r="H170" s="196">
        <v>3.226</v>
      </c>
      <c r="I170" s="266">
        <v>6.867</v>
      </c>
      <c r="J170" s="276">
        <v>1116.0999999999999</v>
      </c>
      <c r="K170" s="277">
        <v>224.74</v>
      </c>
      <c r="L170" s="196">
        <v>125</v>
      </c>
      <c r="M170" s="196">
        <v>431</v>
      </c>
      <c r="N170" s="196">
        <v>131</v>
      </c>
    </row>
    <row r="171" spans="1:14" ht="17.25" x14ac:dyDescent="0.25">
      <c r="A171" s="387" t="s">
        <v>343</v>
      </c>
      <c r="B171" s="388"/>
      <c r="C171" s="389"/>
      <c r="D171" s="196" t="s">
        <v>342</v>
      </c>
      <c r="E171" s="196">
        <v>87.12</v>
      </c>
      <c r="F171" s="275">
        <v>8.35</v>
      </c>
      <c r="G171" s="7"/>
      <c r="H171" s="196">
        <v>0.109</v>
      </c>
      <c r="I171" s="266">
        <v>7.718</v>
      </c>
      <c r="J171" s="276">
        <v>1745.8</v>
      </c>
      <c r="K171" s="277">
        <v>235</v>
      </c>
      <c r="L171" s="196">
        <v>32</v>
      </c>
      <c r="M171" s="196">
        <v>111</v>
      </c>
      <c r="N171" s="196">
        <v>263</v>
      </c>
    </row>
    <row r="172" spans="1:14" ht="17.25" x14ac:dyDescent="0.25">
      <c r="A172" s="387" t="s">
        <v>341</v>
      </c>
      <c r="B172" s="388"/>
      <c r="C172" s="389"/>
      <c r="D172" s="196" t="s">
        <v>340</v>
      </c>
      <c r="E172" s="196">
        <v>128.16999999999999</v>
      </c>
      <c r="F172" s="275">
        <v>8.56</v>
      </c>
      <c r="G172" s="7"/>
      <c r="H172" s="196">
        <v>2.3999999999999998E-3</v>
      </c>
      <c r="I172" s="266">
        <v>7.1459999999999999</v>
      </c>
      <c r="J172" s="276">
        <v>1831.6</v>
      </c>
      <c r="K172" s="277">
        <v>211.82</v>
      </c>
      <c r="L172" s="196">
        <v>177</v>
      </c>
      <c r="M172" s="196">
        <v>354</v>
      </c>
      <c r="N172" s="196">
        <v>422</v>
      </c>
    </row>
    <row r="173" spans="1:14" ht="17.25" x14ac:dyDescent="0.25">
      <c r="A173" s="387" t="s">
        <v>339</v>
      </c>
      <c r="B173" s="388"/>
      <c r="C173" s="389"/>
      <c r="D173" s="196" t="s">
        <v>338</v>
      </c>
      <c r="E173" s="196">
        <v>123.11</v>
      </c>
      <c r="F173" s="275">
        <v>10</v>
      </c>
      <c r="G173" s="7"/>
      <c r="H173" s="196">
        <v>2.2000000000000001E-3</v>
      </c>
      <c r="I173" s="266">
        <v>7.0910000000000002</v>
      </c>
      <c r="J173" s="276">
        <v>1727.6</v>
      </c>
      <c r="K173" s="277">
        <v>199.71</v>
      </c>
      <c r="L173" s="196">
        <v>273</v>
      </c>
      <c r="M173" s="196">
        <v>411</v>
      </c>
      <c r="N173" s="196">
        <v>412</v>
      </c>
    </row>
    <row r="174" spans="1:14" ht="17.25" x14ac:dyDescent="0.25">
      <c r="A174" s="387" t="s">
        <v>337</v>
      </c>
      <c r="B174" s="388"/>
      <c r="C174" s="389"/>
      <c r="D174" s="196" t="s">
        <v>336</v>
      </c>
      <c r="E174" s="196">
        <v>61.04</v>
      </c>
      <c r="F174" s="275">
        <v>9.49</v>
      </c>
      <c r="G174" s="7"/>
      <c r="H174" s="196">
        <v>0.41499999999999998</v>
      </c>
      <c r="I174" s="266">
        <v>7.2809999999999997</v>
      </c>
      <c r="J174" s="276">
        <v>1446.2</v>
      </c>
      <c r="K174" s="277">
        <v>227.52</v>
      </c>
      <c r="L174" s="196">
        <v>132</v>
      </c>
      <c r="M174" s="196">
        <v>277</v>
      </c>
      <c r="N174" s="196">
        <v>214</v>
      </c>
    </row>
    <row r="175" spans="1:14" ht="17.25" x14ac:dyDescent="0.25">
      <c r="A175" s="387" t="s">
        <v>335</v>
      </c>
      <c r="B175" s="388"/>
      <c r="C175" s="389"/>
      <c r="D175" s="196" t="s">
        <v>334</v>
      </c>
      <c r="E175" s="196">
        <v>268.52</v>
      </c>
      <c r="F175" s="275">
        <v>6.56</v>
      </c>
      <c r="G175" s="7"/>
      <c r="H175" s="278">
        <v>3.6399999999999998E-7</v>
      </c>
      <c r="I175" s="266">
        <v>33.302999999999997</v>
      </c>
      <c r="J175" s="276">
        <v>28197</v>
      </c>
      <c r="K175" s="277">
        <v>725.94</v>
      </c>
      <c r="L175" s="196">
        <v>91</v>
      </c>
      <c r="M175" s="196">
        <v>131</v>
      </c>
      <c r="N175" s="196">
        <v>624</v>
      </c>
    </row>
    <row r="176" spans="1:14" ht="17.25" x14ac:dyDescent="0.25">
      <c r="A176" s="387" t="s">
        <v>333</v>
      </c>
      <c r="B176" s="388"/>
      <c r="C176" s="389"/>
      <c r="D176" s="196" t="s">
        <v>332</v>
      </c>
      <c r="E176" s="196">
        <v>128.26</v>
      </c>
      <c r="F176" s="275">
        <v>5.99</v>
      </c>
      <c r="G176" s="7"/>
      <c r="H176" s="196">
        <v>3.6999999999999998E-2</v>
      </c>
      <c r="I176" s="266">
        <v>6.7</v>
      </c>
      <c r="J176" s="276">
        <v>1492.9</v>
      </c>
      <c r="K176" s="277">
        <v>217.26</v>
      </c>
      <c r="L176" s="196">
        <v>-64</v>
      </c>
      <c r="M176" s="196">
        <v>94</v>
      </c>
      <c r="N176" s="196">
        <v>303</v>
      </c>
    </row>
    <row r="177" spans="1:14" ht="17.25" x14ac:dyDescent="0.25">
      <c r="A177" s="387" t="s">
        <v>331</v>
      </c>
      <c r="B177" s="388"/>
      <c r="C177" s="389"/>
      <c r="D177" s="196" t="s">
        <v>330</v>
      </c>
      <c r="E177" s="196">
        <v>254.49</v>
      </c>
      <c r="F177" s="275">
        <v>6.48</v>
      </c>
      <c r="G177" s="7"/>
      <c r="H177" s="278">
        <v>6.1600000000000001E-7</v>
      </c>
      <c r="I177" s="266">
        <v>7.2069999999999999</v>
      </c>
      <c r="J177" s="276">
        <v>2069</v>
      </c>
      <c r="K177" s="277">
        <v>161.22</v>
      </c>
      <c r="L177" s="196">
        <v>346</v>
      </c>
      <c r="M177" s="196">
        <v>602</v>
      </c>
      <c r="N177" s="196">
        <v>592</v>
      </c>
    </row>
    <row r="178" spans="1:14" ht="17.25" x14ac:dyDescent="0.25">
      <c r="A178" s="387" t="s">
        <v>329</v>
      </c>
      <c r="B178" s="388"/>
      <c r="C178" s="389"/>
      <c r="D178" s="196" t="s">
        <v>328</v>
      </c>
      <c r="E178" s="196">
        <v>114.23</v>
      </c>
      <c r="F178" s="275">
        <v>5.83</v>
      </c>
      <c r="G178" s="7"/>
      <c r="H178" s="196">
        <v>0.14199999999999999</v>
      </c>
      <c r="I178" s="266">
        <v>8.0760000000000005</v>
      </c>
      <c r="J178" s="276">
        <v>1936.3</v>
      </c>
      <c r="K178" s="277">
        <v>253.01</v>
      </c>
      <c r="L178" s="196">
        <v>-70</v>
      </c>
      <c r="M178" s="196">
        <v>75</v>
      </c>
      <c r="N178" s="196">
        <v>258</v>
      </c>
    </row>
    <row r="179" spans="1:14" ht="17.25" x14ac:dyDescent="0.25">
      <c r="A179" s="387" t="s">
        <v>327</v>
      </c>
      <c r="B179" s="388"/>
      <c r="C179" s="389"/>
      <c r="D179" s="196" t="s">
        <v>326</v>
      </c>
      <c r="E179" s="196">
        <v>130.22999999999999</v>
      </c>
      <c r="F179" s="275">
        <v>6.9</v>
      </c>
      <c r="G179" s="7"/>
      <c r="H179" s="196">
        <v>6.0999999999999997E-4</v>
      </c>
      <c r="I179" s="266">
        <v>9.3520000000000003</v>
      </c>
      <c r="J179" s="276">
        <v>2603.4</v>
      </c>
      <c r="K179" s="277">
        <v>224.35</v>
      </c>
      <c r="L179" s="196">
        <v>68</v>
      </c>
      <c r="M179" s="196">
        <v>176</v>
      </c>
      <c r="N179" s="196">
        <v>383</v>
      </c>
    </row>
    <row r="180" spans="1:14" ht="17.25" x14ac:dyDescent="0.25">
      <c r="A180" s="387" t="s">
        <v>325</v>
      </c>
      <c r="B180" s="388"/>
      <c r="C180" s="389"/>
      <c r="D180" s="196" t="s">
        <v>324</v>
      </c>
      <c r="E180" s="196">
        <v>112.21</v>
      </c>
      <c r="F180" s="275">
        <v>5.97</v>
      </c>
      <c r="G180" s="7"/>
      <c r="H180" s="196">
        <v>0.19600000000000001</v>
      </c>
      <c r="I180" s="266">
        <v>6.9329999999999998</v>
      </c>
      <c r="J180" s="276">
        <v>1353.5</v>
      </c>
      <c r="K180" s="277">
        <v>212.76</v>
      </c>
      <c r="L180" s="196">
        <v>113</v>
      </c>
      <c r="M180" s="196">
        <v>252</v>
      </c>
      <c r="N180" s="196">
        <v>251</v>
      </c>
    </row>
    <row r="181" spans="1:14" ht="17.25" x14ac:dyDescent="0.25">
      <c r="A181" s="387" t="s">
        <v>323</v>
      </c>
      <c r="B181" s="388"/>
      <c r="C181" s="389"/>
      <c r="D181" s="196" t="s">
        <v>322</v>
      </c>
      <c r="E181" s="196">
        <v>202.29</v>
      </c>
      <c r="F181" s="275">
        <v>14</v>
      </c>
      <c r="G181" s="7"/>
      <c r="H181" s="196">
        <v>0.04</v>
      </c>
      <c r="I181" s="266">
        <v>6.6429999999999998</v>
      </c>
      <c r="J181" s="276">
        <v>1342.3</v>
      </c>
      <c r="K181" s="277">
        <v>196.51</v>
      </c>
      <c r="L181" s="196">
        <v>77</v>
      </c>
      <c r="M181" s="196">
        <v>324</v>
      </c>
      <c r="N181" s="196">
        <v>324</v>
      </c>
    </row>
    <row r="182" spans="1:14" ht="17.25" x14ac:dyDescent="0.25">
      <c r="A182" s="387" t="s">
        <v>321</v>
      </c>
      <c r="B182" s="388"/>
      <c r="C182" s="389"/>
      <c r="D182" s="196" t="s">
        <v>320</v>
      </c>
      <c r="E182" s="196">
        <v>68.12</v>
      </c>
      <c r="F182" s="275">
        <v>5.78</v>
      </c>
      <c r="G182" s="7"/>
      <c r="H182" s="196">
        <v>4.718</v>
      </c>
      <c r="I182" s="266">
        <v>6.9359999999999999</v>
      </c>
      <c r="J182" s="276">
        <v>1125.5</v>
      </c>
      <c r="K182" s="277">
        <v>231.88</v>
      </c>
      <c r="L182" s="196">
        <v>-76</v>
      </c>
      <c r="M182" s="196">
        <v>-19</v>
      </c>
      <c r="N182" s="196">
        <v>113</v>
      </c>
    </row>
    <row r="183" spans="1:14" ht="17.25" x14ac:dyDescent="0.25">
      <c r="A183" s="387" t="s">
        <v>319</v>
      </c>
      <c r="B183" s="388"/>
      <c r="C183" s="389"/>
      <c r="D183" s="196" t="s">
        <v>318</v>
      </c>
      <c r="E183" s="196">
        <v>68.12</v>
      </c>
      <c r="F183" s="275">
        <v>5.52</v>
      </c>
      <c r="G183" s="7"/>
      <c r="H183" s="196">
        <v>10.06</v>
      </c>
      <c r="I183" s="266">
        <v>7.0350000000000001</v>
      </c>
      <c r="J183" s="276">
        <v>1108.2</v>
      </c>
      <c r="K183" s="277">
        <v>241.05</v>
      </c>
      <c r="L183" s="196">
        <v>-110</v>
      </c>
      <c r="M183" s="196">
        <v>65</v>
      </c>
      <c r="N183" s="196">
        <v>79</v>
      </c>
    </row>
    <row r="184" spans="1:14" ht="17.25" x14ac:dyDescent="0.25">
      <c r="A184" s="387" t="s">
        <v>317</v>
      </c>
      <c r="B184" s="388"/>
      <c r="C184" s="389"/>
      <c r="D184" s="196" t="s">
        <v>316</v>
      </c>
      <c r="E184" s="196">
        <v>68.12</v>
      </c>
      <c r="F184" s="275">
        <v>5.8</v>
      </c>
      <c r="G184" s="7"/>
      <c r="H184" s="196">
        <v>4.2229999999999999</v>
      </c>
      <c r="I184" s="266">
        <v>7.2629999999999999</v>
      </c>
      <c r="J184" s="276">
        <v>1256.2</v>
      </c>
      <c r="K184" s="277">
        <v>239.57</v>
      </c>
      <c r="L184" s="196">
        <v>-76</v>
      </c>
      <c r="M184" s="196">
        <v>-15</v>
      </c>
      <c r="N184" s="196">
        <v>119</v>
      </c>
    </row>
    <row r="185" spans="1:14" ht="17.25" x14ac:dyDescent="0.25">
      <c r="A185" s="387" t="s">
        <v>315</v>
      </c>
      <c r="B185" s="388"/>
      <c r="C185" s="389"/>
      <c r="D185" s="196" t="s">
        <v>314</v>
      </c>
      <c r="E185" s="196">
        <v>72.150000000000006</v>
      </c>
      <c r="F185" s="275">
        <v>5.23</v>
      </c>
      <c r="G185" s="7"/>
      <c r="H185" s="196">
        <v>6.8840000000000003</v>
      </c>
      <c r="I185" s="266">
        <v>6.8639999999999999</v>
      </c>
      <c r="J185" s="276">
        <v>1070.5999999999999</v>
      </c>
      <c r="K185" s="277">
        <v>232.7</v>
      </c>
      <c r="L185" s="196">
        <v>24</v>
      </c>
      <c r="M185" s="196">
        <v>155</v>
      </c>
      <c r="N185" s="196">
        <v>97</v>
      </c>
    </row>
    <row r="186" spans="1:14" ht="17.25" x14ac:dyDescent="0.25">
      <c r="A186" s="387" t="s">
        <v>313</v>
      </c>
      <c r="B186" s="388"/>
      <c r="C186" s="389"/>
      <c r="D186" s="196" t="s">
        <v>312</v>
      </c>
      <c r="E186" s="196">
        <v>70.13</v>
      </c>
      <c r="F186" s="275">
        <v>5.35</v>
      </c>
      <c r="G186" s="7"/>
      <c r="H186" s="196">
        <v>8.6709999999999994</v>
      </c>
      <c r="I186" s="266">
        <v>6.7859999999999996</v>
      </c>
      <c r="J186" s="276">
        <v>1014.3</v>
      </c>
      <c r="K186" s="277">
        <v>229.78</v>
      </c>
      <c r="L186" s="196">
        <v>55</v>
      </c>
      <c r="M186" s="196">
        <v>87</v>
      </c>
      <c r="N186" s="196">
        <v>88</v>
      </c>
    </row>
    <row r="187" spans="1:14" ht="17.25" x14ac:dyDescent="0.25">
      <c r="A187" s="387" t="s">
        <v>311</v>
      </c>
      <c r="B187" s="388"/>
      <c r="C187" s="389"/>
      <c r="D187" s="196" t="s">
        <v>310</v>
      </c>
      <c r="E187" s="196">
        <v>68.12</v>
      </c>
      <c r="F187" s="275">
        <v>5.76</v>
      </c>
      <c r="G187" s="7"/>
      <c r="H187" s="196">
        <v>5.657</v>
      </c>
      <c r="I187" s="266">
        <v>6.9669999999999996</v>
      </c>
      <c r="J187" s="276">
        <v>1092.5</v>
      </c>
      <c r="K187" s="277">
        <v>227.18</v>
      </c>
      <c r="L187" s="196">
        <v>-47</v>
      </c>
      <c r="M187" s="196">
        <v>142</v>
      </c>
      <c r="N187" s="196">
        <v>104</v>
      </c>
    </row>
    <row r="188" spans="1:14" ht="17.25" x14ac:dyDescent="0.25">
      <c r="A188" s="387" t="s">
        <v>309</v>
      </c>
      <c r="B188" s="388"/>
      <c r="C188" s="389"/>
      <c r="D188" s="196" t="s">
        <v>308</v>
      </c>
      <c r="E188" s="196">
        <v>178.23</v>
      </c>
      <c r="F188" s="275">
        <v>8.18</v>
      </c>
      <c r="G188" s="7"/>
      <c r="H188" s="278">
        <v>3.3699999999999999E-6</v>
      </c>
      <c r="I188" s="266">
        <v>7.3940000000000001</v>
      </c>
      <c r="J188" s="276">
        <v>2428.5</v>
      </c>
      <c r="K188" s="277">
        <v>202.19</v>
      </c>
      <c r="L188" s="196">
        <v>212</v>
      </c>
      <c r="M188" s="196">
        <v>302</v>
      </c>
      <c r="N188" s="196">
        <v>635</v>
      </c>
    </row>
    <row r="189" spans="1:14" ht="17.25" x14ac:dyDescent="0.25">
      <c r="A189" s="387" t="s">
        <v>307</v>
      </c>
      <c r="B189" s="388"/>
      <c r="C189" s="389"/>
      <c r="D189" s="196" t="s">
        <v>306</v>
      </c>
      <c r="E189" s="196">
        <v>94.11</v>
      </c>
      <c r="F189" s="275">
        <v>8.8000000000000007</v>
      </c>
      <c r="G189" s="7">
        <v>113</v>
      </c>
      <c r="H189" s="196">
        <v>3.0000000000000001E-3</v>
      </c>
      <c r="I189" s="266">
        <v>7.1219999999999999</v>
      </c>
      <c r="J189" s="276">
        <v>1509.7</v>
      </c>
      <c r="K189" s="277">
        <v>174.2</v>
      </c>
      <c r="L189" s="196">
        <v>225</v>
      </c>
      <c r="M189" s="196">
        <v>359</v>
      </c>
      <c r="N189" s="196">
        <v>359</v>
      </c>
    </row>
    <row r="190" spans="1:14" ht="17.25" x14ac:dyDescent="0.25">
      <c r="A190" s="387" t="s">
        <v>305</v>
      </c>
      <c r="B190" s="388"/>
      <c r="C190" s="389"/>
      <c r="D190" s="196" t="s">
        <v>304</v>
      </c>
      <c r="E190" s="196">
        <v>98.92</v>
      </c>
      <c r="F190" s="275">
        <v>11.4</v>
      </c>
      <c r="G190" s="7">
        <v>77</v>
      </c>
      <c r="H190" s="196">
        <v>19.43</v>
      </c>
      <c r="I190" s="266">
        <v>7.1459999999999999</v>
      </c>
      <c r="J190" s="276">
        <v>1072.7</v>
      </c>
      <c r="K190" s="277">
        <v>243.3</v>
      </c>
      <c r="L190" s="196">
        <v>47</v>
      </c>
      <c r="M190" s="196">
        <v>345</v>
      </c>
      <c r="N190" s="196">
        <v>46</v>
      </c>
    </row>
    <row r="191" spans="1:14" ht="17.25" x14ac:dyDescent="0.25">
      <c r="A191" s="387" t="s">
        <v>303</v>
      </c>
      <c r="B191" s="388"/>
      <c r="C191" s="389"/>
      <c r="D191" s="196" t="s">
        <v>302</v>
      </c>
      <c r="E191" s="196">
        <v>93.13</v>
      </c>
      <c r="F191" s="275">
        <v>7.98</v>
      </c>
      <c r="G191" s="7"/>
      <c r="H191" s="196">
        <v>6.4000000000000001E-2</v>
      </c>
      <c r="I191" s="266">
        <v>7.0540000000000003</v>
      </c>
      <c r="J191" s="276">
        <v>1484.3</v>
      </c>
      <c r="K191" s="277">
        <v>211.54</v>
      </c>
      <c r="L191" s="196">
        <v>165</v>
      </c>
      <c r="M191" s="196">
        <v>364</v>
      </c>
      <c r="N191" s="196">
        <v>291</v>
      </c>
    </row>
    <row r="192" spans="1:14" ht="17.25" x14ac:dyDescent="0.25">
      <c r="A192" s="387" t="s">
        <v>301</v>
      </c>
      <c r="B192" s="388"/>
      <c r="C192" s="389"/>
      <c r="D192" s="196" t="s">
        <v>300</v>
      </c>
      <c r="E192" s="196">
        <v>44.1</v>
      </c>
      <c r="F192" s="275">
        <v>4.12</v>
      </c>
      <c r="G192" s="7">
        <v>77</v>
      </c>
      <c r="H192" s="196">
        <v>111</v>
      </c>
      <c r="I192" s="266">
        <v>6.8579999999999997</v>
      </c>
      <c r="J192" s="276">
        <v>819.3</v>
      </c>
      <c r="K192" s="277">
        <v>248.73</v>
      </c>
      <c r="L192" s="196">
        <v>-45</v>
      </c>
      <c r="M192" s="196">
        <v>117</v>
      </c>
      <c r="N192" s="196">
        <v>-44</v>
      </c>
    </row>
    <row r="193" spans="1:14" ht="17.25" x14ac:dyDescent="0.25">
      <c r="A193" s="387" t="s">
        <v>299</v>
      </c>
      <c r="B193" s="388"/>
      <c r="C193" s="389"/>
      <c r="D193" s="196" t="s">
        <v>298</v>
      </c>
      <c r="E193" s="196">
        <v>76.16</v>
      </c>
      <c r="F193" s="275">
        <v>7.02</v>
      </c>
      <c r="G193" s="7"/>
      <c r="H193" s="196">
        <v>1.9430000000000001</v>
      </c>
      <c r="I193" s="266">
        <v>6.9290000000000003</v>
      </c>
      <c r="J193" s="276">
        <v>1183.4000000000001</v>
      </c>
      <c r="K193" s="277">
        <v>224.63</v>
      </c>
      <c r="L193" s="196">
        <v>76</v>
      </c>
      <c r="M193" s="196">
        <v>216</v>
      </c>
      <c r="N193" s="196">
        <v>154</v>
      </c>
    </row>
    <row r="194" spans="1:14" ht="17.25" x14ac:dyDescent="0.25">
      <c r="A194" s="387" t="s">
        <v>297</v>
      </c>
      <c r="B194" s="388"/>
      <c r="C194" s="389"/>
      <c r="D194" s="196" t="s">
        <v>296</v>
      </c>
      <c r="E194" s="196">
        <v>76.16</v>
      </c>
      <c r="F194" s="275">
        <v>6.8</v>
      </c>
      <c r="G194" s="7"/>
      <c r="H194" s="196">
        <v>3.59</v>
      </c>
      <c r="I194" s="266">
        <v>6.8769999999999998</v>
      </c>
      <c r="J194" s="276">
        <v>1113.9000000000001</v>
      </c>
      <c r="K194" s="277">
        <v>226.16</v>
      </c>
      <c r="L194" s="196">
        <v>51</v>
      </c>
      <c r="M194" s="196">
        <v>186</v>
      </c>
      <c r="N194" s="196">
        <v>131</v>
      </c>
    </row>
    <row r="195" spans="1:14" ht="17.25" x14ac:dyDescent="0.25">
      <c r="A195" s="387" t="s">
        <v>295</v>
      </c>
      <c r="B195" s="388"/>
      <c r="C195" s="389"/>
      <c r="D195" s="196" t="s">
        <v>294</v>
      </c>
      <c r="E195" s="196">
        <v>60.1</v>
      </c>
      <c r="F195" s="275">
        <v>6.67</v>
      </c>
      <c r="G195" s="7">
        <v>77</v>
      </c>
      <c r="H195" s="196">
        <v>0.218</v>
      </c>
      <c r="I195" s="266">
        <v>8.1890000000000001</v>
      </c>
      <c r="J195" s="276">
        <v>1690.9</v>
      </c>
      <c r="K195" s="277">
        <v>221.35</v>
      </c>
      <c r="L195" s="196">
        <v>67</v>
      </c>
      <c r="M195" s="196">
        <v>207</v>
      </c>
      <c r="N195" s="196">
        <v>207</v>
      </c>
    </row>
    <row r="196" spans="1:14" ht="17.25" x14ac:dyDescent="0.25">
      <c r="A196" s="387" t="s">
        <v>293</v>
      </c>
      <c r="B196" s="388"/>
      <c r="C196" s="389"/>
      <c r="D196" s="196" t="s">
        <v>292</v>
      </c>
      <c r="E196" s="196">
        <v>105.09</v>
      </c>
      <c r="F196" s="275">
        <v>8.8000000000000007</v>
      </c>
      <c r="G196" s="7"/>
      <c r="H196" s="196">
        <v>0.26100000000000001</v>
      </c>
      <c r="I196" s="266">
        <v>6.9550000000000001</v>
      </c>
      <c r="J196" s="276">
        <v>1294.4000000000001</v>
      </c>
      <c r="K196" s="277">
        <v>206.7</v>
      </c>
      <c r="L196" s="196">
        <v>32</v>
      </c>
      <c r="M196" s="196">
        <v>158</v>
      </c>
      <c r="N196" s="196">
        <v>231</v>
      </c>
    </row>
    <row r="197" spans="1:14" ht="17.25" x14ac:dyDescent="0.25">
      <c r="A197" s="387" t="s">
        <v>291</v>
      </c>
      <c r="B197" s="388"/>
      <c r="C197" s="389"/>
      <c r="D197" s="196" t="s">
        <v>290</v>
      </c>
      <c r="E197" s="196">
        <v>59.11</v>
      </c>
      <c r="F197" s="275">
        <v>5.99</v>
      </c>
      <c r="G197" s="7"/>
      <c r="H197" s="196">
        <v>3.99</v>
      </c>
      <c r="I197" s="266">
        <v>6.9260000000000002</v>
      </c>
      <c r="J197" s="276">
        <v>1044</v>
      </c>
      <c r="K197" s="277">
        <v>210.84</v>
      </c>
      <c r="L197" s="196">
        <v>73</v>
      </c>
      <c r="M197" s="196">
        <v>172</v>
      </c>
      <c r="N197" s="196">
        <v>120</v>
      </c>
    </row>
    <row r="198" spans="1:14" ht="17.25" x14ac:dyDescent="0.25">
      <c r="A198" s="387" t="s">
        <v>289</v>
      </c>
      <c r="B198" s="388"/>
      <c r="C198" s="389"/>
      <c r="D198" s="196" t="s">
        <v>288</v>
      </c>
      <c r="E198" s="196">
        <v>42.08</v>
      </c>
      <c r="F198" s="275">
        <v>4.22</v>
      </c>
      <c r="G198" s="7"/>
      <c r="H198" s="196">
        <v>132</v>
      </c>
      <c r="I198" s="266">
        <v>6.85</v>
      </c>
      <c r="J198" s="276">
        <v>795.8</v>
      </c>
      <c r="K198" s="277">
        <v>248.27</v>
      </c>
      <c r="L198" s="196">
        <v>-161</v>
      </c>
      <c r="M198" s="196">
        <v>-53</v>
      </c>
      <c r="N198" s="196">
        <v>-54</v>
      </c>
    </row>
    <row r="199" spans="1:14" ht="17.25" x14ac:dyDescent="0.25">
      <c r="A199" s="387" t="s">
        <v>287</v>
      </c>
      <c r="B199" s="388"/>
      <c r="C199" s="389"/>
      <c r="D199" s="196" t="s">
        <v>286</v>
      </c>
      <c r="E199" s="196">
        <v>76.09</v>
      </c>
      <c r="F199" s="275">
        <v>8.65</v>
      </c>
      <c r="G199" s="7"/>
      <c r="H199" s="196">
        <v>9.3999999999999997E-4</v>
      </c>
      <c r="I199" s="266">
        <v>8.2080000000000002</v>
      </c>
      <c r="J199" s="276">
        <v>2085.9</v>
      </c>
      <c r="K199" s="277">
        <v>203.54</v>
      </c>
      <c r="L199" s="196"/>
      <c r="M199" s="196"/>
      <c r="N199" s="196">
        <v>368</v>
      </c>
    </row>
    <row r="200" spans="1:14" ht="17.25" x14ac:dyDescent="0.25">
      <c r="A200" s="387" t="s">
        <v>285</v>
      </c>
      <c r="B200" s="388"/>
      <c r="C200" s="389"/>
      <c r="D200" s="196" t="s">
        <v>284</v>
      </c>
      <c r="E200" s="196">
        <v>58.08</v>
      </c>
      <c r="F200" s="275">
        <v>7.17</v>
      </c>
      <c r="G200" s="7">
        <v>32</v>
      </c>
      <c r="H200" s="196">
        <v>7.101</v>
      </c>
      <c r="I200" s="266">
        <v>6.97</v>
      </c>
      <c r="J200" s="276">
        <v>1065.3</v>
      </c>
      <c r="K200" s="277">
        <v>226.28</v>
      </c>
      <c r="L200" s="196">
        <v>-100</v>
      </c>
      <c r="M200" s="196">
        <v>94</v>
      </c>
      <c r="N200" s="196">
        <v>95</v>
      </c>
    </row>
    <row r="201" spans="1:14" ht="17.25" x14ac:dyDescent="0.25">
      <c r="A201" s="387" t="s">
        <v>283</v>
      </c>
      <c r="B201" s="388"/>
      <c r="C201" s="389"/>
      <c r="D201" s="196" t="s">
        <v>282</v>
      </c>
      <c r="E201" s="196">
        <v>79.099999999999994</v>
      </c>
      <c r="F201" s="275">
        <v>8.1999999999999993</v>
      </c>
      <c r="G201" s="7"/>
      <c r="H201" s="196">
        <v>0.23300000000000001</v>
      </c>
      <c r="I201" s="266">
        <v>7.0380000000000003</v>
      </c>
      <c r="J201" s="276">
        <v>1371.4</v>
      </c>
      <c r="K201" s="277">
        <v>214.65</v>
      </c>
      <c r="L201" s="196">
        <v>153</v>
      </c>
      <c r="M201" s="196">
        <v>307</v>
      </c>
      <c r="N201" s="196">
        <v>240</v>
      </c>
    </row>
    <row r="202" spans="1:14" ht="17.25" x14ac:dyDescent="0.25">
      <c r="A202" s="387" t="s">
        <v>281</v>
      </c>
      <c r="B202" s="388"/>
      <c r="C202" s="389"/>
      <c r="D202" s="196" t="s">
        <v>280</v>
      </c>
      <c r="E202" s="196">
        <v>110.11</v>
      </c>
      <c r="F202" s="275">
        <v>10.6</v>
      </c>
      <c r="G202" s="7">
        <v>77</v>
      </c>
      <c r="H202" s="278">
        <v>6.6499999999999999E-6</v>
      </c>
      <c r="I202" s="266">
        <v>8.3979999999999997</v>
      </c>
      <c r="J202" s="276">
        <v>2687.2</v>
      </c>
      <c r="K202" s="277">
        <v>210.99</v>
      </c>
      <c r="L202" s="196">
        <v>305</v>
      </c>
      <c r="M202" s="196">
        <v>530</v>
      </c>
      <c r="N202" s="196">
        <v>532</v>
      </c>
    </row>
    <row r="203" spans="1:14" ht="17.25" x14ac:dyDescent="0.25">
      <c r="A203" s="387" t="s">
        <v>279</v>
      </c>
      <c r="B203" s="388"/>
      <c r="C203" s="389"/>
      <c r="D203" s="196" t="s">
        <v>278</v>
      </c>
      <c r="E203" s="196">
        <v>104.15</v>
      </c>
      <c r="F203" s="275">
        <v>7.56</v>
      </c>
      <c r="G203" s="7"/>
      <c r="H203" s="196">
        <v>6.6000000000000003E-2</v>
      </c>
      <c r="I203" s="266">
        <v>7.0949999999999998</v>
      </c>
      <c r="J203" s="276">
        <v>1525.1</v>
      </c>
      <c r="K203" s="277">
        <v>216.77</v>
      </c>
      <c r="L203" s="196">
        <v>86</v>
      </c>
      <c r="M203" s="196">
        <v>293</v>
      </c>
      <c r="N203" s="196">
        <v>295</v>
      </c>
    </row>
    <row r="204" spans="1:14" ht="17.25" x14ac:dyDescent="0.25">
      <c r="A204" s="387" t="s">
        <v>277</v>
      </c>
      <c r="B204" s="388"/>
      <c r="C204" s="389"/>
      <c r="D204" s="196" t="s">
        <v>276</v>
      </c>
      <c r="E204" s="196">
        <v>167.85</v>
      </c>
      <c r="F204" s="275">
        <v>12.8</v>
      </c>
      <c r="G204" s="7"/>
      <c r="H204" s="196">
        <v>0.13300000000000001</v>
      </c>
      <c r="I204" s="266">
        <v>6.9059999999999997</v>
      </c>
      <c r="J204" s="276">
        <v>1370.4</v>
      </c>
      <c r="K204" s="277">
        <v>210.25</v>
      </c>
      <c r="L204" s="196">
        <v>139</v>
      </c>
      <c r="M204" s="196">
        <v>266</v>
      </c>
      <c r="N204" s="196">
        <v>271</v>
      </c>
    </row>
    <row r="205" spans="1:14" ht="17.25" x14ac:dyDescent="0.25">
      <c r="A205" s="387" t="s">
        <v>275</v>
      </c>
      <c r="B205" s="388"/>
      <c r="C205" s="389"/>
      <c r="D205" s="196" t="s">
        <v>274</v>
      </c>
      <c r="E205" s="196">
        <v>167.85</v>
      </c>
      <c r="F205" s="275">
        <v>13.3</v>
      </c>
      <c r="G205" s="7"/>
      <c r="H205" s="196">
        <v>3.6999999999999998E-2</v>
      </c>
      <c r="I205" s="266">
        <v>6.0910000000000002</v>
      </c>
      <c r="J205" s="276">
        <v>959.6</v>
      </c>
      <c r="K205" s="277">
        <v>149.78</v>
      </c>
      <c r="L205" s="196">
        <v>77</v>
      </c>
      <c r="M205" s="196">
        <v>266</v>
      </c>
      <c r="N205" s="196">
        <v>295</v>
      </c>
    </row>
    <row r="206" spans="1:14" ht="17.25" x14ac:dyDescent="0.25">
      <c r="A206" s="387" t="s">
        <v>273</v>
      </c>
      <c r="B206" s="388"/>
      <c r="C206" s="389"/>
      <c r="D206" s="196" t="s">
        <v>272</v>
      </c>
      <c r="E206" s="196">
        <v>165.83</v>
      </c>
      <c r="F206" s="275">
        <v>13.5</v>
      </c>
      <c r="G206" s="7"/>
      <c r="H206" s="196">
        <v>0.21299999999999999</v>
      </c>
      <c r="I206" s="266">
        <v>7.056</v>
      </c>
      <c r="J206" s="276">
        <v>1440.8</v>
      </c>
      <c r="K206" s="277">
        <v>223.98</v>
      </c>
      <c r="L206" s="196">
        <v>82</v>
      </c>
      <c r="M206" s="196">
        <v>226</v>
      </c>
      <c r="N206" s="196">
        <v>250</v>
      </c>
    </row>
    <row r="207" spans="1:14" ht="17.25" x14ac:dyDescent="0.25">
      <c r="A207" s="387" t="s">
        <v>271</v>
      </c>
      <c r="B207" s="388"/>
      <c r="C207" s="389"/>
      <c r="D207" s="196" t="s">
        <v>270</v>
      </c>
      <c r="E207" s="196">
        <v>72.11</v>
      </c>
      <c r="F207" s="275">
        <v>7.42</v>
      </c>
      <c r="G207" s="7"/>
      <c r="H207" s="196">
        <v>2.0390000000000001</v>
      </c>
      <c r="I207" s="266">
        <v>6.9960000000000004</v>
      </c>
      <c r="J207" s="276">
        <v>1202.9000000000001</v>
      </c>
      <c r="K207" s="277">
        <v>226.33</v>
      </c>
      <c r="L207" s="196">
        <v>74</v>
      </c>
      <c r="M207" s="196">
        <v>211</v>
      </c>
      <c r="N207" s="196">
        <v>151</v>
      </c>
    </row>
    <row r="208" spans="1:14" ht="17.25" x14ac:dyDescent="0.25">
      <c r="A208" s="387" t="s">
        <v>269</v>
      </c>
      <c r="B208" s="388"/>
      <c r="C208" s="389"/>
      <c r="D208" s="196" t="s">
        <v>268</v>
      </c>
      <c r="E208" s="196">
        <v>92.14</v>
      </c>
      <c r="F208" s="275">
        <v>7.24</v>
      </c>
      <c r="G208" s="7"/>
      <c r="H208" s="196">
        <v>0.33100000000000002</v>
      </c>
      <c r="I208" s="266">
        <v>7.0170000000000003</v>
      </c>
      <c r="J208" s="276">
        <v>1377.6</v>
      </c>
      <c r="K208" s="277">
        <v>222.64</v>
      </c>
      <c r="L208" s="196">
        <v>32</v>
      </c>
      <c r="M208" s="196">
        <v>122</v>
      </c>
      <c r="N208" s="196">
        <v>231</v>
      </c>
    </row>
    <row r="209" spans="1:14" ht="17.25" x14ac:dyDescent="0.25">
      <c r="A209" s="387" t="s">
        <v>267</v>
      </c>
      <c r="B209" s="388"/>
      <c r="C209" s="389"/>
      <c r="D209" s="196" t="s">
        <v>266</v>
      </c>
      <c r="E209" s="196">
        <v>133.4</v>
      </c>
      <c r="F209" s="275">
        <v>11.1</v>
      </c>
      <c r="G209" s="7"/>
      <c r="H209" s="196">
        <v>1.65</v>
      </c>
      <c r="I209" s="266">
        <v>8.7609999999999992</v>
      </c>
      <c r="J209" s="276">
        <v>2210.1999999999998</v>
      </c>
      <c r="K209" s="277">
        <v>308.05</v>
      </c>
      <c r="L209" s="196">
        <v>22</v>
      </c>
      <c r="M209" s="196">
        <v>62</v>
      </c>
      <c r="N209" s="196">
        <v>165</v>
      </c>
    </row>
    <row r="210" spans="1:14" ht="17.25" x14ac:dyDescent="0.25">
      <c r="A210" s="387" t="s">
        <v>265</v>
      </c>
      <c r="B210" s="388"/>
      <c r="C210" s="389"/>
      <c r="D210" s="196" t="s">
        <v>264</v>
      </c>
      <c r="E210" s="196">
        <v>133.4</v>
      </c>
      <c r="F210" s="275">
        <v>12</v>
      </c>
      <c r="G210" s="7"/>
      <c r="H210" s="196">
        <v>0.245</v>
      </c>
      <c r="I210" s="266">
        <v>6.9450000000000003</v>
      </c>
      <c r="J210" s="276">
        <v>1310.3</v>
      </c>
      <c r="K210" s="277">
        <v>208.74</v>
      </c>
      <c r="L210" s="196">
        <v>122</v>
      </c>
      <c r="M210" s="196">
        <v>237</v>
      </c>
      <c r="N210" s="196">
        <v>237</v>
      </c>
    </row>
    <row r="211" spans="1:14" ht="17.25" x14ac:dyDescent="0.25">
      <c r="A211" s="387" t="s">
        <v>263</v>
      </c>
      <c r="B211" s="388"/>
      <c r="C211" s="389"/>
      <c r="D211" s="196" t="s">
        <v>262</v>
      </c>
      <c r="E211" s="196">
        <v>131.38999999999999</v>
      </c>
      <c r="F211" s="275">
        <v>12.2</v>
      </c>
      <c r="G211" s="7"/>
      <c r="H211" s="196">
        <v>0.81699999999999995</v>
      </c>
      <c r="I211" s="266">
        <v>6.4290000000000003</v>
      </c>
      <c r="J211" s="276">
        <v>974.5</v>
      </c>
      <c r="K211" s="277">
        <v>187.34</v>
      </c>
      <c r="L211" s="196">
        <v>64</v>
      </c>
      <c r="M211" s="196">
        <v>188</v>
      </c>
      <c r="N211" s="196">
        <v>189</v>
      </c>
    </row>
    <row r="212" spans="1:14" ht="17.25" x14ac:dyDescent="0.25">
      <c r="A212" s="387" t="s">
        <v>261</v>
      </c>
      <c r="B212" s="388"/>
      <c r="C212" s="389"/>
      <c r="D212" s="196" t="s">
        <v>260</v>
      </c>
      <c r="E212" s="196">
        <v>147.43</v>
      </c>
      <c r="F212" s="275">
        <v>11.5</v>
      </c>
      <c r="G212" s="7"/>
      <c r="H212" s="196">
        <v>3.1E-2</v>
      </c>
      <c r="I212" s="266">
        <v>7.532</v>
      </c>
      <c r="J212" s="276">
        <v>1818.9</v>
      </c>
      <c r="K212" s="277">
        <v>232.52</v>
      </c>
      <c r="L212" s="196">
        <v>48</v>
      </c>
      <c r="M212" s="196">
        <v>316</v>
      </c>
      <c r="N212" s="196">
        <v>313</v>
      </c>
    </row>
    <row r="213" spans="1:14" ht="17.25" x14ac:dyDescent="0.25">
      <c r="A213" s="387" t="s">
        <v>259</v>
      </c>
      <c r="B213" s="388"/>
      <c r="C213" s="389"/>
      <c r="D213" s="196" t="s">
        <v>258</v>
      </c>
      <c r="E213" s="196">
        <v>184.36</v>
      </c>
      <c r="F213" s="275">
        <v>6.31</v>
      </c>
      <c r="G213" s="7"/>
      <c r="H213" s="278">
        <v>2.4600000000000002E-4</v>
      </c>
      <c r="I213" s="266">
        <v>7.0030000000000001</v>
      </c>
      <c r="J213" s="276">
        <v>1689.1</v>
      </c>
      <c r="K213" s="277">
        <v>174.28</v>
      </c>
      <c r="L213" s="196">
        <v>283</v>
      </c>
      <c r="M213" s="196">
        <v>457</v>
      </c>
      <c r="N213" s="196">
        <v>453</v>
      </c>
    </row>
    <row r="214" spans="1:14" ht="17.25" x14ac:dyDescent="0.25">
      <c r="A214" s="387" t="s">
        <v>257</v>
      </c>
      <c r="B214" s="388"/>
      <c r="C214" s="389"/>
      <c r="D214" s="196" t="s">
        <v>256</v>
      </c>
      <c r="E214" s="196">
        <v>187.37</v>
      </c>
      <c r="F214" s="275">
        <v>13.05</v>
      </c>
      <c r="G214" s="7">
        <v>77</v>
      </c>
      <c r="H214" s="196">
        <v>4.3760000000000003</v>
      </c>
      <c r="I214" s="266">
        <v>6.88</v>
      </c>
      <c r="J214" s="276">
        <v>1099.9000000000001</v>
      </c>
      <c r="K214" s="277">
        <v>227.5</v>
      </c>
      <c r="L214" s="196">
        <v>-13</v>
      </c>
      <c r="M214" s="196">
        <v>181</v>
      </c>
      <c r="N214" s="196">
        <v>118</v>
      </c>
    </row>
    <row r="215" spans="1:14" ht="17.25" x14ac:dyDescent="0.25">
      <c r="A215" s="387" t="s">
        <v>255</v>
      </c>
      <c r="B215" s="388"/>
      <c r="C215" s="389"/>
      <c r="D215" s="196" t="s">
        <v>254</v>
      </c>
      <c r="E215" s="196">
        <v>120.19</v>
      </c>
      <c r="F215" s="275">
        <v>7.31</v>
      </c>
      <c r="G215" s="7"/>
      <c r="H215" s="196">
        <v>0.02</v>
      </c>
      <c r="I215" s="266">
        <v>7.0439999999999996</v>
      </c>
      <c r="J215" s="276">
        <v>1573.3</v>
      </c>
      <c r="K215" s="277">
        <v>208.56</v>
      </c>
      <c r="L215" s="196">
        <v>126</v>
      </c>
      <c r="M215" s="196">
        <v>388</v>
      </c>
      <c r="N215" s="196">
        <v>337</v>
      </c>
    </row>
    <row r="216" spans="1:14" ht="17.25" x14ac:dyDescent="0.25">
      <c r="A216" s="387" t="s">
        <v>253</v>
      </c>
      <c r="B216" s="388"/>
      <c r="C216" s="389"/>
      <c r="D216" s="196" t="s">
        <v>252</v>
      </c>
      <c r="E216" s="196">
        <v>108.64</v>
      </c>
      <c r="F216" s="275">
        <v>7.15</v>
      </c>
      <c r="G216" s="7">
        <v>77</v>
      </c>
      <c r="H216" s="196">
        <v>3.0680000000000001</v>
      </c>
      <c r="I216" s="266">
        <v>6.9509999999999996</v>
      </c>
      <c r="J216" s="276">
        <v>1191</v>
      </c>
      <c r="K216" s="277">
        <v>235.15</v>
      </c>
      <c r="L216" s="196">
        <v>37</v>
      </c>
      <c r="M216" s="196">
        <v>132</v>
      </c>
      <c r="N216" s="196">
        <v>136</v>
      </c>
    </row>
    <row r="217" spans="1:14" ht="17.25" x14ac:dyDescent="0.25">
      <c r="A217" s="387" t="s">
        <v>251</v>
      </c>
      <c r="B217" s="388"/>
      <c r="C217" s="389"/>
      <c r="D217" s="196" t="s">
        <v>250</v>
      </c>
      <c r="E217" s="196">
        <v>114.23</v>
      </c>
      <c r="F217" s="275">
        <v>5.74</v>
      </c>
      <c r="G217" s="7">
        <v>77</v>
      </c>
      <c r="H217" s="196">
        <v>0.378</v>
      </c>
      <c r="I217" s="266">
        <v>6.8250000000000002</v>
      </c>
      <c r="J217" s="276">
        <v>1294.9000000000001</v>
      </c>
      <c r="K217" s="277">
        <v>218.42</v>
      </c>
      <c r="L217" s="196"/>
      <c r="M217" s="196"/>
      <c r="N217" s="196">
        <v>230</v>
      </c>
    </row>
    <row r="218" spans="1:14" ht="17.25" x14ac:dyDescent="0.25">
      <c r="A218" s="387" t="s">
        <v>249</v>
      </c>
      <c r="B218" s="388"/>
      <c r="C218" s="389"/>
      <c r="D218" s="196" t="s">
        <v>248</v>
      </c>
      <c r="E218" s="196">
        <v>114.23</v>
      </c>
      <c r="F218" s="275">
        <v>6.06</v>
      </c>
      <c r="G218" s="7"/>
      <c r="H218" s="196">
        <v>0.317</v>
      </c>
      <c r="I218" s="266">
        <v>6.8440000000000003</v>
      </c>
      <c r="J218" s="276">
        <v>1328.1</v>
      </c>
      <c r="K218" s="277">
        <v>220.38</v>
      </c>
      <c r="L218" s="196"/>
      <c r="M218" s="196"/>
      <c r="N218" s="196">
        <v>238</v>
      </c>
    </row>
    <row r="219" spans="1:14" ht="17.25" x14ac:dyDescent="0.25">
      <c r="A219" s="387" t="s">
        <v>247</v>
      </c>
      <c r="B219" s="388"/>
      <c r="C219" s="389"/>
      <c r="D219" s="196" t="s">
        <v>246</v>
      </c>
      <c r="E219" s="196">
        <v>114.23</v>
      </c>
      <c r="F219" s="275">
        <v>6</v>
      </c>
      <c r="G219" s="7"/>
      <c r="H219" s="196">
        <v>0.314</v>
      </c>
      <c r="I219" s="266">
        <v>7.0309999999999997</v>
      </c>
      <c r="J219" s="276">
        <v>1420.7</v>
      </c>
      <c r="K219" s="277">
        <v>228.53</v>
      </c>
      <c r="L219" s="196">
        <v>-59</v>
      </c>
      <c r="M219" s="196">
        <v>308</v>
      </c>
      <c r="N219" s="196">
        <v>237</v>
      </c>
    </row>
    <row r="220" spans="1:14" ht="17.25" x14ac:dyDescent="0.25">
      <c r="A220" s="387" t="s">
        <v>245</v>
      </c>
      <c r="B220" s="388"/>
      <c r="C220" s="389"/>
      <c r="D220" s="196" t="s">
        <v>244</v>
      </c>
      <c r="E220" s="196">
        <v>156.31</v>
      </c>
      <c r="F220" s="275">
        <v>6.18</v>
      </c>
      <c r="G220" s="7"/>
      <c r="H220" s="196">
        <v>3.5000000000000001E-3</v>
      </c>
      <c r="I220" s="266">
        <v>6.9770000000000003</v>
      </c>
      <c r="J220" s="276">
        <v>1572.5</v>
      </c>
      <c r="K220" s="277">
        <v>188.02</v>
      </c>
      <c r="L220" s="196">
        <v>220</v>
      </c>
      <c r="M220" s="196">
        <v>387</v>
      </c>
      <c r="N220" s="196">
        <v>383</v>
      </c>
    </row>
    <row r="221" spans="1:14" ht="17.25" x14ac:dyDescent="0.25">
      <c r="A221" s="387" t="s">
        <v>243</v>
      </c>
      <c r="B221" s="388"/>
      <c r="C221" s="389"/>
      <c r="D221" s="196" t="s">
        <v>242</v>
      </c>
      <c r="E221" s="196">
        <v>86.09</v>
      </c>
      <c r="F221" s="275">
        <v>7.78</v>
      </c>
      <c r="G221" s="7"/>
      <c r="H221" s="196">
        <v>1.3959999999999999</v>
      </c>
      <c r="I221" s="266">
        <v>7.2149999999999999</v>
      </c>
      <c r="J221" s="276">
        <v>1299.0999999999999</v>
      </c>
      <c r="K221" s="277">
        <v>226.97</v>
      </c>
      <c r="L221" s="196">
        <v>71</v>
      </c>
      <c r="M221" s="196">
        <v>162</v>
      </c>
      <c r="N221" s="196">
        <v>163</v>
      </c>
    </row>
    <row r="222" spans="1:14" ht="17.25" x14ac:dyDescent="0.25">
      <c r="A222" s="387" t="s">
        <v>241</v>
      </c>
      <c r="B222" s="388"/>
      <c r="C222" s="389"/>
      <c r="D222" s="196" t="s">
        <v>240</v>
      </c>
      <c r="E222" s="196">
        <v>96.94</v>
      </c>
      <c r="F222" s="275">
        <v>10.1</v>
      </c>
      <c r="G222" s="7"/>
      <c r="H222" s="196">
        <v>8.0960000000000001</v>
      </c>
      <c r="I222" s="266">
        <v>6.9829999999999997</v>
      </c>
      <c r="J222" s="276">
        <v>1104.7</v>
      </c>
      <c r="K222" s="277">
        <v>237.75</v>
      </c>
      <c r="L222" s="196">
        <v>-19</v>
      </c>
      <c r="M222" s="196">
        <v>90</v>
      </c>
      <c r="N222" s="196">
        <v>88</v>
      </c>
    </row>
    <row r="223" spans="1:14" ht="17.25" x14ac:dyDescent="0.25">
      <c r="A223" s="387" t="s">
        <v>239</v>
      </c>
      <c r="B223" s="388"/>
      <c r="C223" s="389"/>
      <c r="D223" s="196" t="s">
        <v>238</v>
      </c>
      <c r="E223" s="196">
        <v>106.17</v>
      </c>
      <c r="F223" s="275">
        <v>7.21</v>
      </c>
      <c r="G223" s="7"/>
      <c r="H223" s="196">
        <v>0.09</v>
      </c>
      <c r="I223" s="266">
        <v>7.0090000000000003</v>
      </c>
      <c r="J223" s="276">
        <v>1462.3</v>
      </c>
      <c r="K223" s="277">
        <v>215.11</v>
      </c>
      <c r="L223" s="196">
        <v>82</v>
      </c>
      <c r="M223" s="196">
        <v>331</v>
      </c>
      <c r="N223" s="196">
        <v>283</v>
      </c>
    </row>
    <row r="224" spans="1:14" ht="17.25" x14ac:dyDescent="0.25">
      <c r="A224" s="387" t="s">
        <v>237</v>
      </c>
      <c r="B224" s="388"/>
      <c r="C224" s="389"/>
      <c r="D224" s="196" t="s">
        <v>236</v>
      </c>
      <c r="E224" s="196">
        <v>106.17</v>
      </c>
      <c r="F224" s="275">
        <v>7.35</v>
      </c>
      <c r="G224" s="7">
        <v>50</v>
      </c>
      <c r="H224" s="196">
        <v>7.0999999999999994E-2</v>
      </c>
      <c r="I224" s="266">
        <v>6.9989999999999997</v>
      </c>
      <c r="J224" s="276">
        <v>1474.7</v>
      </c>
      <c r="K224" s="277">
        <v>213.69</v>
      </c>
      <c r="L224" s="196">
        <v>90</v>
      </c>
      <c r="M224" s="196">
        <v>342</v>
      </c>
      <c r="N224" s="196">
        <v>291</v>
      </c>
    </row>
    <row r="225" spans="1:14" ht="17.25" x14ac:dyDescent="0.25">
      <c r="A225" s="387" t="s">
        <v>235</v>
      </c>
      <c r="B225" s="388"/>
      <c r="C225" s="389"/>
      <c r="D225" s="196" t="s">
        <v>234</v>
      </c>
      <c r="E225" s="196">
        <v>106.17</v>
      </c>
      <c r="F225" s="275">
        <v>7.19</v>
      </c>
      <c r="G225" s="7"/>
      <c r="H225" s="196">
        <v>9.7000000000000003E-2</v>
      </c>
      <c r="I225" s="266">
        <v>7.0209999999999999</v>
      </c>
      <c r="J225" s="276">
        <v>1474.4</v>
      </c>
      <c r="K225" s="277">
        <v>217.77</v>
      </c>
      <c r="L225" s="196">
        <v>56</v>
      </c>
      <c r="M225" s="196">
        <v>355</v>
      </c>
      <c r="N225" s="196">
        <v>281</v>
      </c>
    </row>
    <row r="226" spans="1:14" x14ac:dyDescent="0.25">
      <c r="A226" s="217"/>
      <c r="B226" s="217"/>
      <c r="C226" s="217"/>
      <c r="D226" s="217"/>
      <c r="E226" s="217"/>
      <c r="F226" s="217"/>
      <c r="G226" s="217"/>
      <c r="H226" s="217"/>
      <c r="I226" s="217"/>
      <c r="J226" s="217"/>
      <c r="K226" s="217"/>
      <c r="L226" s="217"/>
      <c r="M226" s="217"/>
      <c r="N226" s="217"/>
    </row>
    <row r="227" spans="1:14" x14ac:dyDescent="0.25">
      <c r="A227" s="217" t="s">
        <v>762</v>
      </c>
      <c r="B227" s="217"/>
      <c r="C227" s="217"/>
      <c r="D227" s="217"/>
      <c r="E227" s="217"/>
      <c r="F227" s="217"/>
      <c r="G227" s="217"/>
      <c r="H227" s="217"/>
      <c r="I227" s="217"/>
      <c r="J227" s="217"/>
      <c r="K227" s="217"/>
      <c r="L227" s="217"/>
      <c r="M227" s="217"/>
      <c r="N227" s="217"/>
    </row>
    <row r="228" spans="1:14" x14ac:dyDescent="0.25">
      <c r="A228" s="217" t="s">
        <v>763</v>
      </c>
      <c r="B228" s="217"/>
      <c r="C228" s="217"/>
      <c r="D228" s="217"/>
      <c r="E228" s="217"/>
      <c r="F228" s="217"/>
      <c r="G228" s="217"/>
      <c r="H228" s="217"/>
      <c r="I228" s="217"/>
      <c r="J228" s="217"/>
      <c r="K228" s="217"/>
      <c r="L228" s="217"/>
      <c r="M228" s="217"/>
      <c r="N228" s="217"/>
    </row>
    <row r="229" spans="1:14" x14ac:dyDescent="0.25">
      <c r="A229" s="217" t="s">
        <v>764</v>
      </c>
      <c r="B229" s="217"/>
      <c r="C229" s="217"/>
      <c r="D229" s="217"/>
      <c r="E229" s="217"/>
      <c r="F229" s="217"/>
      <c r="G229" s="217"/>
      <c r="H229" s="217"/>
      <c r="I229" s="217"/>
      <c r="J229" s="217"/>
      <c r="K229" s="217"/>
      <c r="L229" s="217"/>
      <c r="M229" s="217"/>
      <c r="N229" s="217"/>
    </row>
    <row r="230" spans="1:14" x14ac:dyDescent="0.25">
      <c r="A230" s="217" t="s">
        <v>765</v>
      </c>
      <c r="B230" s="217"/>
      <c r="C230" s="217"/>
      <c r="D230" s="217"/>
      <c r="E230" s="217"/>
      <c r="F230" s="217"/>
      <c r="G230" s="217"/>
      <c r="H230" s="217"/>
      <c r="I230" s="217"/>
      <c r="J230" s="217"/>
      <c r="K230" s="217"/>
      <c r="L230" s="217"/>
      <c r="M230" s="217"/>
      <c r="N230" s="217"/>
    </row>
  </sheetData>
  <sheetProtection algorithmName="SHA-512" hashValue="3Sc2wW2N9pwEjawvHHMMQkJ6PuN2YMKcTGuvgjE5Ks7yZaBzpVKgjLIGs14KFGhhjrvUZ2oetCe+L8OJRi/m/Q==" saltValue="xChrrpgl7KM6OggZKzq9cw==" spinCount="100000" sheet="1" objects="1" scenarios="1"/>
  <mergeCells count="199">
    <mergeCell ref="A205:C205"/>
    <mergeCell ref="A206:C206"/>
    <mergeCell ref="A207:C207"/>
    <mergeCell ref="A208:C208"/>
    <mergeCell ref="A209:C209"/>
    <mergeCell ref="A200:C200"/>
    <mergeCell ref="A217:C217"/>
    <mergeCell ref="A218:C218"/>
    <mergeCell ref="A219:C219"/>
    <mergeCell ref="A210:C210"/>
    <mergeCell ref="A211:C211"/>
    <mergeCell ref="A212:C212"/>
    <mergeCell ref="A213:C213"/>
    <mergeCell ref="A214:C214"/>
    <mergeCell ref="A225:C225"/>
    <mergeCell ref="A36:C38"/>
    <mergeCell ref="F36:G38"/>
    <mergeCell ref="A220:C220"/>
    <mergeCell ref="A221:C221"/>
    <mergeCell ref="A222:C222"/>
    <mergeCell ref="A223:C223"/>
    <mergeCell ref="A224:C224"/>
    <mergeCell ref="A215:C215"/>
    <mergeCell ref="A216:C216"/>
    <mergeCell ref="A201:C201"/>
    <mergeCell ref="A202:C202"/>
    <mergeCell ref="A203:C203"/>
    <mergeCell ref="A204:C204"/>
    <mergeCell ref="A195:C195"/>
    <mergeCell ref="A196:C196"/>
    <mergeCell ref="A197:C197"/>
    <mergeCell ref="A198:C198"/>
    <mergeCell ref="A199:C199"/>
    <mergeCell ref="A190:C190"/>
    <mergeCell ref="A191:C191"/>
    <mergeCell ref="A192:C192"/>
    <mergeCell ref="A193:C193"/>
    <mergeCell ref="A194:C194"/>
    <mergeCell ref="A185:C185"/>
    <mergeCell ref="A186:C186"/>
    <mergeCell ref="A187:C187"/>
    <mergeCell ref="A188:C188"/>
    <mergeCell ref="A189:C189"/>
    <mergeCell ref="A180:C180"/>
    <mergeCell ref="A181:C181"/>
    <mergeCell ref="A182:C182"/>
    <mergeCell ref="A183:C183"/>
    <mergeCell ref="A184:C184"/>
    <mergeCell ref="A175:C175"/>
    <mergeCell ref="A176:C176"/>
    <mergeCell ref="A177:C177"/>
    <mergeCell ref="A178:C178"/>
    <mergeCell ref="A179:C179"/>
    <mergeCell ref="A170:C170"/>
    <mergeCell ref="A171:C171"/>
    <mergeCell ref="A172:C172"/>
    <mergeCell ref="A173:C173"/>
    <mergeCell ref="A174:C174"/>
    <mergeCell ref="A165:C165"/>
    <mergeCell ref="A166:C166"/>
    <mergeCell ref="A167:C167"/>
    <mergeCell ref="A168:C168"/>
    <mergeCell ref="A169:C169"/>
    <mergeCell ref="A160:C160"/>
    <mergeCell ref="A161:C161"/>
    <mergeCell ref="A162:C162"/>
    <mergeCell ref="A163:C163"/>
    <mergeCell ref="A164:C164"/>
    <mergeCell ref="A155:C155"/>
    <mergeCell ref="A156:C156"/>
    <mergeCell ref="A157:C157"/>
    <mergeCell ref="A158:C158"/>
    <mergeCell ref="A159:C159"/>
    <mergeCell ref="A150:C150"/>
    <mergeCell ref="A151:C151"/>
    <mergeCell ref="A152:C152"/>
    <mergeCell ref="A153:C153"/>
    <mergeCell ref="A154:C154"/>
    <mergeCell ref="A145:C145"/>
    <mergeCell ref="A146:C146"/>
    <mergeCell ref="A147:C147"/>
    <mergeCell ref="A148:C148"/>
    <mergeCell ref="A149:C149"/>
    <mergeCell ref="A140:C140"/>
    <mergeCell ref="A141:C141"/>
    <mergeCell ref="A142:C142"/>
    <mergeCell ref="A143:C143"/>
    <mergeCell ref="A144:C144"/>
    <mergeCell ref="A135:C135"/>
    <mergeCell ref="A136:C136"/>
    <mergeCell ref="A137:C137"/>
    <mergeCell ref="A138:C138"/>
    <mergeCell ref="A139:C139"/>
    <mergeCell ref="A130:C130"/>
    <mergeCell ref="A131:C131"/>
    <mergeCell ref="A132:C132"/>
    <mergeCell ref="A133:C133"/>
    <mergeCell ref="A134:C134"/>
    <mergeCell ref="A125:C125"/>
    <mergeCell ref="A126:C126"/>
    <mergeCell ref="A127:C127"/>
    <mergeCell ref="A128:C128"/>
    <mergeCell ref="A129:C129"/>
    <mergeCell ref="A120:C120"/>
    <mergeCell ref="A121:C121"/>
    <mergeCell ref="A122:C122"/>
    <mergeCell ref="A123:C123"/>
    <mergeCell ref="A124:C124"/>
    <mergeCell ref="A115:C115"/>
    <mergeCell ref="A116:C116"/>
    <mergeCell ref="A117:C117"/>
    <mergeCell ref="A118:C118"/>
    <mergeCell ref="A119:C119"/>
    <mergeCell ref="A110:C110"/>
    <mergeCell ref="A111:C111"/>
    <mergeCell ref="A112:C112"/>
    <mergeCell ref="A113:C113"/>
    <mergeCell ref="A114:C114"/>
    <mergeCell ref="A105:C105"/>
    <mergeCell ref="A106:C106"/>
    <mergeCell ref="A107:C107"/>
    <mergeCell ref="A108:C108"/>
    <mergeCell ref="A109:C109"/>
    <mergeCell ref="A100:C100"/>
    <mergeCell ref="A101:C101"/>
    <mergeCell ref="A102:C102"/>
    <mergeCell ref="A103:C103"/>
    <mergeCell ref="A104:C104"/>
    <mergeCell ref="A95:C95"/>
    <mergeCell ref="A96:C96"/>
    <mergeCell ref="A97:C97"/>
    <mergeCell ref="A98:C98"/>
    <mergeCell ref="A99:C99"/>
    <mergeCell ref="A90:C90"/>
    <mergeCell ref="A91:C91"/>
    <mergeCell ref="A92:C92"/>
    <mergeCell ref="A93:C93"/>
    <mergeCell ref="A94:C94"/>
    <mergeCell ref="A85:C85"/>
    <mergeCell ref="A86:C86"/>
    <mergeCell ref="A87:C87"/>
    <mergeCell ref="A88:C88"/>
    <mergeCell ref="A89:C89"/>
    <mergeCell ref="A80:C80"/>
    <mergeCell ref="A81:C81"/>
    <mergeCell ref="A82:C82"/>
    <mergeCell ref="A83:C83"/>
    <mergeCell ref="A84:C84"/>
    <mergeCell ref="A75:C75"/>
    <mergeCell ref="A76:C76"/>
    <mergeCell ref="A77:C77"/>
    <mergeCell ref="A78:C78"/>
    <mergeCell ref="A79:C79"/>
    <mergeCell ref="A70:C70"/>
    <mergeCell ref="A71:C71"/>
    <mergeCell ref="A72:C72"/>
    <mergeCell ref="A73:C73"/>
    <mergeCell ref="A74:C74"/>
    <mergeCell ref="A65:C65"/>
    <mergeCell ref="A66:C66"/>
    <mergeCell ref="A67:C67"/>
    <mergeCell ref="A68:C68"/>
    <mergeCell ref="A69:C69"/>
    <mergeCell ref="A60:C60"/>
    <mergeCell ref="A61:C61"/>
    <mergeCell ref="A62:C62"/>
    <mergeCell ref="A63:C63"/>
    <mergeCell ref="A64:C64"/>
    <mergeCell ref="A54:C54"/>
    <mergeCell ref="A56:C56"/>
    <mergeCell ref="A57:C57"/>
    <mergeCell ref="A58:C58"/>
    <mergeCell ref="A59:C59"/>
    <mergeCell ref="A49:C49"/>
    <mergeCell ref="A50:C50"/>
    <mergeCell ref="A51:C51"/>
    <mergeCell ref="A52:C52"/>
    <mergeCell ref="A53:C53"/>
    <mergeCell ref="A19:H21"/>
    <mergeCell ref="A27:H28"/>
    <mergeCell ref="A29:H30"/>
    <mergeCell ref="A31:H32"/>
    <mergeCell ref="D36:D38"/>
    <mergeCell ref="E36:E38"/>
    <mergeCell ref="H36:H38"/>
    <mergeCell ref="A39:C39"/>
    <mergeCell ref="A40:C40"/>
    <mergeCell ref="N36:N38"/>
    <mergeCell ref="I37:K37"/>
    <mergeCell ref="L37:M37"/>
    <mergeCell ref="I36:M36"/>
    <mergeCell ref="A44:C44"/>
    <mergeCell ref="A45:C45"/>
    <mergeCell ref="A46:C46"/>
    <mergeCell ref="A47:C47"/>
    <mergeCell ref="A48:C48"/>
    <mergeCell ref="A41:C41"/>
    <mergeCell ref="A42:C42"/>
    <mergeCell ref="A43:C43"/>
  </mergeCells>
  <pageMargins left="0.7" right="0.7" top="0.75" bottom="0.75" header="0.3" footer="0.3"/>
  <pageSetup orientation="landscape" horizontalDpi="1200" verticalDpi="1200" r:id="rId1"/>
  <headerFooter>
    <oddFooter>&amp;L&amp;"Arial,Italic"&amp;8aq6-13  •  5/26/23&amp;C&amp;"Arial,Italic"&amp;8https://www.pca.state.mn.us  •  Available in alternative formats  •  651-296-6300  •  800-657-3864  •  Use your preferred relay service&amp;R&amp;"Arial,Italic"&amp;8Page &amp;P of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Tank and Material Properties</vt:lpstr>
      <vt:lpstr>Emissions Calculation</vt:lpstr>
      <vt:lpstr>Reference Tables</vt:lpstr>
      <vt:lpstr>Material Properties</vt:lpstr>
      <vt:lpstr>'Emissions Calculation'!Print_Area</vt:lpstr>
      <vt:lpstr>'Material Properties'!Print_Area</vt:lpstr>
      <vt:lpstr>'Reference Tables'!Print_Area</vt:lpstr>
      <vt:lpstr>'Tank and Material Properties'!Print_Area</vt:lpstr>
    </vt:vector>
  </TitlesOfParts>
  <Manager>Chris Klucas (SS)</Manager>
  <Company>PCA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Estimating air emissions from external floating roof storage tanks</dc:title>
  <dc:subject>This Excel spreadsheet is used for calculating VOC and HAP air emissions from external floating roof storage tanks.</dc:subject>
  <dc:creator>Minnesota Pollution Control Agency - Joshua Markham (Sandra Simbeck)</dc:creator>
  <cp:keywords>Minnesota Pollution Control Agency,aq6-13,air quality,potential to emit,PTE,external floating roof storage tanks, emmission calculations,potential to emit,PTE</cp:keywords>
  <dc:description>Password protected (entire workbook).</dc:description>
  <cp:lastModifiedBy>Simbeck, Sandra</cp:lastModifiedBy>
  <cp:lastPrinted>2020-02-05T16:46:18Z</cp:lastPrinted>
  <dcterms:created xsi:type="dcterms:W3CDTF">2019-08-09T15:08:42Z</dcterms:created>
  <dcterms:modified xsi:type="dcterms:W3CDTF">2023-05-26T17:18:11Z</dcterms:modified>
  <cp:category>air quality,permitting</cp:category>
</cp:coreProperties>
</file>